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Паспорт проекта" sheetId="1" r:id="rId4"/>
    <sheet state="visible" name="1-0 Товары" sheetId="2" r:id="rId5"/>
    <sheet state="visible" name="1-1 Сбор КП" sheetId="3" r:id="rId6"/>
    <sheet state="visible" name="5-0 Товары" sheetId="4" r:id="rId7"/>
    <sheet state="visible" name="5-0 Передача в закупку" sheetId="5" r:id="rId8"/>
    <sheet state="visible" name="5-1 Сбор КП Закупки" sheetId="6" r:id="rId9"/>
    <sheet state="visible" name="5-2 Запросы КП Закупки" sheetId="7" r:id="rId10"/>
    <sheet state="visible" name="5-3 Выбор поставщиков Закупки" sheetId="8" r:id="rId11"/>
    <sheet state="visible" name="5-4 Изменения в товарах" sheetId="9" r:id="rId12"/>
    <sheet state="visible" name="5-5 Оформление сделок" sheetId="10" r:id="rId13"/>
    <sheet state="visible" name="S-10 Оформление сделок ID_Товар" sheetId="11" r:id="rId14"/>
    <sheet state="visible" name="S-10 Оформление сделок Выборка" sheetId="12" r:id="rId15"/>
    <sheet state="visible" name="6 Оплаты" sheetId="13" r:id="rId16"/>
    <sheet state="visible" name="7-2 Документация исполнение" sheetId="14" r:id="rId17"/>
    <sheet state="visible" name="S-10 Для Внешней Оплаты" sheetId="15" r:id="rId18"/>
    <sheet state="visible" name="S-10 Оформление сделок Коммента" sheetId="16" r:id="rId19"/>
    <sheet state="visible" name="S-10 Комментарии" sheetId="17" r:id="rId20"/>
    <sheet state="visible" name="S-10 Предложения" sheetId="18" r:id="rId21"/>
    <sheet state="visible" name="S-10 Топ 5-3" sheetId="19" r:id="rId22"/>
    <sheet state="visible" name="S-10 Триггеры" sheetId="20" r:id="rId23"/>
  </sheets>
  <definedNames>
    <definedName hidden="1" localSheetId="1" name="_xlnm._FilterDatabase">'1-0 Товары'!$A$10:$U$313</definedName>
    <definedName hidden="1" localSheetId="3" name="_xlnm._FilterDatabase">'5-0 Товары'!$A$10:$U$310</definedName>
    <definedName hidden="1" localSheetId="4" name="_xlnm._FilterDatabase">'5-0 Передача в закупку'!$D$10:$K$319</definedName>
    <definedName hidden="1" localSheetId="6" name="_xlnm._FilterDatabase">'5-2 Запросы КП Закупки'!$A$10:$BA$399</definedName>
    <definedName hidden="1" localSheetId="7" name="_xlnm._FilterDatabase">'5-3 Выбор поставщиков Закупки'!$A$10:$EE$310</definedName>
    <definedName hidden="1" localSheetId="9" name="_xlnm._FilterDatabase">'5-5 Оформление сделок'!$A$10:$BW$310</definedName>
    <definedName hidden="1" localSheetId="12" name="_xlnm._FilterDatabase">'6 Оплаты'!$A$10:$CC$310</definedName>
    <definedName hidden="1" localSheetId="13" name="_xlnm._FilterDatabase">'7-2 Документация исполнение'!$D$10:$AB$310</definedName>
    <definedName hidden="1" localSheetId="16" name="_xlnm._FilterDatabase">'S-10 Комментарии'!$A$10:$M$30</definedName>
    <definedName hidden="1" localSheetId="17" name="_xlnm._FilterDatabase">'S-10 Предложения'!$A$10:$BZ$99</definedName>
    <definedName hidden="1" localSheetId="18" name="_xlnm._FilterDatabase">'S-10 Топ 5-3'!$A$10:$Q$1000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6">
      <text>
        <t xml:space="preserve">ufCrm31_1781092211964</t>
      </text>
    </comment>
    <comment authorId="0" ref="H10">
      <text>
        <t xml:space="preserve">Можно скрыть столбец</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C10">
      <text>
        <t xml:space="preserve">body_name</t>
      </text>
    </comment>
    <comment authorId="0" ref="C9">
      <text>
        <t xml:space="preserve">header_last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C10">
      <text>
        <t xml:space="preserve">body_name</t>
      </text>
    </comment>
    <comment authorId="0" ref="C9">
      <text>
        <t xml:space="preserve">header_last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C9">
      <text>
        <t xml:space="preserve">header_last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F2">
      <text>
        <t xml:space="preserve">свободные_10</t>
      </text>
    </comment>
    <comment authorId="0" ref="G2">
      <text>
        <t xml:space="preserve">свободные_11</t>
      </text>
    </comment>
    <comment authorId="0" ref="I2">
      <text>
        <t xml:space="preserve">свободные_09</t>
      </text>
    </comment>
    <comment authorId="0" ref="Y2">
      <text>
        <t xml:space="preserve">свободные_07</t>
      </text>
    </comment>
    <comment authorId="0" ref="C9">
      <text>
        <t xml:space="preserve">header_last</t>
      </text>
    </comment>
    <comment authorId="0" ref="C312">
      <text>
        <t xml:space="preserve">footer_first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F2">
      <text>
        <t xml:space="preserve">свободные_10</t>
      </text>
    </comment>
    <comment authorId="0" ref="G2">
      <text>
        <t xml:space="preserve">свободные_11</t>
      </text>
    </comment>
    <comment authorId="0" ref="C10">
      <text>
        <t xml:space="preserve">body_name</t>
      </text>
    </comment>
    <comment authorId="0" ref="L2">
      <text>
        <t xml:space="preserve">Свободно09</t>
      </text>
    </comment>
    <comment authorId="0" ref="C9">
      <text>
        <t xml:space="preserve">header_last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S2">
      <text>
        <t xml:space="preserve">ОснвноеПредложение</t>
      </text>
    </comment>
    <comment authorId="0" ref="C1">
      <text>
        <t xml:space="preserve">header_first</t>
      </text>
    </comment>
    <comment authorId="0" ref="F2">
      <text>
        <t xml:space="preserve">свободные_10</t>
      </text>
    </comment>
    <comment authorId="0" ref="V2">
      <text>
        <t xml:space="preserve">РезервноеПредложение</t>
      </text>
    </comment>
    <comment authorId="0" ref="G2">
      <text>
        <t xml:space="preserve">свободные_11</t>
      </text>
    </comment>
    <comment authorId="0" ref="H2">
      <text>
        <t xml:space="preserve">Свободно1</t>
      </text>
    </comment>
    <comment authorId="0" ref="C9">
      <text>
        <t xml:space="preserve">header_last</t>
      </text>
    </comment>
    <comment authorId="0" ref="C312">
      <text>
        <t xml:space="preserve">footer_first</t>
      </text>
    </comment>
    <comment authorId="0" ref="P2">
      <text>
        <t xml:space="preserve">Свободно2</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key</t>
      </text>
    </comment>
    <comment authorId="0" ref="AL2">
      <text>
        <t xml:space="preserve">Комментарий</t>
      </text>
    </comment>
    <comment authorId="0" ref="AO2">
      <text>
        <t xml:space="preserve">Комментарий</t>
      </text>
    </comment>
    <comment authorId="0" ref="BD2">
      <text>
        <t xml:space="preserve">МестоПоставкиТовара.Ф</t>
      </text>
    </comment>
    <comment authorId="0" ref="BE2">
      <text>
        <t xml:space="preserve">МестоПоставкиТовара</t>
      </text>
    </comment>
    <comment authorId="0" ref="AB2">
      <text>
        <t xml:space="preserve">Лист</t>
      </text>
    </comment>
    <comment authorId="0" ref="C9">
      <text>
        <t xml:space="preserve">header_last</t>
      </text>
    </comment>
    <comment authorId="0" ref="AC2">
      <text>
        <t xml:space="preserve">Лист</t>
      </text>
    </comment>
    <comment authorId="0" ref="BJ2">
      <text>
        <t xml:space="preserve">УсловияДоставкиТовара.Ф</t>
      </text>
    </comment>
    <comment authorId="0" ref="BK2">
      <text>
        <t xml:space="preserve">УсловияДоставкиТовара</t>
      </text>
    </comment>
    <comment authorId="0" ref="BL2">
      <text>
        <t xml:space="preserve">СтоимостьДоставкиДляНас.Ф</t>
      </text>
    </comment>
    <comment authorId="0" ref="BM2">
      <text>
        <t xml:space="preserve">СтоимостьДоставкиДляНас</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C9">
      <text>
        <t xml:space="preserve">header_last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key</t>
      </text>
    </comment>
    <comment authorId="0" ref="AL2">
      <text>
        <t xml:space="preserve">Комментарий</t>
      </text>
    </comment>
    <comment authorId="0" ref="BE2">
      <text>
        <t xml:space="preserve">МестоПоставкиТовара</t>
      </text>
    </comment>
    <comment authorId="0" ref="C9">
      <text>
        <t xml:space="preserve">header_last</t>
      </text>
    </comment>
    <comment authorId="0" ref="BK2">
      <text>
        <t xml:space="preserve">УсловияДоставкиТовара</t>
      </text>
    </comment>
    <comment authorId="0" ref="BM2">
      <text>
        <t xml:space="preserve">СтоимостьДоставкиДляНас</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key</t>
      </text>
    </comment>
    <comment authorId="0" ref="C9">
      <text>
        <t xml:space="preserve">header_last</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key</t>
      </text>
    </comment>
    <comment authorId="0" ref="C9">
      <text>
        <t xml:space="preserve">header_last</t>
      </text>
    </comment>
    <comment authorId="0" ref="AC2">
      <text>
        <t xml:space="preserve">МестоПоставкиТовара</t>
      </text>
    </comment>
    <comment authorId="0" ref="AF2">
      <text>
        <t xml:space="preserve">УсловияДоставкиТовара</t>
      </text>
    </comment>
    <comment authorId="0" ref="Q2">
      <text>
        <t xml:space="preserve">Лист</t>
      </text>
    </comment>
    <comment authorId="0" ref="AG2">
      <text>
        <t xml:space="preserve">СтоимостьДоставкиДляНас</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УсловияДоставкиТовара</t>
      </text>
    </comment>
    <comment authorId="0" ref="C2">
      <text>
        <t xml:space="preserve">ID_Номенклатура</t>
      </text>
    </comment>
    <comment authorId="0" ref="S2">
      <text>
        <t xml:space="preserve">СтоимостьДоставкиДляНас</t>
      </text>
    </comment>
    <comment authorId="0" ref="C1">
      <text>
        <t xml:space="preserve">header_first</t>
      </text>
    </comment>
    <comment authorId="0" ref="K2">
      <text>
        <t xml:space="preserve">Комментарий</t>
      </text>
    </comment>
    <comment authorId="0" ref="C9">
      <text>
        <t xml:space="preserve">header_last</t>
      </text>
    </comment>
    <comment authorId="0" ref="Q2">
      <text>
        <t xml:space="preserve">МестоПоставкиТовара</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C9">
      <text>
        <t xml:space="preserve">header_last</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C9">
      <text>
        <t xml:space="preserve">header_last</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C9">
      <text>
        <t xml:space="preserve">header_last</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ID_Номенклатура</t>
      </text>
    </comment>
    <comment authorId="0" ref="C1">
      <text>
        <t xml:space="preserve">header_first</t>
      </text>
    </comment>
    <comment authorId="0" ref="C9">
      <text>
        <t xml:space="preserve">header_last</t>
      </text>
    </comment>
  </commentList>
</comments>
</file>

<file path=xl/sharedStrings.xml><?xml version="1.0" encoding="utf-8"?>
<sst xmlns="http://schemas.openxmlformats.org/spreadsheetml/2006/main" count="6755" uniqueCount="955">
  <si>
    <t>header_first</t>
  </si>
  <si>
    <t>HeaderFirst</t>
  </si>
  <si>
    <t>Номер</t>
  </si>
  <si>
    <t>Название</t>
  </si>
  <si>
    <t>Значение</t>
  </si>
  <si>
    <t>err</t>
  </si>
  <si>
    <t>err2</t>
  </si>
  <si>
    <t>key</t>
  </si>
  <si>
    <t>Номенклатура</t>
  </si>
  <si>
    <t>ИсточникИнформации</t>
  </si>
  <si>
    <t>Характеристики</t>
  </si>
  <si>
    <t>Рекомендации</t>
  </si>
  <si>
    <t>ЕдИзм</t>
  </si>
  <si>
    <t>Количевство</t>
  </si>
  <si>
    <t>k9</t>
  </si>
  <si>
    <t>needToSend</t>
  </si>
  <si>
    <t>НМЦ</t>
  </si>
  <si>
    <t>НазваниеТовараПоДоговору</t>
  </si>
  <si>
    <t>Значение_raw</t>
  </si>
  <si>
    <t>type</t>
  </si>
  <si>
    <t>ИзготовительТовараПоДоговору</t>
  </si>
  <si>
    <t>Группа_1_2</t>
  </si>
  <si>
    <t>Группа_5_2</t>
  </si>
  <si>
    <t>Насосное оборудование</t>
  </si>
  <si>
    <t>СрокПоставкиПоДоговору</t>
  </si>
  <si>
    <t>formulaColl</t>
  </si>
  <si>
    <t>enumeration</t>
  </si>
  <si>
    <t>Компрессоры</t>
  </si>
  <si>
    <t>var_key</t>
  </si>
  <si>
    <t>user</t>
  </si>
  <si>
    <t>Электротовары</t>
  </si>
  <si>
    <t>var_name</t>
  </si>
  <si>
    <t>formulaFree</t>
  </si>
  <si>
    <t>money</t>
  </si>
  <si>
    <t>Запчасти</t>
  </si>
  <si>
    <t>var_value</t>
  </si>
  <si>
    <t>datetime</t>
  </si>
  <si>
    <t>hide_col</t>
  </si>
  <si>
    <t>boolean</t>
  </si>
  <si>
    <t>header_08</t>
  </si>
  <si>
    <t>staf</t>
  </si>
  <si>
    <t>№</t>
  </si>
  <si>
    <t>Проверка</t>
  </si>
  <si>
    <t>Источник информации</t>
  </si>
  <si>
    <t>header_last</t>
  </si>
  <si>
    <t>raw</t>
  </si>
  <si>
    <t>Индификатор поля</t>
  </si>
  <si>
    <t>HeaderLast</t>
  </si>
  <si>
    <t>Номер проекта</t>
  </si>
  <si>
    <t>PTZ-А-1480</t>
  </si>
  <si>
    <t>ufCrm_69EA3A22F3CA9</t>
  </si>
  <si>
    <t>НомерПроекта</t>
  </si>
  <si>
    <t>header_07</t>
  </si>
  <si>
    <t>Да</t>
  </si>
  <si>
    <t>Ед. Изм</t>
  </si>
  <si>
    <t>Кол-во</t>
  </si>
  <si>
    <t>Цена</t>
  </si>
  <si>
    <t>Итого</t>
  </si>
  <si>
    <t>Предложений</t>
  </si>
  <si>
    <t>Нац режим 1875</t>
  </si>
  <si>
    <t>Код ОКПД 2</t>
  </si>
  <si>
    <t>Срок поставки по договору</t>
  </si>
  <si>
    <t>ID_Bitrix</t>
  </si>
  <si>
    <t>ID</t>
  </si>
  <si>
    <t>URL_Bitrix</t>
  </si>
  <si>
    <t>Ссылка на таблицу расчета</t>
  </si>
  <si>
    <t>ufCrm31_1777547556213</t>
  </si>
  <si>
    <t>Надо заполнить на основе документации</t>
  </si>
  <si>
    <t>Источник информации:</t>
  </si>
  <si>
    <t>Место поставки товара</t>
  </si>
  <si>
    <t>Подольск</t>
  </si>
  <si>
    <t>1. ТЗ РАЗДЕЛ X. ТРЕБОВАНИЯ К КОЛИЧЕСТВУ, МЕСТУ И СРОКУ (ПЕРИОДИЧНОСТИ) ПОСТАВКИ.
2. Извещение: раздел место исполнения договора или место поставки.
3. Договор: место поставки. 
4. Спецификация</t>
  </si>
  <si>
    <t>ufCrm_69EA3A22B3191</t>
  </si>
  <si>
    <t>Срок поставки по договору, календарные дни или точная дата</t>
  </si>
  <si>
    <t>1. ТЗ РАЗДЕЛ X. ТРЕБОВАНИЯ К КОЛИЧЕСТВУ, МЕСТУ И СРОКУ (ПЕРИОДИЧНОСТИ) ПОСТАВКИ.
2. Спецификация (при наличии).
3. Договор (при наличии): либо в разделе ПРЕДМЕТ ДОГОВОРА, либо СРОКИ ПОСТАВКИ, либо в СПЕЦИФИКАЦИИ к договору. 
4. Иногда может быть указано в Извещении в  разделе предмет договора.</t>
  </si>
  <si>
    <t>1. Ищем "срок поставки" в проекте договора или в ТЗ/Спецификации. 
2. Если указана конкретная дата ,то вводим ее. 
3. Если указан диапазон дат то вводим берем максимальную дату 
4. Если указан период : например в течение 40 дней или не более 20 дней с даты заключения договора ,то ставим просто число.
5. Из рабочих (Х) переводим в календарные (Y) с помощью формулы Х=Y/5*7.</t>
  </si>
  <si>
    <t>ufCrm_69EA3A22BCFF5</t>
  </si>
  <si>
    <t>Срок доставки, календарные дни</t>
  </si>
  <si>
    <t>Надо вычислить самостоятельно.</t>
  </si>
  <si>
    <t>Смотрим на сайте деловых линий сколько времени занимает доставка из Подольска до заказчика + прибавляем 7 дней</t>
  </si>
  <si>
    <t>ufCrm_69EA3A22C6588</t>
  </si>
  <si>
    <t>Срок приемки, календарные дни</t>
  </si>
  <si>
    <t>Договор раздел ПРИЕМКА ТОВАРА или ПОРЯДОК ПРИЕМКИ.</t>
  </si>
  <si>
    <t>1. Изучаем договор или другую документацию по закупке ищем срок приемки товара.
2. Из рабочих (Х) переводим в календарные (Y) с помощью формулы Х=Y/5*7.
3. Если информация отсутствует, то ставим "30".</t>
  </si>
  <si>
    <t>ufCrm_69EA3A22CFA43</t>
  </si>
  <si>
    <t>Срок оплаты, календарные дни</t>
  </si>
  <si>
    <t>1. Извещение: Раздел условия оплаты.
2. Договор: раздел порядок оплаты.</t>
  </si>
  <si>
    <t>1. Изучаем договор или другую документацию по закупке ищем срок оплаты. 
2. Если указана конкретная дата ,то вводим ее. 
3. Если указан диапазон дат то вводим берем максимальную дату 
4. Если указан период : например в течение 40 дней или не более 20 дней с даты заключения договора ,то ставим просто число.
5. Из рабочих (Х) переводим в календарные (Y) с помощью формулы Х=Y/5*7.
6. Если информация отсутствует, то ставим "30".</t>
  </si>
  <si>
    <t>ufCrm_69EA3A22D8590</t>
  </si>
  <si>
    <t>Аванс,%</t>
  </si>
  <si>
    <t>ufCrm_69EA3A220488D</t>
  </si>
  <si>
    <t>Аванс, руб</t>
  </si>
  <si>
    <t>ufCrm_69EA3A221B414</t>
  </si>
  <si>
    <t>Название товара по договору</t>
  </si>
  <si>
    <t>Изготовитель товара по договору</t>
  </si>
  <si>
    <t>Неустойка за день просрочки,%</t>
  </si>
  <si>
    <t/>
  </si>
  <si>
    <t>1. Договор Раздел Ответственность.</t>
  </si>
  <si>
    <t>ufCrm_69EA3A222390D</t>
  </si>
  <si>
    <t>Ограничение неустойки за просрочку</t>
  </si>
  <si>
    <t>Состав поставляемой с продукцией технической документации</t>
  </si>
  <si>
    <t>ufCrm_69EA3A222B5FD</t>
  </si>
  <si>
    <t>Штраф за просрочку от стоимости Товара/договора, %</t>
  </si>
  <si>
    <t>ufCrm_69EA3A22398F7</t>
  </si>
  <si>
    <t>Штраф за поставку товара с недостатками от стоимости Товара/договора, %</t>
  </si>
  <si>
    <t>ufCrm_69EA3A2241A6C</t>
  </si>
  <si>
    <t>Досрочная поставка товара по договору</t>
  </si>
  <si>
    <t>ufCrm_69EA3A2249278</t>
  </si>
  <si>
    <t>Частичная поставка товара по договору</t>
  </si>
  <si>
    <t>1. Договор раздел Поставка товара, Условия поставки и т.п.</t>
  </si>
  <si>
    <t>Если не указано что продукция должна быть поставлена одной партией и в полном объеме то ставим "Да".</t>
  </si>
  <si>
    <t>ufCrm_69EA3A22507F4</t>
  </si>
  <si>
    <t>Частичная оплата товара по договору</t>
  </si>
  <si>
    <t>Договор.</t>
  </si>
  <si>
    <t>Если не указано что продукция будет оплачена по факту ПОЛНОЙ поставки то ставим "Да".</t>
  </si>
  <si>
    <t>ufCrm_69EA3A2257D9F</t>
  </si>
  <si>
    <t>Поставка по заявке или частями</t>
  </si>
  <si>
    <t>Нет</t>
  </si>
  <si>
    <t>ufCrm_69EA3A2232300</t>
  </si>
  <si>
    <t>Обеспечения заявки, %</t>
  </si>
  <si>
    <t>Извещение.</t>
  </si>
  <si>
    <t>ufCrm_69EA3A225EFD0</t>
  </si>
  <si>
    <t>Обеспечения заявки, руб</t>
  </si>
  <si>
    <t>ufCrm_69EA3A22644AD</t>
  </si>
  <si>
    <t>Обеспечение ИСПОЛНЕНИЯ договора, %</t>
  </si>
  <si>
    <t>Извещение./ Проект договора по поиску на слово "Обеспечение" далее искать Обеспечение Исполнения.</t>
  </si>
  <si>
    <t>ufCrm_69EA3A2269B8F</t>
  </si>
  <si>
    <t>Обеспечение ИСПОЛНЕНИЯ договора, руб</t>
  </si>
  <si>
    <t>ufCrm_69EA3A226F3CC</t>
  </si>
  <si>
    <t>Правила приемки</t>
  </si>
  <si>
    <t>ufCrm_69EA3A2274E59</t>
  </si>
  <si>
    <t>ЕОС-качество</t>
  </si>
  <si>
    <t>1. Ищем в договоре ЕОС-качество.
2. Если ЕОС-Качество упоминается, то ставим да,если нет, то нет.</t>
  </si>
  <si>
    <t>ufCrm_69EA3A227FF23</t>
  </si>
  <si>
    <t>Доля импорта</t>
  </si>
  <si>
    <t>Отношение импортной продукции к общему объему в закупочных ценах.</t>
  </si>
  <si>
    <t>Категория поставляемых товаров</t>
  </si>
  <si>
    <t>ufCrm_69EA3A22E3E95</t>
  </si>
  <si>
    <t>opportunity</t>
  </si>
  <si>
    <t>Валюта НМЦ</t>
  </si>
  <si>
    <t>RUB</t>
  </si>
  <si>
    <t>currencyId</t>
  </si>
  <si>
    <t>Ставка НДС в договоре</t>
  </si>
  <si>
    <t>ufCrm_69EA3A2289038</t>
  </si>
  <si>
    <t>Присутствует ли ТЗ в проекте договора на ЭТП</t>
  </si>
  <si>
    <t>ufCrm_69EA3A229088A</t>
  </si>
  <si>
    <t>Экспортный контракт</t>
  </si>
  <si>
    <t>ufCrm_69EA3A22983AF</t>
  </si>
  <si>
    <t>Постановление правительства №1875</t>
  </si>
  <si>
    <t>ufCrm_69EA3A21DCA6B</t>
  </si>
  <si>
    <t>Срок действия предложения (нет или конкретный срок)</t>
  </si>
  <si>
    <t>ufCrm_69EA3A21F3424</t>
  </si>
  <si>
    <t>Условия договора на которые нужно обратить ВНИМАНИЕ</t>
  </si>
  <si>
    <t>ufCrm_69EA3A22A19EE</t>
  </si>
  <si>
    <t>Данные из Битрикс</t>
  </si>
  <si>
    <t>Текущая стадия СП</t>
  </si>
  <si>
    <t>Есть товары у которых нет цен</t>
  </si>
  <si>
    <t>stageId</t>
  </si>
  <si>
    <t>DT1076_41:UC_NFPPYY</t>
  </si>
  <si>
    <t>Текущая стадия Сделки</t>
  </si>
  <si>
    <t>Расчет</t>
  </si>
  <si>
    <t>ufCrm31_1776958599</t>
  </si>
  <si>
    <t>Ответственный за сделку Менеджер</t>
  </si>
  <si>
    <t>Антон</t>
  </si>
  <si>
    <t>assignedById</t>
  </si>
  <si>
    <t>Ответственный за создание таблиц и сбор ИЦИ</t>
  </si>
  <si>
    <t>Артем Хафизов</t>
  </si>
  <si>
    <t>ufCrm31_1776958433</t>
  </si>
  <si>
    <t>Ответственный за расчет и тех. часть</t>
  </si>
  <si>
    <t>Геннадий Грибовский</t>
  </si>
  <si>
    <t>ufCrm31_1781782219</t>
  </si>
  <si>
    <t>Наблюдатели</t>
  </si>
  <si>
    <t>Антон
Артем Хафизов
Геннадий Грибовский</t>
  </si>
  <si>
    <t>observers</t>
  </si>
  <si>
    <t>Заполняется автоматически с листа 3-3</t>
  </si>
  <si>
    <t>Реальный срок поставки, календарных дней</t>
  </si>
  <si>
    <t>Заполняется автоматом на основе максимальных данных с листа 3-3 - проверить.</t>
  </si>
  <si>
    <t>Планируемый срок проекта , календарные дни</t>
  </si>
  <si>
    <t>Кол-во позиций, шт</t>
  </si>
  <si>
    <t>Кол-во поставщиков в проекте (на основе листа "3-3 выбор поставщиков"), шт</t>
  </si>
  <si>
    <t>КОНТРАКТАЦИЯ</t>
  </si>
  <si>
    <t>Наименование заказчика</t>
  </si>
  <si>
    <t>Заполняет ответственный за заключение договора</t>
  </si>
  <si>
    <t>Контакты ЛПР</t>
  </si>
  <si>
    <t>Заполняет ответственный менеджер</t>
  </si>
  <si>
    <t>Другие контакты заказчика.</t>
  </si>
  <si>
    <t>Заполняет ответственный менеджер, а затем ответственный за заключение договора</t>
  </si>
  <si>
    <t>Дата публикации протокола</t>
  </si>
  <si>
    <t>Заполняет ответственный за заключение договора сразу после его опубликования</t>
  </si>
  <si>
    <t>Общее количество дней, отведенное на заключения договора от даты публикации</t>
  </si>
  <si>
    <t>Заполняет ответственный за заключение договора сразу после опубликования протокола (информация берется из извещения)</t>
  </si>
  <si>
    <t>Плановая дата заключения договора (расчетная)</t>
  </si>
  <si>
    <t>рассчитывается автоматически (38+39)</t>
  </si>
  <si>
    <t>Количество дней, отведенное заказчику на передачу проекта договора Победителю</t>
  </si>
  <si>
    <t xml:space="preserve">Заполняет ответственный за заключение договора сразу после опубликования протокола </t>
  </si>
  <si>
    <t>Дата до которой Заказчик должен передать нам подписанный проект договора (расч)</t>
  </si>
  <si>
    <t>Заполняет ответственный за заключение договора сразу после опубликования протокола/Для КЗ рассчитывается исходя из информации прописанной в Извещении</t>
  </si>
  <si>
    <t>Дата фактической передачи Заказчиком проекта договора нам</t>
  </si>
  <si>
    <t>Заполняет ответственный за заключение договора сразу после поступления к нам  подписанного заказчиком проекта договора</t>
  </si>
  <si>
    <t>Кол-во дней которые отведены нам на подписание договора</t>
  </si>
  <si>
    <t>Дата когда МЫ должны направить подписанный нами договор.</t>
  </si>
  <si>
    <t>рассчитывается автоматически</t>
  </si>
  <si>
    <t>Фактическая Дата подписания и направления договора нами</t>
  </si>
  <si>
    <t>Заполняет ответственный за заключение договора -дата должна соответствовать фактической дате отправления подписанного нами договора заказчику</t>
  </si>
  <si>
    <t>Юр лицо победитель</t>
  </si>
  <si>
    <t>Цена Договора</t>
  </si>
  <si>
    <t>Номер договора</t>
  </si>
  <si>
    <t>Договор от (дата в шапке договора)</t>
  </si>
  <si>
    <t>Вид подписания договора</t>
  </si>
  <si>
    <t>Сумма обеспечения договора</t>
  </si>
  <si>
    <t>Дата направления заказчику Обеспечения Исполнения договора</t>
  </si>
  <si>
    <t>Кто контактирует с заказчиком по вопросу исполнения</t>
  </si>
  <si>
    <t>Комментарий</t>
  </si>
  <si>
    <t>Дата согласования запросов</t>
  </si>
  <si>
    <t>ufCrm31_1782799136</t>
  </si>
  <si>
    <t>2026-10-07T15:57:43+03:00</t>
  </si>
  <si>
    <t>Результат экспертизы</t>
  </si>
  <si>
    <t>В процессе</t>
  </si>
  <si>
    <t>ufCrm31_1781869533683</t>
  </si>
  <si>
    <t>Состояние рассылки</t>
  </si>
  <si>
    <t>Всё отправлено</t>
  </si>
  <si>
    <t>ufCrm31_1781091023615</t>
  </si>
  <si>
    <t>Наличие цен</t>
  </si>
  <si>
    <t>Есть товары без цен</t>
  </si>
  <si>
    <t>ufCrm31_1782134329446</t>
  </si>
  <si>
    <t>Дата завершения экспертизы</t>
  </si>
  <si>
    <t>date_from_bitrix</t>
  </si>
  <si>
    <t>Дата перехода в стадию 'Подготовка ТП'</t>
  </si>
  <si>
    <t>ufCrm31_1791195837</t>
  </si>
  <si>
    <t>Добавлено новое предложение</t>
  </si>
  <si>
    <t>ufCrm31_1791195853</t>
  </si>
  <si>
    <t>opportunity_currency</t>
  </si>
  <si>
    <t>Успех</t>
  </si>
  <si>
    <t>bitrix_status</t>
  </si>
  <si>
    <t>РазличиеМужду</t>
  </si>
  <si>
    <t>СоставТехническойДокументации</t>
  </si>
  <si>
    <t>formulaCell</t>
  </si>
  <si>
    <t>Скрыть</t>
  </si>
  <si>
    <t>аываываыв  dasd fsdf ываыва gsdfsd аыаыва ыаыва а</t>
  </si>
  <si>
    <t>свободные</t>
  </si>
  <si>
    <t>Цены Начало</t>
  </si>
  <si>
    <t>amkomplekt@mail.ru</t>
  </si>
  <si>
    <t>sales@noemi-parts.ru</t>
  </si>
  <si>
    <t>aa@kentek.ru</t>
  </si>
  <si>
    <t>dg@air-part.ru</t>
  </si>
  <si>
    <t>104@pnevmotek.com</t>
  </si>
  <si>
    <t>vkorolev@rutector.ru</t>
  </si>
  <si>
    <t>bmd@melcom-ural.ru</t>
  </si>
  <si>
    <t>utkm@mail.ru</t>
  </si>
  <si>
    <t>engelsfilter@mail.ru</t>
  </si>
  <si>
    <t>rt@air-part.ru</t>
  </si>
  <si>
    <t>order@techfil.ru</t>
  </si>
  <si>
    <t>ca@air-part.ru (1)</t>
  </si>
  <si>
    <t>ca@air-part.ru (2)</t>
  </si>
  <si>
    <t>m.rulev@a-ac.ru</t>
  </si>
  <si>
    <t>zap-premium@mail.ru</t>
  </si>
  <si>
    <t>otgruzka@proftool.ru</t>
  </si>
  <si>
    <t>kononov@indust-group.ru</t>
  </si>
  <si>
    <t>r.staroverov@evlart.ru</t>
  </si>
  <si>
    <t>e.omelyusik@evlart.ru</t>
  </si>
  <si>
    <t>sale@dlv-rnd.ru</t>
  </si>
  <si>
    <t>davidov@pressair.ru</t>
  </si>
  <si>
    <t>Цены Конец</t>
  </si>
  <si>
    <t>1 цена</t>
  </si>
  <si>
    <t>поставщик</t>
  </si>
  <si>
    <t>2 цена</t>
  </si>
  <si>
    <t>3 цена</t>
  </si>
  <si>
    <t>Лучшие цены</t>
  </si>
  <si>
    <t>CommentBlokStart</t>
  </si>
  <si>
    <t>CommentBlokEnd</t>
  </si>
  <si>
    <t>КомментарийЭксперта</t>
  </si>
  <si>
    <t>ТопЭксперта</t>
  </si>
  <si>
    <t>CommentExpertBlokStart</t>
  </si>
  <si>
    <t>CommentExpertBlokEnd</t>
  </si>
  <si>
    <t>Доллар</t>
  </si>
  <si>
    <t>1</t>
  </si>
  <si>
    <t>Масляный фильтр - Артикул 89781969 ESG-315 зав.№ F010451</t>
  </si>
  <si>
    <t xml:space="preserve"> ESG-315 зав. № F01045</t>
  </si>
  <si>
    <t>шт.</t>
  </si>
  <si>
    <t>5 450,00
6 433,68</t>
  </si>
  <si>
    <t>16 350,00
19 301,04</t>
  </si>
  <si>
    <t>7, из них аналог 4</t>
  </si>
  <si>
    <t>ID_T001</t>
  </si>
  <si>
    <t>5 рд</t>
  </si>
  <si>
    <t xml:space="preserve">Масляный фильтр 89781969 [ Аналог SH/O8186 ] </t>
  </si>
  <si>
    <t>18 нед</t>
  </si>
  <si>
    <t xml:space="preserve">Масляный фильтр - Артикул 89781969 (оригинал) </t>
  </si>
  <si>
    <t>нал</t>
  </si>
  <si>
    <t>Масляный фильтр - Артикул 89781969 (аналог)</t>
  </si>
  <si>
    <t>7 рд</t>
  </si>
  <si>
    <t>Фильтр масляный 89781969 аналог</t>
  </si>
  <si>
    <t>Масляный фильтр - Артикул 89781969 ESG-315 —
 Аналог</t>
  </si>
  <si>
    <t>5 д</t>
  </si>
  <si>
    <t>Масляный фильтр (арт. 85062259)</t>
  </si>
  <si>
    <t>Масляный фильтр 89781969 = SH8186</t>
  </si>
  <si>
    <t>$BQ$1📎📎📎Осн поставщик📎1791373921834|||$BE$1📎📎📎Да📎1791375018979|||$CI$1📎📎📎Осн поставщик📎1791880838684</t>
  </si>
  <si>
    <t>$BQ$1📎📎📎Да📎1791880954777|||$BE$1📎📎📎Да📎1791375018979|||$CI$1📎📎📎Осн поставщик📎1791880838684</t>
  </si>
  <si>
    <t>Евро</t>
  </si>
  <si>
    <t>2</t>
  </si>
  <si>
    <t>Масляный фильтр - Артикул 85062259</t>
  </si>
  <si>
    <t>ESG-315 зав.№ 17030008 
VS-250; ESM-200</t>
  </si>
  <si>
    <t>5 450,00
11 956,00</t>
  </si>
  <si>
    <t>32 700,00
71 736,00</t>
  </si>
  <si>
    <t>ID_T002</t>
  </si>
  <si>
    <t xml:space="preserve">Масляный фильтр 85062259 [ Аналог SH/O8186 ] </t>
  </si>
  <si>
    <t>Масляный фильтр - Артикул 85062259 (оригинал)</t>
  </si>
  <si>
    <t xml:space="preserve">Масляный фильтр - Артикул 85062259 (аналог) </t>
  </si>
  <si>
    <t>Фильтр масляный 85062259 аналог</t>
  </si>
  <si>
    <t>85062259 Масляный фильтр</t>
  </si>
  <si>
    <t>Масляный фильтр 85062259 = SH8186</t>
  </si>
  <si>
    <t>$BQ$1📎📎📎Осн поставщик📎1791373995630|||$BE$1📎📎📎Да📎1791375565363|||$CI$1📎📎📎Осн поставщик📎1791880880186</t>
  </si>
  <si>
    <t>$BQ$1📎📎📎Да📎1791880963114|||$BE$1📎📎📎Да📎1791375565363|||$CI$1📎📎📎Осн поставщик📎1791880880186</t>
  </si>
  <si>
    <t>CNY</t>
  </si>
  <si>
    <t>3</t>
  </si>
  <si>
    <t xml:space="preserve">Воздушный фильтр - Артикул 85067179 </t>
  </si>
  <si>
    <t>ESG-315 зав.№ F010451;
ESG-315 зав.№ 17030008
VS-250; ESM-200; «Gardner Denver»</t>
  </si>
  <si>
    <t>4 700,00
4 902,00</t>
  </si>
  <si>
    <t>75 200,00
78 432,00</t>
  </si>
  <si>
    <t>8, из них аналог 4</t>
  </si>
  <si>
    <t>ID_T003</t>
  </si>
  <si>
    <t>Воздушный фильтр 85067179 [ Аналог A0584/AG0378 ]</t>
  </si>
  <si>
    <t>Воздушный фильтр - Артикул 85067179 (оригинал)</t>
  </si>
  <si>
    <t>Воздушный фильтр - Артикул 85067179 (аналог)</t>
  </si>
  <si>
    <t>Фильтр воздушный 85067179 аналог</t>
  </si>
  <si>
    <t>85067179 Воздушный фильтр</t>
  </si>
  <si>
    <t>Воздушный фильтр - Артикул 85067179 
Аналог</t>
  </si>
  <si>
    <t>Воздушный фильтр (арт. 85067179)</t>
  </si>
  <si>
    <t>Воздушный фильтр 85067179 = AG0378</t>
  </si>
  <si>
    <t>$BQ$1📎📎📎Осн поставщик📎1791374014362</t>
  </si>
  <si>
    <t>$BQ$1📎📎📎Осн поставщик📎1791374014362|||$BE$1📎📎📎Да📎1791375584506</t>
  </si>
  <si>
    <t>4</t>
  </si>
  <si>
    <t>Термостат в сборе ESM-200; «Gardner Denver»</t>
  </si>
  <si>
    <t>ESM-200; «Gardner Denver»</t>
  </si>
  <si>
    <t>0,00
0,00</t>
  </si>
  <si>
    <t>Мало, всего 0</t>
  </si>
  <si>
    <t>ID_T004</t>
  </si>
  <si>
    <t>откл от ср</t>
  </si>
  <si>
    <t>5</t>
  </si>
  <si>
    <t>Масляный сепаратор Артикул 03498328</t>
  </si>
  <si>
    <t xml:space="preserve"> ESS-18 «Gardner Denver»</t>
  </si>
  <si>
    <t>9 900,00
11 956,00</t>
  </si>
  <si>
    <t>29 700,00
35 868,00</t>
  </si>
  <si>
    <t>ID_T005</t>
  </si>
  <si>
    <t xml:space="preserve">Cепаратор 03498328 [ Аналог DA1118 ] </t>
  </si>
  <si>
    <t xml:space="preserve">Масляный сепаратор Артикул 03498328 (оригинал) </t>
  </si>
  <si>
    <t>Масляный сепаратор Артикул 03498328 (аналог)</t>
  </si>
  <si>
    <t>Сепаратор 03498328 аналог</t>
  </si>
  <si>
    <t>2 шт нал</t>
  </si>
  <si>
    <t>CC1140542 Масляный сепаратор</t>
  </si>
  <si>
    <t>12 нед</t>
  </si>
  <si>
    <t>Сепаратор (арт. 03498328)</t>
  </si>
  <si>
    <t>Масляный сепаратор 03498328 = DA1118</t>
  </si>
  <si>
    <t>$BQ$1📎📎📎Осн поставщик📎1791374087506|||$BE$1📎📎📎Да📎1791375710997|||$CI$1📎📎📎Осн поставщик📎1791880887101</t>
  </si>
  <si>
    <t>$BQ$1📎📎📎Да📎1791880995892|||$BE$1📎📎📎Да📎1791375710997|||$CI$1📎📎📎Осн поставщик📎1791880887101|||$BZ$1📎📎📎Да📎1791881141260</t>
  </si>
  <si>
    <t>$BQ$1📎📎📎Да📎1791880995892|||$BE$1📎📎📎Да📎1791375710997|||$CI$1📎📎📎Осн поставщик📎1791880887101</t>
  </si>
  <si>
    <t>Первые мин знач</t>
  </si>
  <si>
    <t>6</t>
  </si>
  <si>
    <t>Масляный фильтр Артикул 89675429</t>
  </si>
  <si>
    <t>950,00
2 547,36</t>
  </si>
  <si>
    <t>2 850,00
7 642,08</t>
  </si>
  <si>
    <t>ID_T006</t>
  </si>
  <si>
    <t xml:space="preserve">Масляный фильтр 89675429 [ Аналог SH8130 ] </t>
  </si>
  <si>
    <t xml:space="preserve">Масляный фильтр Артикул 89675429 (оригинал) </t>
  </si>
  <si>
    <t>Масляный фильтр Артикул 89675429 (аналог)</t>
  </si>
  <si>
    <t>Фильтр масляный 89675429 аналог</t>
  </si>
  <si>
    <t>1 шт нал</t>
  </si>
  <si>
    <t>89675429 Масляный фильтр</t>
  </si>
  <si>
    <t>Масляный фильтр (арт. 89675429)</t>
  </si>
  <si>
    <t>Масляный фильтр 89675429 = SH8229</t>
  </si>
  <si>
    <t>$BQ$1📎📎📎Осн поставщик📎1791374620598</t>
  </si>
  <si>
    <t>$BQ$1📎📎📎Осн поставщик📎1791374620598|||$BE$1📎📎📎Да📎1791375880894|||$BZ$1📎📎📎Да📎1791881178358</t>
  </si>
  <si>
    <t>Мало ответов</t>
  </si>
  <si>
    <t>7</t>
  </si>
  <si>
    <t>Воздушный фильтр - Артикул 81166609</t>
  </si>
  <si>
    <t>1 600,00
2 275,00</t>
  </si>
  <si>
    <t>4 800,00
6 825,00</t>
  </si>
  <si>
    <t>ID_T007</t>
  </si>
  <si>
    <t>Воздушный фильтр 81166609 [ Аналог SA6007 ]</t>
  </si>
  <si>
    <t xml:space="preserve">Воздушный фильтр - Артикул 81166609 (оригинал) </t>
  </si>
  <si>
    <t xml:space="preserve">Воздушный фильтр - Артикул 81166609 (аналог) </t>
  </si>
  <si>
    <t>Фильтр воздушный 81166609 аналог</t>
  </si>
  <si>
    <t>81166609 Воздушный фильтр</t>
  </si>
  <si>
    <t>Воздушный фильтр (арт. 81166609)</t>
  </si>
  <si>
    <t>Воздушный фильтр 81166609 = SA6007</t>
  </si>
  <si>
    <t>ID_T008</t>
  </si>
  <si>
    <t>8</t>
  </si>
  <si>
    <t xml:space="preserve">Сервисный набор арт. 2906020000 </t>
  </si>
  <si>
    <t>ID_T009</t>
  </si>
  <si>
    <t>9</t>
  </si>
  <si>
    <t>Сервисный набор 8000 ч. арт. 2906075700</t>
  </si>
  <si>
    <t>ID_T010</t>
  </si>
  <si>
    <t>10</t>
  </si>
  <si>
    <t xml:space="preserve">Масляный сепаратор </t>
  </si>
  <si>
    <t>ID_T011</t>
  </si>
  <si>
    <t>11</t>
  </si>
  <si>
    <t>Воздушный фильтр</t>
  </si>
  <si>
    <t>ID_T012</t>
  </si>
  <si>
    <t>12</t>
  </si>
  <si>
    <t>Масляный фильтр</t>
  </si>
  <si>
    <t>ID_T013</t>
  </si>
  <si>
    <t>13</t>
  </si>
  <si>
    <t xml:space="preserve">Масляный сепаратор DS 3084 </t>
  </si>
  <si>
    <t>ID_T014</t>
  </si>
  <si>
    <t>14</t>
  </si>
  <si>
    <t>Воздушный фильтр ЛААЗ ЭФВ 721.1109560 (7405. 1109560)</t>
  </si>
  <si>
    <t>ID_T015</t>
  </si>
  <si>
    <t>15</t>
  </si>
  <si>
    <t>Масляный фильтр W13145/3</t>
  </si>
  <si>
    <t>ID_T016</t>
  </si>
  <si>
    <t>16</t>
  </si>
  <si>
    <t>ID_T017</t>
  </si>
  <si>
    <t>17</t>
  </si>
  <si>
    <t>ID_T018</t>
  </si>
  <si>
    <t>18</t>
  </si>
  <si>
    <t>ID_T019</t>
  </si>
  <si>
    <t>19</t>
  </si>
  <si>
    <t>ID_T020</t>
  </si>
  <si>
    <t>20</t>
  </si>
  <si>
    <t>$BE$1📎📎📎Да📎1791374693136|||$BQ$1📎📎📎Осн поставщик📎1791375981105|||$CI$1📎📎📎Осн поставщик📎1791881119851</t>
  </si>
  <si>
    <t>$BE$1📎📎📎Да📎1791374693136|||$BQ$1📎📎📎Осн поставщик📎1791375981105</t>
  </si>
  <si>
    <t>$BE$1📎📎📎Да📎1791374693136|||$BQ$1📎📎📎Да📎1791881191803|||$CI$1📎📎📎Осн поставщик📎1791881119851</t>
  </si>
  <si>
    <t>Инструкция</t>
  </si>
  <si>
    <t>GA 200 зав. № APF133999; GA 250 зав. № APF133914; GA 250 зав. № APF 133915 «Atlas Copco»</t>
  </si>
  <si>
    <t>156 500,00
42 883,00</t>
  </si>
  <si>
    <t>469 500,00
128 649,00</t>
  </si>
  <si>
    <t>5, из них аналог 1</t>
  </si>
  <si>
    <t>Итог</t>
  </si>
  <si>
    <t>Сервисный набор арт. 2906020000 GA 200 1 шт</t>
  </si>
  <si>
    <t>2906020000 AIR/OIL FILTER KIT</t>
  </si>
  <si>
    <t>14 нед</t>
  </si>
  <si>
    <t>2906020000.</t>
  </si>
  <si>
    <t>17 нед</t>
  </si>
  <si>
    <t>Набор фильтров арт. 2906020000</t>
  </si>
  <si>
    <t>15 нед</t>
  </si>
  <si>
    <t>Сервисный набор Atlas Copco
2906020000</t>
  </si>
  <si>
    <t>Запросить</t>
  </si>
  <si>
    <t>Группа</t>
  </si>
  <si>
    <t>свободные_01</t>
  </si>
  <si>
    <t>свободные_02</t>
  </si>
  <si>
    <t>свободные_03</t>
  </si>
  <si>
    <t>свободные_04</t>
  </si>
  <si>
    <t>свободные_05</t>
  </si>
  <si>
    <t>свободные_06</t>
  </si>
  <si>
    <t>$AP$1📎📎📎Осн поставщик📎1791374782957|||$AM$1📎📎непонятный аналог, 1 шт📎Уточнить параметры📎1791376063459|||$CC$1📎📎📎Осн поставщик📎1791881126121</t>
  </si>
  <si>
    <t>$AP$1📎📎📎Да📎1791881185359|||$AM$1📎📎непонятный аналог, 1 шт📎Уточнить параметры📎1791376063459|||$CC$1📎📎📎Осн поставщик📎1791881126121</t>
  </si>
  <si>
    <t>599 500,00
183 976,00</t>
  </si>
  <si>
    <t>1 798 500,00
551 928,00</t>
  </si>
  <si>
    <t>Сервисный набор 8000 1 шт</t>
  </si>
  <si>
    <t>2906075700 8000H MAINT KIT</t>
  </si>
  <si>
    <t>2906075700 .</t>
  </si>
  <si>
    <t>Комплект арт. 2906075700</t>
  </si>
  <si>
    <t>Сервисный набор Atlas Copco
2906075700</t>
  </si>
  <si>
    <t>theUrl</t>
  </si>
  <si>
    <t>total</t>
  </si>
  <si>
    <t>Сгрупировать</t>
  </si>
  <si>
    <t>СкрытьСгрупировать</t>
  </si>
  <si>
    <t xml:space="preserve">тут начинаются цены </t>
  </si>
  <si>
    <t>$AM$1📎📎непонятный аналог, 1 шт📎Уточнить параметры📎1791374849447|||$AP$1📎📎📎Осн поставщик📎1791376195153|||$CC$1📎📎📎Осн поставщик📎1791881132286</t>
  </si>
  <si>
    <t>$AM$1📎📎непонятный аналог, 1 шт📎Уточнить параметры📎1791374849447|||$AP$1📎📎📎Осн поставщик📎1791376195153</t>
  </si>
  <si>
    <t>$AM$1📎📎непонятный аналог, 1 шт📎Уточнить параметры📎1791374849447|||$AP$1📎📎📎Да📎1791881197216|||$CC$1📎📎📎Осн поставщик📎1791881132286</t>
  </si>
  <si>
    <t>«Dalgakiran» Inversys +315 зав. №VD 4037, зав. № VD 6420.</t>
  </si>
  <si>
    <t>0,00
59 800,00</t>
  </si>
  <si>
    <t>0,00
179 400,00</t>
  </si>
  <si>
    <t>Мало, всего 1</t>
  </si>
  <si>
    <t>Масляный сепаратор</t>
  </si>
  <si>
    <t>$AJ$1📎📎📎Осн поставщик📎1791375415354</t>
  </si>
  <si>
    <t>0,00
5 100,00</t>
  </si>
  <si>
    <t>0,00
30 600,00</t>
  </si>
  <si>
    <t>$AJ$1📎📎📎Осн поставщик📎1791375481037</t>
  </si>
  <si>
    <t>0,00
3 900,00</t>
  </si>
  <si>
    <t>0,00
23 400,00</t>
  </si>
  <si>
    <t>Мало, всего 2</t>
  </si>
  <si>
    <t>Масляный фильтр для
компрессора Dalgakiran Inversys
315+</t>
  </si>
  <si>
    <t>НазваниеТовраДляЗапроса</t>
  </si>
  <si>
    <t>Файлы</t>
  </si>
  <si>
    <t>СтрокаВГруппе</t>
  </si>
  <si>
    <t>Ключ фразы 1</t>
  </si>
  <si>
    <t>Ключ фразы 2</t>
  </si>
  <si>
    <t>Ключ фразы 3</t>
  </si>
  <si>
    <t>Свободно01</t>
  </si>
  <si>
    <t>Свободно02</t>
  </si>
  <si>
    <t>Свободно03</t>
  </si>
  <si>
    <t>Свободно04</t>
  </si>
  <si>
    <t>Свободно05</t>
  </si>
  <si>
    <t>Свободно06</t>
  </si>
  <si>
    <t>Свободно07</t>
  </si>
  <si>
    <t>Свободно08</t>
  </si>
  <si>
    <t>$AJ$1📎📎📎Осн поставщик📎1791375284941</t>
  </si>
  <si>
    <t>$AJ$1📎📎📎Осн поставщик📎1791375284941|||$AD$1📎📎📎Да📎1791376222837</t>
  </si>
  <si>
    <t>BB-50/8 ВУЗ  АО «НПАО «ВНИИ компрессормаш»</t>
  </si>
  <si>
    <t>36 900,00
30 825,00</t>
  </si>
  <si>
    <t>73 800,00
61 650,00</t>
  </si>
  <si>
    <t>6, из них аналог 1</t>
  </si>
  <si>
    <t>10 д</t>
  </si>
  <si>
    <t>Масляный сепаратор DS 3084 = NS 008430</t>
  </si>
  <si>
    <t>Масляный сепаратор DS 3084</t>
  </si>
  <si>
    <t>15 рд</t>
  </si>
  <si>
    <t>7 д</t>
  </si>
  <si>
    <t>DS 3084</t>
  </si>
  <si>
    <t xml:space="preserve">Cепаратор DS 3084 [ Аналог DC/S3084 ] </t>
  </si>
  <si>
    <t>Фильтр сепаратор SOTRAS DC 3084</t>
  </si>
  <si>
    <t>Ответственный</t>
  </si>
  <si>
    <t>ПоУмолчанию</t>
  </si>
  <si>
    <t>Подпись</t>
  </si>
  <si>
    <t>&lt;- ID из битрикс | По умолчанию | Текст подписи -&gt;</t>
  </si>
  <si>
    <t>&lt;br&gt;Молчанов Иван Анатольевич &lt;br&gt; +7 (495) 109-19-78</t>
  </si>
  <si>
    <t>$AG$1📎📎📎Осн поставщик📎1791374860469</t>
  </si>
  <si>
    <t>$AG$1📎📎📎Осн поставщик📎1791374860469|||$BE$1📎📎📎Да📎1791376329796</t>
  </si>
  <si>
    <t>0,00
900,00</t>
  </si>
  <si>
    <t>0,00
3 600,00</t>
  </si>
  <si>
    <t xml:space="preserve">Воздушный фильтр ЛААЗ ЭФВ 721.1109560 (7405. 1109560) </t>
  </si>
  <si>
    <t>Аналог DIFA4319M</t>
  </si>
  <si>
    <t>721.1109560, Элемент фильтрующий очистки воздуха (основной), 
721.1109560, Элемент фильтрующий очистки воздуха (внутренний)</t>
  </si>
  <si>
    <t>7405. 1109560</t>
  </si>
  <si>
    <t>NF4502 Фильтрэлемент очистки воздуха (ФП 207.1-04 Optima) КАМАЗ-7405 Евро-1 /
OEM: 7405-1109.560</t>
  </si>
  <si>
    <t>701.01.059 DOKA Элемент вфильтра</t>
  </si>
  <si>
    <t>$AV$1📎📎📎Осн поставщик📎1791374871112</t>
  </si>
  <si>
    <t>$AV$1📎📎📎Осн поставщик📎1791374871112|||$BN$1📎📎📎Нет📎1791376394976</t>
  </si>
  <si>
    <t>$AV$1📎📎📎Осн поставщик📎1791374871112|||$BN$1📎📎📎Нет📎1791376394976|||$AG$1📎📎📎Да📎1791376504295</t>
  </si>
  <si>
    <t>$AV$1📎📎📎Осн поставщик📎1791374871112|||$BN$1📎📎📎Нет📎1791376394976|||$AG$1📎📎📎Да📎1791376504295|||$AY$1📎📎📎Да📎1791376592568</t>
  </si>
  <si>
    <t>3 600,00
2 200,00</t>
  </si>
  <si>
    <t>14 400,00
8 800,00</t>
  </si>
  <si>
    <t>еал</t>
  </si>
  <si>
    <t>Масляный фильтр W13145/3 = PO14300</t>
  </si>
  <si>
    <t xml:space="preserve">Аналог SP4146 </t>
  </si>
  <si>
    <t>Масляный фильтр W13145/3- Аналог</t>
  </si>
  <si>
    <t>14 д</t>
  </si>
  <si>
    <t>W13145/3</t>
  </si>
  <si>
    <t xml:space="preserve">Масляный фильтр W13145/3 [ Аналог W13145 ] </t>
  </si>
  <si>
    <t>P550341 Donaldson Фильтр масляный</t>
  </si>
  <si>
    <t>$AV$1📎📎📎Осн поставщик📎1791374935487</t>
  </si>
  <si>
    <t>$AV$1📎📎📎Осн поставщик📎1791374935487|||$AG$1📎📎📎Да📎1791376531925</t>
  </si>
  <si>
    <t>Название товара для запроса</t>
  </si>
  <si>
    <t>Разослано писем:</t>
  </si>
  <si>
    <t>Не разослано писем:</t>
  </si>
  <si>
    <t>Ошибок:</t>
  </si>
  <si>
    <t>Всего:</t>
  </si>
  <si>
    <t>@</t>
  </si>
  <si>
    <t>Аналог
Остальные</t>
  </si>
  <si>
    <t>2 754 800,00
1 207 831,12</t>
  </si>
  <si>
    <t>Ошибка: Цена должна быть числом</t>
  </si>
  <si>
    <t>Меню &gt; Email рассылка &gt; Пересчитать Цена Итого Предложений.
Если дата меньше текущей более чем на пол часа, либо поля 'Цена', 'Итого' и 'Предложений' пусты или вы считаете, что они устарели, то выполните команду из меню.</t>
  </si>
  <si>
    <t>Сумма</t>
  </si>
  <si>
    <t>Срок поставки</t>
  </si>
  <si>
    <t>ОснвнойПоставщик</t>
  </si>
  <si>
    <t>Свободно3</t>
  </si>
  <si>
    <t>ОснвноеЛистИПредложение</t>
  </si>
  <si>
    <t>РезервныйПоставщик</t>
  </si>
  <si>
    <t>Свободно4</t>
  </si>
  <si>
    <t>РезервноеЛистИПредложение</t>
  </si>
  <si>
    <t>СчетПоставщиков</t>
  </si>
  <si>
    <t>Статус</t>
  </si>
  <si>
    <t>ПредполагаемаяДатаОплаты</t>
  </si>
  <si>
    <t>РазницаОтМиним</t>
  </si>
  <si>
    <t>ИтогоРазница</t>
  </si>
  <si>
    <t>ЛистИПредложение</t>
  </si>
  <si>
    <t>Сделка</t>
  </si>
  <si>
    <t>Основной Поставщик</t>
  </si>
  <si>
    <t>Основное Предложение</t>
  </si>
  <si>
    <t>Резервный Поставщик</t>
  </si>
  <si>
    <t>Резервное Предложение</t>
  </si>
  <si>
    <t>Счет Поставщиков</t>
  </si>
  <si>
    <t>Предполагаемая дата оплаты</t>
  </si>
  <si>
    <t>👇- Выберете № позиции Товара</t>
  </si>
  <si>
    <t>Количество</t>
  </si>
  <si>
    <t>Замена</t>
  </si>
  <si>
    <t>Слияние</t>
  </si>
  <si>
    <t>Отмена</t>
  </si>
  <si>
    <t>Добавление</t>
  </si>
  <si>
    <t>№ Изменения</t>
  </si>
  <si>
    <t>Исключить по причине</t>
  </si>
  <si>
    <t>Что проверить</t>
  </si>
  <si>
    <t>Добавить по причине</t>
  </si>
  <si>
    <t>Номенклатура - Добавить</t>
  </si>
  <si>
    <t>Статус закупщика</t>
  </si>
  <si>
    <t>Свободно1</t>
  </si>
  <si>
    <t>Свободно2</t>
  </si>
  <si>
    <t>ЭкспортныйКонтракт</t>
  </si>
  <si>
    <t>ПоставщикВыбор</t>
  </si>
  <si>
    <t>Поставщик</t>
  </si>
  <si>
    <t>Статус.Ф</t>
  </si>
  <si>
    <t>РезультатПроверкиКонтаргента</t>
  </si>
  <si>
    <t>ЗавершенныхСделок</t>
  </si>
  <si>
    <t>Кинул</t>
  </si>
  <si>
    <t>СделокВРаботе</t>
  </si>
  <si>
    <t>КомментарийКСделке.Ф</t>
  </si>
  <si>
    <t>КомментарийКСделке</t>
  </si>
  <si>
    <t>ДатаСледКонтакта</t>
  </si>
  <si>
    <t>РеальнаяЦена</t>
  </si>
  <si>
    <t>РеальнаяЦенаИтого</t>
  </si>
  <si>
    <t>РеальныйСрок</t>
  </si>
  <si>
    <t>НДС</t>
  </si>
  <si>
    <t>ВидОплаты</t>
  </si>
  <si>
    <t>РазницаЗаШтуку</t>
  </si>
  <si>
    <t>РазницаИтого</t>
  </si>
  <si>
    <t>ИннПоставщика</t>
  </si>
  <si>
    <t>ПроцентПервоначальнойОплаты</t>
  </si>
  <si>
    <t>УсловияОплаты</t>
  </si>
  <si>
    <t>ИныеУсловияОплаты</t>
  </si>
  <si>
    <t>ОтсрочкаКалендарныхДней</t>
  </si>
  <si>
    <t>КудаДоставитьГруз</t>
  </si>
  <si>
    <t>ОбязательстваПоставщикаПоДоставке</t>
  </si>
  <si>
    <t>СтатусОплаты</t>
  </si>
  <si>
    <t>ПроцентОплаты</t>
  </si>
  <si>
    <t>ДатаПолученияФинальногоСчетДоговора</t>
  </si>
  <si>
    <t>ДатаОтправкиПодписанногоСНашейСтороныСчетДоговора</t>
  </si>
  <si>
    <t>ПроверкаОшибок</t>
  </si>
  <si>
    <t>footer_first</t>
  </si>
  <si>
    <t>footer_00</t>
  </si>
  <si>
    <t>footer_01</t>
  </si>
  <si>
    <t>footer_02</t>
  </si>
  <si>
    <t>footer_03</t>
  </si>
  <si>
    <t>footer_04</t>
  </si>
  <si>
    <t>footer_05</t>
  </si>
  <si>
    <t>footer_06</t>
  </si>
  <si>
    <t>footer_last</t>
  </si>
  <si>
    <t>КонтактируетСЗаказчикомПоВопросуИсполнения</t>
  </si>
  <si>
    <t>ОсобыеУсловия</t>
  </si>
  <si>
    <t>ДатаПодписанияДоговора</t>
  </si>
  <si>
    <t>МестоПоставкиТовара</t>
  </si>
  <si>
    <t>КонтактыПокупателя</t>
  </si>
  <si>
    <t>ДатаСледКонтакта.Ф</t>
  </si>
  <si>
    <t>РеальнаяЦена.Ф</t>
  </si>
  <si>
    <t>РеальныйСрок.Ф</t>
  </si>
  <si>
    <t>НДС.Ф</t>
  </si>
  <si>
    <t>ВидОплаты.Ф</t>
  </si>
  <si>
    <t>ИннПоставщика.Ф</t>
  </si>
  <si>
    <t>ПроцентПервоначальнойОплаты.Ф</t>
  </si>
  <si>
    <t>УсловияОплаты.Ф</t>
  </si>
  <si>
    <t>ИныеУсловияОплаты.Ф</t>
  </si>
  <si>
    <t>ОтсрочкаКалендарныхДней.Ф</t>
  </si>
  <si>
    <t>КудаДоставитьГруз.Ф</t>
  </si>
  <si>
    <t>ОбязательстваПоставщикаПоДоставке.Ф</t>
  </si>
  <si>
    <t>СтатусОплаты.Ф</t>
  </si>
  <si>
    <t>ПроцентОплаты.Ф</t>
  </si>
  <si>
    <t>ДатаПолученияФинальногоСчетДоговора.Ф</t>
  </si>
  <si>
    <t>ДатаОтправкиПодписанногоСНашейСтороныСчетДоговора.Ф</t>
  </si>
  <si>
    <t>ПроверкаОшибок.Ф</t>
  </si>
  <si>
    <t>ПроверкаОшибокПоСтатсу</t>
  </si>
  <si>
    <t>ПроверкаОшибокВернаяСумма</t>
  </si>
  <si>
    <t>ПроверкаОшибокНДС</t>
  </si>
  <si>
    <t>ПроверкаОшибокПереплаты</t>
  </si>
  <si>
    <t>ПроверкаОшибокОплаты</t>
  </si>
  <si>
    <t>Особые условия</t>
  </si>
  <si>
    <t>Дата подписания договора</t>
  </si>
  <si>
    <t>Контакты покупателя</t>
  </si>
  <si>
    <t>Комментарий закупщика к сделке</t>
  </si>
  <si>
    <t>Дата след контакта</t>
  </si>
  <si>
    <t>Реальная цена</t>
  </si>
  <si>
    <t>Реальный срок</t>
  </si>
  <si>
    <t>Вид оплаты</t>
  </si>
  <si>
    <t>ИНН Постав-ка</t>
  </si>
  <si>
    <t>Процент перв-ной оп-ты</t>
  </si>
  <si>
    <t>Условия оплаты</t>
  </si>
  <si>
    <t>Иные условия оплаты</t>
  </si>
  <si>
    <t>Отсрочка календарных дней</t>
  </si>
  <si>
    <t>Куда доставить груз (промежучточное место комплектации)</t>
  </si>
  <si>
    <t>Обязательства поставщика по доставке</t>
  </si>
  <si>
    <t>Статус оплаты</t>
  </si>
  <si>
    <t>Процент оплаты</t>
  </si>
  <si>
    <t>Дата получения финального счет договора</t>
  </si>
  <si>
    <t>Дата отправки подписанного нами счет договора</t>
  </si>
  <si>
    <t>Проверка ошибок</t>
  </si>
  <si>
    <t>свободно01</t>
  </si>
  <si>
    <t>СсылкаНаПаспортНаРусском</t>
  </si>
  <si>
    <t>СсылкаНаПаспортНаАнглийском</t>
  </si>
  <si>
    <t>СсылкаНаРуководствоНаРусском</t>
  </si>
  <si>
    <t>СсылкаНаРуководствоНаАнглийском</t>
  </si>
  <si>
    <t>СсылкаНаСоответствиеНаРусском</t>
  </si>
  <si>
    <t>СсылкаНаСоответствиеНаАнглийском</t>
  </si>
  <si>
    <t>СсылкаНаСертификатНаРусском</t>
  </si>
  <si>
    <t>СсылкаНаСертификатНаАнглийском</t>
  </si>
  <si>
    <t>СсылкаНаДокументАНаРусском</t>
  </si>
  <si>
    <t>СсылкаНаДокументАНаАнглийском</t>
  </si>
  <si>
    <t>СсылкаНаДокументБНаРусском</t>
  </si>
  <si>
    <t>СсылкаНаДокументБНаАнглийском</t>
  </si>
  <si>
    <t>СсылкаНаДокументВНаРусском</t>
  </si>
  <si>
    <t>СсылкаНаДокументВНаАнглийском</t>
  </si>
  <si>
    <t>Ссылка на паспорт</t>
  </si>
  <si>
    <t>Ссылка на Руководство по эксплуатации</t>
  </si>
  <si>
    <t>ДЕКЛАРАЦИЯ О СООТВЕТСТВИИ / Сертификат</t>
  </si>
  <si>
    <t>CB Test Certificate (на англ. языке)</t>
  </si>
  <si>
    <t>Еще какой то документ (указать верное название документа)</t>
  </si>
  <si>
    <t>на Русском</t>
  </si>
  <si>
    <t>на Английском</t>
  </si>
  <si>
    <t>Есть Доступ</t>
  </si>
  <si>
    <t>Ед</t>
  </si>
  <si>
    <t>Кол</t>
  </si>
  <si>
    <t>theRange</t>
  </si>
  <si>
    <t>theUrlFolder</t>
  </si>
  <si>
    <t>theUrlPey</t>
  </si>
  <si>
    <t>Диапозон для импорта</t>
  </si>
  <si>
    <t>ссылка на папку со счетами</t>
  </si>
  <si>
    <t>Ссылка на таблицу оплаты</t>
  </si>
  <si>
    <t>Ссылка на таблицу проекта</t>
  </si>
  <si>
    <t>Номер Проекта</t>
  </si>
  <si>
    <t>Название Таблицы</t>
  </si>
  <si>
    <t>Плательщик</t>
  </si>
  <si>
    <t>Исполнение.Закупает</t>
  </si>
  <si>
    <t>Реестр.Победил</t>
  </si>
  <si>
    <t>Время Последней Синхронизации</t>
  </si>
  <si>
    <t>Триггеры  оплат не запущены</t>
  </si>
  <si>
    <t>СгрупироватьСкрыть</t>
  </si>
  <si>
    <t>удалить потом</t>
  </si>
  <si>
    <t>Добавлен</t>
  </si>
  <si>
    <t>ВписанНаЛисте</t>
  </si>
  <si>
    <t>Лист</t>
  </si>
  <si>
    <t>ВписаноВПоле</t>
  </si>
  <si>
    <t>ВписаноЗначение</t>
  </si>
  <si>
    <t>ID_Товара</t>
  </si>
  <si>
    <t>свободно_Q</t>
  </si>
  <si>
    <t>свободно_R</t>
  </si>
  <si>
    <t>свободно_S</t>
  </si>
  <si>
    <t>id</t>
  </si>
  <si>
    <t>Время</t>
  </si>
  <si>
    <t>ИзмененоВПоле</t>
  </si>
  <si>
    <t>Товар</t>
  </si>
  <si>
    <t>Комментарий к сделке</t>
  </si>
  <si>
    <t>ИНН Поставщика</t>
  </si>
  <si>
    <t>Процент первоначальной оплаты</t>
  </si>
  <si>
    <t>Условия доставки товара</t>
  </si>
  <si>
    <t>Стоимость доставки для нас</t>
  </si>
  <si>
    <t>Дата отправки подписанного с нашей стороны счет договора</t>
  </si>
  <si>
    <t>Условия Оплаты</t>
  </si>
  <si>
    <t>Предложение</t>
  </si>
  <si>
    <t>Манаджер</t>
  </si>
  <si>
    <t>Эксперт</t>
  </si>
  <si>
    <t>Лист^Предложение^Товар</t>
  </si>
  <si>
    <t>err1</t>
  </si>
  <si>
    <t>ЛистПредложениеТовар</t>
  </si>
  <si>
    <t>Емайл</t>
  </si>
  <si>
    <t>Срок</t>
  </si>
  <si>
    <t>Модель</t>
  </si>
  <si>
    <t>свободно_12</t>
  </si>
  <si>
    <t>свободно_13</t>
  </si>
  <si>
    <t>свободно_14</t>
  </si>
  <si>
    <t>свободно_15</t>
  </si>
  <si>
    <t>свободно_16</t>
  </si>
  <si>
    <t>свободно_17</t>
  </si>
  <si>
    <t>свободно_18</t>
  </si>
  <si>
    <t>свободно_19</t>
  </si>
  <si>
    <t>свободно_20</t>
  </si>
  <si>
    <t>свободно_21</t>
  </si>
  <si>
    <t>свободно_22</t>
  </si>
  <si>
    <t>свободно_23</t>
  </si>
  <si>
    <t>свободно_24</t>
  </si>
  <si>
    <t>свободно_25</t>
  </si>
  <si>
    <t>свободно_26</t>
  </si>
  <si>
    <t>свободно_27</t>
  </si>
  <si>
    <t>свободно_28</t>
  </si>
  <si>
    <t>свободно_29</t>
  </si>
  <si>
    <t>свободно_30</t>
  </si>
  <si>
    <t>свободно_31</t>
  </si>
  <si>
    <t>свободно_32</t>
  </si>
  <si>
    <t>свободно_33</t>
  </si>
  <si>
    <t>свободно_34</t>
  </si>
  <si>
    <t>свободно_35</t>
  </si>
  <si>
    <t>свободно_36</t>
  </si>
  <si>
    <t>свободно_37</t>
  </si>
  <si>
    <t>свободно_38</t>
  </si>
  <si>
    <t>свободно_39</t>
  </si>
  <si>
    <t>свободно_40</t>
  </si>
  <si>
    <t>свободно_41</t>
  </si>
  <si>
    <t>свободно_42</t>
  </si>
  <si>
    <t>свободно_43</t>
  </si>
  <si>
    <t>свободно_44</t>
  </si>
  <si>
    <t>свободно_45</t>
  </si>
  <si>
    <t>свободно_46</t>
  </si>
  <si>
    <t>свободно_47</t>
  </si>
  <si>
    <t>свободно_48</t>
  </si>
  <si>
    <t>свободно_49</t>
  </si>
  <si>
    <t>свободно_50</t>
  </si>
  <si>
    <t>свободно_51</t>
  </si>
  <si>
    <t>свободно_52</t>
  </si>
  <si>
    <t>свободно_53</t>
  </si>
  <si>
    <t>свободно_54</t>
  </si>
  <si>
    <t>свободно_55</t>
  </si>
  <si>
    <t>свободно_56</t>
  </si>
  <si>
    <t>свободно_57</t>
  </si>
  <si>
    <t>свободно_58</t>
  </si>
  <si>
    <t>свободно_59</t>
  </si>
  <si>
    <t>свободно_60</t>
  </si>
  <si>
    <t>свободно_61</t>
  </si>
  <si>
    <t>свободно_62</t>
  </si>
  <si>
    <t>свободно_63</t>
  </si>
  <si>
    <t>свободно_64</t>
  </si>
  <si>
    <t>свободно_65</t>
  </si>
  <si>
    <t>свободно_66</t>
  </si>
  <si>
    <t>свободно_67</t>
  </si>
  <si>
    <t>свободно_68</t>
  </si>
  <si>
    <t>свободно_69</t>
  </si>
  <si>
    <t>свободно_70</t>
  </si>
  <si>
    <t>свободно_71</t>
  </si>
  <si>
    <t>свободно_72</t>
  </si>
  <si>
    <t>свободно_73</t>
  </si>
  <si>
    <t>свободно_74</t>
  </si>
  <si>
    <t>свободно_75</t>
  </si>
  <si>
    <t>свободно_76</t>
  </si>
  <si>
    <t>свободно_77</t>
  </si>
  <si>
    <t>свободно_78</t>
  </si>
  <si>
    <t>1-1 Сбор КП BE ID_T001</t>
  </si>
  <si>
    <t>1-1 Сбор КП BH ID_T001</t>
  </si>
  <si>
    <t>1-1 Сбор КП BK ID_T001</t>
  </si>
  <si>
    <t>1-1 Сбор КП BQ ID_T001</t>
  </si>
  <si>
    <t>1-1 Сбор КП BZ ID_T001</t>
  </si>
  <si>
    <t>1-1 Сбор КП CI ID_T001</t>
  </si>
  <si>
    <t>1-1 Сбор КП BE ID_T002</t>
  </si>
  <si>
    <t>1-1 Сбор КП BH ID_T002</t>
  </si>
  <si>
    <t>1-1 Сбор КП BK ID_T002</t>
  </si>
  <si>
    <t>1-1 Сбор КП BQ ID_T002</t>
  </si>
  <si>
    <t>1-1 Сбор КП BZ ID_T002</t>
  </si>
  <si>
    <t>1-1 Сбор КП CI ID_T002</t>
  </si>
  <si>
    <t>1-1 Сбор КП BE ID_T003</t>
  </si>
  <si>
    <t>1-1 Сбор КП BH ID_T003</t>
  </si>
  <si>
    <t>1-1 Сбор КП BK ID_T003</t>
  </si>
  <si>
    <t>1-1 Сбор КП BQ ID_T003</t>
  </si>
  <si>
    <t>1-1 Сбор КП BZ ID_T003</t>
  </si>
  <si>
    <t>Лист_Предложение_Товар</t>
  </si>
  <si>
    <t>Постовшик</t>
  </si>
  <si>
    <t>СборныйКомент</t>
  </si>
  <si>
    <t>1-1 Сбор КП CI ID_T003</t>
  </si>
  <si>
    <t>1-1 Сбор КП BE ID_T005</t>
  </si>
  <si>
    <t>1-1 Сбор КП BH ID_T005</t>
  </si>
  <si>
    <t>Таблица</t>
  </si>
  <si>
    <t>1-1 Сбор КП BK ID_T005</t>
  </si>
  <si>
    <t>1-1 Сбор КП BQ ID_T005</t>
  </si>
  <si>
    <t>1-1 Сбор КП BZ ID_T005</t>
  </si>
  <si>
    <t>1-1 Сбор КП CI ID_T005</t>
  </si>
  <si>
    <t>1-1 Сбор КП BE ID_T006</t>
  </si>
  <si>
    <t>1-1 Сбор КП BH ID_T006</t>
  </si>
  <si>
    <t>1-1 Сбор КП BK ID_T006</t>
  </si>
  <si>
    <t>1-1 Сбор КП BQ ID_T006</t>
  </si>
  <si>
    <t>1-1 Сбор КП BZ ID_T006</t>
  </si>
  <si>
    <t>1-1 Сбор КП CI ID_T006</t>
  </si>
  <si>
    <t>1-1 Сбор КП BE ID_T007</t>
  </si>
  <si>
    <t>1-1 Сбор КП BH ID_T007</t>
  </si>
  <si>
    <t>1-1 Сбор КП BK ID_T007</t>
  </si>
  <si>
    <t>1-1 Сбор КП BQ ID_T007</t>
  </si>
  <si>
    <t>1-1 Сбор КП CI</t>
  </si>
  <si>
    <t>1-1 Сбор КП</t>
  </si>
  <si>
    <t>CI</t>
  </si>
  <si>
    <t>1-1 Сбор КП BZ ID_T007</t>
  </si>
  <si>
    <t>1-1 Сбор КП CI ID_T007</t>
  </si>
  <si>
    <t>1-1 Сбор КП BQ</t>
  </si>
  <si>
    <t>BQ</t>
  </si>
  <si>
    <t>1-1 Сбор КП BZ</t>
  </si>
  <si>
    <t>BZ</t>
  </si>
  <si>
    <t>1-1 Сбор КП BE</t>
  </si>
  <si>
    <t>BE</t>
  </si>
  <si>
    <t>1-1 Сбор КП AM ID_T008</t>
  </si>
  <si>
    <t>1-1 Сбор КП BK</t>
  </si>
  <si>
    <t>BK</t>
  </si>
  <si>
    <t>1-1 Сбор КП BH</t>
  </si>
  <si>
    <t>BH</t>
  </si>
  <si>
    <t>1-1 Сбор КП AP ID_T008</t>
  </si>
  <si>
    <t>1-1 Сбор КП BB ID_T008</t>
  </si>
  <si>
    <t>1-1 Сбор КП CC ID_T008</t>
  </si>
  <si>
    <t>1-1 Сбор КП AM ID_T009</t>
  </si>
  <si>
    <t>1-1 Сбор КП AP ID_T009</t>
  </si>
  <si>
    <t>1-1 Сбор КП BB ID_T009</t>
  </si>
  <si>
    <t>1-1 Сбор КП CC ID_T009</t>
  </si>
  <si>
    <t>1-1 Сбор КП CC</t>
  </si>
  <si>
    <t>CC</t>
  </si>
  <si>
    <t>1-1 Сбор КП AJ ID_T010</t>
  </si>
  <si>
    <t>1-1 Сбор КП AP</t>
  </si>
  <si>
    <t>AP</t>
  </si>
  <si>
    <t>1-1 Сбор КП AM</t>
  </si>
  <si>
    <t>AM</t>
  </si>
  <si>
    <t>1-1 Сбор КП AJ ID_T011</t>
  </si>
  <si>
    <t>1-1 Сбор КП BB</t>
  </si>
  <si>
    <t>BB</t>
  </si>
  <si>
    <t>1-1 Сбор КП AD ID_T012</t>
  </si>
  <si>
    <t>1-1 Сбор КП AJ</t>
  </si>
  <si>
    <t>AJ</t>
  </si>
  <si>
    <t>1-1 Сбор КП AJ ID_T012</t>
  </si>
  <si>
    <t>1-1 Сбор КП AD</t>
  </si>
  <si>
    <t>AD</t>
  </si>
  <si>
    <t>1-1 Сбор КП AG</t>
  </si>
  <si>
    <t>AG</t>
  </si>
  <si>
    <t>1-1 Сбор КП AA ID_T013</t>
  </si>
  <si>
    <t>1-1 Сбор КП AS</t>
  </si>
  <si>
    <t>AS</t>
  </si>
  <si>
    <t>1-1 Сбор КП AG ID_T013</t>
  </si>
  <si>
    <t>1-1 Сбор КП AV</t>
  </si>
  <si>
    <t>AV</t>
  </si>
  <si>
    <t>1-1 Сбор КП AA</t>
  </si>
  <si>
    <t>AA</t>
  </si>
  <si>
    <t>1-1 Сбор КП BN</t>
  </si>
  <si>
    <t>BN</t>
  </si>
  <si>
    <t>1-1 Сбор КП AS ID_T013</t>
  </si>
  <si>
    <t>1-1 Сбор КП AV ID_T013</t>
  </si>
  <si>
    <t>1-1 Сбор КП AY</t>
  </si>
  <si>
    <t>AY</t>
  </si>
  <si>
    <t>1-1 Сбор КП BE ID_T013</t>
  </si>
  <si>
    <t>1-1 Сбор КП BN ID_T013</t>
  </si>
  <si>
    <t>1-1 Сбор КП AA ID_T014</t>
  </si>
  <si>
    <t>1-1 Сбор КП AG ID_T014</t>
  </si>
  <si>
    <t>1-1 Сбор КП AS ID_T014</t>
  </si>
  <si>
    <t>1-1 Сбор КП AV ID_T014</t>
  </si>
  <si>
    <t>1-1 Сбор КП AY ID_T014</t>
  </si>
  <si>
    <t>1-1 Сбор КП BN ID_T014</t>
  </si>
  <si>
    <t>1-1 Сбор КП AA ID_T015</t>
  </si>
  <si>
    <t>1-1 Сбор КП AG ID_T015</t>
  </si>
  <si>
    <t>1-1 Сбор КП AS ID_T015</t>
  </si>
  <si>
    <t>1-1 Сбор КП AV ID_T015</t>
  </si>
  <si>
    <t>1-1 Сбор КП BE ID_T015</t>
  </si>
  <si>
    <t>1-1 Сбор КП BN ID_T015</t>
  </si>
  <si>
    <t>date</t>
  </si>
  <si>
    <t>MrLib_top.triggerMrOnEditHelperExpertise</t>
  </si>
  <si>
    <t>Таблица Проекта</t>
  </si>
  <si>
    <t>Функции листа 3-2 Экспертиза предложений</t>
  </si>
  <si>
    <t>url</t>
  </si>
  <si>
    <t>run</t>
  </si>
  <si>
    <t>func</t>
  </si>
  <si>
    <t>MrLib_top.triggerService</t>
  </si>
  <si>
    <t>Функции выполняющие сервесные работы в фоне(подсчет, передача данных, и другие)</t>
  </si>
  <si>
    <t>onEdit_trigger</t>
  </si>
  <si>
    <t>Редактирование</t>
  </si>
  <si>
    <t>Делает тоже что и onEdit  иимеет возможность выполнятся до 360 секунд</t>
  </si>
  <si>
    <t>TRIGGERS_STOP_DATE</t>
  </si>
  <si>
    <t>Таблица_Проекта</t>
  </si>
  <si>
    <t>Таблица_Оплат</t>
  </si>
  <si>
    <t>triggerMrOnEditHelper</t>
  </si>
  <si>
    <t xml:space="preserve">Функции листа 3-3 Выбор поставщиков   и 1-1 Сбор КП </t>
  </si>
  <si>
    <t>Считать, что тригеры не работают</t>
  </si>
  <si>
    <t>Таблица Оплат</t>
  </si>
  <si>
    <t>triggerMrProjLib</t>
  </si>
  <si>
    <t xml:space="preserve">Лист 1-2  и листы 5 </t>
  </si>
  <si>
    <t>triggerMrProjLibPay</t>
  </si>
  <si>
    <t>Функции таблицы оплат</t>
  </si>
  <si>
    <t>Дата</t>
  </si>
  <si>
    <t>Аккаунт</t>
  </si>
  <si>
    <t>Функция</t>
  </si>
  <si>
    <t>Кол-во поставщиков</t>
  </si>
  <si>
    <t>Стоимость товара дешевле относительно этапа расчета на</t>
  </si>
  <si>
    <t>Предложения с листов</t>
  </si>
  <si>
    <t>5-1 Сбор КП Закупки, 1-1 Сбор КП</t>
  </si>
  <si>
    <t>Основные Обозначение</t>
  </si>
  <si>
    <t>Поставщики с одинаковой ценой</t>
  </si>
  <si>
    <t>Рейтинг поставщиков</t>
  </si>
  <si>
    <t>На листе “1-2 Сбор КП” тоже есть заливка</t>
  </si>
  <si>
    <t>Официальный дилер</t>
  </si>
  <si>
    <t>Первая группа с одинаковой ценой</t>
  </si>
  <si>
    <t>Плохой</t>
  </si>
  <si>
    <t>E-mail отправлен</t>
  </si>
  <si>
    <t>Покупали раньше у него</t>
  </si>
  <si>
    <t>Вторая группа с одинаковой ценой</t>
  </si>
  <si>
    <t>Хороший</t>
  </si>
  <si>
    <t>нет</t>
  </si>
  <si>
    <t>От данного емейла получен ответ</t>
  </si>
  <si>
    <t>Предлагает аналог</t>
  </si>
  <si>
    <t>Третья группа с одинаковой ценой</t>
  </si>
  <si>
    <t>Средний</t>
  </si>
  <si>
    <t>Ошибка или не отправляем письма</t>
  </si>
  <si>
    <t>Не понятно</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</si>
</sst>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General"/>
    <numFmt numFmtId="165" formatCode="dd.MM.yyyy H:mm:ss"/>
    <numFmt numFmtId="166" formatCode="d-m"/>
    <numFmt numFmtId="167" formatCode="dd.MM.yyyy"/>
    <numFmt numFmtId="168" formatCode="dd.mm.yyyy"/>
  </numFmts>
  <fonts count="36">
    <font>
      <sz val="10.0"/>
      <color rgb="FF000000"/>
      <name val="Arial"/>
    </font>
    <font>
      <sz val="8.0"/>
      <color rgb="FF000000"/>
      <name val="Times New Roman"/>
    </font>
    <font>
      <b/>
      <sz val="8.0"/>
      <color rgb="FF000000"/>
      <name val="Times New Roman"/>
    </font>
    <font>
      <name val="Arial"/>
    </font>
    <font>
      <sz val="8.0"/>
      <name val="Times New Roman"/>
    </font>
    <font>
      <name val="Times New Roman"/>
    </font>
    <font>
      <b/>
      <i/>
      <sz val="8.0"/>
      <color rgb="FF000000"/>
      <name val="Times New Roman"/>
    </font>
    <font>
      <u/>
      <sz val="8.0"/>
      <color rgb="FF1155CC"/>
      <name val="Times New Roman"/>
    </font>
    <font>
      <sz val="9.0"/>
      <name val="Times New Roman"/>
    </font>
    <font>
      <b/>
      <sz val="8.0"/>
      <name val="Times New Roman"/>
    </font>
    <font/>
    <font>
      <b/>
      <name val="Times New Roman"/>
    </font>
    <font>
      <sz val="10.0"/>
      <name val="Times New Roman"/>
    </font>
    <font>
      <b/>
      <sz val="10.0"/>
      <name val="Times New Roman"/>
    </font>
    <font>
      <b/>
      <i/>
      <sz val="8.0"/>
      <name val="Times New Roman"/>
    </font>
    <font>
      <sz val="11.0"/>
      <color rgb="FF5E5E5E"/>
      <name val="&quot;Google Sans&quot;"/>
    </font>
    <font>
      <i/>
      <sz val="8.0"/>
      <name val="Times New Roman"/>
    </font>
    <font>
      <i/>
      <sz val="8.0"/>
      <color rgb="FF1F1F1F"/>
      <name val="Times New Roman"/>
    </font>
    <font>
      <u/>
      <sz val="8.0"/>
      <color rgb="FF1155CC"/>
      <name val="Times New Roman"/>
    </font>
    <font>
      <u/>
      <sz val="8.0"/>
      <color rgb="FF1155CC"/>
      <name val="Times New Roman"/>
    </font>
    <font>
      <b/>
      <sz val="8.0"/>
      <color rgb="FFFFFFFF"/>
      <name val="Times New Roman"/>
    </font>
    <font>
      <sz val="8.0"/>
      <color rgb="FFFFFFFF"/>
      <name val="Times New Roman"/>
    </font>
    <font>
      <sz val="8.0"/>
      <name val="&quot;Times New Roman&quot;"/>
    </font>
    <font>
      <sz val="6.0"/>
      <name val="Times New Roman"/>
    </font>
    <font>
      <sz val="8.0"/>
      <color rgb="FF1155CC"/>
      <name val="Times New Roman"/>
    </font>
    <font>
      <i/>
      <sz val="8.0"/>
      <color rgb="FF000000"/>
      <name val="Times New Roman"/>
    </font>
    <font>
      <u/>
      <sz val="8.0"/>
      <color rgb="FF1155CC"/>
      <name val="Times New Roman"/>
    </font>
    <font>
      <u/>
      <sz val="8.0"/>
      <color rgb="FF1155CC"/>
      <name val="Times New Roman"/>
    </font>
    <font>
      <b/>
      <sz val="8.0"/>
      <color rgb="FF0000FF"/>
      <name val="Times New Roman"/>
    </font>
    <font>
      <sz val="8.0"/>
      <name val="Arial"/>
    </font>
    <font>
      <sz val="8.0"/>
      <color rgb="FF151515"/>
      <name val="Times New Roman"/>
    </font>
    <font>
      <u/>
      <sz val="8.0"/>
      <color rgb="FF1155CC"/>
      <name val="Times New Roman"/>
    </font>
    <font>
      <i/>
      <sz val="8.0"/>
      <color rgb="FFAEAEAE"/>
      <name val="Times New Roman"/>
    </font>
    <font>
      <sz val="8.0"/>
      <color rgb="FF1F1F1F"/>
      <name val="Times New Roman"/>
    </font>
    <font>
      <b/>
      <sz val="8.0"/>
      <color rgb="FF222222"/>
      <name val="Times New Roman"/>
    </font>
    <font>
      <sz val="7.0"/>
      <name val="Roboto Mono"/>
    </font>
  </fonts>
  <fills count="33">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FFFF00"/>
        <bgColor rgb="FFFFFF00"/>
      </patternFill>
    </fill>
    <fill>
      <patternFill patternType="solid">
        <fgColor rgb="FFFFF2CC"/>
        <bgColor rgb="FFFFF2CC"/>
      </patternFill>
    </fill>
    <fill>
      <patternFill patternType="solid">
        <fgColor rgb="FFFF00FF"/>
        <bgColor rgb="FFFF00FF"/>
      </patternFill>
    </fill>
    <fill>
      <patternFill patternType="solid">
        <fgColor rgb="FFD0E0E3"/>
        <bgColor rgb="FFD0E0E3"/>
      </patternFill>
    </fill>
    <fill>
      <patternFill patternType="solid">
        <fgColor rgb="FFCFE2F3"/>
        <bgColor rgb="FFCFE2F3"/>
      </patternFill>
    </fill>
    <fill>
      <patternFill patternType="solid">
        <fgColor rgb="FFFF0000"/>
        <bgColor rgb="FFFF0000"/>
      </patternFill>
    </fill>
    <fill>
      <patternFill patternType="solid">
        <fgColor rgb="FFFCE5CD"/>
        <bgColor rgb="FFFCE5CD"/>
      </patternFill>
    </fill>
    <fill>
      <patternFill patternType="solid">
        <fgColor rgb="FFC9DAF8"/>
        <bgColor rgb="FFC9DAF8"/>
      </patternFill>
    </fill>
    <fill>
      <patternFill patternType="solid">
        <fgColor rgb="FFB6D7A8"/>
        <bgColor rgb="FFB6D7A8"/>
      </patternFill>
    </fill>
    <fill>
      <patternFill patternType="solid">
        <fgColor rgb="FFD9EAD3"/>
        <bgColor rgb="FFD9EAD3"/>
      </patternFill>
    </fill>
    <fill>
      <patternFill patternType="solid">
        <fgColor rgb="FFF4C7C3"/>
        <bgColor rgb="FFF4C7C3"/>
      </patternFill>
    </fill>
    <fill>
      <patternFill patternType="solid">
        <fgColor rgb="FFB7E1CD"/>
        <bgColor rgb="FFB7E1CD"/>
      </patternFill>
    </fill>
    <fill>
      <patternFill patternType="solid">
        <fgColor rgb="FF00FFFF"/>
        <bgColor rgb="FF00FFFF"/>
      </patternFill>
    </fill>
    <fill>
      <patternFill patternType="solid">
        <fgColor rgb="FF4C1130"/>
        <bgColor rgb="FF4C1130"/>
      </patternFill>
    </fill>
    <fill>
      <patternFill patternType="solid">
        <fgColor rgb="FF741B47"/>
        <bgColor rgb="FF741B47"/>
      </patternFill>
    </fill>
    <fill>
      <patternFill patternType="solid">
        <fgColor rgb="FFFFFEFF"/>
        <bgColor rgb="FFFFFEFF"/>
      </patternFill>
    </fill>
    <fill>
      <patternFill patternType="solid">
        <fgColor rgb="FFCCCCCC"/>
        <bgColor rgb="FFCCCCCC"/>
      </patternFill>
    </fill>
    <fill>
      <patternFill patternType="solid">
        <fgColor rgb="FFEAD1DC"/>
        <bgColor rgb="FFEAD1DC"/>
      </patternFill>
    </fill>
    <fill>
      <patternFill patternType="solid">
        <fgColor rgb="FFD9D2E9"/>
        <bgColor rgb="FFD9D2E9"/>
      </patternFill>
    </fill>
    <fill>
      <patternFill patternType="solid">
        <fgColor rgb="FFF4CCCC"/>
        <bgColor rgb="FFF4CCCC"/>
      </patternFill>
    </fill>
    <fill>
      <patternFill patternType="solid">
        <fgColor rgb="FF999999"/>
        <bgColor rgb="FF999999"/>
      </patternFill>
    </fill>
    <fill>
      <patternFill patternType="solid">
        <fgColor rgb="FF9FC5E8"/>
        <bgColor rgb="FF9FC5E8"/>
      </patternFill>
    </fill>
    <fill>
      <patternFill patternType="solid">
        <fgColor rgb="FFE06666"/>
        <bgColor rgb="FFE06666"/>
      </patternFill>
    </fill>
    <fill>
      <patternFill patternType="solid">
        <fgColor rgb="FF00FF00"/>
        <bgColor rgb="FF00FF00"/>
      </patternFill>
    </fill>
    <fill>
      <patternFill patternType="solid">
        <fgColor rgb="FFFF9900"/>
        <bgColor rgb="FFFF9900"/>
      </patternFill>
    </fill>
    <fill>
      <patternFill patternType="solid">
        <fgColor rgb="FF000000"/>
        <bgColor rgb="FF000000"/>
      </patternFill>
    </fill>
    <fill>
      <patternFill patternType="solid">
        <fgColor rgb="FF8E7CC3"/>
        <bgColor rgb="FF8E7CC3"/>
      </patternFill>
    </fill>
    <fill>
      <patternFill patternType="solid">
        <fgColor rgb="FF6D9EEB"/>
        <bgColor rgb="FF6D9EEB"/>
      </patternFill>
    </fill>
    <fill>
      <patternFill patternType="solid">
        <fgColor rgb="FF93C47D"/>
        <bgColor rgb="FF93C47D"/>
      </patternFill>
    </fill>
  </fills>
  <borders count="44">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left style="thin">
        <color rgb="FF000000"/>
      </left>
      <right style="thin">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hair">
        <color rgb="FF797979"/>
      </right>
      <bottom style="thin">
        <color rgb="FF000000"/>
      </bottom>
    </border>
    <border>
      <left style="hair">
        <color rgb="FF797979"/>
      </left>
      <right style="hair">
        <color rgb="FF797979"/>
      </right>
      <bottom style="thin">
        <color rgb="FF000000"/>
      </bottom>
    </border>
    <border>
      <left style="hair">
        <color rgb="FF797979"/>
      </left>
      <right style="thin">
        <color rgb="FF000000"/>
      </right>
      <bottom style="thin">
        <color rgb="FF000000"/>
      </bottom>
    </border>
    <border>
      <left style="thin">
        <color rgb="FF000000"/>
      </left>
      <right style="hair">
        <color rgb="FF797979"/>
      </right>
      <top style="thin">
        <color rgb="FF000000"/>
      </top>
      <bottom style="thin">
        <color rgb="FF000000"/>
      </bottom>
    </border>
    <border>
      <left style="hair">
        <color rgb="FF797979"/>
      </left>
      <right style="hair">
        <color rgb="FF797979"/>
      </right>
      <top style="thin">
        <color rgb="FF000000"/>
      </top>
      <bottom style="thin">
        <color rgb="FF000000"/>
      </bottom>
    </border>
    <border>
      <left style="hair">
        <color rgb="FF797979"/>
      </left>
      <right style="thin">
        <color rgb="FF000000"/>
      </right>
      <top style="thin">
        <color rgb="FF000000"/>
      </top>
      <bottom style="thin">
        <color rgb="FF000000"/>
      </bottom>
    </border>
    <border>
      <left style="thin">
        <color rgb="FF000000"/>
      </left>
      <right style="hair">
        <color rgb="FF797979"/>
      </right>
      <top style="thin">
        <color rgb="FF000000"/>
      </top>
    </border>
    <border>
      <left style="hair">
        <color rgb="FF797979"/>
      </left>
      <right style="hair">
        <color rgb="FF797979"/>
      </right>
      <top style="thin">
        <color rgb="FF000000"/>
      </top>
    </border>
    <border>
      <left style="hair">
        <color rgb="FF797979"/>
      </left>
      <right style="thin">
        <color rgb="FF000000"/>
      </right>
      <top style="thin">
        <color rgb="FF000000"/>
      </top>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thin">
        <color rgb="FF000000"/>
      </right>
    </border>
    <border>
      <left style="thin">
        <color rgb="FF000000"/>
      </left>
      <right style="thin">
        <color rgb="FF000000"/>
      </right>
      <top style="thin">
        <color rgb="FF000000"/>
      </top>
      <bottom style="medium">
        <color rgb="FF000000"/>
      </bottom>
    </border>
    <border>
      <bottom style="thin">
        <color rgb="FF000000"/>
      </bottom>
    </border>
    <border>
      <top style="medium">
        <color rgb="FF000000"/>
      </top>
    </border>
    <border>
      <left style="medium">
        <color rgb="FF073763"/>
      </left>
    </border>
    <border>
      <left style="thin">
        <color rgb="FF000000"/>
      </left>
      <right style="thin">
        <color rgb="FF000000"/>
      </right>
      <top style="medium">
        <color rgb="FF000000"/>
      </top>
    </border>
    <border>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261">
    <xf borderId="0" fillId="0" fontId="0" numFmtId="0" xfId="0" applyAlignment="1" applyFont="1">
      <alignment readingOrder="0" shrinkToFit="0" vertical="bottom" wrapText="0"/>
    </xf>
    <xf borderId="0" fillId="2" fontId="1" numFmtId="164" xfId="0" applyAlignment="1" applyFill="1" applyFont="1" applyNumberFormat="1">
      <alignment shrinkToFit="0" textRotation="0" vertical="center" wrapText="1"/>
    </xf>
    <xf borderId="0" fillId="2" fontId="1" numFmtId="164" xfId="0" applyAlignment="1" applyFill="1" applyFont="1" applyNumberFormat="1">
      <alignment shrinkToFit="0" textRotation="0" vertical="center" wrapText="0"/>
    </xf>
    <xf borderId="0" fillId="3" fontId="2" numFmtId="164" xfId="0" applyAlignment="1" applyFill="1" applyFont="1" applyNumberFormat="1">
      <alignment shrinkToFit="0" textRotation="0" vertical="center" wrapText="0"/>
    </xf>
    <xf borderId="0" fillId="0" fontId="3" numFmtId="0" xfId="0" applyAlignment="1" applyFont="1">
      <alignment vertical="center"/>
    </xf>
    <xf borderId="0" fillId="2" fontId="1" numFmtId="4" xfId="0" applyAlignment="1" applyFill="1" applyFont="1" applyNumberFormat="1">
      <alignment shrinkToFit="0" textRotation="0" vertical="center" wrapText="1"/>
    </xf>
    <xf borderId="0" fillId="0" fontId="3" numFmtId="0" xfId="0" applyAlignment="1" applyFont="1">
      <alignment vertical="center"/>
    </xf>
    <xf borderId="0" fillId="0" fontId="4" numFmtId="49" xfId="0" applyAlignment="1" applyFont="1" applyNumberFormat="1">
      <alignment horizontal="center" shrinkToFit="0" vertical="center" wrapText="0"/>
    </xf>
    <xf borderId="0" fillId="0" fontId="4" numFmtId="0" xfId="0" applyAlignment="1" applyFont="1">
      <alignment vertical="center"/>
    </xf>
    <xf borderId="0" fillId="2" fontId="1" numFmtId="165" xfId="0" applyAlignment="1" applyFill="1" applyFont="1" applyNumberFormat="1">
      <alignment shrinkToFit="0" textRotation="0" vertical="center" wrapText="1"/>
    </xf>
    <xf borderId="0" fillId="0" fontId="5" numFmtId="0" xfId="0" applyAlignment="1" applyFont="1">
      <alignment horizontal="center" shrinkToFit="0" vertical="center" wrapText="0"/>
    </xf>
    <xf borderId="0" fillId="0" fontId="5" numFmtId="0" xfId="0" applyAlignment="1" applyFont="1">
      <alignment horizontal="center" shrinkToFit="0" vertical="center" wrapText="1"/>
    </xf>
    <xf borderId="0" fillId="4" fontId="5" numFmtId="0" xfId="0" applyAlignment="1" applyFill="1" applyFont="1">
      <alignment readingOrder="0" shrinkToFit="0" vertical="center" wrapText="1"/>
    </xf>
    <xf borderId="0" fillId="2" fontId="3" numFmtId="166" xfId="0" applyFill="1" applyFont="1" applyNumberFormat="1"/>
    <xf borderId="0" fillId="4" fontId="5" numFmtId="0" xfId="0" applyAlignment="1" applyFill="1" applyFont="1">
      <alignment shrinkToFit="0" vertical="center" wrapText="1"/>
    </xf>
    <xf borderId="0" fillId="2" fontId="1" numFmtId="4" xfId="0" applyAlignment="1" applyFill="1" applyFont="1" applyNumberFormat="1">
      <alignment shrinkToFit="0" textRotation="0" vertical="center" wrapText="0"/>
    </xf>
    <xf borderId="0" fillId="2" fontId="3" numFmtId="164" xfId="0" applyFill="1" applyFont="1" applyNumberFormat="1"/>
    <xf borderId="0" fillId="0" fontId="4" numFmtId="0" xfId="0" applyAlignment="1" applyFont="1">
      <alignment readingOrder="0" vertical="center"/>
    </xf>
    <xf borderId="0" fillId="2" fontId="1" numFmtId="1" xfId="0" applyAlignment="1" applyFill="1" applyFont="1" applyNumberFormat="1">
      <alignment shrinkToFit="0" textRotation="0" vertical="center" wrapText="1"/>
    </xf>
    <xf borderId="0" fillId="0" fontId="4" numFmtId="0" xfId="0" applyAlignment="1" applyFont="1">
      <alignment readingOrder="0" shrinkToFit="0" vertical="center" wrapText="0"/>
    </xf>
    <xf borderId="0" fillId="0" fontId="4" numFmtId="0" xfId="0" applyAlignment="1" applyFont="1">
      <alignment horizontal="center" readingOrder="0" shrinkToFit="0" vertical="center" wrapText="1"/>
    </xf>
    <xf borderId="0" fillId="2" fontId="1" numFmtId="164" xfId="0" applyAlignment="1" applyFill="1" applyFont="1" applyNumberFormat="1">
      <alignment readingOrder="0" shrinkToFit="0" textRotation="0" vertical="center" wrapText="1"/>
    </xf>
    <xf borderId="0" fillId="0" fontId="4" numFmtId="0" xfId="0" applyAlignment="1" applyFont="1">
      <alignment horizontal="center" shrinkToFit="0" vertical="center" wrapText="1"/>
    </xf>
    <xf borderId="0" fillId="0" fontId="3" numFmtId="0" xfId="0" applyAlignment="1" applyFont="1">
      <alignment readingOrder="0" vertical="center"/>
    </xf>
    <xf borderId="0" fillId="2" fontId="1" numFmtId="0" xfId="0" applyAlignment="1" applyFill="1" applyFont="1">
      <alignment readingOrder="0" shrinkToFit="0" textRotation="0" vertical="center" wrapText="1"/>
    </xf>
    <xf borderId="0" fillId="3" fontId="2" numFmtId="164" xfId="0" applyAlignment="1" applyFill="1" applyFont="1" applyNumberFormat="1">
      <alignment textRotation="0"/>
    </xf>
    <xf borderId="0" fillId="2" fontId="1" numFmtId="164" xfId="0" applyAlignment="1" applyFill="1" applyFont="1" applyNumberFormat="1">
      <alignment shrinkToFit="0" textRotation="0" vertical="bottom" wrapText="1"/>
    </xf>
    <xf borderId="0" fillId="2" fontId="6" numFmtId="164" xfId="0" applyAlignment="1" applyFill="1" applyFont="1" applyNumberFormat="1">
      <alignment shrinkToFit="0" textRotation="0" vertical="center" wrapText="0"/>
    </xf>
    <xf borderId="1" fillId="4" fontId="5" numFmtId="0" xfId="0" applyAlignment="1" applyBorder="1" applyFill="1" applyFont="1">
      <alignment readingOrder="0" shrinkToFit="0" vertical="center" wrapText="1"/>
    </xf>
    <xf borderId="0" fillId="2" fontId="3" numFmtId="164" xfId="0" applyAlignment="1" applyFill="1" applyFont="1" applyNumberFormat="1">
      <alignment vertical="bottom"/>
    </xf>
    <xf borderId="0" fillId="4" fontId="5" numFmtId="0" xfId="0" applyAlignment="1" applyFill="1" applyFont="1">
      <alignment shrinkToFit="0" vertical="center" wrapText="1"/>
    </xf>
    <xf borderId="0" fillId="0" fontId="4" numFmtId="0" xfId="0" applyAlignment="1" applyFont="1">
      <alignment shrinkToFit="0" vertical="center" wrapText="1"/>
    </xf>
    <xf borderId="0" fillId="0" fontId="4" numFmtId="0" xfId="0" applyAlignment="1" applyFont="1">
      <alignment vertical="center"/>
    </xf>
    <xf borderId="0" fillId="0" fontId="1" numFmtId="0" xfId="0" applyAlignment="1" applyFont="1">
      <alignment vertical="center"/>
    </xf>
    <xf borderId="1" fillId="2" fontId="5" numFmtId="0" xfId="0" applyAlignment="1" applyBorder="1" applyFill="1" applyFont="1">
      <alignment horizontal="center" readingOrder="0" shrinkToFit="0" vertical="center" wrapText="1"/>
    </xf>
    <xf borderId="0" fillId="2" fontId="7" numFmtId="164" xfId="0" applyAlignment="1" applyFill="1" applyFont="1" applyNumberFormat="1">
      <alignment shrinkToFit="0" textRotation="0" vertical="center" wrapText="0"/>
    </xf>
    <xf borderId="1" fillId="2" fontId="5" numFmtId="0" xfId="0" applyAlignment="1" applyBorder="1" applyFill="1" applyFont="1">
      <alignment readingOrder="0" shrinkToFit="0" vertical="center" wrapText="1"/>
    </xf>
    <xf borderId="0" fillId="2" fontId="1" numFmtId="164" xfId="0" applyAlignment="1" applyFill="1" applyFont="1" applyNumberFormat="1">
      <alignment horizontal="left" shrinkToFit="0" textRotation="0" vertical="center" wrapText="1"/>
    </xf>
    <xf borderId="0" fillId="2" fontId="1" numFmtId="0" xfId="0" applyAlignment="1" applyFill="1" applyFont="1">
      <alignment horizontal="right" shrinkToFit="0" textRotation="0" vertical="center" wrapText="0"/>
    </xf>
    <xf borderId="1" fillId="6" fontId="5" numFmtId="0" xfId="0" applyAlignment="1" applyBorder="1" applyFill="1" applyFont="1">
      <alignment readingOrder="0" shrinkToFit="0" vertical="center" wrapText="1"/>
    </xf>
    <xf borderId="3" fillId="0" fontId="8" numFmtId="0" xfId="0" applyAlignment="1" applyBorder="1" applyFont="1">
      <alignment readingOrder="0" shrinkToFit="0" vertical="center" wrapText="1"/>
    </xf>
    <xf borderId="0" fillId="2" fontId="1" numFmtId="164" xfId="0" applyAlignment="1" applyFill="1" applyFont="1" applyNumberFormat="1">
      <alignment horizontal="right" shrinkToFit="0" textRotation="0" vertical="center" wrapText="1"/>
    </xf>
    <xf borderId="0" fillId="0" fontId="8" numFmtId="0" xfId="0" applyAlignment="1" applyFont="1">
      <alignment shrinkToFit="0" vertical="center" wrapText="1"/>
    </xf>
    <xf borderId="2" fillId="5" fontId="4" numFmtId="4" xfId="0" applyAlignment="1" applyBorder="1" applyFill="1" applyFont="1" applyNumberFormat="1">
      <alignment vertical="center"/>
    </xf>
    <xf borderId="0" fillId="2" fontId="2" numFmtId="4" xfId="0" applyAlignment="1" applyFill="1" applyFont="1" applyNumberFormat="1">
      <alignment shrinkToFit="0" textRotation="0" vertical="center" wrapText="1"/>
    </xf>
    <xf borderId="0" fillId="5" fontId="9" numFmtId="4" xfId="0" applyAlignment="1" applyFill="1" applyFont="1" applyNumberFormat="1">
      <alignment vertical="center"/>
    </xf>
    <xf borderId="0" fillId="2" fontId="2" numFmtId="4" xfId="0" applyAlignment="1" applyFill="1" applyFont="1" applyNumberFormat="1">
      <alignment shrinkToFit="0" textRotation="0" vertical="center" wrapText="0"/>
    </xf>
    <xf borderId="0" fillId="2" fontId="2" numFmtId="1" xfId="0" applyAlignment="1" applyFill="1" applyFont="1" applyNumberFormat="1">
      <alignment shrinkToFit="0" textRotation="0" vertical="center" wrapText="1"/>
    </xf>
    <xf borderId="1" fillId="5" fontId="9" numFmtId="4" xfId="0" applyAlignment="1" applyBorder="1" applyFill="1" applyFont="1" applyNumberFormat="1">
      <alignment vertical="center"/>
    </xf>
    <xf borderId="0" fillId="0" fontId="4" numFmtId="0" xfId="0" applyAlignment="1" applyFont="1">
      <alignment horizontal="center" vertical="center"/>
    </xf>
    <xf borderId="0" fillId="2" fontId="4" numFmtId="0" xfId="0" applyAlignment="1" applyFill="1" applyFont="1">
      <alignment readingOrder="0" shrinkToFit="0" vertical="center" wrapText="1"/>
    </xf>
    <xf borderId="1" fillId="5" fontId="9" numFmtId="4" xfId="0" applyAlignment="1" applyBorder="1" applyFill="1" applyFont="1" applyNumberFormat="1">
      <alignment shrinkToFit="0" vertical="center" wrapText="1"/>
    </xf>
    <xf borderId="4" fillId="2" fontId="1" numFmtId="164" xfId="0" applyAlignment="1" applyBorder="1" applyFill="1" applyFont="1" applyNumberFormat="1">
      <alignment horizontal="center" shrinkToFit="0" textRotation="0" vertical="center" wrapText="1"/>
    </xf>
    <xf borderId="1" fillId="5" fontId="9" numFmtId="1" xfId="0" applyAlignment="1" applyBorder="1" applyFill="1" applyFont="1" applyNumberFormat="1">
      <alignment vertical="center"/>
    </xf>
    <xf borderId="4" fillId="2" fontId="1" numFmtId="164" xfId="0" applyAlignment="1" applyBorder="1" applyFill="1" applyFont="1" applyNumberFormat="1">
      <alignment horizontal="center" shrinkToFit="0" textRotation="0" vertical="center" wrapText="0"/>
    </xf>
    <xf borderId="1" fillId="5" fontId="9" numFmtId="4" xfId="0" applyAlignment="1" applyBorder="1" applyFill="1" applyFont="1" applyNumberFormat="1">
      <alignment readingOrder="0" vertical="center"/>
    </xf>
    <xf borderId="0" fillId="5" fontId="9" numFmtId="4" xfId="0" applyAlignment="1" applyFill="1" applyFont="1" applyNumberFormat="1">
      <alignment readingOrder="0" vertical="center"/>
    </xf>
    <xf borderId="0" fillId="2" fontId="4" numFmtId="0" xfId="0" applyAlignment="1" applyFill="1" applyFont="1">
      <alignment shrinkToFit="0" vertical="center" wrapText="1"/>
    </xf>
    <xf borderId="1" fillId="5" fontId="4" numFmtId="167" xfId="0" applyAlignment="1" applyBorder="1" applyFill="1" applyFont="1" applyNumberFormat="1">
      <alignment readingOrder="0" vertical="center"/>
    </xf>
    <xf borderId="0" fillId="0" fontId="5" numFmtId="0" xfId="0" applyAlignment="1" applyFont="1">
      <alignment horizontal="center" readingOrder="0" shrinkToFit="0" vertical="center" wrapText="1"/>
    </xf>
    <xf borderId="1" fillId="2" fontId="5" numFmtId="0" xfId="0" applyAlignment="1" applyBorder="1" applyFill="1" applyFont="1">
      <alignment shrinkToFit="0" wrapText="1"/>
    </xf>
    <xf borderId="0" fillId="0" fontId="4" numFmtId="0" xfId="0" applyAlignment="1" applyFont="1">
      <alignment readingOrder="0" shrinkToFit="0" wrapText="1"/>
    </xf>
    <xf borderId="0" fillId="0" fontId="8" numFmtId="0" xfId="0" applyAlignment="1" applyFont="1">
      <alignment readingOrder="0" shrinkToFit="0" vertical="center" wrapText="1"/>
    </xf>
    <xf borderId="1" fillId="2" fontId="5" numFmtId="0" xfId="0" applyAlignment="1" applyBorder="1" applyFill="1" applyFont="1">
      <alignment readingOrder="0" shrinkToFit="0" wrapText="1"/>
    </xf>
    <xf borderId="0" fillId="0" fontId="3" numFmtId="0" xfId="0" applyAlignment="1" applyFont="1">
      <alignment readingOrder="0"/>
    </xf>
    <xf borderId="0" fillId="0" fontId="4" numFmtId="0" xfId="0" applyAlignment="1" applyFont="1">
      <alignment readingOrder="0" shrinkToFit="0" vertical="center" wrapText="1"/>
    </xf>
    <xf borderId="0" fillId="0" fontId="3" numFmtId="0" xfId="0" applyFont="1"/>
    <xf borderId="0" fillId="2" fontId="4" numFmtId="0" xfId="0" applyAlignment="1" applyFill="1" applyFont="1">
      <alignment vertical="center"/>
    </xf>
    <xf borderId="5" fillId="4" fontId="5" numFmtId="0" xfId="0" applyAlignment="1" applyBorder="1" applyFill="1" applyFont="1">
      <alignment horizontal="center" readingOrder="0" shrinkToFit="0" vertical="center" wrapText="1"/>
    </xf>
    <xf borderId="4" fillId="3" fontId="2" numFmtId="0" xfId="0" applyAlignment="1" applyBorder="1" applyFill="1" applyFont="1">
      <alignment horizontal="center" shrinkToFit="0" textRotation="0" vertical="center" wrapText="0"/>
    </xf>
    <xf borderId="6" fillId="0" fontId="10" numFmtId="0" xfId="0" applyBorder="1" applyFont="1"/>
    <xf borderId="7" fillId="0" fontId="10" numFmtId="0" xfId="0" applyBorder="1" applyFont="1"/>
    <xf borderId="1" fillId="4" fontId="5" numFmtId="0" xfId="0" applyAlignment="1" applyBorder="1" applyFill="1" applyFont="1">
      <alignment shrinkToFit="0" vertical="center" wrapText="1"/>
    </xf>
    <xf borderId="8" fillId="2" fontId="5" numFmtId="0" xfId="0" applyAlignment="1" applyBorder="1" applyFill="1" applyFont="1">
      <alignment readingOrder="0" shrinkToFit="0" vertical="center" wrapText="1"/>
    </xf>
    <xf borderId="4" fillId="5" fontId="2" numFmtId="4" xfId="0" applyAlignment="1" applyBorder="1" applyFill="1" applyFont="1" applyNumberFormat="1">
      <alignment horizontal="center" shrinkToFit="0" textRotation="0" vertical="center" wrapText="1"/>
    </xf>
    <xf borderId="4" fillId="5" fontId="2" numFmtId="4" xfId="0" applyAlignment="1" applyBorder="1" applyFill="1" applyFont="1" applyNumberFormat="1">
      <alignment horizontal="center" shrinkToFit="0" textRotation="0" vertical="center" wrapText="0"/>
    </xf>
    <xf borderId="8" fillId="2" fontId="5" numFmtId="0" xfId="0" applyAlignment="1" applyBorder="1" applyFill="1" applyFont="1">
      <alignment shrinkToFit="0" vertical="center" wrapText="1"/>
    </xf>
    <xf borderId="4" fillId="5" fontId="2" numFmtId="1" xfId="0" applyAlignment="1" applyBorder="1" applyFill="1" applyFont="1" applyNumberFormat="1">
      <alignment horizontal="center" shrinkToFit="0" textRotation="0" vertical="center" wrapText="1"/>
    </xf>
    <xf borderId="1" fillId="6" fontId="5" numFmtId="0" xfId="0" applyAlignment="1" applyBorder="1" applyFill="1" applyFont="1">
      <alignment readingOrder="0" shrinkToFit="0" vertical="center" wrapText="1"/>
    </xf>
    <xf borderId="3" fillId="0" fontId="8" numFmtId="0" xfId="0" applyAlignment="1" applyBorder="1" applyFont="1">
      <alignment shrinkToFit="0" vertical="center" wrapText="1"/>
    </xf>
    <xf borderId="0" fillId="2" fontId="1" numFmtId="164" xfId="0" applyAlignment="1" applyFill="1" applyFont="1" applyNumberFormat="1">
      <alignment shrinkToFit="0" textRotation="0" wrapText="1"/>
    </xf>
    <xf borderId="8" fillId="6" fontId="11" numFmtId="10" xfId="0" applyAlignment="1" applyBorder="1" applyFill="1" applyFont="1" applyNumberFormat="1">
      <alignment horizontal="right" readingOrder="0" shrinkToFit="0" vertical="center" wrapText="1"/>
    </xf>
    <xf borderId="0" fillId="0" fontId="8" numFmtId="0" xfId="0" applyAlignment="1" applyFont="1">
      <alignment shrinkToFit="0" vertical="center" wrapText="1"/>
    </xf>
    <xf borderId="3" fillId="0" fontId="8" numFmtId="0" xfId="0" applyAlignment="1" applyBorder="1" applyFont="1">
      <alignment shrinkToFit="0" vertical="center" wrapText="1"/>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2" fontId="1" numFmtId="164" xfId="0" applyAlignment="1" applyFill="1" applyFont="1" applyNumberFormat="1">
      <alignment textRotation="0"/>
    </xf>
    <xf borderId="0" fillId="2" fontId="4" numFmtId="0" xfId="0" applyAlignment="1" applyFill="1" applyFont="1">
      <alignment shrinkToFit="0" vertical="center" wrapText="1"/>
    </xf>
    <xf borderId="8" fillId="6" fontId="5" numFmtId="4" xfId="0" applyAlignment="1" applyBorder="1" applyFill="1" applyFont="1" applyNumberFormat="1">
      <alignment horizontal="right" shrinkToFit="0" vertical="center" wrapText="1"/>
    </xf>
    <xf borderId="0" fillId="2" fontId="1" numFmtId="4" xfId="0" applyAlignment="1" applyFill="1" applyFont="1" applyNumberFormat="1">
      <alignment shrinkToFit="0" textRotation="0" wrapText="1"/>
    </xf>
    <xf borderId="8" fillId="6" fontId="5" numFmtId="10" xfId="0" applyAlignment="1" applyBorder="1" applyFill="1" applyFont="1" applyNumberFormat="1">
      <alignment horizontal="right" shrinkToFit="0" vertical="center" wrapText="1"/>
    </xf>
    <xf borderId="0" fillId="2" fontId="1" numFmtId="165" xfId="0" applyAlignment="1" applyFill="1" applyFont="1" applyNumberFormat="1">
      <alignment shrinkToFit="0" textRotation="0"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0" fillId="0" fontId="10" numFmtId="0" xfId="0" applyAlignment="1" applyFont="1">
      <alignment vertical="center"/>
    </xf>
    <xf borderId="0" fillId="2" fontId="1" numFmtId="164" xfId="0" applyAlignment="1" applyFill="1" applyFont="1" applyNumberFormat="1">
      <alignment shrinkToFit="0" textRotation="0" wrapText="0"/>
    </xf>
    <xf borderId="0" fillId="0" fontId="4" numFmtId="0" xfId="0" applyAlignment="1" applyFont="1">
      <alignment horizontal="center" vertical="center"/>
    </xf>
    <xf borderId="8" fillId="0" fontId="5" numFmtId="0" xfId="0" applyAlignment="1" applyBorder="1" applyFont="1">
      <alignment readingOrder="0" shrinkToFit="0" vertical="center" wrapText="1"/>
    </xf>
    <xf borderId="0" fillId="2" fontId="1" numFmtId="4" xfId="0" applyAlignment="1" applyFill="1" applyFont="1" applyNumberFormat="1">
      <alignment textRotation="0"/>
    </xf>
    <xf borderId="8" fillId="0" fontId="5" numFmtId="0" xfId="0" applyAlignment="1" applyBorder="1" applyFont="1">
      <alignment shrinkToFit="0" vertical="center" wrapText="1"/>
    </xf>
    <xf borderId="0" fillId="2" fontId="1" numFmtId="1" xfId="0" applyAlignment="1" applyFill="1" applyFont="1" applyNumberFormat="1">
      <alignment shrinkToFit="0" textRotation="0" wrapText="1"/>
    </xf>
    <xf borderId="0" fillId="2" fontId="1" numFmtId="0" xfId="0" applyAlignment="1" applyFill="1" applyFont="1">
      <alignment shrinkToFit="0" textRotation="0" wrapText="1"/>
    </xf>
    <xf borderId="0" fillId="2" fontId="6" numFmtId="164" xfId="0" applyAlignment="1" applyFill="1" applyFont="1" applyNumberFormat="1">
      <alignment textRotation="0"/>
    </xf>
    <xf borderId="0" fillId="2" fontId="3" numFmtId="4" xfId="0" applyFill="1" applyFont="1" applyNumberFormat="1"/>
    <xf borderId="0" fillId="2" fontId="3" numFmtId="165" xfId="0" applyFill="1" applyFont="1" applyNumberFormat="1"/>
    <xf borderId="8" fillId="6" fontId="5" numFmtId="0" xfId="0" applyAlignment="1" applyBorder="1" applyFill="1" applyFont="1">
      <alignment horizontal="right" readingOrder="0" shrinkToFit="0" vertical="center" wrapText="1"/>
    </xf>
    <xf borderId="0" fillId="0" fontId="4" numFmtId="0" xfId="0" applyAlignment="1" applyFont="1">
      <alignment readingOrder="0" vertical="center"/>
    </xf>
    <xf borderId="8" fillId="6" fontId="5" numFmtId="10" xfId="0" applyAlignment="1" applyBorder="1" applyFill="1" applyFont="1" applyNumberFormat="1">
      <alignment horizontal="right" readingOrder="0" shrinkToFit="0" vertical="center" wrapText="1"/>
    </xf>
    <xf borderId="0" fillId="2" fontId="3" numFmtId="0" xfId="0" applyFill="1" applyFont="1"/>
    <xf borderId="1" fillId="6" fontId="5" numFmtId="4" xfId="0" applyAlignment="1" applyBorder="1" applyFill="1" applyFont="1" applyNumberFormat="1">
      <alignment shrinkToFit="0" vertical="center" wrapText="1"/>
    </xf>
    <xf borderId="0" fillId="2" fontId="3" numFmtId="1" xfId="0" applyFill="1" applyFont="1" applyNumberFormat="1"/>
    <xf borderId="4" fillId="2" fontId="3" numFmtId="164" xfId="0" applyBorder="1" applyFill="1" applyFont="1" applyNumberFormat="1"/>
    <xf borderId="1" fillId="6" fontId="5" numFmtId="0" xfId="0" applyAlignment="1" applyBorder="1" applyFill="1" applyFont="1">
      <alignment shrinkToFit="0" vertical="center" wrapText="1"/>
    </xf>
    <xf borderId="7" fillId="0" fontId="5" numFmtId="0" xfId="0" applyAlignment="1" applyBorder="1" applyFont="1">
      <alignment readingOrder="0" shrinkToFit="0" vertical="center" wrapText="1"/>
    </xf>
    <xf borderId="7" fillId="6" fontId="5" numFmtId="0" xfId="0" applyAlignment="1" applyBorder="1" applyFill="1" applyFont="1">
      <alignment readingOrder="0" shrinkToFit="0" vertical="center" wrapText="1"/>
    </xf>
    <xf borderId="1" fillId="6" fontId="5" numFmtId="4" xfId="0" applyAlignment="1" applyBorder="1" applyFill="1" applyFont="1" applyNumberFormat="1">
      <alignment readingOrder="0" shrinkToFit="0" vertical="center" wrapText="1"/>
    </xf>
    <xf borderId="4" fillId="5" fontId="2" numFmtId="1" xfId="0" applyAlignment="1" applyBorder="1" applyFill="1" applyFont="1" applyNumberFormat="1">
      <alignment horizontal="center" shrinkToFit="0" textRotation="0" vertical="bottom" wrapText="1"/>
    </xf>
    <xf borderId="0" fillId="0" fontId="5" numFmtId="0" xfId="0" applyAlignment="1" applyFont="1">
      <alignment shrinkToFit="0" vertical="center" wrapText="1"/>
    </xf>
    <xf borderId="0" fillId="2" fontId="4" numFmtId="0" xfId="0" applyAlignment="1" applyFill="1" applyFont="1">
      <alignment readingOrder="0" shrinkToFit="0" vertical="center" wrapText="1"/>
    </xf>
    <xf borderId="1" fillId="6" fontId="5" numFmtId="9" xfId="0" applyAlignment="1" applyBorder="1" applyFill="1" applyFont="1" applyNumberForma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1" fillId="7" fontId="5" numFmtId="0" xfId="0" applyAlignment="1" applyBorder="1" applyFill="1" applyFont="1">
      <alignment readingOrder="0" shrinkToFit="0" vertical="center" wrapText="1"/>
    </xf>
    <xf borderId="0" fillId="2" fontId="4" numFmtId="0" xfId="0" applyAlignment="1" applyFill="1" applyFont="1">
      <alignment vertical="center"/>
    </xf>
    <xf borderId="1" fillId="8" fontId="5" numFmtId="0" xfId="0" applyAlignment="1" applyBorder="1" applyFill="1" applyFont="1">
      <alignment shrinkToFit="0" vertical="center" wrapText="1"/>
    </xf>
    <xf borderId="1" fillId="2" fontId="5" numFmtId="0" xfId="0" applyAlignment="1" applyBorder="1" applyFill="1" applyFont="1">
      <alignment shrinkToFit="0" vertical="center" wrapText="1"/>
    </xf>
    <xf borderId="1" fillId="0" fontId="5" numFmtId="0" xfId="0" applyAlignment="1" applyBorder="1" applyFont="1">
      <alignment shrinkToFit="0" vertical="center" wrapText="1"/>
    </xf>
    <xf borderId="1" fillId="6" fontId="5" numFmtId="49" xfId="0" applyAlignment="1" applyBorder="1" applyFill="1" applyFont="1" applyNumberFormat="1">
      <alignment shrinkToFit="0" vertical="center" wrapText="1"/>
    </xf>
    <xf borderId="1" fillId="6" fontId="5" numFmtId="1" xfId="0" applyAlignment="1" applyBorder="1" applyFill="1" applyFont="1" applyNumberFormat="1">
      <alignment shrinkToFit="0" vertical="center" wrapText="1"/>
    </xf>
    <xf borderId="1" fillId="6" fontId="5" numFmtId="167" xfId="0" applyAlignment="1" applyBorder="1" applyFill="1" applyFont="1" applyNumberFormat="1">
      <alignment shrinkToFit="0" vertical="center" wrapText="1"/>
    </xf>
    <xf borderId="1" fillId="6" fontId="12" numFmtId="0" xfId="0" applyAlignment="1" applyBorder="1" applyFill="1" applyFont="1">
      <alignment readingOrder="0" shrinkToFit="0" vertical="center" wrapText="1"/>
    </xf>
    <xf borderId="0" fillId="0" fontId="12" numFmtId="0" xfId="0" applyFont="1"/>
    <xf borderId="0" fillId="0" fontId="12" numFmtId="0" xfId="0" applyAlignment="1" applyFont="1">
      <alignment readingOrder="0"/>
    </xf>
    <xf borderId="0" fillId="0" fontId="12" numFmtId="0" xfId="0" applyAlignment="1" applyFont="1">
      <alignment readingOrder="0" vertical="center"/>
    </xf>
    <xf borderId="0" fillId="0" fontId="12" numFmtId="0" xfId="0" applyAlignment="1" applyFont="1">
      <alignment vertical="center"/>
    </xf>
    <xf borderId="0" fillId="2" fontId="12" numFmtId="0" xfId="0" applyAlignment="1" applyFill="1" applyFont="1">
      <alignment readingOrder="0" vertical="center"/>
    </xf>
    <xf borderId="0" fillId="0" fontId="12" numFmtId="14" xfId="0" applyAlignment="1" applyFont="1" applyNumberFormat="1">
      <alignment readingOrder="0"/>
    </xf>
    <xf borderId="0" fillId="0" fontId="12" numFmtId="0" xfId="0" applyAlignment="1" applyFont="1">
      <alignment shrinkToFit="0" vertical="center" wrapText="1"/>
    </xf>
    <xf borderId="0" fillId="0" fontId="12" numFmtId="0" xfId="0" applyAlignment="1" applyFont="1">
      <alignment readingOrder="0" shrinkToFit="0" vertical="center" wrapText="1"/>
    </xf>
    <xf borderId="0" fillId="0" fontId="12" numFmtId="0" xfId="0" applyAlignment="1" applyFont="1">
      <alignment readingOrder="0" vertical="center"/>
    </xf>
    <xf borderId="0" fillId="0" fontId="12" numFmtId="0" xfId="0" applyFont="1"/>
    <xf borderId="0" fillId="2" fontId="12" numFmtId="0" xfId="0" applyAlignment="1" applyFill="1" applyFont="1">
      <alignment vertical="center"/>
    </xf>
    <xf borderId="0" fillId="0" fontId="12" numFmtId="0" xfId="0" applyAlignment="1" applyFont="1">
      <alignment shrinkToFit="0" wrapText="1"/>
    </xf>
    <xf borderId="0" fillId="0" fontId="13" numFmtId="0" xfId="0" applyAlignment="1" applyFont="1">
      <alignment readingOrder="0"/>
    </xf>
    <xf borderId="0" fillId="0" fontId="4" numFmtId="164" xfId="0" applyAlignment="1" applyFont="1" applyNumberFormat="1">
      <alignment vertical="center"/>
    </xf>
    <xf borderId="9" fillId="0" fontId="9" numFmtId="164" xfId="0" applyAlignment="1" applyBorder="1" applyFont="1" applyNumberFormat="1">
      <alignment shrinkToFit="0" vertical="center" wrapText="0"/>
    </xf>
    <xf borderId="0" fillId="0" fontId="4" numFmtId="0" xfId="0" applyAlignment="1" applyFont="1">
      <alignment vertical="center"/>
    </xf>
    <xf borderId="0" fillId="0" fontId="4" numFmtId="4" xfId="0" applyAlignment="1" applyFont="1" applyNumberFormat="1">
      <alignment readingOrder="0" vertical="center"/>
    </xf>
    <xf borderId="10" fillId="0" fontId="9" numFmtId="164" xfId="0" applyAlignment="1" applyBorder="1" applyFont="1" applyNumberFormat="1">
      <alignment shrinkToFit="0" vertical="center" wrapText="0"/>
    </xf>
    <xf borderId="0" fillId="0" fontId="4" numFmtId="4" xfId="0" applyAlignment="1" applyFont="1" applyNumberFormat="1">
      <alignment shrinkToFit="0" vertical="center" wrapText="1"/>
    </xf>
    <xf borderId="0" fillId="0" fontId="1" numFmtId="4" xfId="0" applyAlignment="1" applyFont="1" applyNumberFormat="1">
      <alignment shrinkToFit="0" textRotation="0" vertical="center" wrapText="1"/>
    </xf>
    <xf borderId="0" fillId="0" fontId="4" numFmtId="4" xfId="0" applyAlignment="1" applyFont="1" applyNumberFormat="1">
      <alignment vertical="center"/>
    </xf>
    <xf borderId="0" fillId="0" fontId="4" numFmtId="164" xfId="0" applyAlignment="1" applyFont="1" applyNumberFormat="1">
      <alignment readingOrder="0" vertical="center"/>
    </xf>
    <xf borderId="0" fillId="0" fontId="4" numFmtId="164" xfId="0" applyAlignment="1" applyFont="1" applyNumberFormat="1">
      <alignment shrinkToFit="0" vertical="center" wrapText="0"/>
    </xf>
    <xf borderId="0" fillId="0" fontId="4" numFmtId="164" xfId="0" applyAlignment="1" applyFont="1" applyNumberFormat="1">
      <alignment shrinkToFit="0" vertical="center" wrapText="1"/>
    </xf>
    <xf borderId="0" fillId="0" fontId="14" numFmtId="164" xfId="0" applyAlignment="1" applyFont="1" applyNumberFormat="1">
      <alignment shrinkToFit="0" vertical="center" wrapText="0"/>
    </xf>
    <xf borderId="0" fillId="0" fontId="4" numFmtId="4" xfId="0" applyAlignment="1" applyFont="1" applyNumberFormat="1">
      <alignment vertical="center"/>
    </xf>
    <xf borderId="0" fillId="0" fontId="4" numFmtId="4" xfId="0" applyAlignment="1" applyFont="1" applyNumberFormat="1">
      <alignment readingOrder="0" shrinkToFit="0" vertical="center" wrapText="1"/>
    </xf>
    <xf borderId="1" fillId="5" fontId="4" numFmtId="4" xfId="0" applyAlignment="1" applyBorder="1" applyFill="1" applyFont="1" applyNumberFormat="1">
      <alignment horizontal="center" shrinkToFit="0" vertical="center" wrapText="0"/>
    </xf>
    <xf borderId="1" fillId="5" fontId="9" numFmtId="4" xfId="0" applyAlignment="1" applyBorder="1" applyFill="1" applyFont="1" applyNumberFormat="1">
      <alignment horizontal="center" shrinkToFit="0" vertical="center" wrapText="0"/>
    </xf>
    <xf borderId="4" fillId="2" fontId="2" numFmtId="164" xfId="0" applyAlignment="1" applyBorder="1" applyFill="1" applyFont="1" applyNumberFormat="1">
      <alignment horizontal="center" shrinkToFit="0" textRotation="0" wrapText="1"/>
    </xf>
    <xf borderId="1" fillId="5" fontId="9" numFmtId="4" xfId="0" applyAlignment="1" applyBorder="1" applyFill="1" applyFont="1" applyNumberFormat="1">
      <alignment horizontal="center" shrinkToFit="0" vertical="center" wrapText="1"/>
    </xf>
    <xf borderId="0" fillId="2" fontId="9" numFmtId="4" xfId="0" applyAlignment="1" applyFill="1" applyFont="1" applyNumberFormat="1">
      <alignment vertical="center"/>
    </xf>
    <xf borderId="0" fillId="2" fontId="4" numFmtId="0" xfId="0" applyAlignment="1" applyFill="1" applyFont="1">
      <alignment readingOrder="0" shrinkToFit="0" vertical="center" wrapText="0"/>
    </xf>
    <xf borderId="4" fillId="5" fontId="2" numFmtId="165" xfId="0" applyAlignment="1" applyBorder="1" applyFill="1" applyFont="1" applyNumberFormat="1">
      <alignment horizontal="center" shrinkToFit="0" textRotation="0" vertical="center" wrapText="1"/>
    </xf>
    <xf borderId="0" fillId="2" fontId="4" numFmtId="4" xfId="0" applyAlignment="1" applyFill="1" applyFont="1" applyNumberFormat="1">
      <alignment readingOrder="0" shrinkToFit="0" vertical="center" wrapText="0"/>
    </xf>
    <xf borderId="0" fillId="2" fontId="1" numFmtId="4" xfId="0" applyAlignment="1" applyFill="1" applyFont="1" applyNumberFormat="1">
      <alignment readingOrder="0" shrinkToFit="0" vertical="center" wrapText="0"/>
    </xf>
    <xf borderId="4" fillId="5" fontId="2" numFmtId="4" xfId="0" applyAlignment="1" applyBorder="1" applyFill="1" applyFont="1" applyNumberFormat="1">
      <alignment horizontal="center" shrinkToFit="0" textRotation="0" wrapText="1"/>
    </xf>
    <xf borderId="0" fillId="4" fontId="4" numFmtId="4" xfId="0" applyAlignment="1" applyFill="1" applyFont="1" applyNumberFormat="1">
      <alignment readingOrder="0" shrinkToFit="0" vertical="center" wrapText="0"/>
    </xf>
    <xf borderId="4" fillId="5" fontId="2" numFmtId="1" xfId="0" applyAlignment="1" applyBorder="1" applyFill="1" applyFont="1" applyNumberFormat="1">
      <alignment horizontal="center" shrinkToFit="0" textRotation="0" wrapText="1"/>
    </xf>
    <xf borderId="0" fillId="9" fontId="1" numFmtId="4" xfId="0" applyAlignment="1" applyFill="1" applyFont="1" applyNumberFormat="1">
      <alignment readingOrder="0" shrinkToFit="0" vertical="center" wrapText="0"/>
    </xf>
    <xf borderId="0" fillId="4" fontId="15" numFmtId="4" xfId="0" applyAlignment="1" applyFill="1" applyFont="1" applyNumberFormat="1">
      <alignment readingOrder="0"/>
    </xf>
    <xf borderId="4" fillId="5" fontId="2" numFmtId="167" xfId="0" applyAlignment="1" applyBorder="1" applyFill="1" applyFont="1" applyNumberFormat="1">
      <alignment horizontal="center" shrinkToFit="0" textRotation="0" wrapText="1"/>
    </xf>
    <xf borderId="0" fillId="2" fontId="4" numFmtId="4" xfId="0" applyAlignment="1" applyFill="1" applyFont="1" applyNumberFormat="1">
      <alignment shrinkToFit="0" vertical="center" wrapText="0"/>
    </xf>
    <xf borderId="10" fillId="2" fontId="1" numFmtId="164" xfId="0" applyAlignment="1" applyBorder="1" applyFill="1" applyFont="1" applyNumberFormat="1">
      <alignment shrinkToFit="0" textRotation="0" vertical="center" wrapText="1"/>
    </xf>
    <xf borderId="10" fillId="2" fontId="1" numFmtId="164" xfId="0" applyAlignment="1" applyBorder="1" applyFill="1" applyFont="1" applyNumberFormat="1">
      <alignment shrinkToFit="0" textRotation="0" vertical="center" wrapText="0"/>
    </xf>
    <xf borderId="10" fillId="2" fontId="1" numFmtId="0" xfId="0" applyAlignment="1" applyBorder="1" applyFill="1" applyFont="1">
      <alignment horizontal="center" shrinkToFit="0" textRotation="0" vertical="center" wrapText="0"/>
    </xf>
    <xf borderId="0" fillId="5" fontId="3" numFmtId="4" xfId="0" applyFill="1" applyFont="1" applyNumberFormat="1"/>
    <xf borderId="10" fillId="2" fontId="1" numFmtId="0" xfId="0" applyAlignment="1" applyBorder="1" applyFill="1" applyFont="1">
      <alignment shrinkToFit="0" textRotation="0" vertical="center" wrapText="1"/>
    </xf>
    <xf borderId="0" fillId="0" fontId="4" numFmtId="0" xfId="0" applyAlignment="1" applyFont="1">
      <alignment horizontal="right" shrinkToFit="0" vertical="center" wrapText="0"/>
    </xf>
    <xf borderId="10" fillId="2" fontId="1" numFmtId="0" xfId="0" applyAlignment="1" applyBorder="1" applyFill="1" applyFont="1">
      <alignment shrinkToFit="0" textRotation="0" vertical="center" wrapText="0"/>
    </xf>
    <xf borderId="2" fillId="0" fontId="4" numFmtId="4" xfId="0" applyAlignment="1" applyBorder="1" applyFont="1" applyNumberFormat="1">
      <alignment horizontal="right" shrinkToFit="0" vertical="center" wrapText="1"/>
    </xf>
    <xf borderId="10" fillId="2" fontId="1" numFmtId="1" xfId="0" applyAlignment="1" applyBorder="1" applyFill="1" applyFont="1" applyNumberFormat="1">
      <alignment shrinkToFit="0" textRotation="0" vertical="center" wrapText="1"/>
    </xf>
    <xf borderId="10" fillId="2" fontId="1" numFmtId="4" xfId="0" applyAlignment="1" applyBorder="1" applyFill="1" applyFont="1" applyNumberFormat="1">
      <alignment shrinkToFit="0" textRotation="0" vertical="center" wrapText="1"/>
    </xf>
    <xf borderId="8" fillId="0" fontId="1" numFmtId="0" xfId="0" applyAlignment="1" applyBorder="1" applyFont="1">
      <alignment horizontal="center" shrinkToFit="0" textRotation="0" wrapText="1"/>
    </xf>
    <xf borderId="10" fillId="2" fontId="1" numFmtId="165" xfId="0" applyAlignment="1" applyBorder="1" applyFill="1" applyFont="1" applyNumberFormat="1">
      <alignment shrinkToFit="0" textRotation="0" vertical="center" wrapText="1"/>
    </xf>
    <xf borderId="10" fillId="0" fontId="1" numFmtId="0" xfId="0" applyAlignment="1" applyBorder="1" applyFont="1">
      <alignment horizontal="center" shrinkToFit="0" textRotation="0" wrapText="1"/>
    </xf>
    <xf borderId="1" fillId="2" fontId="1" numFmtId="164" xfId="0" applyAlignment="1" applyBorder="1" applyFill="1" applyFont="1" applyNumberFormat="1">
      <alignment shrinkToFit="0" textRotation="0" vertical="center" wrapText="1"/>
    </xf>
    <xf borderId="1" fillId="2" fontId="1" numFmtId="164" xfId="0" applyAlignment="1" applyBorder="1" applyFill="1" applyFont="1" applyNumberFormat="1">
      <alignment shrinkToFit="0" textRotation="0" vertical="center" wrapText="0"/>
    </xf>
    <xf borderId="4" fillId="3" fontId="2" numFmtId="0" xfId="0" applyAlignment="1" applyBorder="1" applyFill="1" applyFont="1">
      <alignment horizontal="center" textRotation="0"/>
    </xf>
    <xf borderId="10" fillId="0" fontId="4" numFmtId="0" xfId="0" applyBorder="1" applyFont="1"/>
    <xf borderId="10" fillId="0" fontId="4" numFmtId="164" xfId="0" applyAlignment="1" applyBorder="1" applyFont="1" applyNumberFormat="1">
      <alignment vertical="center"/>
    </xf>
    <xf borderId="1" fillId="2" fontId="1" numFmtId="0" xfId="0" applyAlignment="1" applyBorder="1" applyFill="1" applyFont="1">
      <alignment horizontal="center" shrinkToFit="0" textRotation="0" vertical="center" wrapText="0"/>
    </xf>
    <xf borderId="1" fillId="2" fontId="1" numFmtId="0" xfId="0" applyAlignment="1" applyBorder="1" applyFill="1" applyFont="1">
      <alignment shrinkToFit="0" textRotation="0" vertical="center" wrapText="1"/>
    </xf>
    <xf borderId="1" fillId="2" fontId="1" numFmtId="0" xfId="0" applyAlignment="1" applyBorder="1" applyFill="1" applyFont="1">
      <alignment shrinkToFit="0" textRotation="0" vertical="center" wrapText="0"/>
    </xf>
    <xf borderId="1" fillId="2" fontId="1" numFmtId="1" xfId="0" applyAlignment="1" applyBorder="1" applyFill="1" applyFont="1" applyNumberFormat="1">
      <alignment shrinkToFit="0" textRotation="0" vertical="center" wrapText="1"/>
    </xf>
    <xf borderId="10" fillId="0" fontId="4" numFmtId="0" xfId="0" applyAlignment="1" applyBorder="1" applyFont="1">
      <alignment vertical="center"/>
    </xf>
    <xf borderId="1" fillId="2" fontId="1" numFmtId="4" xfId="0" applyAlignment="1" applyBorder="1" applyFill="1" applyFont="1" applyNumberFormat="1">
      <alignment shrinkToFit="0" textRotation="0" vertical="center" wrapText="1"/>
    </xf>
    <xf borderId="1" fillId="2" fontId="1" numFmtId="165" xfId="0" applyAlignment="1" applyBorder="1" applyFill="1" applyFont="1" applyNumberFormat="1">
      <alignment shrinkToFit="0" textRotation="0" vertical="center" wrapText="1"/>
    </xf>
    <xf borderId="10" fillId="2" fontId="1" numFmtId="0" xfId="0" applyAlignment="1" applyBorder="1" applyFill="1" applyFont="1">
      <alignment shrinkToFit="0" textRotation="0" wrapText="1"/>
    </xf>
    <xf borderId="10" fillId="2" fontId="1" numFmtId="1" xfId="0" applyAlignment="1" applyBorder="1" applyFill="1" applyFont="1" applyNumberFormat="1">
      <alignment horizontal="right" shrinkToFit="0" textRotation="0" wrapText="1"/>
    </xf>
    <xf borderId="10" fillId="2" fontId="1" numFmtId="4" xfId="0" applyAlignment="1" applyBorder="1" applyFill="1" applyFont="1" applyNumberFormat="1">
      <alignment horizontal="right" shrinkToFit="0" textRotation="0" wrapText="1"/>
    </xf>
    <xf borderId="0" fillId="2" fontId="4" numFmtId="4" xfId="0" applyAlignment="1" applyFill="1" applyFont="1" applyNumberFormat="1">
      <alignment readingOrder="0" shrinkToFit="0" vertical="center" wrapText="0"/>
    </xf>
    <xf borderId="10" fillId="2" fontId="1" numFmtId="0" xfId="0" applyAlignment="1" applyBorder="1" applyFill="1" applyFont="1">
      <alignment horizontal="right" shrinkToFit="0" textRotation="0" wrapText="1"/>
    </xf>
    <xf borderId="7" fillId="5" fontId="4" numFmtId="4" xfId="0" applyAlignment="1" applyBorder="1" applyFill="1" applyFont="1" applyNumberFormat="1">
      <alignment shrinkToFit="0" vertical="center" wrapText="0"/>
    </xf>
    <xf borderId="1" fillId="5" fontId="4" numFmtId="4" xfId="0" applyAlignment="1" applyBorder="1" applyFill="1" applyFont="1" applyNumberFormat="1">
      <alignment shrinkToFit="0" vertical="center" wrapText="0"/>
    </xf>
    <xf borderId="10" fillId="2" fontId="3" numFmtId="164" xfId="0" applyBorder="1" applyFill="1" applyFont="1" applyNumberFormat="1"/>
    <xf borderId="0" fillId="0" fontId="3" numFmtId="0" xfId="0" applyFont="1"/>
    <xf borderId="3" fillId="5" fontId="4" numFmtId="4" xfId="0" applyAlignment="1" applyBorder="1" applyFill="1" applyFont="1" applyNumberFormat="1">
      <alignment shrinkToFit="0" vertical="center" wrapText="0"/>
    </xf>
    <xf borderId="3" fillId="10" fontId="2" numFmtId="4" xfId="0" applyAlignment="1" applyBorder="1" applyFill="1" applyFont="1" applyNumberFormat="1">
      <alignment shrinkToFit="0" vertical="center" wrapText="0"/>
    </xf>
    <xf borderId="0" fillId="5" fontId="2" numFmtId="4" xfId="0" applyAlignment="1" applyFill="1" applyFont="1" applyNumberFormat="1">
      <alignment shrinkToFit="0" vertical="center" wrapText="0"/>
    </xf>
    <xf borderId="0" fillId="11" fontId="9" numFmtId="4" xfId="0" applyAlignment="1" applyFill="1" applyFont="1" applyNumberFormat="1">
      <alignment shrinkToFit="0" vertical="center" wrapText="0"/>
    </xf>
    <xf borderId="0" fillId="11" fontId="4" numFmtId="4" xfId="0" applyAlignment="1" applyFill="1" applyFont="1" applyNumberFormat="1">
      <alignment shrinkToFit="0" vertical="center" wrapText="0"/>
    </xf>
    <xf borderId="0" fillId="11" fontId="16" numFmtId="4" xfId="0" applyAlignment="1" applyFill="1" applyFont="1" applyNumberFormat="1">
      <alignment shrinkToFit="0" vertical="center" wrapText="0"/>
    </xf>
    <xf borderId="0" fillId="5" fontId="4" numFmtId="4" xfId="0" applyAlignment="1" applyFill="1" applyFont="1" applyNumberFormat="1">
      <alignment shrinkToFit="0" vertical="center" wrapText="0"/>
    </xf>
    <xf borderId="0" fillId="12" fontId="16" numFmtId="4" xfId="0" applyAlignment="1" applyFill="1" applyFont="1" applyNumberFormat="1">
      <alignment shrinkToFit="0" vertical="center" wrapText="0"/>
    </xf>
    <xf borderId="0" fillId="13" fontId="16" numFmtId="4" xfId="0" applyAlignment="1" applyFill="1" applyFont="1" applyNumberFormat="1">
      <alignment shrinkToFit="0" vertical="center" wrapText="0"/>
    </xf>
    <xf borderId="0" fillId="13" fontId="17" numFmtId="4" xfId="0" applyAlignment="1" applyFill="1" applyFont="1" applyNumberFormat="1">
      <alignment shrinkToFit="0" vertical="center" wrapText="0"/>
    </xf>
    <xf borderId="0" fillId="5" fontId="4" numFmtId="4" xfId="0" applyAlignment="1" applyFill="1" applyFont="1" applyNumberFormat="1">
      <alignment readingOrder="0" shrinkToFit="0" vertical="center" wrapText="0"/>
    </xf>
    <xf borderId="0" fillId="2" fontId="4" numFmtId="0" xfId="0" applyAlignment="1" applyFill="1" applyFont="1">
      <alignment horizontal="right" vertical="center"/>
    </xf>
    <xf borderId="2" fillId="2" fontId="4" numFmtId="4" xfId="0" applyAlignment="1" applyBorder="1" applyFill="1" applyFont="1" applyNumberFormat="1">
      <alignment horizontal="right" vertical="center"/>
    </xf>
    <xf borderId="8" fillId="0" fontId="4" numFmtId="49" xfId="0" applyAlignment="1" applyBorder="1" applyFont="1" applyNumberFormat="1">
      <alignment shrinkToFit="0" vertical="center" wrapText="1"/>
    </xf>
    <xf borderId="8" fillId="0" fontId="4" numFmtId="49" xfId="0" applyAlignment="1" applyBorder="1" applyFont="1" applyNumberFormat="1">
      <alignment readingOrder="0" shrinkToFit="0" vertical="center" wrapText="1"/>
    </xf>
    <xf borderId="8" fillId="0" fontId="4" numFmtId="1" xfId="0" applyAlignment="1" applyBorder="1" applyFont="1" applyNumberFormat="1">
      <alignment readingOrder="0" shrinkToFit="0" vertical="center" wrapText="1"/>
    </xf>
    <xf borderId="1" fillId="0" fontId="4" numFmtId="49" xfId="0" applyAlignment="1" applyBorder="1" applyFont="1" applyNumberFormat="1">
      <alignment readingOrder="0" shrinkToFit="0" vertical="center" wrapText="1"/>
    </xf>
    <xf borderId="1" fillId="2" fontId="4" numFmtId="4" xfId="0" applyAlignment="1" applyBorder="1" applyFill="1" applyFont="1" applyNumberFormat="1">
      <alignment horizontal="right" readingOrder="0" vertical="center"/>
    </xf>
    <xf borderId="2" fillId="0" fontId="4" numFmtId="0" xfId="0" applyAlignment="1" applyBorder="1" applyFont="1">
      <alignment vertical="center"/>
    </xf>
    <xf borderId="1" fillId="2" fontId="4" numFmtId="4" xfId="0" applyAlignment="1" applyBorder="1" applyFill="1" applyFont="1" applyNumberFormat="1">
      <alignment vertical="center"/>
    </xf>
    <xf borderId="1" fillId="2" fontId="4" numFmtId="167" xfId="0" applyAlignment="1" applyBorder="1" applyFill="1" applyFont="1" applyNumberFormat="1">
      <alignment vertical="center"/>
    </xf>
    <xf borderId="1" fillId="2" fontId="4" numFmtId="10" xfId="0" applyAlignment="1" applyBorder="1" applyFill="1" applyFont="1" applyNumberFormat="1">
      <alignment vertical="center"/>
    </xf>
    <xf borderId="1" fillId="2" fontId="4" numFmtId="0" xfId="0" applyAlignment="1" applyBorder="1" applyFill="1" applyFont="1">
      <alignment vertical="center"/>
    </xf>
    <xf borderId="8" fillId="0" fontId="4" numFmtId="49" xfId="0" applyAlignment="1" applyBorder="1" applyFont="1" applyNumberFormat="1">
      <alignment shrinkToFit="0" vertical="center" wrapText="0"/>
    </xf>
    <xf borderId="0" fillId="2" fontId="4" numFmtId="4" xfId="0" applyAlignment="1" applyFill="1" applyFont="1" applyNumberFormat="1">
      <alignment horizontal="left" readingOrder="0" shrinkToFit="0" vertical="center" wrapText="0"/>
    </xf>
    <xf borderId="2" fillId="0" fontId="4" numFmtId="9" xfId="0" applyAlignment="1" applyBorder="1" applyFont="1" applyNumberFormat="1">
      <alignment horizontal="right" shrinkToFit="0" vertical="center" wrapText="1"/>
    </xf>
    <xf borderId="0" fillId="4" fontId="4" numFmtId="4" xfId="0" applyAlignment="1" applyFill="1" applyFont="1" applyNumberFormat="1">
      <alignment horizontal="left" readingOrder="0" shrinkToFit="0" vertical="center" wrapText="0"/>
    </xf>
    <xf borderId="0" fillId="0" fontId="4" numFmtId="4" xfId="0" applyAlignment="1" applyFont="1" applyNumberFormat="1">
      <alignment horizontal="left" readingOrder="0" shrinkToFit="0" vertical="center" wrapText="0"/>
    </xf>
    <xf borderId="0" fillId="0" fontId="4" numFmtId="0" xfId="0" applyAlignment="1" applyFont="1">
      <alignment shrinkToFit="0" vertical="center" wrapText="0"/>
    </xf>
    <xf borderId="2" fillId="0" fontId="18" numFmtId="0" xfId="0" applyAlignment="1" applyBorder="1" applyFont="1">
      <alignment horizontal="right" shrinkToFit="0" vertical="center" wrapText="1"/>
    </xf>
    <xf borderId="7" fillId="0" fontId="4" numFmtId="4" xfId="0" applyAlignment="1" applyBorder="1" applyFont="1" applyNumberFormat="1">
      <alignment horizontal="right" vertical="center"/>
    </xf>
    <xf borderId="2" fillId="0" fontId="4" numFmtId="0" xfId="0" applyAlignment="1" applyBorder="1" applyFont="1">
      <alignment horizontal="right" shrinkToFit="0" vertical="center" wrapText="1"/>
    </xf>
    <xf borderId="7" fillId="0" fontId="4" numFmtId="4" xfId="0" applyAlignment="1" applyBorder="1" applyFont="1" applyNumberFormat="1">
      <alignment vertical="center"/>
    </xf>
    <xf borderId="2" fillId="0" fontId="19" numFmtId="0" xfId="0" applyAlignment="1" applyBorder="1" applyFont="1">
      <alignment shrinkToFit="0" vertical="center" wrapText="0"/>
    </xf>
    <xf borderId="0" fillId="0" fontId="4" numFmtId="4" xfId="0" applyAlignment="1" applyFont="1" applyNumberFormat="1">
      <alignment shrinkToFit="0" vertical="center" wrapText="0"/>
    </xf>
    <xf borderId="0" fillId="10" fontId="4" numFmtId="4" xfId="0" applyAlignment="1" applyFill="1" applyFont="1" applyNumberFormat="1">
      <alignment shrinkToFit="0" vertical="center" wrapText="0"/>
    </xf>
    <xf borderId="2" fillId="0" fontId="4" numFmtId="164" xfId="0" applyAlignment="1" applyBorder="1" applyFont="1" applyNumberFormat="1">
      <alignment vertical="center"/>
    </xf>
    <xf borderId="0" fillId="5" fontId="1" numFmtId="4" xfId="0" applyAlignment="1" applyFill="1" applyFont="1" applyNumberFormat="1">
      <alignment shrinkToFit="0" vertical="center" wrapText="0"/>
    </xf>
    <xf borderId="0" fillId="0" fontId="4" numFmtId="4" xfId="0" applyAlignment="1" applyFont="1" applyNumberFormat="1">
      <alignment readingOrder="0" shrinkToFit="0" vertical="center" wrapText="0"/>
    </xf>
    <xf borderId="0" fillId="0" fontId="4" numFmtId="0" xfId="0" applyAlignment="1" applyFont="1">
      <alignment horizontal="right" vertical="center"/>
    </xf>
    <xf borderId="1" fillId="0" fontId="4" numFmtId="4" xfId="0" applyAlignment="1" applyBorder="1" applyFont="1" applyNumberFormat="1">
      <alignment horizontal="right" vertical="center"/>
    </xf>
    <xf borderId="4" fillId="5" fontId="2" numFmtId="4" xfId="0" applyAlignment="1" applyBorder="1" applyFill="1" applyFont="1" applyNumberFormat="1">
      <alignment horizontal="center" textRotation="0"/>
    </xf>
    <xf borderId="1" fillId="0" fontId="4" numFmtId="167" xfId="0" applyAlignment="1" applyBorder="1" applyFont="1" applyNumberFormat="1">
      <alignment vertical="center"/>
    </xf>
    <xf borderId="1" fillId="0" fontId="4" numFmtId="10" xfId="0" applyAlignment="1" applyBorder="1" applyFont="1" applyNumberFormat="1">
      <alignment vertical="center"/>
    </xf>
    <xf borderId="1" fillId="0" fontId="4" numFmtId="4" xfId="0" applyAlignment="1" applyBorder="1" applyFont="1" applyNumberFormat="1">
      <alignment vertical="center"/>
    </xf>
    <xf borderId="0" fillId="0" fontId="4" numFmtId="0" xfId="0" applyAlignment="1" applyFont="1">
      <alignment horizontal="right" vertical="center"/>
    </xf>
    <xf borderId="1" fillId="2" fontId="4" numFmtId="4" xfId="0" applyAlignment="1" applyBorder="1" applyFill="1" applyFont="1" applyNumberFormat="1">
      <alignment readingOrder="0" vertical="center"/>
    </xf>
    <xf borderId="2" fillId="0" fontId="4" numFmtId="0" xfId="0" applyAlignment="1" applyBorder="1" applyFont="1">
      <alignment vertical="center"/>
    </xf>
    <xf borderId="0" fillId="14" fontId="4" numFmtId="0" xfId="0" applyAlignment="1" applyFill="1" applyFont="1">
      <alignment horizontal="right" vertical="center"/>
    </xf>
    <xf borderId="2" fillId="14" fontId="4" numFmtId="9" xfId="0" applyAlignment="1" applyBorder="1" applyFill="1" applyFont="1" applyNumberFormat="1">
      <alignment horizontal="right" vertical="center"/>
    </xf>
    <xf borderId="0" fillId="15" fontId="4" numFmtId="0" xfId="0" applyAlignment="1" applyFill="1" applyFont="1">
      <alignment vertical="center"/>
    </xf>
    <xf borderId="2" fillId="15" fontId="1" numFmtId="0" xfId="0" applyAlignment="1" applyBorder="1" applyFill="1" applyFont="1">
      <alignment horizontal="right" readingOrder="0" vertical="center"/>
    </xf>
    <xf borderId="4" fillId="5" fontId="2" numFmtId="165" xfId="0" applyAlignment="1" applyBorder="1" applyFill="1" applyFont="1" applyNumberFormat="1">
      <alignment horizontal="center" shrinkToFit="0" textRotation="0" wrapText="1"/>
    </xf>
    <xf borderId="4" fillId="5" fontId="3" numFmtId="1" xfId="0" applyBorder="1" applyFill="1" applyFont="1" applyNumberFormat="1"/>
    <xf borderId="10" fillId="2" fontId="1" numFmtId="0" xfId="0" applyAlignment="1" applyBorder="1" applyFill="1" applyFont="1">
      <alignment horizontal="center" textRotation="0"/>
    </xf>
    <xf borderId="10" fillId="2" fontId="3" numFmtId="0" xfId="0" applyBorder="1" applyFill="1" applyFont="1"/>
    <xf borderId="10" fillId="2" fontId="1" numFmtId="4" xfId="0" applyAlignment="1" applyBorder="1" applyFill="1" applyFont="1" applyNumberFormat="1">
      <alignment horizontal="right" shrinkToFit="0" textRotation="0" wrapText="1"/>
    </xf>
    <xf borderId="1" fillId="2" fontId="3" numFmtId="164" xfId="0" applyBorder="1" applyFill="1" applyFont="1" applyNumberFormat="1"/>
    <xf borderId="1" fillId="2" fontId="1" numFmtId="0" xfId="0" applyAlignment="1" applyBorder="1" applyFill="1" applyFont="1">
      <alignment horizontal="center" textRotation="0"/>
    </xf>
    <xf borderId="1" fillId="2" fontId="1" numFmtId="0" xfId="0" applyAlignment="1" applyBorder="1" applyFill="1" applyFont="1">
      <alignment shrinkToFit="0" textRotation="0" wrapText="1"/>
    </xf>
    <xf borderId="1" fillId="2" fontId="3" numFmtId="0" xfId="0" applyBorder="1" applyFill="1" applyFont="1"/>
    <xf borderId="1" fillId="2" fontId="1" numFmtId="1" xfId="0" applyAlignment="1" applyBorder="1" applyFill="1" applyFont="1" applyNumberFormat="1">
      <alignment horizontal="right" shrinkToFit="0" textRotation="0" wrapText="1"/>
    </xf>
    <xf borderId="1" fillId="2" fontId="1" numFmtId="4" xfId="0" applyAlignment="1" applyBorder="1" applyFill="1" applyFont="1" applyNumberFormat="1">
      <alignment horizontal="right" shrinkToFit="0" textRotation="0" wrapText="1"/>
    </xf>
    <xf borderId="1" fillId="2" fontId="1" numFmtId="4" xfId="0" applyAlignment="1" applyBorder="1" applyFill="1" applyFont="1" applyNumberFormat="1">
      <alignment horizontal="right" shrinkToFit="0" textRotation="0" wrapText="1"/>
    </xf>
    <xf borderId="0" fillId="16" fontId="4" numFmtId="0" xfId="0" applyAlignment="1" applyFill="1" applyFont="1">
      <alignment vertical="center"/>
    </xf>
    <xf borderId="2" fillId="16" fontId="4" numFmtId="0" xfId="0" applyAlignment="1" applyBorder="1" applyFill="1" applyFont="1">
      <alignment horizontal="right" vertical="center"/>
    </xf>
    <xf borderId="1" fillId="2" fontId="1" numFmtId="1" xfId="0" applyAlignment="1" applyBorder="1" applyFill="1" applyFont="1" applyNumberFormat="1">
      <alignment shrinkToFit="0" textRotation="0" wrapText="1"/>
    </xf>
    <xf borderId="1" fillId="2" fontId="1" numFmtId="164" xfId="0" applyAlignment="1" applyBorder="1" applyFill="1" applyFont="1" applyNumberFormat="1">
      <alignment horizontal="right" shrinkToFit="0" textRotation="0" wrapText="1"/>
    </xf>
    <xf borderId="1" fillId="2" fontId="3" numFmtId="4" xfId="0" applyBorder="1" applyFill="1" applyFont="1" applyNumberFormat="1"/>
    <xf borderId="10" fillId="0" fontId="3" numFmtId="0" xfId="0" applyBorder="1" applyFont="1"/>
    <xf borderId="2" fillId="0" fontId="4" numFmtId="0" xfId="0" applyAlignment="1" applyBorder="1" applyFont="1">
      <alignment readingOrder="0" vertical="center"/>
    </xf>
    <xf borderId="9" fillId="3" fontId="9" numFmtId="164" xfId="0" applyAlignment="1" applyBorder="1" applyFill="1" applyFont="1" applyNumberFormat="1">
      <alignment shrinkToFit="0" vertical="center" wrapText="0"/>
    </xf>
    <xf borderId="1" fillId="2" fontId="3" numFmtId="4" xfId="0" applyBorder="1" applyFill="1" applyFont="1" applyNumberFormat="1"/>
    <xf borderId="0" fillId="2" fontId="4" numFmtId="0" xfId="0" applyAlignment="1" applyFill="1" applyFont="1">
      <alignment vertical="center"/>
    </xf>
    <xf borderId="0" fillId="0" fontId="9" numFmtId="0" xfId="0" applyAlignment="1" applyFont="1">
      <alignment readingOrder="0" vertical="center"/>
    </xf>
    <xf borderId="1" fillId="2" fontId="3" numFmtId="1" xfId="0" applyBorder="1" applyFill="1" applyFont="1" applyNumberFormat="1"/>
    <xf borderId="0" fillId="17" fontId="4" numFmtId="4" xfId="0" applyAlignment="1" applyFill="1" applyFont="1" applyNumberFormat="1">
      <alignment vertical="center"/>
    </xf>
    <xf borderId="1" fillId="2" fontId="1" numFmtId="164" xfId="0" applyAlignment="1" applyBorder="1" applyFill="1" applyFont="1" applyNumberFormat="1">
      <alignment textRotation="0"/>
    </xf>
    <xf borderId="0" fillId="0" fontId="4" numFmtId="167" xfId="0" applyAlignment="1" applyFont="1" applyNumberFormat="1">
      <alignment vertical="center"/>
    </xf>
    <xf borderId="2" fillId="0" fontId="4" numFmtId="164" xfId="0" applyAlignment="1" applyBorder="1" applyFont="1" applyNumberFormat="1">
      <alignment shrinkToFit="0" vertical="center" wrapText="0"/>
    </xf>
    <xf borderId="11" fillId="0" fontId="1" numFmtId="0" xfId="0" applyAlignment="1" applyBorder="1" applyFont="1">
      <alignment vertical="center"/>
    </xf>
    <xf borderId="12" fillId="0" fontId="4" numFmtId="0" xfId="0" applyAlignment="1" applyBorder="1" applyFont="1">
      <alignment vertical="center"/>
    </xf>
    <xf borderId="13" fillId="0" fontId="4" numFmtId="164" xfId="0" applyAlignment="1" applyBorder="1" applyFont="1" applyNumberFormat="1">
      <alignment vertical="center"/>
    </xf>
    <xf borderId="11" fillId="0" fontId="4" numFmtId="4" xfId="0" applyAlignment="1" applyBorder="1" applyFont="1" applyNumberFormat="1">
      <alignment vertical="center"/>
    </xf>
    <xf borderId="12" fillId="0" fontId="4" numFmtId="164" xfId="0" applyAlignment="1" applyBorder="1" applyFont="1" applyNumberFormat="1">
      <alignment vertical="center"/>
    </xf>
    <xf borderId="13" fillId="0" fontId="4" numFmtId="4" xfId="0" applyAlignment="1" applyBorder="1" applyFont="1" applyNumberFormat="1">
      <alignment readingOrder="0" vertical="center"/>
    </xf>
    <xf borderId="11" fillId="0" fontId="4" numFmtId="164" xfId="0" applyAlignment="1" applyBorder="1" applyFont="1" applyNumberFormat="1">
      <alignment vertical="center"/>
    </xf>
    <xf borderId="12" fillId="0" fontId="4" numFmtId="164" xfId="0" applyAlignment="1" applyBorder="1" applyFont="1" applyNumberFormat="1">
      <alignment readingOrder="0" vertical="center"/>
    </xf>
    <xf borderId="10" fillId="3" fontId="9" numFmtId="164" xfId="0" applyAlignment="1" applyBorder="1" applyFill="1" applyFont="1" applyNumberFormat="1">
      <alignment shrinkToFit="0" vertical="center" wrapText="0"/>
    </xf>
    <xf borderId="0" fillId="2" fontId="1" numFmtId="4" xfId="0" applyAlignment="1" applyFill="1" applyFont="1" applyNumberFormat="1">
      <alignment readingOrder="0" shrinkToFit="0" textRotation="0" vertical="center" wrapText="1"/>
    </xf>
    <xf borderId="0" fillId="0" fontId="4" numFmtId="1" xfId="0" applyAlignment="1" applyFont="1" applyNumberFormat="1">
      <alignment vertical="center"/>
    </xf>
    <xf borderId="0" fillId="0" fontId="4" numFmtId="167" xfId="0" applyAlignment="1" applyFont="1" applyNumberFormat="1">
      <alignment readingOrder="0" vertical="center"/>
    </xf>
    <xf borderId="2" fillId="17" fontId="20" numFmtId="4" xfId="0" applyAlignment="1" applyBorder="1" applyFill="1" applyFont="1" applyNumberFormat="1">
      <alignment shrinkToFit="0" vertical="center" wrapText="0"/>
    </xf>
    <xf borderId="14" fillId="18" fontId="21" numFmtId="0" xfId="0" applyAlignment="1" applyBorder="1" applyFill="1" applyFont="1">
      <alignment vertical="center"/>
    </xf>
    <xf borderId="15" fillId="18" fontId="21" numFmtId="0" xfId="0" applyAlignment="1" applyBorder="1" applyFill="1" applyFont="1">
      <alignment vertical="center"/>
    </xf>
    <xf borderId="16" fillId="18" fontId="21" numFmtId="0" xfId="0" applyAlignment="1" applyBorder="1" applyFill="1" applyFont="1">
      <alignment vertical="center"/>
    </xf>
    <xf borderId="2" fillId="0" fontId="4" numFmtId="4" xfId="0" applyAlignment="1" applyBorder="1" applyFont="1" applyNumberFormat="1">
      <alignment vertical="center"/>
    </xf>
    <xf borderId="0" fillId="2" fontId="4" numFmtId="4" xfId="0" applyAlignment="1" applyFill="1" applyFont="1" applyNumberFormat="1">
      <alignment vertical="center"/>
    </xf>
    <xf borderId="0" fillId="0" fontId="4" numFmtId="1" xfId="0" applyAlignment="1" applyFont="1" applyNumberFormat="1">
      <alignment shrinkToFit="0" vertical="center" wrapText="0"/>
    </xf>
    <xf borderId="14" fillId="0" fontId="4" numFmtId="164" xfId="0" applyAlignment="1" applyBorder="1" applyFont="1" applyNumberFormat="1">
      <alignment vertical="center"/>
    </xf>
    <xf borderId="15" fillId="0" fontId="4" numFmtId="164" xfId="0" applyAlignment="1" applyBorder="1" applyFont="1" applyNumberFormat="1">
      <alignment vertical="center"/>
    </xf>
    <xf borderId="16" fillId="0" fontId="4" numFmtId="164" xfId="0" applyAlignment="1" applyBorder="1" applyFont="1" applyNumberFormat="1">
      <alignment vertical="center"/>
    </xf>
    <xf borderId="0" fillId="2" fontId="4" numFmtId="164" xfId="0" applyAlignment="1" applyFill="1" applyFont="1" applyNumberFormat="1">
      <alignment vertical="center"/>
    </xf>
    <xf borderId="0" fillId="19" fontId="4" numFmtId="164" xfId="0" applyAlignment="1" applyFill="1" applyFont="1" applyNumberFormat="1">
      <alignment vertical="center"/>
    </xf>
    <xf borderId="0" fillId="19" fontId="4" numFmtId="4" xfId="0" applyAlignment="1" applyFill="1" applyFont="1" applyNumberFormat="1">
      <alignment vertical="center"/>
    </xf>
    <xf borderId="14" fillId="2" fontId="4" numFmtId="164" xfId="0" applyAlignment="1" applyBorder="1" applyFill="1" applyFont="1" applyNumberFormat="1">
      <alignment vertical="center"/>
    </xf>
    <xf borderId="0" fillId="0" fontId="4" numFmtId="164" xfId="0" applyAlignment="1" applyFont="1" applyNumberFormat="1">
      <alignment readingOrder="0" shrinkToFit="0" vertical="center" wrapText="1"/>
    </xf>
    <xf borderId="0" fillId="0" fontId="4" numFmtId="164" xfId="0" applyAlignment="1" applyFont="1" applyNumberFormat="1">
      <alignment horizontal="right" readingOrder="0" vertical="center"/>
    </xf>
    <xf borderId="0" fillId="17" fontId="4" numFmtId="164" xfId="0" applyAlignment="1" applyFill="1" applyFont="1" applyNumberFormat="1">
      <alignment vertical="center"/>
    </xf>
    <xf borderId="0" fillId="2" fontId="4" numFmtId="4" xfId="0" applyAlignment="1" applyFill="1" applyFont="1" applyNumberFormat="1">
      <alignment shrinkToFit="0" vertical="center" wrapText="0"/>
    </xf>
    <xf borderId="0" fillId="17" fontId="4" numFmtId="4" xfId="0" applyAlignment="1" applyFill="1" applyFont="1" applyNumberFormat="1">
      <alignment horizontal="right" vertical="center"/>
    </xf>
    <xf borderId="0" fillId="19" fontId="4" numFmtId="164" xfId="0" applyAlignment="1" applyFill="1" applyFont="1" applyNumberFormat="1">
      <alignment horizontal="center" readingOrder="0" vertical="center"/>
    </xf>
    <xf borderId="0" fillId="0" fontId="4" numFmtId="1" xfId="0" applyAlignment="1" applyFont="1" applyNumberFormat="1">
      <alignment readingOrder="0" vertical="center"/>
    </xf>
    <xf borderId="0" fillId="0" fontId="4" numFmtId="167" xfId="0" applyAlignment="1" applyFont="1" applyNumberFormat="1">
      <alignment readingOrder="0" shrinkToFit="0" vertical="center" wrapText="0"/>
    </xf>
    <xf borderId="0" fillId="0" fontId="4" numFmtId="4" xfId="0" applyAlignment="1" applyFont="1" applyNumberFormat="1">
      <alignment horizontal="right" vertical="center"/>
    </xf>
    <xf borderId="17" fillId="0" fontId="4" numFmtId="164" xfId="0" applyAlignment="1" applyBorder="1" applyFont="1" applyNumberFormat="1">
      <alignment vertical="center"/>
    </xf>
    <xf borderId="18" fillId="0" fontId="4" numFmtId="164" xfId="0" applyAlignment="1" applyBorder="1" applyFont="1" applyNumberFormat="1">
      <alignment vertical="center"/>
    </xf>
    <xf borderId="19" fillId="0" fontId="4" numFmtId="164" xfId="0" applyAlignment="1" applyBorder="1" applyFont="1" applyNumberFormat="1">
      <alignment vertical="center"/>
    </xf>
    <xf borderId="20" fillId="5" fontId="4" numFmtId="4" xfId="0" applyAlignment="1" applyBorder="1" applyFill="1" applyFont="1" applyNumberFormat="1">
      <alignment horizontal="left" shrinkToFit="0" vertical="center" wrapText="0"/>
    </xf>
    <xf borderId="20" fillId="5" fontId="9" numFmtId="4" xfId="0" applyAlignment="1" applyBorder="1" applyFill="1" applyFont="1" applyNumberFormat="1">
      <alignment horizontal="left" shrinkToFit="0" vertical="center" wrapText="0"/>
    </xf>
    <xf borderId="20" fillId="5" fontId="9" numFmtId="4" xfId="0" applyAlignment="1" applyBorder="1" applyFill="1" applyFont="1" applyNumberFormat="1">
      <alignment horizontal="left" shrinkToFit="0" vertical="center" wrapText="1"/>
    </xf>
    <xf borderId="20" fillId="5" fontId="9" numFmtId="4" xfId="0" applyAlignment="1" applyBorder="1" applyFill="1" applyFont="1" applyNumberFormat="1">
      <alignment horizontal="left" readingOrder="0" shrinkToFit="0" vertical="center" wrapText="1"/>
    </xf>
    <xf borderId="20" fillId="5" fontId="2" numFmtId="49" xfId="0" applyAlignment="1" applyBorder="1" applyFill="1" applyFont="1" applyNumberFormat="1">
      <alignment horizontal="center" readingOrder="0" shrinkToFit="0" textRotation="0" vertical="center" wrapText="1"/>
    </xf>
    <xf borderId="20" fillId="5" fontId="9" numFmtId="1" xfId="0" applyAlignment="1" applyBorder="1" applyFill="1" applyFont="1" applyNumberFormat="1">
      <alignment horizontal="left" shrinkToFit="0" vertical="center" wrapText="0"/>
    </xf>
    <xf borderId="20" fillId="5" fontId="9" numFmtId="167" xfId="0" applyAlignment="1" applyBorder="1" applyFill="1" applyFont="1" applyNumberFormat="1">
      <alignment horizontal="left" shrinkToFit="0" vertical="center" wrapText="0"/>
    </xf>
    <xf borderId="0" fillId="0" fontId="4" numFmtId="3" xfId="0" applyAlignment="1" applyFont="1" applyNumberFormat="1">
      <alignment shrinkToFit="0" vertical="center" wrapText="0"/>
    </xf>
    <xf borderId="0" fillId="2" fontId="4" numFmtId="164" xfId="0" applyAlignment="1" applyFill="1" applyFont="1" applyNumberFormat="1">
      <alignment shrinkToFit="0" vertical="center" wrapText="0"/>
    </xf>
    <xf borderId="0" fillId="2" fontId="4" numFmtId="3" xfId="0" applyAlignment="1" applyFill="1" applyFont="1" applyNumberFormat="1">
      <alignment shrinkToFit="0" vertical="center" wrapText="0"/>
    </xf>
    <xf borderId="10" fillId="3" fontId="9" numFmtId="164" xfId="0" applyAlignment="1" applyBorder="1" applyFill="1" applyFont="1" applyNumberFormat="1">
      <alignment shrinkToFit="0" vertical="center" wrapText="1"/>
    </xf>
    <xf borderId="0" fillId="0" fontId="4" numFmtId="164" xfId="0" applyAlignment="1" applyFont="1" applyNumberFormat="1">
      <alignment readingOrder="0" shrinkToFit="0" vertical="center" wrapText="0"/>
    </xf>
    <xf borderId="0" fillId="2" fontId="4" numFmtId="1" xfId="0" applyAlignment="1" applyFill="1" applyFont="1" applyNumberFormat="1">
      <alignment shrinkToFit="0" textRotation="0" vertical="center" wrapText="0"/>
    </xf>
    <xf borderId="0" fillId="2" fontId="4" numFmtId="3" xfId="0" applyAlignment="1" applyFill="1" applyFont="1" applyNumberFormat="1">
      <alignment shrinkToFit="0" textRotation="0" vertical="center" wrapText="0"/>
    </xf>
    <xf borderId="0" fillId="18" fontId="4" numFmtId="164" xfId="0" applyAlignment="1" applyFill="1" applyFont="1" applyNumberFormat="1">
      <alignment shrinkToFit="0" vertical="center" wrapText="0"/>
    </xf>
    <xf borderId="0" fillId="17" fontId="4" numFmtId="0" xfId="0" applyAlignment="1" applyFill="1" applyFont="1">
      <alignment shrinkToFit="0" vertical="center" wrapText="0"/>
    </xf>
    <xf borderId="0" fillId="18" fontId="4" numFmtId="0" xfId="0" applyAlignment="1" applyFill="1" applyFont="1">
      <alignment shrinkToFit="0" vertical="center" wrapText="0"/>
    </xf>
    <xf borderId="0" fillId="2" fontId="4" numFmtId="164" xfId="0" applyAlignment="1" applyFill="1" applyFont="1" applyNumberFormat="1">
      <alignment shrinkToFit="0" textRotation="0" vertical="center" wrapText="0"/>
    </xf>
    <xf borderId="0" fillId="2" fontId="1" numFmtId="3" xfId="0" applyAlignment="1" applyFill="1" applyFont="1" applyNumberFormat="1">
      <alignment shrinkToFit="0" textRotation="0" vertical="center" wrapText="0"/>
    </xf>
    <xf borderId="0" fillId="0" fontId="1" numFmtId="164" xfId="0" applyAlignment="1" applyFont="1" applyNumberFormat="1">
      <alignment shrinkToFit="0" textRotation="0" vertical="center" wrapText="0"/>
    </xf>
    <xf borderId="0" fillId="5" fontId="2" numFmtId="0" xfId="0" applyAlignment="1" applyFill="1" applyFont="1">
      <alignment horizontal="center" shrinkToFit="0" textRotation="0" vertical="center" wrapText="0"/>
    </xf>
    <xf borderId="0" fillId="5" fontId="2" numFmtId="3" xfId="0" applyAlignment="1" applyFill="1" applyFont="1" applyNumberFormat="1">
      <alignment horizontal="center" shrinkToFit="0" textRotation="0" vertical="center" wrapText="0"/>
    </xf>
    <xf borderId="0" fillId="0" fontId="4" numFmtId="0" xfId="0" applyAlignment="1" applyFont="1">
      <alignment shrinkToFit="0" vertical="center" wrapText="0"/>
    </xf>
    <xf borderId="0" fillId="18" fontId="1" numFmtId="3" xfId="0" applyAlignment="1" applyFill="1" applyFont="1" applyNumberFormat="1">
      <alignment shrinkToFit="0" textRotation="0" vertical="center" wrapText="0"/>
    </xf>
    <xf borderId="0" fillId="18" fontId="1" numFmtId="0" xfId="0" applyAlignment="1" applyFill="1" applyFont="1">
      <alignment horizontal="right" shrinkToFit="0" textRotation="0" vertical="center" wrapText="0"/>
    </xf>
    <xf borderId="0" fillId="2" fontId="4" numFmtId="3" xfId="0" applyAlignment="1" applyFill="1" applyFont="1" applyNumberFormat="1">
      <alignment readingOrder="0" shrinkToFit="0" vertical="center" wrapText="0"/>
    </xf>
    <xf borderId="0" fillId="0" fontId="4" numFmtId="4" xfId="0" applyFont="1" applyNumberFormat="1"/>
    <xf borderId="0" fillId="0" fontId="3" numFmtId="3" xfId="0" applyFont="1" applyNumberFormat="1"/>
    <xf borderId="0" fillId="0" fontId="3" numFmtId="164" xfId="0" applyFont="1" applyNumberFormat="1"/>
    <xf borderId="0" fillId="0" fontId="4" numFmtId="164" xfId="0" applyFont="1" applyNumberFormat="1"/>
    <xf borderId="0" fillId="0" fontId="3" numFmtId="4" xfId="0" applyFont="1" applyNumberFormat="1"/>
    <xf borderId="9" fillId="3" fontId="9" numFmtId="164" xfId="0" applyAlignment="1" applyBorder="1" applyFill="1" applyFont="1" applyNumberFormat="1">
      <alignment shrinkToFit="0" wrapText="0"/>
    </xf>
    <xf borderId="21" fillId="0" fontId="4" numFmtId="164" xfId="0" applyAlignment="1" applyBorder="1" applyFont="1" applyNumberFormat="1">
      <alignment vertical="center"/>
    </xf>
    <xf borderId="4" fillId="0" fontId="4" numFmtId="164" xfId="0" applyAlignment="1" applyBorder="1" applyFont="1" applyNumberFormat="1">
      <alignment vertical="center"/>
    </xf>
    <xf borderId="0" fillId="2" fontId="4" numFmtId="0" xfId="0" applyAlignment="1" applyFill="1" applyFont="1">
      <alignment horizontal="right" shrinkToFit="0" vertical="center" wrapText="0"/>
    </xf>
    <xf borderId="2" fillId="2" fontId="4" numFmtId="4" xfId="0" applyAlignment="1" applyBorder="1" applyFill="1" applyFont="1" applyNumberFormat="1">
      <alignment horizontal="right" readingOrder="0" shrinkToFit="0" vertical="center" wrapText="1"/>
    </xf>
    <xf borderId="8" fillId="2" fontId="1" numFmtId="0" xfId="0" applyAlignment="1" applyBorder="1" applyFill="1" applyFont="1">
      <alignment horizontal="center" shrinkToFit="0" textRotation="0" vertical="center" wrapText="1"/>
    </xf>
    <xf borderId="10" fillId="0" fontId="1" numFmtId="0" xfId="0" applyAlignment="1" applyBorder="1" applyFont="1">
      <alignment horizontal="center" shrinkToFit="0" textRotation="0" vertical="center" wrapText="1"/>
    </xf>
    <xf borderId="10" fillId="0" fontId="1" numFmtId="0" xfId="0" applyAlignment="1" applyBorder="1" applyFont="1">
      <alignment shrinkToFit="0" textRotation="0" vertical="center" wrapText="1"/>
    </xf>
    <xf borderId="10" fillId="0" fontId="1" numFmtId="164" xfId="0" applyAlignment="1" applyBorder="1" applyFont="1" applyNumberFormat="1">
      <alignment shrinkToFit="0" textRotation="0" vertical="center" wrapText="1"/>
    </xf>
    <xf borderId="10" fillId="0" fontId="1" numFmtId="1" xfId="0" applyAlignment="1" applyBorder="1" applyFont="1" applyNumberFormat="1">
      <alignment shrinkToFit="0" textRotation="0" vertical="center" wrapText="1"/>
    </xf>
    <xf borderId="10" fillId="0" fontId="1" numFmtId="4" xfId="0" applyAlignment="1" applyBorder="1" applyFont="1" applyNumberFormat="1">
      <alignment shrinkToFit="0" textRotation="0" vertical="center" wrapText="1"/>
    </xf>
    <xf borderId="4" fillId="3" fontId="9" numFmtId="0" xfId="0" applyAlignment="1" applyBorder="1" applyFill="1" applyFont="1">
      <alignment shrinkToFit="0" vertical="center" wrapText="0"/>
    </xf>
    <xf borderId="10" fillId="2" fontId="1" numFmtId="4" xfId="0" applyAlignment="1" applyBorder="1" applyFill="1" applyFont="1" applyNumberFormat="1">
      <alignment shrinkToFit="0" textRotation="0" vertical="center" wrapText="1"/>
    </xf>
    <xf borderId="4" fillId="5" fontId="9" numFmtId="3" xfId="0" applyAlignment="1" applyBorder="1" applyFill="1" applyFont="1" applyNumberFormat="1">
      <alignment horizontal="center" shrinkToFit="0" vertical="center" wrapText="1"/>
    </xf>
    <xf borderId="10" fillId="2" fontId="1" numFmtId="167" xfId="0" applyAlignment="1" applyBorder="1" applyFill="1" applyFont="1" applyNumberFormat="1">
      <alignment shrinkToFit="0" textRotation="0" vertical="center" wrapText="1"/>
    </xf>
    <xf borderId="11" fillId="2" fontId="1" numFmtId="164" xfId="0" applyAlignment="1" applyBorder="1" applyFill="1" applyFont="1" applyNumberFormat="1">
      <alignment shrinkToFit="0" textRotation="0" vertical="center" wrapText="1"/>
    </xf>
    <xf borderId="12" fillId="2" fontId="1" numFmtId="164" xfId="0" applyAlignment="1" applyBorder="1" applyFill="1" applyFont="1" applyNumberFormat="1">
      <alignment shrinkToFit="0" textRotation="0" vertical="center" wrapText="1"/>
    </xf>
    <xf borderId="13" fillId="2" fontId="1" numFmtId="164" xfId="0" applyAlignment="1" applyBorder="1" applyFill="1" applyFont="1" applyNumberFormat="1">
      <alignment shrinkToFit="0" textRotation="0" vertical="center" wrapText="1"/>
    </xf>
    <xf borderId="11" fillId="2" fontId="1" numFmtId="4" xfId="0" applyAlignment="1" applyBorder="1" applyFill="1" applyFont="1" applyNumberFormat="1">
      <alignment shrinkToFit="0" textRotation="0" vertical="center" wrapText="1"/>
    </xf>
    <xf borderId="12" fillId="2" fontId="1" numFmtId="4" xfId="0" applyAlignment="1" applyBorder="1" applyFill="1" applyFont="1" applyNumberFormat="1">
      <alignment shrinkToFit="0" textRotation="0" vertical="center" wrapText="1"/>
    </xf>
    <xf borderId="13" fillId="2" fontId="1" numFmtId="4" xfId="0" applyAlignment="1" applyBorder="1" applyFill="1" applyFont="1" applyNumberFormat="1">
      <alignment shrinkToFit="0" textRotation="0" vertical="center" wrapText="1"/>
    </xf>
    <xf borderId="0" fillId="0" fontId="4" numFmtId="0" xfId="0" applyAlignment="1" applyFont="1">
      <alignment horizontal="right" shrinkToFit="0" vertical="center" wrapText="0"/>
    </xf>
    <xf borderId="4" fillId="5" fontId="9" numFmtId="49" xfId="0" applyAlignment="1" applyBorder="1" applyFill="1" applyFont="1" applyNumberFormat="1">
      <alignment horizontal="center" shrinkToFit="0" vertical="center" wrapText="1"/>
    </xf>
    <xf borderId="1" fillId="0" fontId="1" numFmtId="164" xfId="0" applyAlignment="1" applyBorder="1" applyFont="1" applyNumberFormat="1">
      <alignment shrinkToFit="0" textRotation="0" vertical="center" wrapText="1"/>
    </xf>
    <xf borderId="1" fillId="0" fontId="1" numFmtId="0" xfId="0" applyAlignment="1" applyBorder="1" applyFont="1">
      <alignment readingOrder="0" shrinkToFit="0" textRotation="0" vertical="center" wrapText="1"/>
    </xf>
    <xf borderId="1" fillId="0" fontId="1" numFmtId="4" xfId="0" applyAlignment="1" applyBorder="1" applyFont="1" applyNumberFormat="1">
      <alignment shrinkToFit="0" textRotation="0" vertical="center" wrapText="1"/>
    </xf>
    <xf borderId="14" fillId="2" fontId="1" numFmtId="164" xfId="0" applyAlignment="1" applyBorder="1" applyFill="1" applyFont="1" applyNumberFormat="1">
      <alignment shrinkToFit="0" textRotation="0" vertical="center" wrapText="1"/>
    </xf>
    <xf borderId="15" fillId="2" fontId="1" numFmtId="164" xfId="0" applyAlignment="1" applyBorder="1" applyFill="1" applyFont="1" applyNumberFormat="1">
      <alignment shrinkToFit="0" textRotation="0" vertical="center" wrapText="1"/>
    </xf>
    <xf borderId="16" fillId="2" fontId="1" numFmtId="164" xfId="0" applyAlignment="1" applyBorder="1" applyFill="1" applyFont="1" applyNumberFormat="1">
      <alignment shrinkToFit="0" textRotation="0" vertical="center" wrapText="1"/>
    </xf>
    <xf borderId="14" fillId="2" fontId="1" numFmtId="4" xfId="0" applyAlignment="1" applyBorder="1" applyFill="1" applyFont="1" applyNumberFormat="1">
      <alignment shrinkToFit="0" textRotation="0" vertical="center" wrapText="1"/>
    </xf>
    <xf borderId="15" fillId="2" fontId="1" numFmtId="4" xfId="0" applyAlignment="1" applyBorder="1" applyFill="1" applyFont="1" applyNumberFormat="1">
      <alignment shrinkToFit="0" textRotation="0" vertical="center" wrapText="1"/>
    </xf>
    <xf borderId="16" fillId="2" fontId="1" numFmtId="4" xfId="0" applyAlignment="1" applyBorder="1" applyFill="1" applyFont="1" applyNumberFormat="1">
      <alignment shrinkToFit="0" textRotation="0" vertical="center" wrapText="1"/>
    </xf>
    <xf borderId="0" fillId="0" fontId="4" numFmtId="0" xfId="0" applyAlignment="1" applyFont="1">
      <alignment horizontal="right" shrinkToFit="0" vertical="center" wrapText="0"/>
    </xf>
    <xf borderId="2" fillId="2" fontId="4" numFmtId="4" xfId="0" applyAlignment="1" applyBorder="1" applyFill="1" applyFont="1" applyNumberFormat="1">
      <alignment horizontal="right" shrinkToFit="0" vertical="center" wrapText="1"/>
    </xf>
    <xf borderId="1" fillId="0" fontId="1" numFmtId="0" xfId="0" applyAlignment="1" applyBorder="1" applyFont="1">
      <alignment shrinkToFit="0" textRotation="0" vertical="center" wrapText="1"/>
    </xf>
    <xf borderId="2" fillId="0" fontId="4" numFmtId="0" xfId="0" applyAlignment="1" applyBorder="1" applyFont="1">
      <alignment shrinkToFit="0" vertical="center" wrapText="1"/>
    </xf>
    <xf borderId="8" fillId="0" fontId="4" numFmtId="1" xfId="0" applyAlignment="1" applyBorder="1" applyFont="1" applyNumberFormat="1">
      <alignment shrinkToFit="0" vertical="center" wrapText="1"/>
    </xf>
    <xf borderId="1" fillId="0" fontId="4" numFmtId="49" xfId="0" applyAlignment="1" applyBorder="1" applyFont="1" applyNumberFormat="1">
      <alignment shrinkToFit="0" vertical="center" wrapText="1"/>
    </xf>
    <xf borderId="0" fillId="14" fontId="4" numFmtId="0" xfId="0" applyAlignment="1" applyFill="1" applyFont="1">
      <alignment horizontal="right" shrinkToFit="0" vertical="center" wrapText="0"/>
    </xf>
    <xf borderId="2" fillId="14" fontId="4" numFmtId="9" xfId="0" applyAlignment="1" applyBorder="1" applyFill="1" applyFont="1" applyNumberFormat="1">
      <alignment horizontal="right" shrinkToFit="0" vertical="center" wrapText="1"/>
    </xf>
    <xf borderId="0" fillId="15" fontId="4" numFmtId="0" xfId="0" applyAlignment="1" applyFill="1" applyFont="1">
      <alignment shrinkToFit="0" vertical="center" wrapText="0"/>
    </xf>
    <xf borderId="2" fillId="15" fontId="4" numFmtId="0" xfId="0" applyAlignment="1" applyBorder="1" applyFill="1" applyFont="1">
      <alignment shrinkToFit="0" vertical="center" wrapText="1"/>
    </xf>
    <xf borderId="0" fillId="16" fontId="4" numFmtId="0" xfId="0" applyAlignment="1" applyFill="1" applyFont="1">
      <alignment shrinkToFit="0" vertical="center" wrapText="0"/>
    </xf>
    <xf borderId="2" fillId="16" fontId="4" numFmtId="0" xfId="0" applyAlignment="1" applyBorder="1" applyFill="1" applyFont="1">
      <alignment horizontal="right" shrinkToFit="0" vertical="center" wrapText="1"/>
    </xf>
    <xf borderId="2" fillId="0" fontId="4" numFmtId="0" xfId="0" applyAlignment="1" applyBorder="1" applyFont="1">
      <alignment readingOrder="0" shrinkToFit="0" vertical="center" wrapText="0"/>
    </xf>
    <xf borderId="2" fillId="2" fontId="1" numFmtId="164" xfId="0" applyAlignment="1" applyBorder="1" applyFill="1" applyFont="1" applyNumberFormat="1">
      <alignment shrinkToFit="0" textRotation="0" vertical="center" wrapText="1"/>
    </xf>
    <xf borderId="4" fillId="5" fontId="9" numFmtId="4" xfId="0" applyAlignment="1" applyBorder="1" applyFill="1" applyFont="1" applyNumberFormat="1">
      <alignment horizontal="center" shrinkToFit="0" vertical="center" wrapText="1"/>
    </xf>
    <xf borderId="4" fillId="5" fontId="4" numFmtId="164" xfId="0" applyAlignment="1" applyBorder="1" applyFill="1" applyFont="1" applyNumberFormat="1">
      <alignment readingOrder="0" shrinkToFit="0" vertical="center" wrapText="1"/>
    </xf>
    <xf borderId="4" fillId="5" fontId="9" numFmtId="4" xfId="0" applyAlignment="1" applyBorder="1" applyFill="1" applyFont="1" applyNumberFormat="1">
      <alignment horizontal="center" shrinkToFit="0" textRotation="0" vertical="center" wrapText="1"/>
    </xf>
    <xf borderId="4" fillId="5" fontId="9" numFmtId="3" xfId="0" applyAlignment="1" applyBorder="1" applyFill="1" applyFont="1" applyNumberFormat="1">
      <alignment horizontal="center" shrinkToFit="0" textRotation="0" vertical="center" wrapText="1"/>
    </xf>
    <xf borderId="4" fillId="5" fontId="4" numFmtId="164" xfId="0" applyAlignment="1" applyBorder="1" applyFill="1" applyFont="1" applyNumberFormat="1">
      <alignment vertical="center"/>
    </xf>
    <xf borderId="4" fillId="5" fontId="4" numFmtId="14" xfId="0" applyAlignment="1" applyBorder="1" applyFill="1" applyFont="1" applyNumberFormat="1">
      <alignment vertical="center"/>
    </xf>
    <xf borderId="4" fillId="5" fontId="4" numFmtId="4" xfId="0" applyAlignment="1" applyBorder="1" applyFill="1" applyFont="1" applyNumberFormat="1">
      <alignment vertical="center"/>
    </xf>
    <xf borderId="4" fillId="5" fontId="4" numFmtId="164" xfId="0" applyAlignment="1" applyBorder="1" applyFill="1" applyFont="1" applyNumberFormat="1">
      <alignment readingOrder="0" vertical="center"/>
    </xf>
    <xf borderId="22" fillId="5" fontId="4" numFmtId="164" xfId="0" applyAlignment="1" applyBorder="1" applyFill="1" applyFont="1" applyNumberFormat="1">
      <alignment vertical="center"/>
    </xf>
    <xf borderId="10" fillId="2" fontId="1" numFmtId="164" xfId="0" applyAlignment="1" applyBorder="1" applyFill="1" applyFont="1" applyNumberFormat="1">
      <alignment shrinkToFit="0" textRotation="0" vertical="center" wrapText="0"/>
    </xf>
    <xf borderId="10" fillId="2" fontId="3" numFmtId="49" xfId="0" applyBorder="1" applyFill="1" applyFont="1" applyNumberFormat="1"/>
    <xf borderId="10" fillId="2" fontId="3" numFmtId="4" xfId="0" applyBorder="1" applyFill="1" applyFont="1" applyNumberFormat="1"/>
    <xf borderId="10" fillId="2" fontId="4" numFmtId="4" xfId="0" applyBorder="1" applyFill="1" applyFont="1" applyNumberFormat="1"/>
    <xf borderId="10" fillId="2" fontId="3" numFmtId="1" xfId="0" applyBorder="1" applyFill="1" applyFont="1" applyNumberFormat="1"/>
    <xf borderId="10" fillId="0" fontId="4" numFmtId="4" xfId="0" applyAlignment="1" applyBorder="1" applyFont="1" applyNumberFormat="1">
      <alignment shrinkToFit="0" vertical="center" wrapText="1"/>
    </xf>
    <xf borderId="10" fillId="2" fontId="1" numFmtId="4" xfId="0" applyAlignment="1" applyBorder="1" applyFill="1" applyFont="1" applyNumberFormat="1">
      <alignment shrinkToFit="0" textRotation="0" vertical="center" wrapText="0"/>
    </xf>
    <xf borderId="10" fillId="2" fontId="1" numFmtId="0" xfId="0" applyAlignment="1" applyBorder="1" applyFill="1" applyFont="1">
      <alignment shrinkToFit="0" textRotation="0" vertical="center" wrapText="0"/>
    </xf>
    <xf borderId="10" fillId="2" fontId="1" numFmtId="3" xfId="0" applyAlignment="1" applyBorder="1" applyFill="1" applyFont="1" applyNumberFormat="1">
      <alignment shrinkToFit="0" textRotation="0" vertical="center" wrapText="0"/>
    </xf>
    <xf borderId="1" fillId="2" fontId="1" numFmtId="164" xfId="0" applyAlignment="1" applyBorder="1" applyFill="1" applyFont="1" applyNumberFormat="1">
      <alignment shrinkToFit="0" textRotation="0" vertical="center" wrapText="0"/>
    </xf>
    <xf borderId="1" fillId="2" fontId="1" numFmtId="0" xfId="0" applyAlignment="1" applyBorder="1" applyFill="1" applyFont="1">
      <alignment textRotation="0"/>
    </xf>
    <xf borderId="1" fillId="2" fontId="1" numFmtId="49" xfId="0" applyAlignment="1" applyBorder="1" applyFill="1" applyFont="1" applyNumberFormat="1">
      <alignment shrinkToFit="0" textRotation="0" wrapText="1"/>
    </xf>
    <xf borderId="1" fillId="2" fontId="1" numFmtId="4" xfId="0" applyAlignment="1" applyBorder="1" applyFill="1" applyFont="1" applyNumberFormat="1">
      <alignment shrinkToFit="0" textRotation="0" wrapText="1"/>
    </xf>
    <xf borderId="1" fillId="2" fontId="1" numFmtId="4" xfId="0" applyAlignment="1" applyBorder="1" applyFill="1" applyFont="1" applyNumberFormat="1">
      <alignment shrinkToFit="0" textRotation="0" vertical="center" wrapText="0"/>
    </xf>
    <xf borderId="1" fillId="2" fontId="1" numFmtId="0" xfId="0" applyAlignment="1" applyBorder="1" applyFill="1" applyFont="1">
      <alignment shrinkToFit="0" textRotation="0" vertical="center" wrapText="0"/>
    </xf>
    <xf borderId="1" fillId="2" fontId="1" numFmtId="3" xfId="0" applyAlignment="1" applyBorder="1" applyFill="1" applyFont="1" applyNumberFormat="1">
      <alignment shrinkToFit="0" textRotation="0" vertical="center" wrapText="0"/>
    </xf>
    <xf borderId="1" fillId="2" fontId="1" numFmtId="49" xfId="0" applyAlignment="1" applyBorder="1" applyFill="1" applyFont="1" applyNumberFormat="1">
      <alignment readingOrder="0" shrinkToFit="0" textRotation="0" wrapText="1"/>
    </xf>
    <xf borderId="1" fillId="0" fontId="1" numFmtId="0" xfId="0" applyAlignment="1" applyBorder="1" applyFont="1">
      <alignment shrinkToFit="0" textRotation="0" wrapText="1"/>
    </xf>
    <xf borderId="10" fillId="0" fontId="4" numFmtId="0" xfId="0" applyAlignment="1" applyBorder="1" applyFont="1">
      <alignment shrinkToFit="0" vertical="center" wrapText="1"/>
    </xf>
    <xf borderId="1" fillId="2" fontId="3" numFmtId="49" xfId="0" applyBorder="1" applyFill="1" applyFont="1" applyNumberFormat="1"/>
    <xf borderId="1" fillId="2" fontId="4" numFmtId="4" xfId="0" applyBorder="1" applyFill="1" applyFont="1" applyNumberFormat="1"/>
    <xf borderId="0" fillId="0" fontId="4" numFmtId="49" xfId="0" applyAlignment="1" applyFont="1" applyNumberFormat="1">
      <alignment shrinkToFit="0" vertical="center" wrapText="1"/>
    </xf>
    <xf borderId="0" fillId="0" fontId="4" numFmtId="49" xfId="0" applyAlignment="1" applyFont="1" applyNumberFormat="1">
      <alignment vertical="center"/>
    </xf>
    <xf borderId="23" fillId="0" fontId="3" numFmtId="4" xfId="0" applyAlignment="1" applyBorder="1" applyFont="1" applyNumberFormat="1">
      <alignment vertical="center"/>
    </xf>
    <xf borderId="7" fillId="0" fontId="22" numFmtId="4" xfId="0" applyAlignment="1" applyBorder="1" applyFont="1" applyNumberFormat="1">
      <alignment horizontal="right" vertical="center"/>
    </xf>
    <xf borderId="0" fillId="0" fontId="3" numFmtId="4" xfId="0" applyAlignment="1" applyFont="1" applyNumberFormat="1">
      <alignment vertical="center"/>
    </xf>
    <xf borderId="0" fillId="0" fontId="3" numFmtId="167" xfId="0" applyAlignment="1" applyFont="1" applyNumberFormat="1">
      <alignment vertical="center"/>
    </xf>
    <xf borderId="14" fillId="2" fontId="1" numFmtId="164" xfId="0" applyAlignment="1" applyBorder="1" applyFill="1" applyFont="1" applyNumberFormat="1">
      <alignment readingOrder="0" shrinkToFit="0" textRotation="0" vertical="center" wrapText="1"/>
    </xf>
    <xf borderId="0" fillId="0" fontId="22" numFmtId="4" xfId="0" applyAlignment="1" applyFont="1" applyNumberFormat="1">
      <alignment horizontal="right" vertical="center"/>
    </xf>
    <xf borderId="0" fillId="4" fontId="4" numFmtId="4" xfId="0" applyAlignment="1" applyFill="1" applyFont="1" applyNumberFormat="1">
      <alignment vertical="center"/>
    </xf>
    <xf borderId="0" fillId="10" fontId="4" numFmtId="0" xfId="0" applyAlignment="1" applyFill="1" applyFont="1">
      <alignment shrinkToFit="0" vertical="center" wrapText="0"/>
    </xf>
    <xf borderId="0" fillId="0" fontId="4" numFmtId="14" xfId="0" applyAlignment="1" applyFont="1" applyNumberFormat="1">
      <alignment horizontal="right" readingOrder="0" vertical="center"/>
    </xf>
    <xf borderId="0" fillId="0" fontId="4" numFmtId="1" xfId="0" applyAlignment="1" applyFont="1" applyNumberFormat="1">
      <alignment vertical="center"/>
    </xf>
    <xf borderId="0" fillId="0" fontId="4" numFmtId="4" xfId="0" applyAlignment="1" applyFont="1" applyNumberFormat="1">
      <alignment shrinkToFit="0" vertical="center" wrapText="0"/>
    </xf>
    <xf borderId="9" fillId="3" fontId="9" numFmtId="4" xfId="0" applyAlignment="1" applyBorder="1" applyFill="1" applyFont="1" applyNumberFormat="1">
      <alignment shrinkToFit="0" vertical="center" wrapText="0"/>
    </xf>
    <xf borderId="0" fillId="0" fontId="4" numFmtId="4" xfId="0" applyAlignment="1" applyFont="1" applyNumberFormat="1">
      <alignment horizontal="left" vertical="center"/>
    </xf>
    <xf borderId="0" fillId="13" fontId="4" numFmtId="4" xfId="0" applyAlignment="1" applyFill="1" applyFont="1" applyNumberFormat="1">
      <alignment vertical="center"/>
    </xf>
    <xf borderId="0" fillId="13" fontId="4" numFmtId="4" xfId="0" applyAlignment="1" applyFill="1" applyFont="1" applyNumberFormat="1">
      <alignment horizontal="left" shrinkToFit="0" vertical="center" wrapText="0"/>
    </xf>
    <xf borderId="0" fillId="20" fontId="4" numFmtId="4" xfId="0" applyAlignment="1" applyFill="1" applyFont="1" applyNumberFormat="1">
      <alignment vertical="center"/>
    </xf>
    <xf borderId="0" fillId="20" fontId="4" numFmtId="4" xfId="0" applyAlignment="1" applyFill="1" applyFont="1" applyNumberFormat="1">
      <alignment horizontal="left" shrinkToFit="0" vertical="center" wrapText="0"/>
    </xf>
    <xf borderId="0" fillId="21" fontId="4" numFmtId="4" xfId="0" applyAlignment="1" applyFill="1" applyFont="1" applyNumberFormat="1">
      <alignment vertical="center"/>
    </xf>
    <xf borderId="0" fillId="21" fontId="4" numFmtId="4" xfId="0" applyAlignment="1" applyFill="1" applyFont="1" applyNumberFormat="1">
      <alignment horizontal="left" shrinkToFit="0" vertical="center" wrapText="0"/>
    </xf>
    <xf borderId="0" fillId="22" fontId="4" numFmtId="4" xfId="0" applyAlignment="1" applyFill="1" applyFont="1" applyNumberFormat="1">
      <alignment vertical="center"/>
    </xf>
    <xf borderId="0" fillId="22" fontId="4" numFmtId="4" xfId="0" applyAlignment="1" applyFill="1" applyFont="1" applyNumberFormat="1">
      <alignment horizontal="left" shrinkToFit="0" vertical="center" wrapText="0"/>
    </xf>
    <xf borderId="0" fillId="23" fontId="4" numFmtId="4" xfId="0" applyAlignment="1" applyFill="1" applyFont="1" applyNumberFormat="1">
      <alignment vertical="center"/>
    </xf>
    <xf borderId="0" fillId="23" fontId="4" numFmtId="4" xfId="0" applyAlignment="1" applyFill="1" applyFont="1" applyNumberFormat="1">
      <alignment horizontal="left" shrinkToFit="0" vertical="center" wrapText="0"/>
    </xf>
    <xf borderId="0" fillId="11" fontId="4" numFmtId="4" xfId="0" applyAlignment="1" applyFill="1" applyFont="1" applyNumberFormat="1">
      <alignment vertical="center"/>
    </xf>
    <xf borderId="0" fillId="11" fontId="4" numFmtId="4" xfId="0" applyAlignment="1" applyFill="1" applyFont="1" applyNumberFormat="1">
      <alignment horizontal="left" shrinkToFit="0" vertical="center" wrapText="0"/>
    </xf>
    <xf borderId="0" fillId="10" fontId="4" numFmtId="4" xfId="0" applyAlignment="1" applyFill="1" applyFont="1" applyNumberFormat="1">
      <alignment vertical="center"/>
    </xf>
    <xf borderId="0" fillId="10" fontId="4" numFmtId="4" xfId="0" applyAlignment="1" applyFill="1" applyFont="1" applyNumberFormat="1">
      <alignment horizontal="left" shrinkToFit="0" vertical="center" wrapText="0"/>
    </xf>
    <xf borderId="10" fillId="3" fontId="9" numFmtId="4" xfId="0" applyAlignment="1" applyBorder="1" applyFill="1" applyFont="1" applyNumberFormat="1">
      <alignment shrinkToFit="0" vertical="center" wrapText="0"/>
    </xf>
    <xf borderId="0" fillId="13" fontId="4" numFmtId="4" xfId="0" applyAlignment="1" applyFill="1" applyFont="1" applyNumberFormat="1">
      <alignment shrinkToFit="0" vertical="center" wrapText="0"/>
    </xf>
    <xf borderId="0" fillId="20" fontId="4" numFmtId="4" xfId="0" applyAlignment="1" applyFill="1" applyFont="1" applyNumberFormat="1">
      <alignment shrinkToFit="0" vertical="center" wrapText="0"/>
    </xf>
    <xf borderId="0" fillId="21" fontId="4" numFmtId="4" xfId="0" applyAlignment="1" applyFill="1" applyFont="1" applyNumberFormat="1">
      <alignment shrinkToFit="0" vertical="center" wrapText="0"/>
    </xf>
    <xf borderId="0" fillId="22" fontId="4" numFmtId="4" xfId="0" applyAlignment="1" applyFill="1" applyFont="1" applyNumberFormat="1">
      <alignment shrinkToFit="0" vertical="center" wrapText="0"/>
    </xf>
    <xf borderId="0" fillId="23" fontId="4" numFmtId="4" xfId="0" applyAlignment="1" applyFill="1" applyFont="1" applyNumberFormat="1">
      <alignment shrinkToFit="0" vertical="center" wrapText="0"/>
    </xf>
    <xf borderId="0" fillId="2" fontId="1" numFmtId="4" xfId="0" applyAlignment="1" applyFill="1" applyFont="1" applyNumberFormat="1">
      <alignment shrinkToFit="0" textRotation="0" vertical="center" wrapText="1"/>
    </xf>
    <xf borderId="0" fillId="0" fontId="14" numFmtId="4" xfId="0" applyAlignment="1" applyFont="1" applyNumberFormat="1">
      <alignment shrinkToFit="0" vertical="center" wrapText="0"/>
    </xf>
    <xf borderId="0" fillId="2" fontId="4" numFmtId="4" xfId="0" applyAlignment="1" applyFill="1" applyFont="1" applyNumberFormat="1">
      <alignment vertical="center"/>
    </xf>
    <xf borderId="0" fillId="13" fontId="4" numFmtId="4" xfId="0" applyAlignment="1" applyFill="1" applyFont="1" applyNumberFormat="1">
      <alignment horizontal="right" shrinkToFit="0" vertical="center" wrapText="0"/>
    </xf>
    <xf borderId="0" fillId="13" fontId="4" numFmtId="4" xfId="0" applyAlignment="1" applyFill="1" applyFont="1" applyNumberFormat="1">
      <alignment horizontal="right" vertical="center"/>
    </xf>
    <xf borderId="0" fillId="20" fontId="4" numFmtId="4" xfId="0" applyAlignment="1" applyFill="1" applyFont="1" applyNumberFormat="1">
      <alignment horizontal="right" shrinkToFit="0" vertical="center" wrapText="0"/>
    </xf>
    <xf borderId="0" fillId="20" fontId="4" numFmtId="4" xfId="0" applyAlignment="1" applyFill="1" applyFont="1" applyNumberFormat="1">
      <alignment horizontal="right" vertical="center"/>
    </xf>
    <xf borderId="0" fillId="21" fontId="4" numFmtId="4" xfId="0" applyAlignment="1" applyFill="1" applyFont="1" applyNumberFormat="1">
      <alignment horizontal="right" shrinkToFit="0" vertical="center" wrapText="0"/>
    </xf>
    <xf borderId="0" fillId="21" fontId="4" numFmtId="4" xfId="0" applyAlignment="1" applyFill="1" applyFont="1" applyNumberFormat="1">
      <alignment horizontal="right" vertical="center"/>
    </xf>
    <xf borderId="0" fillId="22" fontId="4" numFmtId="4" xfId="0" applyAlignment="1" applyFill="1" applyFont="1" applyNumberFormat="1">
      <alignment horizontal="right" shrinkToFit="0" vertical="center" wrapText="0"/>
    </xf>
    <xf borderId="0" fillId="22" fontId="4" numFmtId="4" xfId="0" applyAlignment="1" applyFill="1" applyFont="1" applyNumberFormat="1">
      <alignment horizontal="right" vertical="center"/>
    </xf>
    <xf borderId="0" fillId="23" fontId="4" numFmtId="4" xfId="0" applyAlignment="1" applyFill="1" applyFont="1" applyNumberFormat="1">
      <alignment horizontal="right" shrinkToFit="0" vertical="center" wrapText="0"/>
    </xf>
    <xf borderId="0" fillId="23" fontId="4" numFmtId="4" xfId="0" applyAlignment="1" applyFill="1" applyFont="1" applyNumberFormat="1">
      <alignment horizontal="right" vertical="center"/>
    </xf>
    <xf borderId="0" fillId="11" fontId="4" numFmtId="4" xfId="0" applyAlignment="1" applyFill="1" applyFont="1" applyNumberFormat="1">
      <alignment horizontal="right" shrinkToFit="0" vertical="center" wrapText="0"/>
    </xf>
    <xf borderId="0" fillId="11" fontId="4" numFmtId="4" xfId="0" applyAlignment="1" applyFill="1" applyFont="1" applyNumberFormat="1">
      <alignment horizontal="right" vertical="center"/>
    </xf>
    <xf borderId="0" fillId="10" fontId="4" numFmtId="4" xfId="0" applyAlignment="1" applyFill="1" applyFont="1" applyNumberFormat="1">
      <alignment horizontal="right" shrinkToFit="0" vertical="center" wrapText="0"/>
    </xf>
    <xf borderId="0" fillId="10" fontId="4" numFmtId="4" xfId="0" applyAlignment="1" applyFill="1" applyFont="1" applyNumberFormat="1">
      <alignment horizontal="right" vertical="center"/>
    </xf>
    <xf borderId="0" fillId="0" fontId="4" numFmtId="0" xfId="0" applyAlignment="1" applyFont="1">
      <alignment horizontal="right" shrinkToFit="0" vertical="center" wrapText="1"/>
    </xf>
    <xf borderId="0" fillId="0" fontId="4" numFmtId="4" xfId="0" applyAlignment="1" applyFont="1" applyNumberFormat="1">
      <alignment horizontal="left" readingOrder="0" vertical="center"/>
    </xf>
    <xf borderId="24" fillId="5" fontId="9" numFmtId="4" xfId="0" applyAlignment="1" applyBorder="1" applyFill="1" applyFont="1" applyNumberFormat="1">
      <alignment vertical="center"/>
    </xf>
    <xf borderId="24" fillId="5" fontId="9" numFmtId="4" xfId="0" applyAlignment="1" applyBorder="1" applyFill="1" applyFont="1" applyNumberFormat="1">
      <alignment horizontal="center" shrinkToFit="0" vertical="center" wrapText="1"/>
    </xf>
    <xf borderId="1" fillId="5" fontId="9" numFmtId="4" xfId="0" applyAlignment="1" applyBorder="1" applyFill="1" applyFont="1" applyNumberFormat="1">
      <alignment horizontal="center" vertical="center"/>
    </xf>
    <xf borderId="1" fillId="5" fontId="4" numFmtId="4" xfId="0" applyAlignment="1" applyBorder="1" applyFill="1" applyFont="1" applyNumberFormat="1">
      <alignment horizontal="center" shrinkToFit="0" textRotation="0" vertical="center" wrapText="0"/>
    </xf>
    <xf borderId="1" fillId="5" fontId="4" numFmtId="4" xfId="0" applyAlignment="1" applyBorder="1" applyFill="1" applyFont="1" applyNumberFormat="1">
      <alignment horizontal="left" shrinkToFit="0" textRotation="0" vertical="center" wrapText="0"/>
    </xf>
    <xf borderId="1" fillId="5" fontId="4" numFmtId="167" xfId="0" applyAlignment="1" applyBorder="1" applyFill="1" applyFont="1" applyNumberFormat="1">
      <alignment vertical="center"/>
    </xf>
    <xf borderId="1" fillId="5" fontId="4" numFmtId="4" xfId="0" applyAlignment="1" applyBorder="1" applyFill="1" applyFont="1" applyNumberFormat="1">
      <alignment horizontal="left" readingOrder="0" shrinkToFit="0" vertical="center" wrapText="0"/>
    </xf>
    <xf borderId="1" fillId="5" fontId="4" numFmtId="4" xfId="0" applyAlignment="1" applyBorder="1" applyFill="1" applyFont="1" applyNumberFormat="1">
      <alignment horizontal="left" shrinkToFit="0" vertical="center" wrapText="0"/>
    </xf>
    <xf borderId="1" fillId="5" fontId="4" numFmtId="4" xfId="0" applyAlignment="1" applyBorder="1" applyFill="1" applyFont="1" applyNumberFormat="1">
      <alignment horizontal="left" readingOrder="0" shrinkToFit="0" vertical="center" wrapText="0"/>
    </xf>
    <xf borderId="1" fillId="24" fontId="4" numFmtId="4" xfId="0" applyAlignment="1" applyBorder="1" applyFill="1" applyFont="1" applyNumberFormat="1">
      <alignment horizontal="left" shrinkToFit="0" vertical="center" wrapText="0"/>
    </xf>
    <xf borderId="1" fillId="5" fontId="1" numFmtId="4" xfId="0" applyAlignment="1" applyBorder="1" applyFill="1" applyFont="1" applyNumberFormat="1">
      <alignment horizontal="left" shrinkToFit="0" textRotation="0" vertical="center" wrapText="0"/>
    </xf>
    <xf borderId="1" fillId="13" fontId="4" numFmtId="4" xfId="0" applyAlignment="1" applyBorder="1" applyFill="1" applyFont="1" applyNumberFormat="1">
      <alignment horizontal="center" shrinkToFit="0" vertical="center" wrapText="0"/>
    </xf>
    <xf borderId="1" fillId="13" fontId="4" numFmtId="4" xfId="0" applyAlignment="1" applyBorder="1" applyFill="1" applyFont="1" applyNumberFormat="1">
      <alignment horizontal="center" shrinkToFit="0" vertical="center" wrapText="1"/>
    </xf>
    <xf borderId="1" fillId="13" fontId="4" numFmtId="4" xfId="0" applyAlignment="1" applyBorder="1" applyFill="1" applyFont="1" applyNumberFormat="1">
      <alignment horizontal="left" shrinkToFit="0" vertical="center" wrapText="0"/>
    </xf>
    <xf borderId="1" fillId="20" fontId="4" numFmtId="4" xfId="0" applyAlignment="1" applyBorder="1" applyFill="1" applyFont="1" applyNumberFormat="1">
      <alignment horizontal="center" shrinkToFit="0" vertical="center" wrapText="0"/>
    </xf>
    <xf borderId="1" fillId="20" fontId="4" numFmtId="4" xfId="0" applyAlignment="1" applyBorder="1" applyFill="1" applyFont="1" applyNumberFormat="1">
      <alignment horizontal="center" shrinkToFit="0" vertical="center" wrapText="1"/>
    </xf>
    <xf borderId="1" fillId="20" fontId="4" numFmtId="4" xfId="0" applyAlignment="1" applyBorder="1" applyFill="1" applyFont="1" applyNumberFormat="1">
      <alignment horizontal="left" shrinkToFit="0" vertical="center" wrapText="0"/>
    </xf>
    <xf borderId="1" fillId="21" fontId="4" numFmtId="4" xfId="0" applyAlignment="1" applyBorder="1" applyFill="1" applyFont="1" applyNumberFormat="1">
      <alignment horizontal="center" shrinkToFit="0" vertical="center" wrapText="0"/>
    </xf>
    <xf borderId="1" fillId="21" fontId="4" numFmtId="4" xfId="0" applyAlignment="1" applyBorder="1" applyFill="1" applyFont="1" applyNumberFormat="1">
      <alignment horizontal="center" shrinkToFit="0" vertical="center" wrapText="1"/>
    </xf>
    <xf borderId="1" fillId="21" fontId="4" numFmtId="4" xfId="0" applyAlignment="1" applyBorder="1" applyFill="1" applyFont="1" applyNumberFormat="1">
      <alignment horizontal="left" shrinkToFit="0" vertical="center" wrapText="0"/>
    </xf>
    <xf borderId="1" fillId="22" fontId="4" numFmtId="4" xfId="0" applyAlignment="1" applyBorder="1" applyFill="1" applyFont="1" applyNumberFormat="1">
      <alignment horizontal="center" shrinkToFit="0" vertical="center" wrapText="0"/>
    </xf>
    <xf borderId="1" fillId="22" fontId="4" numFmtId="4" xfId="0" applyAlignment="1" applyBorder="1" applyFill="1" applyFont="1" applyNumberFormat="1">
      <alignment horizontal="center" shrinkToFit="0" vertical="center" wrapText="1"/>
    </xf>
    <xf borderId="1" fillId="22" fontId="4" numFmtId="4" xfId="0" applyAlignment="1" applyBorder="1" applyFill="1" applyFont="1" applyNumberFormat="1">
      <alignment horizontal="left" shrinkToFit="0" vertical="center" wrapText="0"/>
    </xf>
    <xf borderId="1" fillId="23" fontId="4" numFmtId="4" xfId="0" applyAlignment="1" applyBorder="1" applyFill="1" applyFont="1" applyNumberFormat="1">
      <alignment horizontal="center" shrinkToFit="0" vertical="center" wrapText="0"/>
    </xf>
    <xf borderId="1" fillId="23" fontId="4" numFmtId="4" xfId="0" applyAlignment="1" applyBorder="1" applyFill="1" applyFont="1" applyNumberFormat="1">
      <alignment horizontal="center" shrinkToFit="0" vertical="center" wrapText="1"/>
    </xf>
    <xf borderId="1" fillId="23" fontId="4" numFmtId="4" xfId="0" applyAlignment="1" applyBorder="1" applyFill="1" applyFont="1" applyNumberFormat="1">
      <alignment horizontal="left" shrinkToFit="0" vertical="center" wrapText="0"/>
    </xf>
    <xf borderId="1" fillId="11" fontId="4" numFmtId="4" xfId="0" applyAlignment="1" applyBorder="1" applyFill="1" applyFont="1" applyNumberFormat="1">
      <alignment horizontal="center" shrinkToFit="0" vertical="center" wrapText="0"/>
    </xf>
    <xf borderId="1" fillId="11" fontId="4" numFmtId="4" xfId="0" applyAlignment="1" applyBorder="1" applyFill="1" applyFont="1" applyNumberFormat="1">
      <alignment horizontal="center" shrinkToFit="0" vertical="center" wrapText="1"/>
    </xf>
    <xf borderId="1" fillId="11" fontId="4" numFmtId="4" xfId="0" applyAlignment="1" applyBorder="1" applyFill="1" applyFont="1" applyNumberFormat="1">
      <alignment horizontal="left" shrinkToFit="0" vertical="center" wrapText="0"/>
    </xf>
    <xf borderId="1" fillId="10" fontId="4" numFmtId="4" xfId="0" applyAlignment="1" applyBorder="1" applyFill="1" applyFont="1" applyNumberFormat="1">
      <alignment horizontal="center" shrinkToFit="0" vertical="center" wrapText="0"/>
    </xf>
    <xf borderId="1" fillId="10" fontId="4" numFmtId="4" xfId="0" applyAlignment="1" applyBorder="1" applyFill="1" applyFont="1" applyNumberFormat="1">
      <alignment horizontal="center" shrinkToFit="0" vertical="center" wrapText="1"/>
    </xf>
    <xf borderId="1" fillId="10" fontId="4" numFmtId="4" xfId="0" applyAlignment="1" applyBorder="1" applyFill="1" applyFont="1" applyNumberFormat="1">
      <alignment horizontal="left" shrinkToFit="0" vertical="center" wrapText="0"/>
    </xf>
    <xf borderId="25" fillId="0" fontId="23" numFmtId="4" xfId="0" applyAlignment="1" applyBorder="1" applyFont="1" applyNumberFormat="1">
      <alignment shrinkToFit="0" vertical="center" wrapText="1"/>
    </xf>
    <xf borderId="10" fillId="0" fontId="3" numFmtId="4" xfId="0" applyBorder="1" applyFont="1" applyNumberFormat="1"/>
    <xf borderId="10" fillId="0" fontId="4" numFmtId="4" xfId="0" applyAlignment="1" applyBorder="1" applyFont="1" applyNumberFormat="1">
      <alignment shrinkToFit="0" vertical="center" wrapText="1"/>
    </xf>
    <xf borderId="10" fillId="0" fontId="4" numFmtId="4" xfId="0" applyAlignment="1" applyBorder="1" applyFont="1" applyNumberFormat="1">
      <alignment vertical="center"/>
    </xf>
    <xf borderId="1" fillId="2" fontId="1" numFmtId="4" xfId="0" applyAlignment="1" applyBorder="1" applyFill="1" applyFont="1" applyNumberFormat="1">
      <alignment horizontal="right" shrinkToFit="0" textRotation="0" vertical="center" wrapText="1"/>
    </xf>
    <xf borderId="10" fillId="0" fontId="4" numFmtId="4" xfId="0" applyAlignment="1" applyBorder="1" applyFont="1" applyNumberFormat="1">
      <alignment horizontal="right" shrinkToFit="0" vertical="center" wrapText="1"/>
    </xf>
    <xf borderId="10" fillId="0" fontId="4" numFmtId="167" xfId="0" applyAlignment="1" applyBorder="1" applyFont="1" applyNumberFormat="1">
      <alignment shrinkToFit="0" vertical="center" wrapText="1"/>
    </xf>
    <xf borderId="10" fillId="0" fontId="4" numFmtId="4" xfId="0" applyAlignment="1" applyBorder="1" applyFont="1" applyNumberFormat="1">
      <alignment readingOrder="0" shrinkToFit="0" vertical="center" wrapText="1"/>
    </xf>
    <xf borderId="10" fillId="13" fontId="4" numFmtId="4" xfId="0" applyAlignment="1" applyBorder="1" applyFill="1" applyFont="1" applyNumberFormat="1">
      <alignment shrinkToFit="0" vertical="center" wrapText="1"/>
    </xf>
    <xf borderId="10" fillId="13" fontId="4" numFmtId="4" xfId="0" applyAlignment="1" applyBorder="1" applyFill="1" applyFont="1" applyNumberFormat="1">
      <alignment horizontal="right" shrinkToFit="0" vertical="center" wrapText="1"/>
    </xf>
    <xf borderId="10" fillId="13" fontId="4" numFmtId="4" xfId="0" applyAlignment="1" applyBorder="1" applyFill="1" applyFont="1" applyNumberFormat="1">
      <alignment horizontal="left" shrinkToFit="0" vertical="center" wrapText="0"/>
    </xf>
    <xf borderId="10" fillId="20" fontId="4" numFmtId="4" xfId="0" applyAlignment="1" applyBorder="1" applyFill="1" applyFont="1" applyNumberFormat="1">
      <alignment shrinkToFit="0" vertical="center" wrapText="1"/>
    </xf>
    <xf borderId="10" fillId="20" fontId="4" numFmtId="4" xfId="0" applyAlignment="1" applyBorder="1" applyFill="1" applyFont="1" applyNumberFormat="1">
      <alignment horizontal="right" shrinkToFit="0" vertical="center" wrapText="1"/>
    </xf>
    <xf borderId="10" fillId="20" fontId="4" numFmtId="4" xfId="0" applyAlignment="1" applyBorder="1" applyFill="1" applyFont="1" applyNumberFormat="1">
      <alignment horizontal="left" shrinkToFit="0" vertical="center" wrapText="0"/>
    </xf>
    <xf borderId="10" fillId="4" fontId="4" numFmtId="4" xfId="0" applyAlignment="1" applyBorder="1" applyFill="1" applyFont="1" applyNumberFormat="1">
      <alignment shrinkToFit="0" vertical="center" wrapText="1"/>
    </xf>
    <xf borderId="10" fillId="21" fontId="4" numFmtId="4" xfId="0" applyAlignment="1" applyBorder="1" applyFill="1" applyFont="1" applyNumberFormat="1">
      <alignment shrinkToFit="0" vertical="center" wrapText="1"/>
    </xf>
    <xf borderId="10" fillId="21" fontId="4" numFmtId="4" xfId="0" applyAlignment="1" applyBorder="1" applyFill="1" applyFont="1" applyNumberFormat="1">
      <alignment horizontal="right" shrinkToFit="0" vertical="center" wrapText="1"/>
    </xf>
    <xf borderId="10" fillId="21" fontId="4" numFmtId="4" xfId="0" applyAlignment="1" applyBorder="1" applyFill="1" applyFont="1" applyNumberFormat="1">
      <alignment horizontal="left" shrinkToFit="0" vertical="center" wrapText="0"/>
    </xf>
    <xf borderId="10" fillId="22" fontId="4" numFmtId="4" xfId="0" applyAlignment="1" applyBorder="1" applyFill="1" applyFont="1" applyNumberFormat="1">
      <alignment shrinkToFit="0" vertical="center" wrapText="1"/>
    </xf>
    <xf borderId="10" fillId="22" fontId="4" numFmtId="4" xfId="0" applyAlignment="1" applyBorder="1" applyFill="1" applyFont="1" applyNumberFormat="1">
      <alignment horizontal="right" shrinkToFit="0" vertical="center" wrapText="1"/>
    </xf>
    <xf borderId="10" fillId="22" fontId="4" numFmtId="4" xfId="0" applyAlignment="1" applyBorder="1" applyFill="1" applyFont="1" applyNumberFormat="1">
      <alignment horizontal="left" shrinkToFit="0" vertical="center" wrapText="0"/>
    </xf>
    <xf borderId="10" fillId="23" fontId="4" numFmtId="4" xfId="0" applyAlignment="1" applyBorder="1" applyFill="1" applyFont="1" applyNumberFormat="1">
      <alignment shrinkToFit="0" vertical="center" wrapText="1"/>
    </xf>
    <xf borderId="10" fillId="23" fontId="4" numFmtId="4" xfId="0" applyAlignment="1" applyBorder="1" applyFill="1" applyFont="1" applyNumberFormat="1">
      <alignment horizontal="right" shrinkToFit="0" vertical="center" wrapText="1"/>
    </xf>
    <xf borderId="0" fillId="2" fontId="1" numFmtId="164" xfId="0" applyAlignment="1" applyFill="1" applyFont="1" applyNumberFormat="1">
      <alignment readingOrder="0" shrinkToFit="0" textRotation="0" vertical="center" wrapText="0"/>
    </xf>
    <xf borderId="0" fillId="2" fontId="1" numFmtId="49" xfId="0" applyAlignment="1" applyFill="1" applyFont="1" applyNumberFormat="1">
      <alignment horizontal="center" readingOrder="0" shrinkToFit="0" textRotation="0" vertical="center" wrapText="0"/>
    </xf>
    <xf borderId="0" fillId="2" fontId="1" numFmtId="164" xfId="0" applyAlignment="1" applyFill="1" applyFont="1" applyNumberFormat="1">
      <alignment shrinkToFit="0" textRotation="0" vertical="center" wrapText="0"/>
    </xf>
    <xf borderId="10" fillId="23" fontId="4" numFmtId="4" xfId="0" applyAlignment="1" applyBorder="1" applyFill="1" applyFont="1" applyNumberFormat="1">
      <alignment horizontal="left" shrinkToFit="0" vertical="center" wrapText="0"/>
    </xf>
    <xf borderId="0" fillId="3" fontId="2" numFmtId="164" xfId="0" applyAlignment="1" applyFill="1" applyFont="1" applyNumberFormat="1">
      <alignment shrinkToFit="0" textRotation="0" vertical="center" wrapText="0"/>
    </xf>
    <xf borderId="0" fillId="2" fontId="1" numFmtId="0" xfId="0" applyAlignment="1" applyFill="1" applyFont="1">
      <alignment horizontal="left" readingOrder="0" shrinkToFit="0" textRotation="0" vertical="center" wrapText="0"/>
    </xf>
    <xf borderId="0" fillId="2" fontId="1" numFmtId="164" xfId="0" applyAlignment="1" applyFill="1" applyFont="1" applyNumberFormat="1">
      <alignment readingOrder="0" shrinkToFit="0" textRotation="0" vertical="center" wrapText="1"/>
    </xf>
    <xf borderId="0" fillId="2" fontId="1" numFmtId="164" xfId="0" applyAlignment="1" applyFill="1" applyFont="1" applyNumberFormat="1">
      <alignment shrinkToFit="0" textRotation="0" vertical="center" wrapText="0"/>
    </xf>
    <xf borderId="0" fillId="3" fontId="1" numFmtId="164" xfId="0" applyAlignment="1" applyFill="1" applyFont="1" applyNumberFormat="1">
      <alignment shrinkToFit="0" textRotation="0" vertical="center" wrapText="0"/>
    </xf>
    <xf borderId="0" fillId="2" fontId="1" numFmtId="164" xfId="0" applyAlignment="1" applyFill="1" applyFont="1" applyNumberFormat="1">
      <alignment shrinkToFit="0" textRotation="0" vertical="center" wrapText="1"/>
    </xf>
    <xf borderId="0" fillId="2" fontId="1" numFmtId="4" xfId="0" applyAlignment="1" applyFill="1" applyFont="1" applyNumberFormat="1">
      <alignment readingOrder="0" shrinkToFit="0" textRotation="0" vertical="center" wrapText="0"/>
    </xf>
    <xf borderId="0" fillId="2" fontId="1" numFmtId="165" xfId="0" applyAlignment="1" applyFill="1" applyFont="1" applyNumberFormat="1">
      <alignment shrinkToFit="0" textRotation="0" vertical="center" wrapText="1"/>
    </xf>
    <xf borderId="10" fillId="11" fontId="4" numFmtId="4" xfId="0" applyAlignment="1" applyBorder="1" applyFill="1" applyFont="1" applyNumberFormat="1">
      <alignment shrinkToFit="0" vertical="center" wrapText="1"/>
    </xf>
    <xf borderId="10" fillId="11" fontId="4" numFmtId="4" xfId="0" applyAlignment="1" applyBorder="1" applyFill="1" applyFont="1" applyNumberFormat="1">
      <alignment horizontal="right" shrinkToFit="0" vertical="center" wrapText="1"/>
    </xf>
    <xf borderId="0" fillId="2" fontId="1" numFmtId="49" xfId="0" applyAlignment="1" applyFill="1" applyFont="1" applyNumberFormat="1">
      <alignment horizontal="center" shrinkToFit="0" textRotation="0" vertical="center" wrapText="1"/>
    </xf>
    <xf borderId="0" fillId="2" fontId="1" numFmtId="0" xfId="0" applyAlignment="1" applyFill="1" applyFont="1">
      <alignment shrinkToFit="0" textRotation="0" vertical="center" wrapText="1"/>
    </xf>
    <xf borderId="0" fillId="2" fontId="1" numFmtId="4" xfId="0" applyAlignment="1" applyFill="1" applyFont="1" applyNumberFormat="1">
      <alignment shrinkToFit="0" textRotation="0" vertical="center" wrapText="1"/>
    </xf>
    <xf borderId="0" fillId="2" fontId="1" numFmtId="164" xfId="0" applyAlignment="1" applyFill="1" applyFont="1" applyNumberFormat="1">
      <alignment readingOrder="0" shrinkToFit="0" textRotation="0" vertical="center" wrapText="0"/>
    </xf>
    <xf borderId="0" fillId="2" fontId="1" numFmtId="4" xfId="0" applyAlignment="1" applyFill="1" applyFont="1" applyNumberFormat="1">
      <alignment shrinkToFit="0" textRotation="0" vertical="center" wrapText="0"/>
    </xf>
    <xf borderId="0" fillId="2" fontId="1" numFmtId="1" xfId="0" applyAlignment="1" applyFill="1" applyFont="1" applyNumberFormat="1">
      <alignment shrinkToFit="0" textRotation="0" vertical="center" wrapText="1"/>
    </xf>
    <xf borderId="0" fillId="2" fontId="1" numFmtId="0" xfId="0" applyAlignment="1" applyFill="1" applyFont="1">
      <alignment readingOrder="0" shrinkToFit="0" textRotation="0" vertical="center" wrapText="1"/>
    </xf>
    <xf borderId="0" fillId="2" fontId="1" numFmtId="164" xfId="0" applyAlignment="1" applyFill="1" applyFont="1" applyNumberFormat="1">
      <alignment shrinkToFit="0" textRotation="0" vertical="bottom" wrapText="0"/>
    </xf>
    <xf borderId="0" fillId="2" fontId="6" numFmtId="164" xfId="0" applyAlignment="1" applyFill="1" applyFont="1" applyNumberFormat="1">
      <alignment shrinkToFit="0" textRotation="0" vertical="center" wrapText="0"/>
    </xf>
    <xf borderId="0" fillId="2" fontId="3" numFmtId="164" xfId="0" applyAlignment="1" applyFill="1" applyFont="1" applyNumberFormat="1">
      <alignment shrinkToFit="0" vertical="bottom" wrapText="0"/>
    </xf>
    <xf borderId="10" fillId="11" fontId="4" numFmtId="4" xfId="0" applyAlignment="1" applyBorder="1" applyFill="1" applyFont="1" applyNumberFormat="1">
      <alignment horizontal="left" shrinkToFit="0" vertical="center" wrapText="0"/>
    </xf>
    <xf borderId="0" fillId="2" fontId="1" numFmtId="4" xfId="0" applyAlignment="1" applyFill="1" applyFont="1" applyNumberFormat="1">
      <alignment shrinkToFit="0" textRotation="0" vertical="center" wrapText="1"/>
    </xf>
    <xf borderId="10" fillId="10" fontId="4" numFmtId="4" xfId="0" applyAlignment="1" applyBorder="1" applyFill="1" applyFont="1" applyNumberFormat="1">
      <alignment shrinkToFit="0" vertical="center" wrapText="1"/>
    </xf>
    <xf borderId="10" fillId="10" fontId="4" numFmtId="4" xfId="0" applyAlignment="1" applyBorder="1" applyFill="1" applyFont="1" applyNumberFormat="1">
      <alignment horizontal="right" shrinkToFit="0" vertical="center" wrapText="1"/>
    </xf>
    <xf borderId="0" fillId="2" fontId="24" numFmtId="0" xfId="0" applyAlignment="1" applyFill="1" applyFont="1">
      <alignment shrinkToFit="0" textRotation="0" vertical="center" wrapText="0"/>
    </xf>
    <xf borderId="0" fillId="2" fontId="1" numFmtId="164" xfId="0" applyAlignment="1" applyFill="1" applyFont="1" applyNumberFormat="1">
      <alignment horizontal="left" shrinkToFit="0" textRotation="0" vertical="center" wrapText="1"/>
    </xf>
    <xf borderId="0" fillId="2" fontId="1" numFmtId="0" xfId="0" applyAlignment="1" applyFill="1" applyFont="1">
      <alignment horizontal="right" shrinkToFit="0" textRotation="0" vertical="center" wrapText="0"/>
    </xf>
    <xf borderId="0" fillId="2" fontId="1" numFmtId="164" xfId="0" applyAlignment="1" applyFill="1" applyFont="1" applyNumberFormat="1">
      <alignment horizontal="right" shrinkToFit="0" textRotation="0" vertical="center" wrapText="1"/>
    </xf>
    <xf borderId="0" fillId="2" fontId="2" numFmtId="0" xfId="0" applyAlignment="1" applyFill="1" applyFont="1">
      <alignment shrinkToFit="0" textRotation="0" vertical="center" wrapText="1"/>
    </xf>
    <xf borderId="0" fillId="2" fontId="2" numFmtId="4" xfId="0" applyAlignment="1" applyFill="1" applyFont="1" applyNumberFormat="1">
      <alignment shrinkToFit="0" textRotation="0" vertical="center" wrapText="1"/>
    </xf>
    <xf borderId="0" fillId="2" fontId="2" numFmtId="4" xfId="0" applyAlignment="1" applyFill="1" applyFont="1" applyNumberFormat="1">
      <alignment shrinkToFit="0" textRotation="0" vertical="center" wrapText="0"/>
    </xf>
    <xf borderId="0" fillId="2" fontId="2" numFmtId="1" xfId="0" applyAlignment="1" applyFill="1" applyFont="1" applyNumberFormat="1">
      <alignment shrinkToFit="0" textRotation="0" vertical="center" wrapText="1"/>
    </xf>
    <xf borderId="10" fillId="10" fontId="4" numFmtId="4" xfId="0" applyAlignment="1" applyBorder="1" applyFill="1" applyFont="1" applyNumberFormat="1">
      <alignment horizontal="left" shrinkToFit="0" vertical="center" wrapText="0"/>
    </xf>
    <xf borderId="4" fillId="13" fontId="2" numFmtId="4" xfId="0" applyAlignment="1" applyBorder="1" applyFill="1" applyFont="1" applyNumberFormat="1">
      <alignment horizontal="center" readingOrder="0" shrinkToFit="0" textRotation="0" vertical="center" wrapText="0"/>
    </xf>
    <xf borderId="4" fillId="13" fontId="2" numFmtId="49" xfId="0" applyAlignment="1" applyBorder="1" applyFill="1" applyFont="1" applyNumberFormat="1">
      <alignment horizontal="center" readingOrder="0" shrinkToFit="0" textRotation="0" vertical="center" wrapText="0"/>
    </xf>
    <xf borderId="4" fillId="13" fontId="2" numFmtId="164" xfId="0" applyAlignment="1" applyBorder="1" applyFill="1" applyFont="1" applyNumberFormat="1">
      <alignment horizontal="center" readingOrder="0" shrinkToFit="0" textRotation="0" vertical="center" wrapText="0"/>
    </xf>
    <xf borderId="4" fillId="13" fontId="2" numFmtId="4" xfId="0" applyAlignment="1" applyBorder="1" applyFill="1" applyFont="1" applyNumberFormat="1">
      <alignment horizontal="center" shrinkToFit="0" textRotation="0" vertical="center" wrapText="1"/>
    </xf>
    <xf borderId="4" fillId="13" fontId="2" numFmtId="4" xfId="0" applyAlignment="1" applyBorder="1" applyFill="1" applyFont="1" applyNumberFormat="1">
      <alignment horizontal="center" shrinkToFit="0" textRotation="0" vertical="center" wrapText="1"/>
    </xf>
    <xf borderId="4" fillId="13" fontId="2" numFmtId="1" xfId="0" applyAlignment="1" applyBorder="1" applyFill="1" applyFont="1" applyNumberFormat="1">
      <alignment horizontal="center" shrinkToFit="0" textRotation="0" vertical="center" wrapText="0"/>
    </xf>
    <xf borderId="4" fillId="13" fontId="2" numFmtId="4" xfId="0" applyAlignment="1" applyBorder="1" applyFill="1" applyFont="1" applyNumberFormat="1">
      <alignment horizontal="center" shrinkToFit="0" textRotation="0" vertical="center" wrapText="0"/>
    </xf>
    <xf borderId="4" fillId="13" fontId="2" numFmtId="1" xfId="0" applyAlignment="1" applyBorder="1" applyFill="1" applyFont="1" applyNumberFormat="1">
      <alignment horizontal="center" shrinkToFit="0" textRotation="0" vertical="center" wrapText="1"/>
    </xf>
    <xf borderId="4" fillId="13" fontId="2" numFmtId="165" xfId="0" applyAlignment="1" applyBorder="1" applyFill="1" applyFont="1" applyNumberFormat="1">
      <alignment horizontal="center" shrinkToFit="0" textRotation="0" vertical="center" wrapText="1"/>
    </xf>
    <xf borderId="4" fillId="13" fontId="2" numFmtId="1" xfId="0" applyAlignment="1" applyBorder="1" applyFill="1" applyFont="1" applyNumberFormat="1">
      <alignment horizontal="center" shrinkToFit="0" textRotation="0" vertical="center" wrapText="0"/>
    </xf>
    <xf borderId="10" fillId="2" fontId="1" numFmtId="164" xfId="0" applyAlignment="1" applyBorder="1" applyFill="1" applyFont="1" applyNumberFormat="1">
      <alignment shrinkToFit="0" textRotation="0" vertical="center" wrapText="1"/>
    </xf>
    <xf borderId="10" fillId="2" fontId="1" numFmtId="49" xfId="0" applyAlignment="1" applyBorder="1" applyFill="1" applyFont="1" applyNumberFormat="1">
      <alignment horizontal="center" shrinkToFit="0" textRotation="0" vertical="center" wrapText="1"/>
    </xf>
    <xf borderId="10" fillId="2" fontId="1" numFmtId="164" xfId="0" applyAlignment="1" applyBorder="1" applyFill="1" applyFont="1" applyNumberFormat="1">
      <alignment shrinkToFit="0" textRotation="0" vertical="center" wrapText="0"/>
    </xf>
    <xf borderId="10" fillId="2" fontId="1" numFmtId="0" xfId="0" applyAlignment="1" applyBorder="1" applyFill="1" applyFont="1">
      <alignment horizontal="center" readingOrder="0" shrinkToFit="0" textRotation="0" vertical="center" wrapText="0"/>
    </xf>
    <xf borderId="10" fillId="13" fontId="1" numFmtId="49" xfId="0" applyAlignment="1" applyBorder="1" applyFill="1" applyFont="1" applyNumberFormat="1">
      <alignment readingOrder="0" shrinkToFit="0" textRotation="0" vertical="center" wrapText="1"/>
    </xf>
    <xf borderId="10" fillId="0" fontId="1" numFmtId="0" xfId="0" applyAlignment="1" applyBorder="1" applyFont="1">
      <alignment shrinkToFit="0" textRotation="0" vertical="center" wrapText="1"/>
    </xf>
    <xf borderId="10" fillId="0" fontId="1" numFmtId="164" xfId="0" applyAlignment="1" applyBorder="1" applyFont="1" applyNumberFormat="1">
      <alignment shrinkToFit="0" textRotation="0" vertical="center" wrapText="0"/>
    </xf>
    <xf borderId="10" fillId="0" fontId="1" numFmtId="0" xfId="0" applyAlignment="1" applyBorder="1" applyFont="1">
      <alignment shrinkToFit="0" textRotation="0" vertical="center" wrapText="0"/>
    </xf>
    <xf borderId="10" fillId="0" fontId="1" numFmtId="164" xfId="0" applyAlignment="1" applyBorder="1" applyFont="1" applyNumberFormat="1">
      <alignment shrinkToFit="0" textRotation="0" vertical="center" wrapText="1"/>
    </xf>
    <xf borderId="10" fillId="0" fontId="1" numFmtId="1" xfId="0" applyAlignment="1" applyBorder="1" applyFont="1" applyNumberFormat="1">
      <alignment shrinkToFit="0" textRotation="0" vertical="center" wrapText="1"/>
    </xf>
    <xf borderId="10" fillId="0" fontId="1" numFmtId="4" xfId="0" applyAlignment="1" applyBorder="1" applyFont="1" applyNumberFormat="1">
      <alignment shrinkToFit="0" textRotation="0" vertical="center" wrapText="1"/>
    </xf>
    <xf borderId="10" fillId="0" fontId="1" numFmtId="165" xfId="0" applyAlignment="1" applyBorder="1" applyFont="1" applyNumberFormat="1">
      <alignment shrinkToFit="0" textRotation="0" vertical="center" wrapText="1"/>
    </xf>
    <xf borderId="1" fillId="2" fontId="1" numFmtId="164" xfId="0" applyAlignment="1" applyBorder="1" applyFill="1" applyFont="1" applyNumberFormat="1">
      <alignment shrinkToFit="0" textRotation="0" vertical="center" wrapText="1"/>
    </xf>
    <xf borderId="1" fillId="2" fontId="1" numFmtId="49" xfId="0" applyAlignment="1" applyBorder="1" applyFill="1" applyFont="1" applyNumberFormat="1">
      <alignment horizontal="center" shrinkToFit="0" textRotation="0" vertical="center" wrapText="1"/>
    </xf>
    <xf borderId="1" fillId="2" fontId="1" numFmtId="164" xfId="0" applyAlignment="1" applyBorder="1" applyFill="1" applyFont="1" applyNumberFormat="1">
      <alignment shrinkToFit="0" textRotation="0" vertical="center" wrapText="0"/>
    </xf>
    <xf borderId="1" fillId="0" fontId="1" numFmtId="0" xfId="0" applyAlignment="1" applyBorder="1" applyFont="1">
      <alignment readingOrder="0" shrinkToFit="0" textRotation="0" vertical="center" wrapText="1"/>
    </xf>
    <xf borderId="1" fillId="0" fontId="1" numFmtId="164" xfId="0" applyAlignment="1" applyBorder="1" applyFont="1" applyNumberFormat="1">
      <alignment shrinkToFit="0" textRotation="0" vertical="center" wrapText="0"/>
    </xf>
    <xf borderId="1" fillId="0" fontId="1" numFmtId="0" xfId="0" applyAlignment="1" applyBorder="1" applyFont="1">
      <alignment shrinkToFit="0" textRotation="0" vertical="center" wrapText="0"/>
    </xf>
    <xf borderId="1" fillId="0" fontId="1" numFmtId="164" xfId="0" applyAlignment="1" applyBorder="1" applyFont="1" applyNumberFormat="1">
      <alignment shrinkToFit="0" textRotation="0" vertical="center" wrapText="1"/>
    </xf>
    <xf borderId="1" fillId="0" fontId="1" numFmtId="0" xfId="0" applyAlignment="1" applyBorder="1" applyFont="1">
      <alignment shrinkToFit="0" textRotation="0" vertical="center" wrapText="1"/>
    </xf>
    <xf borderId="1" fillId="0" fontId="1" numFmtId="4" xfId="0" applyAlignment="1" applyBorder="1" applyFont="1" applyNumberFormat="1">
      <alignment shrinkToFit="0" textRotation="0" vertical="center" wrapText="1"/>
    </xf>
    <xf borderId="1" fillId="0" fontId="1" numFmtId="165" xfId="0" applyAlignment="1" applyBorder="1" applyFont="1" applyNumberFormat="1">
      <alignment shrinkToFit="0" textRotation="0" vertical="center" wrapText="1"/>
    </xf>
    <xf borderId="23" fillId="2" fontId="1" numFmtId="0" xfId="0" applyAlignment="1" applyBorder="1" applyFill="1" applyFont="1">
      <alignment horizontal="center" readingOrder="0" shrinkToFit="0" textRotation="0" vertical="center" wrapText="0"/>
    </xf>
    <xf borderId="23" fillId="13" fontId="1" numFmtId="49" xfId="0" applyAlignment="1" applyBorder="1" applyFill="1" applyFont="1" applyNumberFormat="1">
      <alignment readingOrder="0" shrinkToFit="0" textRotation="0" vertical="center" wrapText="1"/>
    </xf>
    <xf borderId="9" fillId="0" fontId="1" numFmtId="0" xfId="0" applyAlignment="1" applyBorder="1" applyFont="1">
      <alignment readingOrder="0" shrinkToFit="0" textRotation="0" vertical="center" wrapText="1"/>
    </xf>
    <xf borderId="9" fillId="0" fontId="1" numFmtId="0" xfId="0" applyAlignment="1" applyBorder="1" applyFont="1">
      <alignment shrinkToFit="0" textRotation="0" vertical="center" wrapText="0"/>
    </xf>
    <xf borderId="9" fillId="0" fontId="1" numFmtId="0" xfId="0" applyAlignment="1" applyBorder="1" applyFont="1">
      <alignment shrinkToFit="0" textRotation="0" vertical="center" wrapText="1"/>
    </xf>
    <xf borderId="4" fillId="25" fontId="2" numFmtId="0" xfId="0" applyAlignment="1" applyBorder="1" applyFill="1" applyFont="1">
      <alignment horizontal="left" readingOrder="0" shrinkToFit="0" textRotation="0" vertical="center" wrapText="0"/>
    </xf>
    <xf borderId="4" fillId="25" fontId="2" numFmtId="49" xfId="0" applyAlignment="1" applyBorder="1" applyFill="1" applyFont="1" applyNumberFormat="1">
      <alignment horizontal="center" readingOrder="0" shrinkToFit="0" textRotation="0" vertical="center" wrapText="0"/>
    </xf>
    <xf borderId="4" fillId="25" fontId="2" numFmtId="0" xfId="0" applyAlignment="1" applyBorder="1" applyFill="1" applyFont="1">
      <alignment horizontal="center" readingOrder="0" shrinkToFit="0" textRotation="0" vertical="center" wrapText="0"/>
    </xf>
    <xf borderId="4" fillId="25" fontId="2" numFmtId="0" xfId="0" applyAlignment="1" applyBorder="1" applyFill="1" applyFont="1">
      <alignment horizontal="center" shrinkToFit="0" textRotation="0" vertical="center" wrapText="0"/>
    </xf>
    <xf borderId="4" fillId="25" fontId="2" numFmtId="0" xfId="0" applyAlignment="1" applyBorder="1" applyFill="1" applyFont="1">
      <alignment horizontal="center" shrinkToFit="0" textRotation="0" vertical="center" wrapText="1"/>
    </xf>
    <xf borderId="4" fillId="25" fontId="2" numFmtId="4" xfId="0" applyAlignment="1" applyBorder="1" applyFill="1" applyFont="1" applyNumberFormat="1">
      <alignment horizontal="center" readingOrder="0" shrinkToFit="0" textRotation="0" vertical="center" wrapText="1"/>
    </xf>
    <xf borderId="4" fillId="25" fontId="2" numFmtId="1" xfId="0" applyAlignment="1" applyBorder="1" applyFill="1" applyFont="1" applyNumberFormat="1">
      <alignment horizontal="center" shrinkToFit="0" textRotation="0" vertical="center" wrapText="0"/>
    </xf>
    <xf borderId="4" fillId="25" fontId="2" numFmtId="4" xfId="0" applyAlignment="1" applyBorder="1" applyFill="1" applyFont="1" applyNumberFormat="1">
      <alignment horizontal="center" shrinkToFit="0" textRotation="0" vertical="center" wrapText="0"/>
    </xf>
    <xf borderId="4" fillId="25" fontId="2" numFmtId="1" xfId="0" applyAlignment="1" applyBorder="1" applyFill="1" applyFont="1" applyNumberFormat="1">
      <alignment horizontal="center" shrinkToFit="0" textRotation="0" vertical="center" wrapText="1"/>
    </xf>
    <xf borderId="4" fillId="25" fontId="2" numFmtId="4" xfId="0" applyAlignment="1" applyBorder="1" applyFill="1" applyFont="1" applyNumberFormat="1">
      <alignment horizontal="center" shrinkToFit="0" textRotation="0" vertical="center" wrapText="1"/>
    </xf>
    <xf borderId="4" fillId="25" fontId="2" numFmtId="165" xfId="0" applyAlignment="1" applyBorder="1" applyFill="1" applyFont="1" applyNumberFormat="1">
      <alignment horizontal="center" shrinkToFit="0" textRotation="0" vertical="center" wrapText="1"/>
    </xf>
    <xf borderId="4" fillId="25" fontId="2" numFmtId="1" xfId="0" applyAlignment="1" applyBorder="1" applyFill="1" applyFont="1" applyNumberFormat="1">
      <alignment horizontal="center" shrinkToFit="0" textRotation="0" vertical="center" wrapText="0"/>
    </xf>
    <xf borderId="1" fillId="2" fontId="1" numFmtId="49" xfId="0" applyAlignment="1" applyBorder="1" applyFill="1" applyFont="1" applyNumberFormat="1">
      <alignment horizontal="center" readingOrder="0" shrinkToFit="0" textRotation="0" vertical="center" wrapText="1"/>
    </xf>
    <xf borderId="1" fillId="2" fontId="1" numFmtId="164" xfId="0" applyAlignment="1" applyBorder="1" applyFill="1" applyFont="1" applyNumberFormat="1">
      <alignment readingOrder="0" shrinkToFit="0" textRotation="0" vertical="center" wrapText="1"/>
    </xf>
    <xf borderId="1" fillId="2" fontId="1" numFmtId="164" xfId="0" applyAlignment="1" applyBorder="1" applyFill="1" applyFont="1" applyNumberFormat="1">
      <alignment readingOrder="0" shrinkToFit="0" textRotation="0" vertical="center" wrapText="0"/>
    </xf>
    <xf borderId="10" fillId="25" fontId="1" numFmtId="49" xfId="0" applyAlignment="1" applyBorder="1" applyFill="1" applyFont="1" applyNumberFormat="1">
      <alignment readingOrder="0" shrinkToFit="0" textRotation="0" vertical="center" wrapText="1"/>
    </xf>
    <xf borderId="10" fillId="2" fontId="1" numFmtId="0" xfId="0" applyAlignment="1" applyBorder="1" applyFill="1" applyFont="1">
      <alignment readingOrder="0" shrinkToFit="0" textRotation="0" vertical="center" wrapText="1"/>
    </xf>
    <xf borderId="1" fillId="0" fontId="1" numFmtId="164" xfId="0" applyAlignment="1" applyBorder="1" applyFont="1" applyNumberFormat="1">
      <alignment readingOrder="0" shrinkToFit="0" textRotation="0" vertical="center" wrapText="0"/>
    </xf>
    <xf borderId="10" fillId="2" fontId="1" numFmtId="0" xfId="0" applyAlignment="1" applyBorder="1" applyFill="1" applyFont="1">
      <alignment readingOrder="0" shrinkToFit="0" textRotation="0" vertical="center" wrapText="0"/>
    </xf>
    <xf borderId="10" fillId="2" fontId="1" numFmtId="1" xfId="0" applyAlignment="1" applyBorder="1" applyFill="1" applyFont="1" applyNumberFormat="1">
      <alignment readingOrder="0" shrinkToFit="0" textRotation="0" vertical="center" wrapText="1"/>
    </xf>
    <xf borderId="1" fillId="2" fontId="1" numFmtId="4" xfId="0" applyAlignment="1" applyBorder="1" applyFill="1" applyFont="1" applyNumberFormat="1">
      <alignment readingOrder="0" shrinkToFit="0" textRotation="0" vertical="center" wrapText="1"/>
    </xf>
    <xf borderId="1" fillId="2" fontId="1" numFmtId="0" xfId="0" applyAlignment="1" applyBorder="1" applyFill="1" applyFont="1">
      <alignment readingOrder="0" shrinkToFit="0" textRotation="0" vertical="center" wrapText="1"/>
    </xf>
    <xf borderId="1" fillId="2" fontId="1" numFmtId="0" xfId="0" applyAlignment="1" applyBorder="1" applyFill="1" applyFont="1">
      <alignment readingOrder="0" shrinkToFit="0" textRotation="0" vertical="center" wrapText="1"/>
    </xf>
    <xf borderId="1" fillId="2" fontId="1" numFmtId="0" xfId="0" applyAlignment="1" applyBorder="1" applyFill="1" applyFont="1">
      <alignment shrinkToFit="0" textRotation="0" vertical="center" wrapText="0"/>
    </xf>
    <xf borderId="1" fillId="2" fontId="1" numFmtId="1" xfId="0" applyAlignment="1" applyBorder="1" applyFill="1" applyFont="1" applyNumberFormat="1">
      <alignment readingOrder="0" shrinkToFit="0" textRotation="0" vertical="center" wrapText="1"/>
    </xf>
    <xf borderId="1" fillId="2" fontId="1" numFmtId="4" xfId="0" applyAlignment="1" applyBorder="1" applyFill="1" applyFont="1" applyNumberFormat="1">
      <alignment shrinkToFit="0" textRotation="0" vertical="center" wrapText="1"/>
    </xf>
    <xf borderId="1" fillId="2" fontId="1" numFmtId="165" xfId="0" applyAlignment="1" applyBorder="1" applyFill="1" applyFont="1" applyNumberFormat="1">
      <alignment shrinkToFit="0" textRotation="0" vertical="center" wrapText="1"/>
    </xf>
    <xf borderId="1" fillId="2" fontId="1" numFmtId="164" xfId="0" applyAlignment="1" applyBorder="1" applyFill="1" applyFont="1" applyNumberFormat="1">
      <alignment shrinkToFit="0" textRotation="0" vertical="center" wrapText="0"/>
    </xf>
    <xf borderId="1" fillId="2" fontId="1" numFmtId="0" xfId="0" applyAlignment="1" applyBorder="1" applyFill="1" applyFont="1">
      <alignment shrinkToFit="0" textRotation="0" vertical="center" wrapText="1"/>
    </xf>
    <xf borderId="1" fillId="2" fontId="1" numFmtId="1" xfId="0" applyAlignment="1" applyBorder="1" applyFill="1" applyFont="1" applyNumberFormat="1">
      <alignment shrinkToFit="0" textRotation="0" vertical="center" wrapText="1"/>
    </xf>
    <xf borderId="10" fillId="25" fontId="1" numFmtId="0" xfId="0" applyAlignment="1" applyBorder="1" applyFill="1" applyFont="1">
      <alignment readingOrder="0" shrinkToFit="0" textRotation="0" vertical="center" wrapText="1"/>
    </xf>
    <xf borderId="10" fillId="2" fontId="4" numFmtId="164" xfId="0" applyAlignment="1" applyBorder="1" applyFill="1" applyFont="1" applyNumberFormat="1">
      <alignment vertical="center"/>
    </xf>
    <xf borderId="10" fillId="2" fontId="4" numFmtId="0" xfId="0" applyAlignment="1" applyBorder="1" applyFill="1" applyFont="1">
      <alignment vertical="center"/>
    </xf>
    <xf borderId="10" fillId="2" fontId="4" numFmtId="0" xfId="0" applyAlignment="1" applyBorder="1" applyFill="1" applyFont="1">
      <alignment shrinkToFit="0" vertical="center" wrapText="0"/>
    </xf>
    <xf borderId="10" fillId="2" fontId="4" numFmtId="4" xfId="0" applyAlignment="1" applyBorder="1" applyFill="1" applyFont="1" applyNumberFormat="1">
      <alignment vertical="center"/>
    </xf>
    <xf borderId="10" fillId="2" fontId="4" numFmtId="167" xfId="0" applyAlignment="1" applyBorder="1" applyFill="1" applyFont="1" applyNumberFormat="1">
      <alignment shrinkToFit="0" vertical="center" wrapText="0"/>
    </xf>
    <xf borderId="10" fillId="2" fontId="3" numFmtId="167" xfId="0" applyBorder="1" applyFill="1" applyFont="1" applyNumberFormat="1"/>
    <xf borderId="10" fillId="0" fontId="1" numFmtId="164" xfId="0" applyAlignment="1" applyBorder="1" applyFont="1" applyNumberFormat="1">
      <alignment shrinkToFit="0" textRotation="0" vertical="center" wrapText="0"/>
    </xf>
    <xf borderId="10" fillId="2" fontId="4" numFmtId="164" xfId="0" applyAlignment="1" applyBorder="1" applyFill="1" applyFont="1" applyNumberFormat="1">
      <alignment shrinkToFit="0" vertical="center" wrapText="0"/>
    </xf>
    <xf borderId="10" fillId="2" fontId="4" numFmtId="0" xfId="0" applyAlignment="1" applyBorder="1" applyFill="1" applyFont="1">
      <alignment shrinkToFit="0" vertical="center" wrapText="1"/>
    </xf>
    <xf borderId="10" fillId="2" fontId="4" numFmtId="164" xfId="0" applyAlignment="1" applyBorder="1" applyFill="1" applyFont="1" applyNumberFormat="1">
      <alignment readingOrder="0" vertical="center"/>
    </xf>
    <xf borderId="10" fillId="2" fontId="4" numFmtId="4" xfId="0" applyAlignment="1" applyBorder="1" applyFill="1" applyFont="1" applyNumberFormat="1">
      <alignment vertical="center"/>
    </xf>
    <xf borderId="10" fillId="2" fontId="4" numFmtId="167" xfId="0" applyAlignment="1" applyBorder="1" applyFill="1" applyFont="1" applyNumberFormat="1">
      <alignment vertical="center"/>
    </xf>
    <xf borderId="10" fillId="2" fontId="4" numFmtId="10" xfId="0" applyAlignment="1" applyBorder="1" applyFill="1" applyFont="1" applyNumberFormat="1">
      <alignment vertical="center"/>
    </xf>
    <xf borderId="10" fillId="2" fontId="4" numFmtId="49" xfId="0" applyAlignment="1" applyBorder="1" applyFill="1" applyFont="1" applyNumberFormat="1">
      <alignment vertical="center"/>
    </xf>
    <xf borderId="10" fillId="2" fontId="4" numFmtId="4" xfId="0" applyAlignment="1" applyBorder="1" applyFill="1" applyFont="1" applyNumberFormat="1">
      <alignment horizontal="left" vertical="center"/>
    </xf>
    <xf borderId="10" fillId="2" fontId="4" numFmtId="4" xfId="0" applyAlignment="1" applyBorder="1" applyFill="1" applyFont="1" applyNumberFormat="1">
      <alignment shrinkToFit="0" vertical="center" wrapText="1"/>
    </xf>
    <xf borderId="10" fillId="2" fontId="4" numFmtId="167" xfId="0" applyAlignment="1" applyBorder="1" applyFill="1" applyFont="1" applyNumberFormat="1">
      <alignment horizontal="left" vertical="center"/>
    </xf>
    <xf borderId="0" fillId="2" fontId="4" numFmtId="167" xfId="0" applyAlignment="1" applyFill="1" applyFont="1" applyNumberFormat="1">
      <alignment vertical="center"/>
    </xf>
    <xf borderId="0" fillId="2" fontId="1" numFmtId="4" xfId="0" applyAlignment="1" applyFill="1" applyFont="1" applyNumberFormat="1">
      <alignment shrinkToFit="0" textRotation="0" vertical="center" wrapText="0"/>
    </xf>
    <xf borderId="0" fillId="2" fontId="1" numFmtId="4" xfId="0" applyAlignment="1" applyFill="1" applyFont="1" applyNumberFormat="1">
      <alignment shrinkToFit="0" textRotation="0" vertical="center" wrapText="1"/>
    </xf>
    <xf borderId="0" fillId="2" fontId="1" numFmtId="167" xfId="0" applyAlignment="1" applyFill="1" applyFont="1" applyNumberFormat="1">
      <alignment readingOrder="0" shrinkToFit="0" textRotation="0" vertical="center" wrapText="0"/>
    </xf>
    <xf borderId="0" fillId="2" fontId="1" numFmtId="4" xfId="0" applyAlignment="1" applyFill="1" applyFont="1" applyNumberFormat="1">
      <alignment readingOrder="0" shrinkToFit="0" textRotation="0" vertical="center" wrapText="0"/>
    </xf>
    <xf borderId="0" fillId="2" fontId="1" numFmtId="4" xfId="0" applyAlignment="1" applyFill="1" applyFont="1" applyNumberFormat="1">
      <alignment textRotation="0" vertical="center"/>
    </xf>
    <xf borderId="0" fillId="2" fontId="1" numFmtId="167" xfId="0" applyAlignment="1" applyFill="1" applyFont="1" applyNumberFormat="1">
      <alignment shrinkToFit="0" textRotation="0" vertical="center" wrapText="1"/>
    </xf>
    <xf borderId="0" fillId="2" fontId="1" numFmtId="4" xfId="0" applyAlignment="1" applyFill="1" applyFont="1" applyNumberFormat="1">
      <alignment readingOrder="0" shrinkToFit="0" textRotation="0" vertical="center" wrapText="1"/>
    </xf>
    <xf borderId="0" fillId="2" fontId="1" numFmtId="10" xfId="0" applyAlignment="1" applyFill="1" applyFont="1" applyNumberFormat="1">
      <alignment readingOrder="0" shrinkToFit="0" textRotation="0" vertical="center" wrapText="1"/>
    </xf>
    <xf borderId="0" fillId="2" fontId="1" numFmtId="10" xfId="0" applyAlignment="1" applyFill="1" applyFont="1" applyNumberFormat="1">
      <alignment shrinkToFit="0" textRotation="0" vertical="center" wrapText="1"/>
    </xf>
    <xf borderId="0" fillId="5" fontId="1" numFmtId="49" xfId="0" applyAlignment="1" applyFill="1" applyFont="1" applyNumberFormat="1">
      <alignment horizontal="center" shrinkToFit="0" textRotation="0" vertical="center" wrapText="1"/>
    </xf>
    <xf borderId="0" fillId="5" fontId="1" numFmtId="4" xfId="0" applyAlignment="1" applyFill="1" applyFont="1" applyNumberFormat="1">
      <alignment horizontal="center" shrinkToFit="0" textRotation="0" vertical="center" wrapText="1"/>
    </xf>
    <xf borderId="0" fillId="5" fontId="1" numFmtId="4" xfId="0" applyAlignment="1" applyFill="1" applyFont="1" applyNumberFormat="1">
      <alignment horizontal="center" readingOrder="0" shrinkToFit="0" textRotation="0" vertical="center" wrapText="1"/>
    </xf>
    <xf borderId="0" fillId="5" fontId="1" numFmtId="0" xfId="0" applyAlignment="1" applyFill="1" applyFont="1">
      <alignment horizontal="center" readingOrder="0" shrinkToFit="0" textRotation="0" vertical="center" wrapText="1"/>
    </xf>
    <xf borderId="0" fillId="2" fontId="1" numFmtId="167" xfId="0" applyAlignment="1" applyFill="1" applyFont="1" applyNumberFormat="1">
      <alignment shrinkToFit="0" textRotation="0" vertical="center" wrapText="1"/>
    </xf>
    <xf borderId="0" fillId="5" fontId="1" numFmtId="164" xfId="0" applyAlignment="1" applyFill="1" applyFont="1" applyNumberFormat="1">
      <alignment horizontal="center" shrinkToFit="0" textRotation="0" vertical="center" wrapText="1"/>
    </xf>
    <xf borderId="0" fillId="5" fontId="1" numFmtId="4" xfId="0" applyAlignment="1" applyFill="1" applyFont="1" applyNumberFormat="1">
      <alignment horizontal="left" readingOrder="0" shrinkToFit="0" textRotation="0" vertical="center" wrapText="1"/>
    </xf>
    <xf borderId="0" fillId="5" fontId="1" numFmtId="167" xfId="0" applyAlignment="1" applyFill="1" applyFont="1" applyNumberFormat="1">
      <alignment horizontal="center" shrinkToFit="0" textRotation="0" vertical="center" wrapText="1"/>
    </xf>
    <xf borderId="0" fillId="5" fontId="1" numFmtId="0" xfId="0" applyAlignment="1" applyFill="1" applyFont="1">
      <alignment horizontal="left" readingOrder="0" shrinkToFit="0" textRotation="0" vertical="center" wrapText="1"/>
    </xf>
    <xf borderId="0" fillId="2" fontId="1" numFmtId="0" xfId="0" applyAlignment="1" applyFill="1" applyFont="1">
      <alignment horizontal="center" readingOrder="0" shrinkToFit="0" textRotation="0" vertical="center" wrapText="1"/>
    </xf>
    <xf borderId="0" fillId="2" fontId="1" numFmtId="164" xfId="0" applyAlignment="1" applyFill="1" applyFont="1" applyNumberFormat="1">
      <alignment textRotation="0" vertical="center"/>
    </xf>
    <xf borderId="0" fillId="3" fontId="1" numFmtId="0" xfId="0" applyAlignment="1" applyFill="1" applyFont="1">
      <alignment textRotation="0" vertical="center"/>
    </xf>
    <xf borderId="0" fillId="3" fontId="1" numFmtId="0" xfId="0" applyAlignment="1" applyFill="1" applyFont="1">
      <alignment shrinkToFit="0" textRotation="0" vertical="center" wrapText="0"/>
    </xf>
    <xf borderId="0" fillId="3" fontId="1" numFmtId="4" xfId="0" applyAlignment="1" applyFill="1" applyFont="1" applyNumberFormat="1">
      <alignment textRotation="0" vertical="center"/>
    </xf>
    <xf borderId="0" fillId="3" fontId="1" numFmtId="167" xfId="0" applyAlignment="1" applyFill="1" applyFont="1" applyNumberFormat="1">
      <alignment textRotation="0" vertical="center"/>
    </xf>
    <xf borderId="0" fillId="0" fontId="1" numFmtId="0" xfId="0" applyAlignment="1" applyFont="1">
      <alignment textRotation="0" vertical="center"/>
    </xf>
    <xf borderId="0" fillId="3" fontId="1" numFmtId="0" xfId="0" applyAlignment="1" applyFill="1" applyFont="1">
      <alignment shrinkToFit="0" textRotation="0" vertical="center" wrapText="1"/>
    </xf>
    <xf borderId="0" fillId="3" fontId="1" numFmtId="10" xfId="0" applyAlignment="1" applyFill="1" applyFont="1" applyNumberFormat="1">
      <alignment textRotation="0" vertical="center"/>
    </xf>
    <xf borderId="0" fillId="3" fontId="1" numFmtId="49" xfId="0" applyAlignment="1" applyFill="1" applyFont="1" applyNumberFormat="1">
      <alignment textRotation="0" vertical="center"/>
    </xf>
    <xf borderId="0" fillId="3" fontId="1" numFmtId="167" xfId="0" applyAlignment="1" applyFill="1" applyFont="1" applyNumberFormat="1">
      <alignment shrinkToFit="0" textRotation="0" vertical="center" wrapText="1"/>
    </xf>
    <xf borderId="0" fillId="3" fontId="1" numFmtId="4" xfId="0" applyAlignment="1" applyFill="1" applyFont="1" applyNumberFormat="1">
      <alignment horizontal="left" textRotation="0" vertical="center"/>
    </xf>
    <xf borderId="0" fillId="3" fontId="1" numFmtId="167" xfId="0" applyAlignment="1" applyFill="1" applyFont="1" applyNumberFormat="1">
      <alignment horizontal="left" textRotation="0" vertical="center"/>
    </xf>
    <xf borderId="0" fillId="2" fontId="1" numFmtId="167" xfId="0" applyAlignment="1" applyFill="1" applyFont="1" applyNumberFormat="1">
      <alignment textRotation="0" vertical="center"/>
    </xf>
    <xf borderId="0" fillId="2" fontId="4" numFmtId="164" xfId="0" applyAlignment="1" applyFill="1" applyFont="1" applyNumberFormat="1">
      <alignment readingOrder="0" vertical="center"/>
    </xf>
    <xf borderId="0" fillId="2" fontId="25" numFmtId="164" xfId="0" applyAlignment="1" applyFill="1" applyFont="1" applyNumberFormat="1">
      <alignment textRotation="0" vertical="center"/>
    </xf>
    <xf borderId="0" fillId="19" fontId="4" numFmtId="164" xfId="0" applyAlignment="1" applyFill="1" applyFont="1" applyNumberFormat="1">
      <alignment shrinkToFit="0" vertical="center" wrapText="0"/>
    </xf>
    <xf borderId="0" fillId="2" fontId="4" numFmtId="167" xfId="0" applyAlignment="1" applyFill="1" applyFont="1" applyNumberFormat="1">
      <alignment shrinkToFit="0" vertical="center" wrapText="0"/>
    </xf>
    <xf borderId="0" fillId="2" fontId="3" numFmtId="167" xfId="0" applyFill="1" applyFont="1" applyNumberFormat="1"/>
    <xf borderId="0" fillId="19" fontId="4" numFmtId="164" xfId="0" applyAlignment="1" applyFill="1" applyFont="1" applyNumberFormat="1">
      <alignment shrinkToFit="0" vertical="center" wrapText="1"/>
    </xf>
    <xf borderId="0" fillId="2" fontId="4" numFmtId="10" xfId="0" applyAlignment="1" applyFill="1" applyFont="1" applyNumberFormat="1">
      <alignment vertical="center"/>
    </xf>
    <xf borderId="0" fillId="2" fontId="4" numFmtId="49" xfId="0" applyAlignment="1" applyFill="1" applyFont="1" applyNumberFormat="1">
      <alignment vertical="center"/>
    </xf>
    <xf borderId="0" fillId="2" fontId="3" numFmtId="167" xfId="0" applyAlignment="1" applyFill="1" applyFont="1" applyNumberFormat="1">
      <alignment vertical="center"/>
    </xf>
    <xf borderId="0" fillId="2" fontId="4" numFmtId="4" xfId="0" applyAlignment="1" applyFill="1" applyFont="1" applyNumberFormat="1">
      <alignment horizontal="left" vertical="center"/>
    </xf>
    <xf borderId="0" fillId="2" fontId="4" numFmtId="164" xfId="0" applyAlignment="1" applyFill="1" applyFont="1" applyNumberFormat="1">
      <alignment shrinkToFit="0" vertical="center" wrapText="1"/>
    </xf>
    <xf borderId="0" fillId="2" fontId="4" numFmtId="167" xfId="0" applyAlignment="1" applyFill="1" applyFont="1" applyNumberFormat="1">
      <alignment horizontal="left" vertical="center"/>
    </xf>
    <xf borderId="0" fillId="2" fontId="4" numFmtId="164" xfId="0" applyAlignment="1" applyFill="1" applyFont="1" applyNumberFormat="1">
      <alignment readingOrder="0" shrinkToFit="0" vertical="center" wrapText="0"/>
    </xf>
    <xf borderId="0" fillId="2" fontId="25" numFmtId="164" xfId="0" applyAlignment="1" applyFill="1" applyFont="1" applyNumberFormat="1">
      <alignment shrinkToFit="0" textRotation="0" vertical="center" wrapText="0"/>
    </xf>
    <xf borderId="0" fillId="2" fontId="4" numFmtId="4" xfId="0" applyAlignment="1" applyFill="1" applyFont="1" applyNumberFormat="1">
      <alignment shrinkToFit="0" vertical="center" wrapText="0"/>
    </xf>
    <xf borderId="0" fillId="2" fontId="4" numFmtId="0" xfId="0" applyAlignment="1" applyFill="1" applyFont="1">
      <alignment shrinkToFit="0" vertical="center" wrapText="0"/>
    </xf>
    <xf borderId="0" fillId="2" fontId="4" numFmtId="10" xfId="0" applyAlignment="1" applyFill="1" applyFont="1" applyNumberFormat="1">
      <alignment shrinkToFit="0" vertical="center" wrapText="0"/>
    </xf>
    <xf borderId="0" fillId="2" fontId="4" numFmtId="49" xfId="0" applyAlignment="1" applyFill="1" applyFont="1" applyNumberFormat="1">
      <alignment shrinkToFit="0" vertical="center" wrapText="0"/>
    </xf>
    <xf borderId="0" fillId="2" fontId="3" numFmtId="167" xfId="0" applyAlignment="1" applyFill="1" applyFont="1" applyNumberFormat="1">
      <alignment shrinkToFit="0" vertical="center" wrapText="0"/>
    </xf>
    <xf borderId="0" fillId="2" fontId="4" numFmtId="4" xfId="0" applyAlignment="1" applyFill="1" applyFont="1" applyNumberFormat="1">
      <alignment horizontal="left" shrinkToFit="0" vertical="center" wrapText="0"/>
    </xf>
    <xf borderId="0" fillId="2" fontId="4" numFmtId="167" xfId="0" applyAlignment="1" applyFill="1" applyFont="1" applyNumberFormat="1">
      <alignment horizontal="left" shrinkToFit="0" vertical="center" wrapText="0"/>
    </xf>
    <xf borderId="0" fillId="2" fontId="1" numFmtId="3" xfId="0" applyAlignment="1" applyFill="1" applyFont="1" applyNumberFormat="1">
      <alignment textRotation="0" vertical="center"/>
    </xf>
    <xf borderId="0" fillId="2" fontId="1" numFmtId="4" xfId="0" applyAlignment="1" applyFill="1" applyFont="1" applyNumberFormat="1">
      <alignment textRotation="0" vertical="center"/>
    </xf>
    <xf borderId="0" fillId="0" fontId="1" numFmtId="167" xfId="0" applyAlignment="1" applyFont="1" applyNumberFormat="1">
      <alignment readingOrder="0" textRotation="0" vertical="center"/>
    </xf>
    <xf borderId="0" fillId="0" fontId="1" numFmtId="3" xfId="0" applyAlignment="1" applyFont="1" applyNumberFormat="1">
      <alignment readingOrder="0" textRotation="0" vertical="center"/>
    </xf>
    <xf borderId="0" fillId="0" fontId="1" numFmtId="3" xfId="0" applyAlignment="1" applyFont="1" applyNumberFormat="1">
      <alignment textRotation="0" vertical="center"/>
    </xf>
    <xf borderId="0" fillId="2" fontId="1" numFmtId="3" xfId="0" applyAlignment="1" applyFill="1" applyFont="1" applyNumberFormat="1">
      <alignment shrinkToFit="0" textRotation="0" vertical="center" wrapText="1"/>
    </xf>
    <xf borderId="0" fillId="2" fontId="4" numFmtId="3" xfId="0" applyAlignment="1" applyFill="1" applyFont="1" applyNumberFormat="1">
      <alignment vertical="center"/>
    </xf>
    <xf borderId="0" fillId="0" fontId="4" numFmtId="167" xfId="0" applyAlignment="1" applyFont="1" applyNumberFormat="1">
      <alignment shrinkToFit="0" vertical="center" wrapText="0"/>
    </xf>
    <xf borderId="0" fillId="0" fontId="4" numFmtId="4" xfId="0" applyAlignment="1" applyFont="1" applyNumberFormat="1">
      <alignment shrinkToFit="0" vertical="center" wrapText="0"/>
    </xf>
    <xf borderId="0" fillId="0" fontId="3" numFmtId="4" xfId="0" applyFont="1" applyNumberFormat="1"/>
    <xf borderId="0" fillId="0" fontId="3" numFmtId="167" xfId="0" applyFont="1" applyNumberFormat="1"/>
    <xf borderId="0" fillId="3" fontId="1" numFmtId="164" xfId="0" applyAlignment="1" applyFill="1" applyFont="1" applyNumberFormat="1">
      <alignment textRotation="0" vertical="center"/>
    </xf>
    <xf borderId="2" fillId="0" fontId="26" numFmtId="164" xfId="0" applyAlignment="1" applyBorder="1" applyFont="1" applyNumberFormat="1">
      <alignment vertical="center"/>
    </xf>
    <xf borderId="0" fillId="2" fontId="27" numFmtId="164" xfId="0" applyAlignment="1" applyFill="1" applyFont="1" applyNumberFormat="1">
      <alignment shrinkToFit="0" textRotation="0" vertical="center" wrapText="0"/>
    </xf>
    <xf borderId="0" fillId="2" fontId="28" numFmtId="4" xfId="0" applyAlignment="1" applyFill="1" applyFont="1" applyNumberFormat="1">
      <alignment shrinkToFit="0" textRotation="0" vertical="center" wrapText="1"/>
    </xf>
    <xf borderId="0" fillId="26" fontId="3" numFmtId="164" xfId="0" applyFill="1" applyFont="1" applyNumberFormat="1"/>
    <xf borderId="0" fillId="26" fontId="3" numFmtId="167" xfId="0" applyFill="1" applyFont="1" applyNumberFormat="1"/>
    <xf borderId="1" fillId="5" fontId="4" numFmtId="4" xfId="0" applyAlignment="1" applyBorder="1" applyFill="1" applyFont="1" applyNumberFormat="1">
      <alignment horizontal="center" vertical="center"/>
    </xf>
    <xf borderId="1" fillId="2" fontId="2" numFmtId="4" xfId="0" applyAlignment="1" applyBorder="1" applyFill="1" applyFont="1" applyNumberFormat="1">
      <alignment horizontal="center" textRotation="0" vertical="center"/>
    </xf>
    <xf borderId="1" fillId="5" fontId="2" numFmtId="4" xfId="0" applyAlignment="1" applyBorder="1" applyFill="1" applyFont="1" applyNumberFormat="1">
      <alignment horizontal="center" shrinkToFit="0" textRotation="0" vertical="center" wrapText="1"/>
    </xf>
    <xf borderId="1" fillId="5" fontId="2" numFmtId="49" xfId="0" applyAlignment="1" applyBorder="1" applyFill="1" applyFont="1" applyNumberFormat="1">
      <alignment horizontal="center" shrinkToFit="0" textRotation="0" vertical="center" wrapText="1"/>
    </xf>
    <xf borderId="1" fillId="5" fontId="2" numFmtId="49" xfId="0" applyAlignment="1" applyBorder="1" applyFill="1" applyFont="1" applyNumberFormat="1">
      <alignment horizontal="left" readingOrder="0" shrinkToFit="0" textRotation="0" vertical="center" wrapText="0"/>
    </xf>
    <xf borderId="9" fillId="0" fontId="9" numFmtId="164" xfId="0" applyAlignment="1" applyBorder="1" applyFont="1" applyNumberFormat="1">
      <alignment shrinkToFit="0" wrapText="0"/>
    </xf>
    <xf borderId="0" fillId="0" fontId="3" numFmtId="0" xfId="0" applyFont="1"/>
    <xf borderId="0" fillId="0" fontId="3" numFmtId="0" xfId="0" applyAlignment="1" applyFont="1">
      <alignment vertical="bottom"/>
    </xf>
    <xf borderId="10" fillId="0" fontId="9" numFmtId="164" xfId="0" applyAlignment="1" applyBorder="1" applyFont="1" applyNumberFormat="1">
      <alignment shrinkToFit="0" wrapText="0"/>
    </xf>
    <xf borderId="0" fillId="0" fontId="4" numFmtId="4" xfId="0" applyAlignment="1" applyFont="1" applyNumberFormat="1">
      <alignment shrinkToFit="0" wrapText="1"/>
    </xf>
    <xf borderId="0" fillId="0" fontId="4" numFmtId="164" xfId="0" applyAlignment="1" applyFont="1" applyNumberFormat="1">
      <alignment shrinkToFit="0" wrapText="0"/>
    </xf>
    <xf borderId="0" fillId="0" fontId="4" numFmtId="164" xfId="0" applyAlignment="1" applyFont="1" applyNumberFormat="1">
      <alignment shrinkToFit="0" wrapText="1"/>
    </xf>
    <xf borderId="0" fillId="0" fontId="14" numFmtId="164" xfId="0" applyAlignment="1" applyFont="1" applyNumberFormat="1">
      <alignment shrinkToFit="0" wrapText="0"/>
    </xf>
    <xf borderId="1" fillId="5" fontId="3" numFmtId="4" xfId="0" applyBorder="1" applyFill="1" applyFont="1" applyNumberFormat="1"/>
    <xf borderId="1" fillId="5" fontId="9" numFmtId="4" xfId="0" applyAlignment="1" applyBorder="1" applyFill="1" applyFont="1" applyNumberFormat="1">
      <alignment horizontal="center" shrinkToFit="0" wrapText="0"/>
    </xf>
    <xf borderId="1" fillId="5" fontId="9" numFmtId="4" xfId="0" applyAlignment="1" applyBorder="1" applyFill="1" applyFont="1" applyNumberFormat="1">
      <alignment horizontal="center" shrinkToFit="0" wrapText="1"/>
    </xf>
    <xf borderId="0" fillId="0" fontId="3" numFmtId="4" xfId="0" applyAlignment="1" applyFont="1" applyNumberFormat="1">
      <alignment vertical="bottom"/>
    </xf>
    <xf borderId="1" fillId="5" fontId="2" numFmtId="4" xfId="0" applyAlignment="1" applyBorder="1" applyFill="1" applyFont="1" applyNumberFormat="1">
      <alignment horizontal="left" shrinkToFit="0" textRotation="0" vertical="center" wrapText="0"/>
    </xf>
    <xf borderId="0" fillId="2" fontId="4" numFmtId="4" xfId="0" applyAlignment="1" applyFill="1" applyFont="1" applyNumberFormat="1">
      <alignment horizontal="left" shrinkToFit="0" vertical="center" wrapText="0"/>
    </xf>
    <xf borderId="1" fillId="5" fontId="2" numFmtId="4" xfId="0" applyAlignment="1" applyBorder="1" applyFill="1" applyFont="1" applyNumberFormat="1">
      <alignment horizontal="center" shrinkToFit="0" textRotation="0" vertical="center" wrapText="1"/>
    </xf>
    <xf borderId="0" fillId="0" fontId="1" numFmtId="4" xfId="0" applyAlignment="1" applyFont="1" applyNumberFormat="1">
      <alignment horizontal="center" shrinkToFit="0" textRotation="0" vertical="center" wrapText="0"/>
    </xf>
    <xf borderId="0" fillId="2" fontId="1" numFmtId="4" xfId="0" applyAlignment="1" applyFill="1" applyFont="1" applyNumberFormat="1">
      <alignment horizontal="left" shrinkToFit="0" textRotation="0" vertical="center" wrapText="0"/>
    </xf>
    <xf borderId="0" fillId="2" fontId="2" numFmtId="4" xfId="0" applyAlignment="1" applyFill="1" applyFont="1" applyNumberFormat="1">
      <alignment horizontal="left" shrinkToFit="0" textRotation="0" vertical="center" wrapText="0"/>
    </xf>
    <xf borderId="0" fillId="2" fontId="2" numFmtId="4" xfId="0" applyAlignment="1" applyFill="1" applyFont="1" applyNumberFormat="1">
      <alignment horizontal="left" readingOrder="0" shrinkToFit="0" textRotation="0" vertical="center" wrapText="0"/>
    </xf>
    <xf borderId="0" fillId="2" fontId="1" numFmtId="4" xfId="0" applyAlignment="1" applyFill="1" applyFont="1" applyNumberFormat="1">
      <alignment horizontal="left" readingOrder="0" shrinkToFit="0" textRotation="0" vertical="center" wrapText="0"/>
    </xf>
    <xf borderId="0" fillId="2" fontId="2" numFmtId="4" xfId="0" applyAlignment="1" applyFill="1" applyFont="1" applyNumberFormat="1">
      <alignment shrinkToFit="0" textRotation="0" vertical="center" wrapText="0"/>
    </xf>
    <xf borderId="0" fillId="0" fontId="9" numFmtId="4" xfId="0" applyAlignment="1" applyFont="1" applyNumberFormat="1">
      <alignment shrinkToFit="0" vertical="center" wrapText="0"/>
    </xf>
    <xf borderId="1" fillId="5" fontId="2" numFmtId="167" xfId="0" applyAlignment="1" applyBorder="1" applyFill="1" applyFont="1" applyNumberFormat="1">
      <alignment horizontal="center" shrinkToFit="0" textRotation="0" vertical="center" wrapText="1"/>
    </xf>
    <xf borderId="1" fillId="0" fontId="2" numFmtId="4" xfId="0" applyAlignment="1" applyBorder="1" applyFont="1" applyNumberFormat="1">
      <alignment horizontal="center" shrinkToFit="0" textRotation="0" vertical="center" wrapText="1"/>
    </xf>
    <xf borderId="1" fillId="5" fontId="2" numFmtId="4" xfId="0" applyAlignment="1" applyBorder="1" applyFill="1" applyFont="1" applyNumberFormat="1">
      <alignment horizontal="center" shrinkToFit="0" textRotation="0" vertical="center" wrapText="0"/>
    </xf>
    <xf borderId="1" fillId="5" fontId="4" numFmtId="4" xfId="0" applyAlignment="1" applyBorder="1" applyFill="1" applyFont="1" applyNumberFormat="1">
      <alignment shrinkToFit="0" vertical="center" wrapText="0"/>
    </xf>
    <xf borderId="0" fillId="2" fontId="2" numFmtId="4" xfId="0" applyAlignment="1" applyFill="1" applyFont="1" applyNumberFormat="1">
      <alignment shrinkToFit="0" textRotation="0" vertical="bottom" wrapText="0"/>
    </xf>
    <xf borderId="0" fillId="2" fontId="4" numFmtId="4" xfId="0" applyAlignment="1" applyFill="1" applyFont="1" applyNumberFormat="1">
      <alignment vertical="bottom"/>
    </xf>
    <xf borderId="1" fillId="2" fontId="4" numFmtId="0" xfId="0" applyAlignment="1" applyBorder="1" applyFill="1" applyFont="1">
      <alignment horizontal="center" vertical="center"/>
    </xf>
    <xf borderId="1" fillId="2" fontId="9" numFmtId="0" xfId="0" applyAlignment="1" applyBorder="1" applyFill="1" applyFont="1">
      <alignment horizontal="center" vertical="center"/>
    </xf>
    <xf borderId="1" fillId="5" fontId="2" numFmtId="10" xfId="0" applyAlignment="1" applyBorder="1" applyFill="1" applyFont="1" applyNumberFormat="1">
      <alignment horizontal="center" shrinkToFit="0" textRotation="0" vertical="center" wrapText="0"/>
    </xf>
    <xf borderId="1" fillId="5" fontId="2" numFmtId="10" xfId="0" applyAlignment="1" applyBorder="1" applyFill="1" applyFont="1" applyNumberFormat="1">
      <alignment horizontal="center" shrinkToFit="0" textRotation="0" vertical="center" wrapText="1"/>
    </xf>
    <xf borderId="0" fillId="0" fontId="4" numFmtId="0" xfId="0" applyFont="1"/>
    <xf borderId="0" fillId="2" fontId="4" numFmtId="4" xfId="0" applyFill="1" applyFont="1" applyNumberFormat="1"/>
    <xf borderId="0" fillId="2" fontId="1" numFmtId="4" xfId="0" applyAlignment="1" applyFill="1" applyFont="1" applyNumberFormat="1">
      <alignment horizontal="right" shrinkToFit="0" textRotation="0" vertical="center" wrapText="0"/>
    </xf>
    <xf borderId="1" fillId="5" fontId="2" numFmtId="4" xfId="0" applyAlignment="1" applyBorder="1" applyFill="1" applyFont="1" applyNumberFormat="1">
      <alignment horizontal="center" readingOrder="0" shrinkToFit="0" textRotation="0" vertical="center" wrapText="1"/>
    </xf>
    <xf borderId="0" fillId="2" fontId="4" numFmtId="4" xfId="0" applyAlignment="1" applyFill="1" applyFont="1" applyNumberFormat="1">
      <alignment readingOrder="0"/>
    </xf>
    <xf borderId="1" fillId="2" fontId="4" numFmtId="167" xfId="0" applyAlignment="1" applyBorder="1" applyFill="1" applyFont="1" applyNumberFormat="1">
      <alignment horizontal="center" vertical="center"/>
    </xf>
    <xf borderId="0" fillId="2" fontId="2" numFmtId="4" xfId="0" applyAlignment="1" applyFill="1" applyFont="1" applyNumberFormat="1">
      <alignment horizontal="center" readingOrder="0" shrinkToFit="0" textRotation="0" vertical="center" wrapText="1"/>
    </xf>
    <xf borderId="1" fillId="2" fontId="4" numFmtId="164" xfId="0" applyAlignment="1" applyBorder="1" applyFill="1" applyFont="1" applyNumberFormat="1">
      <alignment shrinkToFit="0" vertical="center" wrapText="1"/>
    </xf>
    <xf borderId="1" fillId="2" fontId="1" numFmtId="0" xfId="0" applyAlignment="1" applyBorder="1" applyFill="1" applyFont="1">
      <alignment shrinkToFit="0" textRotation="0" vertical="center" wrapText="1"/>
    </xf>
    <xf borderId="1" fillId="2" fontId="1" numFmtId="164" xfId="0" applyAlignment="1" applyBorder="1" applyFill="1" applyFont="1" applyNumberFormat="1">
      <alignment shrinkToFit="0" textRotation="0" vertical="center" wrapText="1"/>
    </xf>
    <xf borderId="1" fillId="2" fontId="1" numFmtId="0" xfId="0" applyAlignment="1" applyBorder="1" applyFill="1" applyFont="1">
      <alignment readingOrder="0" shrinkToFit="0" textRotation="0" vertical="center" wrapText="1"/>
    </xf>
    <xf borderId="1" fillId="2" fontId="4" numFmtId="49" xfId="0" applyAlignment="1" applyBorder="1" applyFill="1" applyFont="1" applyNumberFormat="1">
      <alignment shrinkToFit="0" vertical="center" wrapText="1"/>
    </xf>
    <xf borderId="1" fillId="2" fontId="1" numFmtId="4" xfId="0" applyAlignment="1" applyBorder="1" applyFill="1" applyFont="1" applyNumberFormat="1">
      <alignment horizontal="right" readingOrder="0" shrinkToFit="0" textRotation="0" vertical="center" wrapText="1"/>
    </xf>
    <xf borderId="1" fillId="2" fontId="1" numFmtId="4" xfId="0" applyAlignment="1" applyBorder="1" applyFill="1" applyFont="1" applyNumberFormat="1">
      <alignment shrinkToFit="0" textRotation="0" vertical="center" wrapText="1"/>
    </xf>
    <xf borderId="1" fillId="2" fontId="1" numFmtId="4" xfId="0" applyAlignment="1" applyBorder="1" applyFill="1" applyFont="1" applyNumberFormat="1">
      <alignment horizontal="right" shrinkToFit="0" textRotation="0" vertical="center" wrapText="1"/>
    </xf>
    <xf borderId="1" fillId="2" fontId="1" numFmtId="167" xfId="0" applyAlignment="1" applyBorder="1" applyFill="1" applyFont="1" applyNumberFormat="1">
      <alignment shrinkToFit="0" textRotation="0" vertical="center" wrapText="1"/>
    </xf>
    <xf borderId="1" fillId="0" fontId="1" numFmtId="164" xfId="0" applyAlignment="1" applyBorder="1" applyFont="1" applyNumberFormat="1">
      <alignment shrinkToFit="0" textRotation="0" vertical="center" wrapText="1"/>
    </xf>
    <xf borderId="1" fillId="2" fontId="4" numFmtId="0" xfId="0" applyAlignment="1" applyBorder="1" applyFill="1" applyFont="1">
      <alignment horizontal="center" shrinkToFit="0" vertical="center" wrapText="1"/>
    </xf>
    <xf borderId="1" fillId="0" fontId="4" numFmtId="4" xfId="0" applyAlignment="1" applyBorder="1" applyFont="1" applyNumberFormat="1">
      <alignment readingOrder="0" shrinkToFit="0" vertical="center" wrapText="1"/>
    </xf>
    <xf borderId="1" fillId="2" fontId="1" numFmtId="164" xfId="0" applyAlignment="1" applyBorder="1" applyFill="1" applyFont="1" applyNumberFormat="1">
      <alignment readingOrder="0" shrinkToFit="0" textRotation="0" vertical="center" wrapText="1"/>
    </xf>
    <xf borderId="1" fillId="2" fontId="4" numFmtId="0" xfId="0" applyAlignment="1" applyBorder="1" applyFill="1" applyFont="1">
      <alignment shrinkToFit="0" vertical="center" wrapText="1"/>
    </xf>
    <xf borderId="1" fillId="2" fontId="1" numFmtId="4" xfId="0" applyAlignment="1" applyBorder="1" applyFill="1" applyFont="1" applyNumberFormat="1">
      <alignment shrinkToFit="0" textRotation="0" vertical="center" wrapText="1"/>
    </xf>
    <xf borderId="1" fillId="2" fontId="1" numFmtId="167" xfId="0" applyAlignment="1" applyBorder="1" applyFill="1" applyFont="1" applyNumberFormat="1">
      <alignment horizontal="right" shrinkToFit="0" textRotation="0" vertical="center" wrapText="1"/>
    </xf>
    <xf borderId="1" fillId="2" fontId="4" numFmtId="4" xfId="0" applyAlignment="1" applyBorder="1" applyFill="1" applyFont="1" applyNumberFormat="1">
      <alignment shrinkToFit="0" vertical="center" wrapText="1"/>
    </xf>
    <xf borderId="1" fillId="2" fontId="4" numFmtId="10" xfId="0" applyAlignment="1" applyBorder="1" applyFill="1" applyFont="1" applyNumberFormat="1">
      <alignment readingOrder="0" shrinkToFit="0" vertical="center" wrapText="1"/>
    </xf>
    <xf borderId="1" fillId="0" fontId="4" numFmtId="10" xfId="0" applyAlignment="1" applyBorder="1" applyFont="1" applyNumberFormat="1">
      <alignment shrinkToFit="0" vertical="center" wrapText="1"/>
    </xf>
    <xf borderId="1" fillId="2" fontId="1" numFmtId="49" xfId="0" applyAlignment="1" applyBorder="1" applyFill="1" applyFont="1" applyNumberFormat="1">
      <alignment shrinkToFit="0" textRotation="0" vertical="center" wrapText="1"/>
    </xf>
    <xf borderId="1" fillId="2" fontId="1" numFmtId="10" xfId="0" applyAlignment="1" applyBorder="1" applyFill="1" applyFont="1" applyNumberFormat="1">
      <alignment horizontal="right" shrinkToFit="0" textRotation="0" vertical="center" wrapText="1"/>
    </xf>
    <xf borderId="1" fillId="2" fontId="4" numFmtId="167" xfId="0" applyAlignment="1" applyBorder="1" applyFill="1" applyFont="1" applyNumberFormat="1">
      <alignment shrinkToFit="0" vertical="center" wrapText="1"/>
    </xf>
    <xf borderId="1" fillId="2" fontId="1" numFmtId="4" xfId="0" applyAlignment="1" applyBorder="1" applyFill="1" applyFont="1" applyNumberFormat="1">
      <alignment horizontal="left" shrinkToFit="0" textRotation="0" vertical="center" wrapText="1"/>
    </xf>
    <xf borderId="1" fillId="2" fontId="1" numFmtId="10" xfId="0" applyAlignment="1" applyBorder="1" applyFill="1" applyFont="1" applyNumberFormat="1">
      <alignment shrinkToFit="0" textRotation="0" vertical="center" wrapText="1"/>
    </xf>
    <xf borderId="1" fillId="2" fontId="1" numFmtId="167" xfId="0" applyAlignment="1" applyBorder="1" applyFill="1" applyFont="1" applyNumberFormat="1">
      <alignment horizontal="left" shrinkToFit="0" textRotation="0" vertical="center" wrapText="1"/>
    </xf>
    <xf borderId="0" fillId="2" fontId="1" numFmtId="167" xfId="0" applyAlignment="1" applyFill="1" applyFont="1" applyNumberFormat="1">
      <alignment horizontal="right" shrinkToFit="0" textRotation="0" vertical="center" wrapText="1"/>
    </xf>
    <xf borderId="1" fillId="2" fontId="4" numFmtId="10" xfId="0" applyAlignment="1" applyBorder="1" applyFill="1" applyFont="1" applyNumberFormat="1">
      <alignment shrinkToFit="0" vertical="center" wrapText="1"/>
    </xf>
    <xf borderId="0" fillId="0" fontId="4" numFmtId="0" xfId="0" applyAlignment="1" applyFont="1">
      <alignment horizontal="left" shrinkToFit="0" vertical="center" wrapText="0"/>
    </xf>
    <xf borderId="1" fillId="2" fontId="1" numFmtId="4" xfId="0" applyAlignment="1" applyBorder="1" applyFill="1" applyFont="1" applyNumberFormat="1">
      <alignment readingOrder="0" shrinkToFit="0" textRotation="0" vertical="center" wrapText="1"/>
    </xf>
    <xf borderId="1" fillId="0" fontId="4" numFmtId="4" xfId="0" applyAlignment="1" applyBorder="1" applyFont="1" applyNumberFormat="1">
      <alignment readingOrder="0" shrinkToFit="0" vertical="center" wrapText="1"/>
    </xf>
    <xf borderId="15" fillId="2" fontId="1" numFmtId="164" xfId="0" applyAlignment="1" applyBorder="1" applyFill="1" applyFont="1" applyNumberFormat="1">
      <alignment readingOrder="0" shrinkToFit="0" textRotation="0" vertical="center" wrapText="1"/>
    </xf>
    <xf borderId="16" fillId="2" fontId="1" numFmtId="164" xfId="0" applyAlignment="1" applyBorder="1" applyFill="1" applyFont="1" applyNumberFormat="1">
      <alignment readingOrder="0" shrinkToFit="0" textRotation="0" vertical="center" wrapText="1"/>
    </xf>
    <xf borderId="1" fillId="0" fontId="1" numFmtId="164" xfId="0" applyAlignment="1" applyBorder="1" applyFont="1" applyNumberFormat="1">
      <alignment readingOrder="0" shrinkToFit="0" textRotation="0" vertical="center" wrapText="1"/>
    </xf>
    <xf borderId="0" fillId="0" fontId="1" numFmtId="4" xfId="0" applyAlignment="1" applyFont="1" applyNumberFormat="1">
      <alignment shrinkToFit="0" textRotation="0" vertical="center" wrapText="1"/>
    </xf>
    <xf borderId="0" fillId="0" fontId="1" numFmtId="4" xfId="0" applyAlignment="1" applyFont="1" applyNumberFormat="1">
      <alignment shrinkToFit="0" textRotation="0" vertical="center" wrapText="0"/>
    </xf>
    <xf borderId="26" fillId="0" fontId="1" numFmtId="4" xfId="0" applyAlignment="1" applyBorder="1" applyFont="1" applyNumberFormat="1">
      <alignment horizontal="center" shrinkToFit="0" textRotation="0" vertical="center" wrapText="0"/>
    </xf>
    <xf borderId="26" fillId="0" fontId="1" numFmtId="4" xfId="0" applyAlignment="1" applyBorder="1" applyFont="1" applyNumberFormat="1">
      <alignment horizontal="center" shrinkToFit="0" textRotation="0" vertical="center" wrapText="0"/>
    </xf>
    <xf borderId="26" fillId="0" fontId="1" numFmtId="4" xfId="0" applyAlignment="1" applyBorder="1" applyFont="1" applyNumberFormat="1">
      <alignment shrinkToFit="0" textRotation="0" vertical="center" wrapText="1"/>
    </xf>
    <xf borderId="26" fillId="0" fontId="1" numFmtId="4" xfId="0" applyAlignment="1" applyBorder="1" applyFont="1" applyNumberFormat="1">
      <alignment shrinkToFit="0" textRotation="0" vertical="center" wrapText="0"/>
    </xf>
    <xf borderId="26" fillId="0" fontId="2" numFmtId="4" xfId="0" applyAlignment="1" applyBorder="1" applyFont="1" applyNumberFormat="1">
      <alignment readingOrder="0" shrinkToFit="0" textRotation="0" vertical="center" wrapText="1"/>
    </xf>
    <xf borderId="26" fillId="0" fontId="2" numFmtId="4" xfId="0" applyAlignment="1" applyBorder="1" applyFont="1" applyNumberFormat="1">
      <alignment shrinkToFit="0" textRotation="0" vertical="center" wrapText="1"/>
    </xf>
    <xf borderId="26" fillId="0" fontId="1" numFmtId="167" xfId="0" applyAlignment="1" applyBorder="1" applyFont="1" applyNumberFormat="1">
      <alignment shrinkToFit="0" textRotation="0" vertical="center" wrapText="1"/>
    </xf>
    <xf borderId="0" fillId="27" fontId="4" numFmtId="1" xfId="0" applyAlignment="1" applyFill="1" applyFont="1" applyNumberFormat="1">
      <alignment readingOrder="0" shrinkToFit="0" vertical="center" wrapText="1"/>
    </xf>
    <xf borderId="0" fillId="27" fontId="4" numFmtId="10" xfId="0" applyAlignment="1" applyFill="1" applyFont="1" applyNumberFormat="1">
      <alignment shrinkToFit="0" vertical="center" wrapText="1"/>
    </xf>
    <xf borderId="0" fillId="16" fontId="4" numFmtId="49" xfId="0" applyAlignment="1" applyFill="1" applyFont="1" applyNumberFormat="1">
      <alignment horizontal="center" readingOrder="0" shrinkToFit="0" vertical="center" wrapText="0"/>
    </xf>
    <xf borderId="0" fillId="16" fontId="4" numFmtId="49" xfId="0" applyAlignment="1" applyFill="1" applyFont="1" applyNumberFormat="1">
      <alignment horizontal="center" shrinkToFit="0" vertical="center" wrapText="0"/>
    </xf>
    <xf borderId="26" fillId="0" fontId="1" numFmtId="4" xfId="0" applyAlignment="1" applyBorder="1" applyFont="1" applyNumberFormat="1">
      <alignment shrinkToFit="0" textRotation="0" vertical="center" wrapText="0"/>
    </xf>
    <xf borderId="0" fillId="16" fontId="4" numFmtId="0" xfId="0" applyAlignment="1" applyFill="1" applyFont="1">
      <alignment horizontal="center" shrinkToFit="0" vertical="center" wrapText="0"/>
    </xf>
    <xf borderId="0" fillId="16" fontId="4" numFmtId="1" xfId="0" applyAlignment="1" applyFill="1" applyFont="1" applyNumberFormat="1">
      <alignment horizontal="center" shrinkToFit="0" vertical="center" wrapText="0"/>
    </xf>
    <xf borderId="14" fillId="0" fontId="1" numFmtId="4" xfId="0" applyAlignment="1" applyBorder="1" applyFont="1" applyNumberFormat="1">
      <alignment shrinkToFit="0" textRotation="0" vertical="center" wrapText="0"/>
    </xf>
    <xf borderId="0" fillId="16" fontId="4" numFmtId="4" xfId="0" applyAlignment="1" applyFill="1" applyFont="1" applyNumberFormat="1">
      <alignment horizontal="center" shrinkToFit="0" vertical="center" wrapText="0"/>
    </xf>
    <xf borderId="15" fillId="0" fontId="1" numFmtId="4" xfId="0" applyAlignment="1" applyBorder="1" applyFont="1" applyNumberFormat="1">
      <alignment shrinkToFit="0" textRotation="0" vertical="center" wrapText="0"/>
    </xf>
    <xf borderId="0" fillId="16" fontId="4" numFmtId="0" xfId="0" applyAlignment="1" applyFill="1" applyFont="1">
      <alignment horizontal="center" shrinkToFit="0" vertical="center" wrapText="0"/>
    </xf>
    <xf borderId="16" fillId="0" fontId="1" numFmtId="4" xfId="0" applyAlignment="1" applyBorder="1" applyFont="1" applyNumberFormat="1">
      <alignment shrinkToFit="0" textRotation="0" vertical="center" wrapText="0"/>
    </xf>
    <xf borderId="0" fillId="16" fontId="4" numFmtId="167" xfId="0" applyAlignment="1" applyFill="1" applyFont="1" applyNumberFormat="1">
      <alignment horizontal="center" shrinkToFit="0" vertical="center" wrapText="0"/>
    </xf>
    <xf borderId="0" fillId="16" fontId="4" numFmtId="0" xfId="0" applyAlignment="1" applyFill="1" applyFont="1">
      <alignment horizontal="center" shrinkToFit="0" vertical="center" wrapText="0"/>
    </xf>
    <xf borderId="0" fillId="16" fontId="4" numFmtId="10" xfId="0" applyAlignment="1" applyFill="1" applyFont="1" applyNumberFormat="1">
      <alignment horizontal="center" shrinkToFit="0" vertical="center" wrapText="0"/>
    </xf>
    <xf borderId="0" fillId="16" fontId="4" numFmtId="10" xfId="0" applyAlignment="1" applyFill="1" applyFont="1" applyNumberFormat="1">
      <alignment horizontal="center" readingOrder="0" shrinkToFit="0" vertical="center" wrapText="0"/>
    </xf>
    <xf borderId="0" fillId="16" fontId="4" numFmtId="0" xfId="0" applyAlignment="1" applyFill="1" applyFont="1">
      <alignment horizontal="center" readingOrder="0" shrinkToFit="0" vertical="center" wrapText="0"/>
    </xf>
    <xf borderId="0" fillId="10" fontId="4" numFmtId="0" xfId="0" applyAlignment="1" applyFill="1" applyFont="1">
      <alignment horizontal="center" shrinkToFit="0" vertical="center" wrapText="0"/>
    </xf>
    <xf borderId="0" fillId="0" fontId="1" numFmtId="164" xfId="0" applyAlignment="1" applyFont="1" applyNumberFormat="1">
      <alignment shrinkToFit="0" textRotation="0" vertical="center" wrapText="1"/>
    </xf>
    <xf borderId="0" fillId="13" fontId="4" numFmtId="0" xfId="0" applyAlignment="1" applyFill="1" applyFont="1">
      <alignment horizontal="center" shrinkToFit="0" vertical="center" wrapText="0"/>
    </xf>
    <xf borderId="0" fillId="13" fontId="4" numFmtId="49" xfId="0" applyAlignment="1" applyFill="1" applyFont="1" applyNumberFormat="1">
      <alignment horizontal="center" readingOrder="0" shrinkToFit="0" vertical="center" wrapText="0"/>
    </xf>
    <xf borderId="0" fillId="0" fontId="1" numFmtId="4" xfId="0" applyAlignment="1" applyFont="1" applyNumberFormat="1">
      <alignment shrinkToFit="0" textRotation="0" vertical="center" wrapText="0"/>
    </xf>
    <xf borderId="0" fillId="13" fontId="4" numFmtId="167" xfId="0" applyAlignment="1" applyFill="1" applyFont="1" applyNumberFormat="1">
      <alignment horizontal="center" shrinkToFit="0" vertical="center" wrapText="0"/>
    </xf>
    <xf borderId="0" fillId="0" fontId="1" numFmtId="1" xfId="0" applyAlignment="1" applyFont="1" applyNumberFormat="1">
      <alignment shrinkToFit="0" textRotation="0" vertical="center" wrapText="1"/>
    </xf>
    <xf borderId="0" fillId="13" fontId="4" numFmtId="0" xfId="0" applyAlignment="1" applyFill="1" applyFont="1">
      <alignment horizontal="center" readingOrder="0" shrinkToFit="0" vertical="center" wrapText="0"/>
    </xf>
    <xf borderId="0" fillId="13" fontId="4" numFmtId="4" xfId="0" applyAlignment="1" applyFill="1" applyFont="1" applyNumberFormat="1">
      <alignment horizontal="center" readingOrder="0" shrinkToFit="0" vertical="center" wrapText="0"/>
    </xf>
    <xf borderId="0" fillId="13" fontId="4" numFmtId="4" xfId="0" applyAlignment="1" applyFill="1" applyFont="1" applyNumberFormat="1">
      <alignment horizontal="center" shrinkToFit="0" vertical="center" wrapText="0"/>
    </xf>
    <xf borderId="0" fillId="13" fontId="4" numFmtId="0" xfId="0" applyAlignment="1" applyFill="1" applyFont="1">
      <alignment horizontal="center" shrinkToFit="0" vertical="center" wrapText="0"/>
    </xf>
    <xf borderId="0" fillId="8" fontId="4" numFmtId="0" xfId="0" applyAlignment="1" applyFill="1" applyFont="1">
      <alignment horizontal="center" readingOrder="0" shrinkToFit="0" vertical="center" wrapText="0"/>
    </xf>
    <xf borderId="0" fillId="8" fontId="4" numFmtId="167" xfId="0" applyAlignment="1" applyFill="1" applyFont="1" applyNumberFormat="1">
      <alignment horizontal="left" shrinkToFit="0" vertical="center" wrapText="0"/>
    </xf>
    <xf borderId="0" fillId="8" fontId="4" numFmtId="0" xfId="0" applyAlignment="1" applyFill="1" applyFont="1">
      <alignment horizontal="left" shrinkToFit="0" vertical="center" wrapText="0"/>
    </xf>
    <xf borderId="0" fillId="8" fontId="4" numFmtId="167" xfId="0" applyAlignment="1" applyFill="1" applyFont="1" applyNumberFormat="1">
      <alignment horizontal="left" readingOrder="0" shrinkToFit="0" vertical="center" wrapText="0"/>
    </xf>
    <xf borderId="0" fillId="8" fontId="4" numFmtId="4" xfId="0" applyAlignment="1" applyFill="1" applyFont="1" applyNumberFormat="1">
      <alignment horizontal="left" shrinkToFit="0" vertical="center" wrapText="0"/>
    </xf>
    <xf borderId="0" fillId="8" fontId="4" numFmtId="49" xfId="0" applyAlignment="1" applyFill="1" applyFont="1" applyNumberFormat="1">
      <alignment horizontal="left" shrinkToFit="0" vertical="center" wrapText="0"/>
    </xf>
    <xf borderId="0" fillId="8" fontId="4" numFmtId="49" xfId="0" applyAlignment="1" applyFill="1" applyFont="1" applyNumberFormat="1">
      <alignment horizontal="left" readingOrder="0" shrinkToFit="0" vertical="center" wrapText="0"/>
    </xf>
    <xf borderId="0" fillId="0" fontId="1" numFmtId="167" xfId="0" applyAlignment="1" applyFont="1" applyNumberFormat="1">
      <alignment shrinkToFit="0" textRotation="0" vertical="center" wrapText="1"/>
    </xf>
    <xf borderId="0" fillId="8" fontId="4" numFmtId="0" xfId="0" applyAlignment="1" applyFill="1" applyFont="1">
      <alignment shrinkToFit="0" vertical="center" wrapText="0"/>
    </xf>
    <xf borderId="0" fillId="0" fontId="1" numFmtId="164" xfId="0" applyAlignment="1" applyFont="1" applyNumberFormat="1">
      <alignment shrinkToFit="0" textRotation="0" vertical="center" wrapText="0"/>
    </xf>
    <xf borderId="0" fillId="2" fontId="4" numFmtId="0" xfId="0" applyAlignment="1" applyFill="1" applyFont="1">
      <alignment horizontal="center" shrinkToFit="0" vertical="center" wrapText="1"/>
    </xf>
    <xf borderId="14" fillId="0" fontId="1" numFmtId="164" xfId="0" applyAlignment="1" applyBorder="1" applyFont="1" applyNumberFormat="1">
      <alignment shrinkToFit="0" textRotation="0" vertical="center" wrapText="1"/>
    </xf>
    <xf borderId="0" fillId="2" fontId="4" numFmtId="0" xfId="0" applyAlignment="1" applyFill="1" applyFont="1">
      <alignment horizontal="center" shrinkToFit="0" vertical="center" wrapText="0"/>
    </xf>
    <xf borderId="15" fillId="0" fontId="1" numFmtId="164" xfId="0" applyAlignment="1" applyBorder="1" applyFont="1" applyNumberFormat="1">
      <alignment shrinkToFit="0" textRotation="0" vertical="center" wrapText="1"/>
    </xf>
    <xf borderId="0" fillId="2" fontId="4" numFmtId="4" xfId="0" applyAlignment="1" applyFill="1" applyFont="1" applyNumberFormat="1">
      <alignment horizontal="center" shrinkToFit="0" vertical="center" wrapText="1"/>
    </xf>
    <xf borderId="16" fillId="0" fontId="1" numFmtId="164" xfId="0" applyAlignment="1" applyBorder="1" applyFont="1" applyNumberFormat="1">
      <alignment shrinkToFit="0" textRotation="0" vertical="center" wrapText="1"/>
    </xf>
    <xf borderId="0" fillId="2" fontId="4" numFmtId="4" xfId="0" applyAlignment="1" applyFill="1" applyFont="1" applyNumberFormat="1">
      <alignment horizontal="center" shrinkToFit="0" vertical="center" wrapText="1"/>
    </xf>
    <xf borderId="0" fillId="16" fontId="4" numFmtId="4" xfId="0" applyAlignment="1" applyFill="1" applyFont="1" applyNumberFormat="1">
      <alignment horizontal="center" shrinkToFit="0" vertical="center" wrapText="0"/>
    </xf>
    <xf borderId="0" fillId="0" fontId="1" numFmtId="164" xfId="0" applyAlignment="1" applyFont="1" applyNumberFormat="1">
      <alignment shrinkToFit="0" textRotation="0" vertical="center" wrapText="0"/>
    </xf>
    <xf borderId="0" fillId="2" fontId="4" numFmtId="1" xfId="0" applyAlignment="1" applyFill="1" applyFont="1" applyNumberFormat="1">
      <alignment horizontal="center" shrinkToFit="0" vertical="center" wrapText="1"/>
    </xf>
    <xf borderId="0" fillId="0" fontId="21" numFmtId="164" xfId="0" applyAlignment="1" applyFont="1" applyNumberFormat="1">
      <alignment shrinkToFit="0" textRotation="0" vertical="center" wrapText="1"/>
    </xf>
    <xf borderId="0" fillId="2" fontId="4" numFmtId="10" xfId="0" applyAlignment="1" applyFill="1" applyFont="1" applyNumberFormat="1">
      <alignment horizontal="center" shrinkToFit="0" vertical="center" wrapText="1"/>
    </xf>
    <xf borderId="0" fillId="2" fontId="4" numFmtId="0" xfId="0" applyAlignment="1" applyFill="1" applyFont="1">
      <alignment horizontal="center" shrinkToFit="0" vertical="center" wrapText="1"/>
    </xf>
    <xf borderId="0" fillId="0" fontId="21" numFmtId="4" xfId="0" applyAlignment="1" applyFont="1" applyNumberFormat="1">
      <alignment shrinkToFit="0" textRotation="0" vertical="center" wrapText="1"/>
    </xf>
    <xf borderId="0" fillId="0" fontId="21" numFmtId="167" xfId="0" applyAlignment="1" applyFont="1" applyNumberFormat="1">
      <alignment shrinkToFit="0" textRotation="0" vertical="center" wrapText="1"/>
    </xf>
    <xf borderId="0" fillId="0" fontId="1" numFmtId="0" xfId="0" applyAlignment="1" applyFont="1">
      <alignment shrinkToFit="0" textRotation="0" vertical="center" wrapText="1"/>
    </xf>
    <xf borderId="0" fillId="16" fontId="4" numFmtId="164" xfId="0" applyAlignment="1" applyFill="1" applyFont="1" applyNumberFormat="1">
      <alignment horizontal="center" shrinkToFit="0" vertical="center" wrapText="0"/>
    </xf>
    <xf borderId="27" fillId="21" fontId="9" numFmtId="1" xfId="0" applyAlignment="1" applyBorder="1" applyFill="1" applyFont="1" applyNumberFormat="1">
      <alignment horizontal="left" textRotation="0" vertical="center"/>
    </xf>
    <xf borderId="0" fillId="21" fontId="4" numFmtId="0" xfId="0" applyAlignment="1" applyFill="1" applyFont="1">
      <alignment horizontal="left" shrinkToFit="0" vertical="center" wrapText="1"/>
    </xf>
    <xf borderId="0" fillId="21" fontId="4" numFmtId="0" xfId="0" applyAlignment="1" applyFill="1" applyFont="1">
      <alignment horizontal="left" shrinkToFit="0" vertical="center" wrapText="0"/>
    </xf>
    <xf borderId="0" fillId="2" fontId="4" numFmtId="0" xfId="0" applyAlignment="1" applyFill="1" applyFont="1">
      <alignment horizontal="left" shrinkToFit="0" vertical="center" wrapText="1"/>
    </xf>
    <xf borderId="0" fillId="2" fontId="4" numFmtId="10" xfId="0" applyAlignment="1" applyFill="1" applyFont="1" applyNumberFormat="1">
      <alignment horizontal="left" shrinkToFit="0" vertical="center" wrapText="1"/>
    </xf>
    <xf borderId="0" fillId="16" fontId="4" numFmtId="49" xfId="0" applyAlignment="1" applyFill="1" applyFont="1" applyNumberFormat="1">
      <alignment horizontal="left" readingOrder="0" shrinkToFit="0" vertical="center" wrapText="0"/>
    </xf>
    <xf borderId="0" fillId="16" fontId="4" numFmtId="49" xfId="0" applyAlignment="1" applyFill="1" applyFont="1" applyNumberFormat="1">
      <alignment horizontal="left" shrinkToFit="0" vertical="center" wrapText="0"/>
    </xf>
    <xf borderId="0" fillId="0" fontId="2" numFmtId="164" xfId="0" applyAlignment="1" applyFont="1" applyNumberFormat="1">
      <alignment shrinkToFit="0" textRotation="0" vertical="center" wrapText="0"/>
    </xf>
    <xf borderId="0" fillId="16" fontId="4" numFmtId="0" xfId="0" applyAlignment="1" applyFill="1" applyFont="1">
      <alignment horizontal="left" shrinkToFit="0" vertical="center" wrapText="0"/>
    </xf>
    <xf borderId="0" fillId="16" fontId="4" numFmtId="1" xfId="0" applyAlignment="1" applyFill="1" applyFont="1" applyNumberFormat="1">
      <alignment horizontal="left" shrinkToFit="0" vertical="center" wrapText="0"/>
    </xf>
    <xf borderId="0" fillId="16" fontId="4" numFmtId="4" xfId="0" applyAlignment="1" applyFill="1" applyFont="1" applyNumberFormat="1">
      <alignment horizontal="left" shrinkToFit="0" vertical="center" wrapText="0"/>
    </xf>
    <xf borderId="0" fillId="16" fontId="4" numFmtId="167" xfId="0" applyAlignment="1" applyFill="1" applyFont="1" applyNumberFormat="1">
      <alignment horizontal="left" shrinkToFit="0" vertical="center" wrapText="0"/>
    </xf>
    <xf borderId="17" fillId="0" fontId="1" numFmtId="164" xfId="0" applyAlignment="1" applyBorder="1" applyFont="1" applyNumberFormat="1">
      <alignment shrinkToFit="0" textRotation="0" vertical="center" wrapText="1"/>
    </xf>
    <xf borderId="0" fillId="16" fontId="4" numFmtId="0" xfId="0" applyAlignment="1" applyFill="1" applyFont="1">
      <alignment horizontal="left" shrinkToFit="0" vertical="center" wrapText="0"/>
    </xf>
    <xf borderId="18" fillId="0" fontId="1" numFmtId="164" xfId="0" applyAlignment="1" applyBorder="1" applyFont="1" applyNumberFormat="1">
      <alignment shrinkToFit="0" textRotation="0" vertical="center" wrapText="1"/>
    </xf>
    <xf borderId="0" fillId="16" fontId="4" numFmtId="10" xfId="0" applyAlignment="1" applyFill="1" applyFont="1" applyNumberFormat="1">
      <alignment horizontal="left" shrinkToFit="0" vertical="center" wrapText="0"/>
    </xf>
    <xf borderId="19" fillId="0" fontId="1" numFmtId="164" xfId="0" applyAlignment="1" applyBorder="1" applyFont="1" applyNumberFormat="1">
      <alignment shrinkToFit="0" textRotation="0" vertical="center" wrapText="1"/>
    </xf>
    <xf borderId="27" fillId="16" fontId="9" numFmtId="0" xfId="0" applyAlignment="1" applyBorder="1" applyFill="1" applyFont="1">
      <alignment horizontal="left" textRotation="0" vertical="center"/>
    </xf>
    <xf borderId="0" fillId="16" fontId="29" numFmtId="0" xfId="0" applyAlignment="1" applyFill="1" applyFont="1">
      <alignment horizontal="left" vertical="center"/>
    </xf>
    <xf borderId="0" fillId="16" fontId="29" numFmtId="167" xfId="0" applyAlignment="1" applyFill="1" applyFont="1" applyNumberFormat="1">
      <alignment horizontal="left" vertical="center"/>
    </xf>
    <xf borderId="0" fillId="16" fontId="29" numFmtId="4" xfId="0" applyAlignment="1" applyFill="1" applyFont="1" applyNumberFormat="1">
      <alignment horizontal="left" vertical="center"/>
    </xf>
    <xf borderId="0" fillId="16" fontId="29" numFmtId="10" xfId="0" applyAlignment="1" applyFill="1" applyFont="1" applyNumberFormat="1">
      <alignment horizontal="left" vertical="center"/>
    </xf>
    <xf borderId="27" fillId="10" fontId="9" numFmtId="0" xfId="0" applyAlignment="1" applyBorder="1" applyFill="1" applyFont="1">
      <alignment horizontal="left" textRotation="0" vertical="center"/>
    </xf>
    <xf borderId="0" fillId="10" fontId="29" numFmtId="0" xfId="0" applyAlignment="1" applyFill="1" applyFont="1">
      <alignment horizontal="left" vertical="center"/>
    </xf>
    <xf borderId="0" fillId="10" fontId="29" numFmtId="0" xfId="0" applyAlignment="1" applyFill="1" applyFont="1">
      <alignment horizontal="left" shrinkToFit="0" vertical="center" wrapText="0"/>
    </xf>
    <xf borderId="27" fillId="13" fontId="9" numFmtId="0" xfId="0" applyAlignment="1" applyBorder="1" applyFill="1" applyFont="1">
      <alignment horizontal="left" textRotation="0" vertical="center"/>
    </xf>
    <xf borderId="0" fillId="13" fontId="29" numFmtId="49" xfId="0" applyAlignment="1" applyFill="1" applyFont="1" applyNumberFormat="1">
      <alignment horizontal="left" vertical="center"/>
    </xf>
    <xf borderId="0" fillId="13" fontId="29" numFmtId="167" xfId="0" applyAlignment="1" applyFill="1" applyFont="1" applyNumberFormat="1">
      <alignment horizontal="left" vertical="center"/>
    </xf>
    <xf borderId="0" fillId="13" fontId="29" numFmtId="0" xfId="0" applyAlignment="1" applyFill="1" applyFont="1">
      <alignment horizontal="left" vertical="center"/>
    </xf>
    <xf borderId="0" fillId="13" fontId="29" numFmtId="0" xfId="0" applyAlignment="1" applyFill="1" applyFont="1">
      <alignment horizontal="left" vertical="center"/>
    </xf>
    <xf borderId="0" fillId="13" fontId="29" numFmtId="4" xfId="0" applyAlignment="1" applyFill="1" applyFont="1" applyNumberFormat="1">
      <alignment horizontal="left" vertical="center"/>
    </xf>
    <xf borderId="0" fillId="8" fontId="9" numFmtId="0" xfId="0" applyAlignment="1" applyFill="1" applyFont="1">
      <alignment horizontal="left" textRotation="0" vertical="center"/>
    </xf>
    <xf borderId="25" fillId="8" fontId="9" numFmtId="167" xfId="0" applyAlignment="1" applyBorder="1" applyFill="1" applyFont="1" applyNumberFormat="1">
      <alignment horizontal="left" shrinkToFit="0" vertical="center" wrapText="0"/>
    </xf>
    <xf borderId="25" fillId="8" fontId="9" numFmtId="0" xfId="0" applyAlignment="1" applyBorder="1" applyFill="1" applyFont="1">
      <alignment horizontal="left" shrinkToFit="0" vertical="center" wrapText="0"/>
    </xf>
    <xf borderId="25" fillId="8" fontId="9" numFmtId="4" xfId="0" applyAlignment="1" applyBorder="1" applyFill="1" applyFont="1" applyNumberFormat="1">
      <alignment horizontal="left" shrinkToFit="0" vertical="center" wrapText="0"/>
    </xf>
    <xf borderId="25" fillId="8" fontId="9" numFmtId="49" xfId="0" applyAlignment="1" applyBorder="1" applyFill="1" applyFont="1" applyNumberFormat="1">
      <alignment horizontal="left" shrinkToFit="0" vertical="center" wrapText="0"/>
    </xf>
    <xf borderId="0" fillId="8" fontId="29" numFmtId="0" xfId="0" applyAlignment="1" applyFill="1" applyFont="1">
      <alignment horizontal="left" vertical="center"/>
    </xf>
    <xf borderId="1" fillId="16" fontId="2" numFmtId="4" xfId="0" applyAlignment="1" applyBorder="1" applyFill="1" applyFont="1" applyNumberFormat="1">
      <alignment horizontal="center" shrinkToFit="0" textRotation="0" vertical="center" wrapText="1"/>
    </xf>
    <xf borderId="1" fillId="16" fontId="2" numFmtId="167" xfId="0" applyAlignment="1" applyBorder="1" applyFill="1" applyFont="1" applyNumberFormat="1">
      <alignment horizontal="center" shrinkToFit="0" textRotation="0" vertical="center" wrapText="1"/>
    </xf>
    <xf borderId="1" fillId="16" fontId="2" numFmtId="1" xfId="0" applyAlignment="1" applyBorder="1" applyFill="1" applyFont="1" applyNumberFormat="1">
      <alignment horizontal="center" shrinkToFit="0" textRotation="0" vertical="center" wrapText="1"/>
    </xf>
    <xf borderId="1" fillId="16" fontId="2" numFmtId="4" xfId="0" applyAlignment="1" applyBorder="1" applyFill="1" applyFont="1" applyNumberFormat="1">
      <alignment horizontal="center" readingOrder="0" shrinkToFit="0" textRotation="0" vertical="center" wrapText="1"/>
    </xf>
    <xf borderId="1" fillId="16" fontId="2" numFmtId="167" xfId="0" applyAlignment="1" applyBorder="1" applyFill="1" applyFont="1" applyNumberFormat="1">
      <alignment horizontal="center" readingOrder="0" shrinkToFit="0" textRotation="0" vertical="center" wrapText="1"/>
    </xf>
    <xf borderId="1" fillId="16" fontId="2" numFmtId="4" xfId="0" applyAlignment="1" applyBorder="1" applyFill="1" applyFont="1" applyNumberFormat="1">
      <alignment horizontal="center" readingOrder="0" shrinkToFit="0" textRotation="0" vertical="center" wrapText="1"/>
    </xf>
    <xf borderId="0" fillId="16" fontId="2" numFmtId="4" xfId="0" applyAlignment="1" applyFill="1" applyFont="1" applyNumberFormat="1">
      <alignment horizontal="center" shrinkToFit="0" textRotation="0" vertical="center" wrapText="1"/>
    </xf>
    <xf borderId="0" fillId="10" fontId="2" numFmtId="4" xfId="0" applyAlignment="1" applyFill="1" applyFont="1" applyNumberFormat="1">
      <alignment horizontal="center" shrinkToFit="0" textRotation="0" vertical="center" wrapText="1"/>
    </xf>
    <xf borderId="0" fillId="10" fontId="2" numFmtId="4" xfId="0" applyAlignment="1" applyFill="1" applyFont="1" applyNumberFormat="1">
      <alignment horizontal="center" shrinkToFit="0" textRotation="0" vertical="center" wrapText="0"/>
    </xf>
    <xf borderId="0" fillId="13" fontId="2" numFmtId="4" xfId="0" applyAlignment="1" applyFill="1" applyFont="1" applyNumberFormat="1">
      <alignment horizontal="center" shrinkToFit="0" textRotation="0" vertical="center" wrapText="1"/>
    </xf>
    <xf borderId="1" fillId="13" fontId="2" numFmtId="49" xfId="0" applyAlignment="1" applyBorder="1" applyFill="1" applyFont="1" applyNumberFormat="1">
      <alignment horizontal="center" readingOrder="0" shrinkToFit="0" textRotation="0" vertical="center" wrapText="1"/>
    </xf>
    <xf borderId="1" fillId="13" fontId="2" numFmtId="167" xfId="0" applyAlignment="1" applyBorder="1" applyFill="1" applyFont="1" applyNumberFormat="1">
      <alignment horizontal="center" readingOrder="0" shrinkToFit="0" textRotation="0" vertical="center" wrapText="1"/>
    </xf>
    <xf borderId="1" fillId="13" fontId="2" numFmtId="4" xfId="0" applyAlignment="1" applyBorder="1" applyFill="1" applyFont="1" applyNumberFormat="1">
      <alignment horizontal="center" readingOrder="0" shrinkToFit="0" textRotation="0" vertical="center" wrapText="1"/>
    </xf>
    <xf borderId="1" fillId="13" fontId="2" numFmtId="4" xfId="0" applyAlignment="1" applyBorder="1" applyFill="1" applyFont="1" applyNumberFormat="1">
      <alignment horizontal="center" readingOrder="0" shrinkToFit="0" textRotation="0" vertical="center" wrapText="1"/>
    </xf>
    <xf borderId="5" fillId="13" fontId="2" numFmtId="4" xfId="0" applyAlignment="1" applyBorder="1" applyFill="1" applyFont="1" applyNumberFormat="1">
      <alignment horizontal="center" readingOrder="0" shrinkToFit="0" textRotation="0" vertical="center" wrapText="1"/>
    </xf>
    <xf borderId="3" fillId="13" fontId="2" numFmtId="4" xfId="0" applyAlignment="1" applyBorder="1" applyFill="1" applyFont="1" applyNumberFormat="1">
      <alignment horizontal="center" readingOrder="0" shrinkToFit="0" textRotation="0" vertical="center" wrapText="1"/>
    </xf>
    <xf borderId="0" fillId="8" fontId="2" numFmtId="4" xfId="0" applyAlignment="1" applyFill="1" applyFont="1" applyNumberFormat="1">
      <alignment horizontal="center" shrinkToFit="0" textRotation="0" vertical="center" wrapText="1"/>
    </xf>
    <xf borderId="1" fillId="8" fontId="9" numFmtId="4" xfId="0" applyAlignment="1" applyBorder="1" applyFill="1" applyFont="1" applyNumberFormat="1">
      <alignment horizontal="center" shrinkToFit="0" vertical="center" wrapText="0"/>
    </xf>
    <xf borderId="1" fillId="8" fontId="9" numFmtId="167" xfId="0" applyAlignment="1" applyBorder="1" applyFill="1" applyFont="1" applyNumberFormat="1">
      <alignment horizontal="center" shrinkToFit="0" vertical="center" wrapText="0"/>
    </xf>
    <xf borderId="1" fillId="8" fontId="9" numFmtId="4" xfId="0" applyAlignment="1" applyBorder="1" applyFill="1" applyFont="1" applyNumberFormat="1">
      <alignment horizontal="center" shrinkToFit="0" vertical="center" wrapText="0"/>
    </xf>
    <xf borderId="1" fillId="8" fontId="9" numFmtId="49" xfId="0" applyAlignment="1" applyBorder="1" applyFill="1" applyFont="1" applyNumberFormat="1">
      <alignment horizontal="center" shrinkToFit="0" vertical="center" wrapText="0"/>
    </xf>
    <xf borderId="0" fillId="2" fontId="4" numFmtId="1" xfId="0" applyAlignment="1" applyFill="1" applyFont="1" applyNumberFormat="1">
      <alignment shrinkToFit="0" vertical="center" wrapText="1"/>
    </xf>
    <xf borderId="0" fillId="2" fontId="4" numFmtId="0" xfId="0" applyAlignment="1" applyFill="1" applyFont="1">
      <alignment shrinkToFit="0" vertical="center" wrapText="0"/>
    </xf>
    <xf borderId="1" fillId="16" fontId="4" numFmtId="4" xfId="0" applyAlignment="1" applyBorder="1" applyFill="1" applyFont="1" applyNumberFormat="1">
      <alignment shrinkToFit="0" vertical="center" wrapText="1"/>
    </xf>
    <xf borderId="1" fillId="16" fontId="4" numFmtId="4" xfId="0" applyAlignment="1" applyBorder="1" applyFill="1" applyFont="1" applyNumberFormat="1">
      <alignment shrinkToFit="0" vertical="center" wrapText="1"/>
    </xf>
    <xf borderId="1" fillId="16" fontId="4" numFmtId="167" xfId="0" applyAlignment="1" applyBorder="1" applyFill="1" applyFont="1" applyNumberFormat="1">
      <alignment shrinkToFit="0" vertical="center" wrapText="1"/>
    </xf>
    <xf borderId="1" fillId="16" fontId="4" numFmtId="1" xfId="0" applyAlignment="1" applyBorder="1" applyFill="1" applyFont="1" applyNumberFormat="1">
      <alignment shrinkToFit="0" vertical="center" wrapText="1"/>
    </xf>
    <xf borderId="1" fillId="16" fontId="4" numFmtId="167" xfId="0" applyAlignment="1" applyBorder="1" applyFill="1" applyFont="1" applyNumberFormat="1">
      <alignment readingOrder="0" shrinkToFit="0" vertical="center" wrapText="1"/>
    </xf>
    <xf borderId="1" fillId="16" fontId="4" numFmtId="164" xfId="0" applyAlignment="1" applyBorder="1" applyFill="1" applyFont="1" applyNumberFormat="1">
      <alignment readingOrder="0" shrinkToFit="0" vertical="center" wrapText="1"/>
    </xf>
    <xf borderId="1" fillId="16" fontId="4" numFmtId="4" xfId="0" applyAlignment="1" applyBorder="1" applyFill="1" applyFont="1" applyNumberFormat="1">
      <alignment readingOrder="0" shrinkToFit="0" vertical="center" wrapText="1"/>
    </xf>
    <xf borderId="1" fillId="16" fontId="4" numFmtId="0" xfId="0" applyAlignment="1" applyBorder="1" applyFill="1" applyFont="1">
      <alignment readingOrder="0" shrinkToFit="0" vertical="center" wrapText="1"/>
    </xf>
    <xf borderId="1" fillId="16" fontId="4" numFmtId="0" xfId="0" applyAlignment="1" applyBorder="1" applyFill="1" applyFont="1">
      <alignment readingOrder="0" shrinkToFit="0" vertical="center" wrapText="1"/>
    </xf>
    <xf borderId="1" fillId="16" fontId="4" numFmtId="10" xfId="0" applyAlignment="1" applyBorder="1" applyFill="1" applyFont="1" applyNumberFormat="1">
      <alignment readingOrder="0" shrinkToFit="0" vertical="center" wrapText="1"/>
    </xf>
    <xf borderId="1" fillId="16" fontId="4" numFmtId="4" xfId="0" applyAlignment="1" applyBorder="1" applyFill="1" applyFont="1" applyNumberFormat="1">
      <alignment readingOrder="0" shrinkToFit="0" vertical="center" wrapText="1"/>
    </xf>
    <xf borderId="1" fillId="16" fontId="4" numFmtId="0" xfId="0" applyAlignment="1" applyBorder="1" applyFill="1" applyFont="1">
      <alignment shrinkToFit="0" vertical="center" wrapText="1"/>
    </xf>
    <xf borderId="1" fillId="16" fontId="4" numFmtId="10" xfId="0" applyAlignment="1" applyBorder="1" applyFill="1" applyFont="1" applyNumberFormat="1">
      <alignment shrinkToFit="0" vertical="center" wrapText="1"/>
    </xf>
    <xf borderId="0" fillId="16" fontId="4" numFmtId="4" xfId="0" applyAlignment="1" applyFill="1" applyFont="1" applyNumberFormat="1">
      <alignment readingOrder="0" shrinkToFit="0" vertical="center" wrapText="1"/>
    </xf>
    <xf borderId="0" fillId="10" fontId="4" numFmtId="0" xfId="0" applyAlignment="1" applyFill="1" applyFont="1">
      <alignment shrinkToFit="0" vertical="center" wrapText="1"/>
    </xf>
    <xf borderId="0" fillId="10" fontId="4" numFmtId="0" xfId="0" applyAlignment="1" applyFill="1" applyFont="1">
      <alignment shrinkToFit="0" vertical="center" wrapText="0"/>
    </xf>
    <xf borderId="0" fillId="13" fontId="4" numFmtId="0" xfId="0" applyAlignment="1" applyFill="1" applyFont="1">
      <alignment shrinkToFit="0" vertical="center" wrapText="1"/>
    </xf>
    <xf borderId="1" fillId="13" fontId="4" numFmtId="49" xfId="0" applyAlignment="1" applyBorder="1" applyFill="1" applyFont="1" applyNumberFormat="1">
      <alignment readingOrder="0" shrinkToFit="0" vertical="center" wrapText="1"/>
    </xf>
    <xf borderId="1" fillId="13" fontId="4" numFmtId="167" xfId="0" applyAlignment="1" applyBorder="1" applyFill="1" applyFont="1" applyNumberFormat="1">
      <alignment readingOrder="0" shrinkToFit="0" vertical="center" wrapText="1"/>
    </xf>
    <xf borderId="1" fillId="13" fontId="4" numFmtId="0" xfId="0" applyAlignment="1" applyBorder="1" applyFill="1" applyFont="1">
      <alignment shrinkToFit="0" vertical="center" wrapText="1"/>
    </xf>
    <xf borderId="1" fillId="13" fontId="4" numFmtId="0" xfId="0" applyAlignment="1" applyBorder="1" applyFill="1" applyFont="1">
      <alignment readingOrder="0" shrinkToFit="0" vertical="center" wrapText="1"/>
    </xf>
    <xf borderId="1" fillId="13" fontId="4" numFmtId="4" xfId="0" applyAlignment="1" applyBorder="1" applyFill="1" applyFont="1" applyNumberFormat="1">
      <alignment readingOrder="0" shrinkToFit="0" vertical="center" wrapText="1"/>
    </xf>
    <xf borderId="0" fillId="8" fontId="4" numFmtId="0" xfId="0" applyAlignment="1" applyFill="1" applyFont="1">
      <alignment horizontal="right" shrinkToFit="0" vertical="center" wrapText="1"/>
    </xf>
    <xf borderId="1" fillId="8" fontId="4" numFmtId="168" xfId="0" applyAlignment="1" applyBorder="1" applyFill="1" applyFont="1" applyNumberFormat="1">
      <alignment horizontal="left" shrinkToFit="0" vertical="center" wrapText="1"/>
    </xf>
    <xf borderId="1" fillId="8" fontId="4" numFmtId="0" xfId="0" applyAlignment="1" applyBorder="1" applyFill="1" applyFont="1">
      <alignment horizontal="left" shrinkToFit="0" vertical="center" wrapText="1"/>
    </xf>
    <xf borderId="1" fillId="8" fontId="4" numFmtId="167" xfId="0" applyAlignment="1" applyBorder="1" applyFill="1" applyFont="1" applyNumberFormat="1">
      <alignment horizontal="left" shrinkToFit="0" vertical="center" wrapText="1"/>
    </xf>
    <xf borderId="1" fillId="8" fontId="4" numFmtId="4" xfId="0" applyAlignment="1" applyBorder="1" applyFill="1" applyFont="1" applyNumberFormat="1">
      <alignment horizontal="left" shrinkToFit="0" vertical="center" wrapText="1"/>
    </xf>
    <xf borderId="1" fillId="8" fontId="4" numFmtId="49" xfId="0" applyAlignment="1" applyBorder="1" applyFill="1" applyFont="1" applyNumberFormat="1">
      <alignment horizontal="left" shrinkToFit="0" vertical="center" wrapText="1"/>
    </xf>
    <xf borderId="1" fillId="8" fontId="4" numFmtId="49" xfId="0" applyAlignment="1" applyBorder="1" applyFill="1" applyFont="1" applyNumberFormat="1">
      <alignment horizontal="left" readingOrder="0" shrinkToFit="0" vertical="center" wrapText="1"/>
    </xf>
    <xf borderId="0" fillId="8" fontId="4" numFmtId="0" xfId="0" applyAlignment="1" applyFill="1" applyFont="1">
      <alignment shrinkToFit="0" vertical="center" wrapText="1"/>
    </xf>
    <xf borderId="1" fillId="16" fontId="4" numFmtId="164" xfId="0" applyAlignment="1" applyBorder="1" applyFill="1" applyFont="1" applyNumberFormat="1">
      <alignment shrinkToFit="0" vertical="center" wrapText="1"/>
    </xf>
    <xf borderId="1" fillId="13" fontId="4" numFmtId="49" xfId="0" applyAlignment="1" applyBorder="1" applyFill="1" applyFont="1" applyNumberFormat="1">
      <alignment shrinkToFit="0" vertical="center" wrapText="1"/>
    </xf>
    <xf borderId="1" fillId="13" fontId="4" numFmtId="167" xfId="0" applyAlignment="1" applyBorder="1" applyFill="1" applyFont="1" applyNumberFormat="1">
      <alignment shrinkToFit="0" vertical="center" wrapText="1"/>
    </xf>
    <xf borderId="1" fillId="13" fontId="4" numFmtId="4" xfId="0" applyAlignment="1" applyBorder="1" applyFill="1" applyFont="1" applyNumberFormat="1">
      <alignment shrinkToFit="0" vertical="center" wrapText="1"/>
    </xf>
    <xf borderId="0" fillId="2" fontId="9" numFmtId="1" xfId="0" applyAlignment="1" applyFill="1" applyFont="1" applyNumberFormat="1">
      <alignment shrinkToFit="0" vertical="center" wrapText="1"/>
    </xf>
    <xf borderId="0" fillId="2" fontId="9" numFmtId="0" xfId="0" applyAlignment="1" applyFill="1" applyFont="1">
      <alignment shrinkToFit="0" vertical="center" wrapText="1"/>
    </xf>
    <xf borderId="0" fillId="2" fontId="9" numFmtId="4" xfId="0" applyAlignment="1" applyFill="1" applyFont="1" applyNumberFormat="1">
      <alignment shrinkToFit="0" vertical="center" wrapText="0"/>
    </xf>
    <xf borderId="1" fillId="16" fontId="4" numFmtId="0" xfId="0" applyAlignment="1" applyBorder="1" applyFill="1" applyFont="1">
      <alignment shrinkToFit="0" vertical="center" wrapText="0"/>
    </xf>
    <xf borderId="1" fillId="16" fontId="4" numFmtId="0" xfId="0" applyAlignment="1" applyBorder="1" applyFill="1" applyFont="1">
      <alignment shrinkToFit="0" vertical="center" wrapText="0"/>
    </xf>
    <xf borderId="10" fillId="2" fontId="4" numFmtId="164" xfId="0" applyAlignment="1" applyBorder="1" applyFill="1" applyFont="1" applyNumberFormat="1">
      <alignment shrinkToFit="0" vertical="center" wrapText="1"/>
    </xf>
    <xf borderId="0" fillId="0" fontId="4" numFmtId="1" xfId="0" applyAlignment="1" applyFont="1" applyNumberFormat="1">
      <alignment shrinkToFit="0" vertical="center" wrapText="1"/>
    </xf>
    <xf borderId="1" fillId="16" fontId="4" numFmtId="0" xfId="0" applyAlignment="1" applyBorder="1" applyFill="1" applyFont="1">
      <alignment shrinkToFit="0" vertical="center" wrapText="1"/>
    </xf>
    <xf borderId="0" fillId="16" fontId="4" numFmtId="0" xfId="0" applyAlignment="1" applyFill="1" applyFont="1">
      <alignment readingOrder="0" shrinkToFit="0" vertical="center" wrapText="1"/>
    </xf>
    <xf borderId="0" fillId="3" fontId="4" numFmtId="0" xfId="0" applyAlignment="1" applyFill="1" applyFont="1">
      <alignment shrinkToFit="0" vertical="center" wrapText="1"/>
    </xf>
    <xf borderId="0" fillId="3" fontId="1" numFmtId="49" xfId="0" applyAlignment="1" applyFill="1" applyFont="1" applyNumberFormat="1">
      <alignment shrinkToFit="0" textRotation="0" vertical="center" wrapText="1"/>
    </xf>
    <xf borderId="0" fillId="16" fontId="4" numFmtId="0" xfId="0" applyAlignment="1" applyFill="1" applyFont="1">
      <alignment shrinkToFit="0" vertical="center" wrapText="1"/>
    </xf>
    <xf borderId="0" fillId="2" fontId="4" numFmtId="4" xfId="0" applyAlignment="1" applyFill="1" applyFont="1" applyNumberFormat="1">
      <alignment shrinkToFit="0" vertical="center" wrapText="1"/>
    </xf>
    <xf borderId="0" fillId="2" fontId="4" numFmtId="3" xfId="0" applyAlignment="1" applyFill="1" applyFont="1" applyNumberFormat="1">
      <alignment shrinkToFit="0" vertical="center" wrapText="1"/>
    </xf>
    <xf borderId="2" fillId="0" fontId="4" numFmtId="164" xfId="0" applyAlignment="1" applyBorder="1" applyFont="1" applyNumberFormat="1">
      <alignment shrinkToFit="0" vertical="center" wrapText="1"/>
    </xf>
    <xf borderId="5" fillId="13" fontId="4"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5" fillId="11" fontId="4" numFmtId="0" xfId="0" applyAlignment="1" applyBorder="1" applyFill="1" applyFont="1">
      <alignment horizontal="center" shrinkToFit="0" vertical="center" wrapText="1"/>
    </xf>
    <xf borderId="1" fillId="16" fontId="4" numFmtId="0" xfId="0" applyAlignment="1" applyBorder="1" applyFill="1" applyFont="1">
      <alignment vertical="center"/>
    </xf>
    <xf borderId="5" fillId="10" fontId="4" numFmtId="0" xfId="0" applyAlignment="1" applyBorder="1" applyFill="1" applyFont="1">
      <alignment horizontal="center" shrinkToFit="0" vertical="center" wrapText="1"/>
    </xf>
    <xf borderId="0" fillId="13" fontId="4" numFmtId="49" xfId="0" applyAlignment="1" applyFill="1" applyFont="1" applyNumberFormat="1">
      <alignment shrinkToFit="0" vertical="center" wrapText="1"/>
    </xf>
    <xf borderId="0" fillId="13" fontId="4" numFmtId="167" xfId="0" applyAlignment="1" applyFill="1" applyFont="1" applyNumberFormat="1">
      <alignment shrinkToFit="0" vertical="center" wrapText="1"/>
    </xf>
    <xf borderId="0" fillId="13" fontId="4" numFmtId="4" xfId="0" applyAlignment="1" applyFill="1" applyFont="1" applyNumberFormat="1">
      <alignment shrinkToFit="0" vertical="center" wrapText="1"/>
    </xf>
    <xf borderId="0" fillId="8" fontId="4" numFmtId="167" xfId="0" applyAlignment="1" applyFill="1" applyFont="1" applyNumberFormat="1">
      <alignment horizontal="left" shrinkToFit="0" vertical="center" wrapText="1"/>
    </xf>
    <xf borderId="0" fillId="8" fontId="4" numFmtId="0" xfId="0" applyAlignment="1" applyFill="1" applyFont="1">
      <alignment horizontal="left" shrinkToFit="0" vertical="center" wrapText="1"/>
    </xf>
    <xf borderId="0" fillId="8" fontId="4" numFmtId="4" xfId="0" applyAlignment="1" applyFill="1" applyFont="1" applyNumberFormat="1">
      <alignment horizontal="left" shrinkToFit="0" vertical="center" wrapText="1"/>
    </xf>
    <xf borderId="0" fillId="8" fontId="4" numFmtId="49" xfId="0" applyAlignment="1" applyFill="1" applyFont="1" applyNumberFormat="1">
      <alignment horizontal="left" shrinkToFit="0" vertical="center" wrapText="1"/>
    </xf>
    <xf borderId="1" fillId="5" fontId="2" numFmtId="49" xfId="0" applyAlignment="1" applyBorder="1" applyFill="1" applyFont="1" applyNumberFormat="1">
      <alignment shrinkToFit="0" textRotation="0" vertical="center" wrapText="1"/>
    </xf>
    <xf borderId="1" fillId="5" fontId="2" numFmtId="4" xfId="0" applyAlignment="1" applyBorder="1" applyFill="1" applyFont="1" applyNumberFormat="1">
      <alignment shrinkToFit="0" textRotation="0" vertical="center" wrapText="0"/>
    </xf>
    <xf borderId="1" fillId="0" fontId="4" numFmtId="0" xfId="0" applyAlignment="1" applyBorder="1" applyFont="1">
      <alignment vertical="center"/>
    </xf>
    <xf borderId="1" fillId="13" fontId="9" numFmtId="0" xfId="0" applyAlignment="1" applyBorder="1" applyFill="1" applyFont="1">
      <alignment horizontal="center" shrinkToFit="0" vertical="center" wrapText="1"/>
    </xf>
    <xf borderId="1" fillId="5" fontId="9" numFmtId="0" xfId="0" applyAlignment="1" applyBorder="1" applyFill="1" applyFont="1">
      <alignment horizontal="center" shrinkToFit="0" vertical="center" wrapText="1"/>
    </xf>
    <xf borderId="1" fillId="11" fontId="9" numFmtId="0" xfId="0" applyAlignment="1" applyBorder="1" applyFill="1" applyFont="1">
      <alignment horizontal="center" shrinkToFit="0" vertical="center" wrapText="1"/>
    </xf>
    <xf borderId="1" fillId="10" fontId="9" numFmtId="0" xfId="0" applyAlignment="1" applyBorder="1" applyFill="1" applyFont="1">
      <alignment horizontal="center" shrinkToFit="0" vertical="center" wrapText="1"/>
    </xf>
    <xf borderId="1" fillId="2" fontId="1" numFmtId="0" xfId="0" applyAlignment="1" applyBorder="1" applyFill="1" applyFont="1">
      <alignment textRotation="0" vertical="center"/>
    </xf>
    <xf borderId="1" fillId="0" fontId="4" numFmtId="0" xfId="0" applyAlignment="1" applyBorder="1" applyFont="1">
      <alignment shrinkToFit="0" vertical="center" wrapText="1"/>
    </xf>
    <xf borderId="1" fillId="0" fontId="4" numFmtId="0" xfId="0" applyAlignment="1" applyBorder="1" applyFont="1">
      <alignment horizontal="right" shrinkToFit="0" vertical="center" wrapText="1"/>
    </xf>
    <xf borderId="1" fillId="0" fontId="4" numFmtId="49" xfId="0" applyAlignment="1" applyBorder="1" applyFont="1" applyNumberFormat="1">
      <alignment horizontal="right" shrinkToFit="0" vertical="center" wrapText="1"/>
    </xf>
    <xf borderId="10" fillId="2" fontId="4" numFmtId="0" xfId="0" applyAlignment="1" applyBorder="1" applyFill="1" applyFont="1">
      <alignment readingOrder="0" vertical="center"/>
    </xf>
    <xf borderId="0" fillId="0" fontId="4" numFmtId="49" xfId="0" applyAlignment="1" applyFont="1" applyNumberFormat="1">
      <alignment readingOrder="0" vertical="center"/>
    </xf>
    <xf borderId="0" fillId="28" fontId="1" numFmtId="4" xfId="0" applyAlignment="1" applyFill="1" applyFont="1" applyNumberFormat="1">
      <alignment shrinkToFit="0" textRotation="0" vertical="center" wrapText="1"/>
    </xf>
    <xf borderId="0" fillId="28" fontId="1" numFmtId="4" xfId="0" applyAlignment="1" applyFill="1" applyFont="1" applyNumberFormat="1">
      <alignment readingOrder="0" shrinkToFit="0" textRotation="0" vertical="center" wrapText="1"/>
    </xf>
    <xf borderId="0" fillId="28" fontId="1" numFmtId="4" xfId="0" applyAlignment="1" applyFill="1" applyFont="1" applyNumberFormat="1">
      <alignment shrinkToFit="0" textRotation="0" vertical="center" wrapText="0"/>
    </xf>
    <xf borderId="0" fillId="28" fontId="1" numFmtId="4" xfId="0" applyAlignment="1" applyFill="1" applyFont="1" applyNumberFormat="1">
      <alignment shrinkToFit="0" textRotation="0" vertical="center" wrapText="1"/>
    </xf>
    <xf borderId="0" fillId="28" fontId="1" numFmtId="0" xfId="0" applyAlignment="1" applyFill="1" applyFont="1">
      <alignment readingOrder="0" shrinkToFit="0" textRotation="0" vertical="center" wrapText="1"/>
    </xf>
    <xf borderId="0" fillId="28" fontId="1" numFmtId="49" xfId="0" applyAlignment="1" applyFill="1" applyFont="1" applyNumberFormat="1">
      <alignment shrinkToFit="0" textRotation="0" vertical="center" wrapText="1"/>
    </xf>
    <xf borderId="0" fillId="28" fontId="1" numFmtId="4" xfId="0" applyAlignment="1" applyFill="1" applyFont="1" applyNumberFormat="1">
      <alignment textRotation="0" vertical="center"/>
    </xf>
    <xf borderId="0" fillId="28" fontId="1" numFmtId="4" xfId="0" applyAlignment="1" applyFill="1" applyFont="1" applyNumberFormat="1">
      <alignment readingOrder="0" shrinkToFit="0" textRotation="0" vertical="center" wrapText="1"/>
    </xf>
    <xf borderId="0" fillId="28" fontId="1" numFmtId="4" xfId="0" applyAlignment="1" applyFill="1" applyFont="1" applyNumberFormat="1">
      <alignment horizontal="center" shrinkToFit="0" textRotation="0" vertical="center" wrapText="1"/>
    </xf>
    <xf borderId="0" fillId="28" fontId="1" numFmtId="4" xfId="0" applyAlignment="1" applyFill="1" applyFont="1" applyNumberFormat="1">
      <alignment horizontal="center" readingOrder="0" shrinkToFit="0" textRotation="0" vertical="center" wrapText="1"/>
    </xf>
    <xf borderId="0" fillId="3" fontId="4" numFmtId="0" xfId="0" applyAlignment="1" applyFill="1" applyFont="1">
      <alignment readingOrder="0" vertical="center"/>
    </xf>
    <xf borderId="0" fillId="0" fontId="30" numFmtId="164" xfId="0" applyAlignment="1" applyFont="1" applyNumberFormat="1">
      <alignment shrinkToFit="0" vertical="center" wrapText="0"/>
    </xf>
    <xf borderId="0" fillId="0" fontId="31" numFmtId="164" xfId="0" applyAlignment="1" applyFont="1" applyNumberFormat="1">
      <alignment vertical="center"/>
    </xf>
    <xf borderId="0" fillId="0" fontId="4" numFmtId="164" xfId="0" applyAlignment="1" applyFont="1" applyNumberFormat="1">
      <alignment horizontal="right" vertical="center"/>
    </xf>
    <xf borderId="0" fillId="0" fontId="4" numFmtId="165" xfId="0" applyAlignment="1" applyFont="1" applyNumberFormat="1">
      <alignment horizontal="right" vertical="center"/>
    </xf>
    <xf borderId="0" fillId="2" fontId="1" numFmtId="49" xfId="0" applyAlignment="1" applyFill="1" applyFont="1" applyNumberFormat="1">
      <alignment shrinkToFit="0" textRotation="0" vertical="center" wrapText="0"/>
    </xf>
    <xf borderId="0" fillId="2" fontId="4" numFmtId="164" xfId="0" applyAlignment="1" applyFill="1" applyFont="1" applyNumberFormat="1">
      <alignment vertical="top"/>
    </xf>
    <xf borderId="0" fillId="3" fontId="2" numFmtId="164" xfId="0" applyAlignment="1" applyFill="1" applyFont="1" applyNumberFormat="1">
      <alignment textRotation="0" vertical="top"/>
    </xf>
    <xf borderId="0" fillId="2" fontId="4" numFmtId="165" xfId="0" applyAlignment="1" applyFill="1" applyFont="1" applyNumberFormat="1">
      <alignment vertical="top"/>
    </xf>
    <xf borderId="0" fillId="2" fontId="4" numFmtId="4" xfId="0" applyAlignment="1" applyFill="1" applyFont="1" applyNumberFormat="1">
      <alignment vertical="top"/>
    </xf>
    <xf borderId="0" fillId="29" fontId="32" numFmtId="4" xfId="0" applyAlignment="1" applyFill="1" applyFont="1" applyNumberFormat="1">
      <alignment readingOrder="0" vertical="top"/>
    </xf>
    <xf borderId="0" fillId="2" fontId="4" numFmtId="4" xfId="0" applyAlignment="1" applyFill="1" applyFont="1" applyNumberFormat="1">
      <alignment vertical="top"/>
    </xf>
    <xf borderId="10" fillId="2" fontId="4" numFmtId="167" xfId="0" applyAlignment="1" applyBorder="1" applyFill="1" applyFont="1" applyNumberFormat="1">
      <alignment vertical="top"/>
    </xf>
    <xf borderId="0" fillId="2" fontId="3" numFmtId="4" xfId="0" applyAlignment="1" applyFill="1" applyFont="1" applyNumberFormat="1">
      <alignment vertical="top"/>
    </xf>
    <xf borderId="0" fillId="2" fontId="1" numFmtId="4" xfId="0" applyAlignment="1" applyFill="1" applyFont="1" applyNumberFormat="1">
      <alignment shrinkToFit="0" textRotation="0" vertical="top" wrapText="1"/>
    </xf>
    <xf borderId="0" fillId="2" fontId="1" numFmtId="165" xfId="0" applyAlignment="1" applyFill="1" applyFont="1" applyNumberFormat="1">
      <alignment shrinkToFit="0" textRotation="0" vertical="top" wrapText="1"/>
    </xf>
    <xf borderId="0" fillId="2" fontId="1" numFmtId="164" xfId="0" applyAlignment="1" applyFill="1" applyFont="1" applyNumberFormat="1">
      <alignment textRotation="0" vertical="top"/>
    </xf>
    <xf borderId="0" fillId="2" fontId="1" numFmtId="4" xfId="0" applyAlignment="1" applyFill="1" applyFont="1" applyNumberFormat="1">
      <alignment readingOrder="0" shrinkToFit="0" textRotation="0" vertical="top" wrapText="1"/>
    </xf>
    <xf borderId="0" fillId="2" fontId="1" numFmtId="4" xfId="0" applyAlignment="1" applyFill="1" applyFont="1" applyNumberFormat="1">
      <alignment shrinkToFit="0" textRotation="0" vertical="top" wrapText="1"/>
    </xf>
    <xf borderId="0" fillId="0" fontId="1" numFmtId="4" xfId="0" applyAlignment="1" applyFont="1" applyNumberFormat="1">
      <alignment horizontal="center" shrinkToFit="0" textRotation="0" vertical="top" wrapText="1"/>
    </xf>
    <xf borderId="0" fillId="0" fontId="1" numFmtId="4" xfId="0" applyAlignment="1" applyFont="1" applyNumberFormat="1">
      <alignment horizontal="center" shrinkToFit="0" textRotation="0" vertical="top" wrapText="1"/>
    </xf>
    <xf borderId="0" fillId="0" fontId="1" numFmtId="0" xfId="0" applyAlignment="1" applyFont="1">
      <alignment horizontal="center" readingOrder="0" shrinkToFit="0" textRotation="0" vertical="top" wrapText="1"/>
    </xf>
    <xf borderId="0" fillId="2" fontId="1" numFmtId="164" xfId="0" applyAlignment="1" applyFill="1" applyFont="1" applyNumberFormat="1">
      <alignment shrinkToFit="0" textRotation="0" vertical="top" wrapText="1"/>
    </xf>
    <xf borderId="0" fillId="0" fontId="4" numFmtId="0" xfId="0" applyAlignment="1" applyFont="1">
      <alignment vertical="top"/>
    </xf>
    <xf borderId="0" fillId="0" fontId="1" numFmtId="167" xfId="0" applyAlignment="1" applyFont="1" applyNumberFormat="1">
      <alignment textRotation="0" vertical="top"/>
    </xf>
    <xf borderId="0" fillId="2" fontId="4" numFmtId="167" xfId="0" applyAlignment="1" applyFill="1" applyFont="1" applyNumberFormat="1">
      <alignment vertical="top"/>
    </xf>
    <xf borderId="0" fillId="2" fontId="3" numFmtId="164" xfId="0" applyAlignment="1" applyFill="1" applyFont="1" applyNumberFormat="1">
      <alignment vertical="top"/>
    </xf>
    <xf borderId="0" fillId="2" fontId="6" numFmtId="164" xfId="0" applyAlignment="1" applyFill="1" applyFont="1" applyNumberFormat="1">
      <alignment textRotation="0" vertical="top"/>
    </xf>
    <xf borderId="0" fillId="2" fontId="4" numFmtId="167" xfId="0" applyAlignment="1" applyFill="1" applyFont="1" applyNumberFormat="1">
      <alignment vertical="top"/>
    </xf>
    <xf borderId="0" fillId="0" fontId="4" numFmtId="164" xfId="0" applyAlignment="1" applyFont="1" applyNumberFormat="1">
      <alignment vertical="top"/>
    </xf>
    <xf borderId="0" fillId="2" fontId="4" numFmtId="0" xfId="0" applyAlignment="1" applyFill="1" applyFont="1">
      <alignment vertical="top"/>
    </xf>
    <xf borderId="0" fillId="2" fontId="1" numFmtId="4" xfId="0" applyAlignment="1" applyFill="1" applyFont="1" applyNumberFormat="1">
      <alignment textRotation="0" vertical="top"/>
    </xf>
    <xf borderId="4" fillId="5" fontId="4" numFmtId="164" xfId="0" applyAlignment="1" applyBorder="1" applyFill="1" applyFont="1" applyNumberFormat="1">
      <alignment vertical="top"/>
    </xf>
    <xf borderId="4" fillId="5" fontId="2" numFmtId="164" xfId="0" applyAlignment="1" applyBorder="1" applyFill="1" applyFont="1" applyNumberFormat="1">
      <alignment textRotation="0" vertical="top"/>
    </xf>
    <xf borderId="4" fillId="5" fontId="2" numFmtId="165" xfId="0" applyAlignment="1" applyBorder="1" applyFill="1" applyFont="1" applyNumberFormat="1">
      <alignment textRotation="0" vertical="top"/>
    </xf>
    <xf borderId="4" fillId="5" fontId="2" numFmtId="4" xfId="0" applyAlignment="1" applyBorder="1" applyFill="1" applyFont="1" applyNumberFormat="1">
      <alignment horizontal="center" shrinkToFit="0" textRotation="0" vertical="top" wrapText="1"/>
    </xf>
    <xf borderId="4" fillId="5" fontId="2" numFmtId="4" xfId="0" applyAlignment="1" applyBorder="1" applyFill="1" applyFont="1" applyNumberFormat="1">
      <alignment textRotation="0" vertical="top"/>
    </xf>
    <xf borderId="28" fillId="5" fontId="2" numFmtId="4" xfId="0" applyAlignment="1" applyBorder="1" applyFill="1" applyFont="1" applyNumberFormat="1">
      <alignment horizontal="center" shrinkToFit="0" textRotation="0" vertical="top" wrapText="1"/>
    </xf>
    <xf borderId="28" fillId="5" fontId="2" numFmtId="4" xfId="0" applyAlignment="1" applyBorder="1" applyFill="1" applyFont="1" applyNumberFormat="1">
      <alignment horizontal="center" shrinkToFit="0" textRotation="0" vertical="top" wrapText="1"/>
    </xf>
    <xf borderId="28" fillId="5" fontId="2" numFmtId="4" xfId="0" applyAlignment="1" applyBorder="1" applyFill="1" applyFont="1" applyNumberFormat="1">
      <alignment horizontal="center" readingOrder="0" shrinkToFit="0" textRotation="0" vertical="top" wrapText="1"/>
    </xf>
    <xf borderId="1" fillId="5" fontId="2" numFmtId="4" xfId="0" applyAlignment="1" applyBorder="1" applyFill="1" applyFont="1" applyNumberFormat="1">
      <alignment horizontal="center" shrinkToFit="0" textRotation="0" vertical="top" wrapText="1"/>
    </xf>
    <xf borderId="1" fillId="5" fontId="2" numFmtId="4" xfId="0" applyAlignment="1" applyBorder="1" applyFill="1" applyFont="1" applyNumberFormat="1">
      <alignment horizontal="center" shrinkToFit="0" textRotation="0" vertical="top" wrapText="1"/>
    </xf>
    <xf borderId="0" fillId="5" fontId="2" numFmtId="4" xfId="0" applyAlignment="1" applyFill="1" applyFont="1" applyNumberFormat="1">
      <alignment horizontal="center" shrinkToFit="0" textRotation="0" vertical="top" wrapText="1"/>
    </xf>
    <xf borderId="0" fillId="5" fontId="2" numFmtId="4" xfId="0" applyAlignment="1" applyFill="1" applyFont="1" applyNumberFormat="1">
      <alignment horizontal="center" readingOrder="0" shrinkToFit="0" textRotation="0" vertical="top" wrapText="1"/>
    </xf>
    <xf borderId="10" fillId="2" fontId="4" numFmtId="164" xfId="0" applyAlignment="1" applyBorder="1" applyFill="1" applyFont="1" applyNumberFormat="1">
      <alignment vertical="top"/>
    </xf>
    <xf borderId="10" fillId="2" fontId="1" numFmtId="164" xfId="0" applyAlignment="1" applyBorder="1" applyFill="1" applyFont="1" applyNumberFormat="1">
      <alignment textRotation="0" vertical="top"/>
    </xf>
    <xf borderId="10" fillId="2" fontId="1" numFmtId="165" xfId="0" applyAlignment="1" applyBorder="1" applyFill="1" applyFont="1" applyNumberFormat="1">
      <alignment horizontal="right" textRotation="0" vertical="top"/>
    </xf>
    <xf borderId="10" fillId="2" fontId="1" numFmtId="14" xfId="0" applyAlignment="1" applyBorder="1" applyFill="1" applyFont="1" applyNumberFormat="1">
      <alignment horizontal="right" textRotation="0" vertical="top"/>
    </xf>
    <xf borderId="10" fillId="2" fontId="4" numFmtId="165" xfId="0" applyAlignment="1" applyBorder="1" applyFill="1" applyFont="1" applyNumberFormat="1">
      <alignment vertical="top"/>
    </xf>
    <xf borderId="10" fillId="2" fontId="1" numFmtId="164" xfId="0" applyAlignment="1" applyBorder="1" applyFill="1" applyFont="1" applyNumberFormat="1">
      <alignment horizontal="right" textRotation="0" vertical="top"/>
    </xf>
    <xf borderId="1" fillId="2" fontId="1" numFmtId="164" xfId="0" applyAlignment="1" applyBorder="1" applyFill="1" applyFont="1" applyNumberFormat="1">
      <alignment textRotation="0" vertical="top"/>
    </xf>
    <xf borderId="1" fillId="2" fontId="1" numFmtId="164" xfId="0" applyAlignment="1" applyBorder="1" applyFill="1" applyFont="1" applyNumberFormat="1">
      <alignment horizontal="right" textRotation="0" vertical="top"/>
    </xf>
    <xf borderId="1" fillId="2" fontId="1" numFmtId="14" xfId="0" applyAlignment="1" applyBorder="1" applyFill="1" applyFont="1" applyNumberFormat="1">
      <alignment horizontal="right" textRotation="0" vertical="top"/>
    </xf>
    <xf borderId="0" fillId="2" fontId="1" numFmtId="14" xfId="0" applyAlignment="1" applyFill="1" applyFont="1" applyNumberFormat="1">
      <alignment horizontal="right" textRotation="0" vertical="top"/>
    </xf>
    <xf borderId="0" fillId="2" fontId="1" numFmtId="4" xfId="0" applyAlignment="1" applyFill="1" applyFont="1" applyNumberFormat="1">
      <alignment horizontal="right" textRotation="0" vertical="top"/>
    </xf>
    <xf borderId="1" fillId="2" fontId="4" numFmtId="164" xfId="0" applyAlignment="1" applyBorder="1" applyFill="1" applyFont="1" applyNumberFormat="1">
      <alignment vertical="top"/>
    </xf>
    <xf borderId="1" fillId="2" fontId="1" numFmtId="165" xfId="0" applyAlignment="1" applyBorder="1" applyFill="1" applyFont="1" applyNumberFormat="1">
      <alignment horizontal="right" textRotation="0" vertical="top"/>
    </xf>
    <xf borderId="1" fillId="2" fontId="4" numFmtId="165" xfId="0" applyAlignment="1" applyBorder="1" applyFill="1" applyFont="1" applyNumberFormat="1">
      <alignment vertical="top"/>
    </xf>
    <xf borderId="0" fillId="2" fontId="1" numFmtId="4" xfId="0" applyAlignment="1" applyFill="1" applyFont="1" applyNumberFormat="1">
      <alignment horizontal="right" readingOrder="0" textRotation="0" vertical="top"/>
    </xf>
    <xf borderId="1" fillId="2" fontId="1" numFmtId="4" xfId="0" applyAlignment="1" applyBorder="1" applyFill="1" applyFont="1" applyNumberFormat="1">
      <alignment shrinkToFit="0" textRotation="0" vertical="top" wrapText="1"/>
    </xf>
    <xf borderId="1" fillId="2" fontId="4" numFmtId="4" xfId="0" applyAlignment="1" applyBorder="1" applyFill="1" applyFont="1" applyNumberFormat="1">
      <alignment vertical="top"/>
    </xf>
    <xf borderId="0" fillId="2" fontId="1" numFmtId="164" xfId="0" applyAlignment="1" applyFill="1" applyFont="1" applyNumberFormat="1">
      <alignment shrinkToFit="0" textRotation="0" vertical="center" wrapText="0"/>
    </xf>
    <xf borderId="0" fillId="3" fontId="2" numFmtId="164" xfId="0" applyAlignment="1" applyFill="1" applyFont="1" applyNumberFormat="1">
      <alignment shrinkToFit="0" textRotation="0" vertical="center" wrapText="0"/>
    </xf>
    <xf borderId="0" fillId="2" fontId="1" numFmtId="165" xfId="0" applyAlignment="1" applyFill="1" applyFont="1" applyNumberFormat="1">
      <alignment shrinkToFit="0" textRotation="0" vertical="center" wrapText="0"/>
    </xf>
    <xf borderId="0" fillId="2" fontId="1" numFmtId="4" xfId="0" applyAlignment="1" applyFill="1" applyFont="1" applyNumberFormat="1">
      <alignment shrinkToFit="0" textRotation="0" vertical="center" wrapText="0"/>
    </xf>
    <xf borderId="0" fillId="2" fontId="1" numFmtId="4" xfId="0" applyAlignment="1" applyFill="1" applyFont="1" applyNumberFormat="1">
      <alignment horizontal="right" shrinkToFit="0" textRotation="0" vertical="center" wrapText="0"/>
    </xf>
    <xf borderId="0" fillId="2" fontId="1" numFmtId="1" xfId="0" applyAlignment="1" applyFill="1" applyFont="1" applyNumberFormat="1">
      <alignment shrinkToFit="0" textRotation="0" vertical="center" wrapText="0"/>
    </xf>
    <xf borderId="0" fillId="2" fontId="6" numFmtId="164" xfId="0" applyAlignment="1" applyFill="1" applyFont="1" applyNumberFormat="1">
      <alignment shrinkToFit="0" textRotation="0" vertical="center" wrapText="0"/>
    </xf>
    <xf borderId="0" fillId="2" fontId="1" numFmtId="0" xfId="0" applyAlignment="1" applyFill="1" applyFont="1">
      <alignment shrinkToFit="0" textRotation="0" vertical="center" wrapText="0"/>
    </xf>
    <xf borderId="4" fillId="5" fontId="1" numFmtId="164" xfId="0" applyAlignment="1" applyBorder="1" applyFill="1" applyFont="1" applyNumberFormat="1">
      <alignment shrinkToFit="0" textRotation="0" vertical="center" wrapText="0"/>
    </xf>
    <xf borderId="4" fillId="5" fontId="2" numFmtId="164" xfId="0" applyAlignment="1" applyBorder="1" applyFill="1" applyFont="1" applyNumberFormat="1">
      <alignment shrinkToFit="0" textRotation="0" vertical="center" wrapText="0"/>
    </xf>
    <xf borderId="4" fillId="5" fontId="2" numFmtId="165" xfId="0" applyAlignment="1" applyBorder="1" applyFill="1" applyFont="1" applyNumberFormat="1">
      <alignment shrinkToFit="0" textRotation="0" vertical="center" wrapText="0"/>
    </xf>
    <xf borderId="4" fillId="5" fontId="2" numFmtId="4" xfId="0" applyAlignment="1" applyBorder="1" applyFill="1" applyFont="1" applyNumberFormat="1">
      <alignment shrinkToFit="0" textRotation="0" vertical="center" wrapText="0"/>
    </xf>
    <xf borderId="4" fillId="5" fontId="2" numFmtId="4" xfId="0" applyAlignment="1" applyBorder="1" applyFill="1" applyFont="1" applyNumberFormat="1">
      <alignment horizontal="right" shrinkToFit="0" textRotation="0" vertical="center" wrapText="0"/>
    </xf>
    <xf borderId="4" fillId="5" fontId="2" numFmtId="1" xfId="0" applyAlignment="1" applyBorder="1" applyFill="1" applyFont="1" applyNumberFormat="1">
      <alignment shrinkToFit="0" textRotation="0" vertical="center" wrapText="0"/>
    </xf>
    <xf borderId="10" fillId="2" fontId="1" numFmtId="164" xfId="0" applyAlignment="1" applyBorder="1" applyFill="1" applyFont="1" applyNumberFormat="1">
      <alignment shrinkToFit="0" textRotation="0" vertical="center" wrapText="0"/>
    </xf>
    <xf borderId="10" fillId="2" fontId="1" numFmtId="165" xfId="0" applyAlignment="1" applyBorder="1" applyFill="1" applyFont="1" applyNumberFormat="1">
      <alignment shrinkToFit="0" textRotation="0" vertical="center" wrapText="0"/>
    </xf>
    <xf borderId="1" fillId="2" fontId="1" numFmtId="164" xfId="0" applyAlignment="1" applyBorder="1" applyFill="1" applyFont="1" applyNumberFormat="1">
      <alignment shrinkToFit="0" textRotation="0" vertical="center" wrapText="0"/>
    </xf>
    <xf borderId="1" fillId="2" fontId="1" numFmtId="165" xfId="0" applyAlignment="1" applyBorder="1" applyFill="1" applyFont="1" applyNumberFormat="1">
      <alignment shrinkToFit="0" textRotation="0" vertical="center" wrapText="0"/>
    </xf>
    <xf borderId="0" fillId="2" fontId="33" numFmtId="164" xfId="0" applyAlignment="1" applyFill="1" applyFont="1" applyNumberFormat="1">
      <alignment shrinkToFit="0" textRotation="0" vertical="center" wrapText="0"/>
    </xf>
    <xf borderId="0" fillId="2" fontId="1" numFmtId="2" xfId="0" applyAlignment="1" applyFill="1" applyFont="1" applyNumberFormat="1">
      <alignment shrinkToFit="0" textRotation="0" vertical="center" wrapText="0"/>
    </xf>
    <xf borderId="0" fillId="2" fontId="1" numFmtId="164" xfId="0" applyAlignment="1" applyFill="1" applyFont="1" applyNumberFormat="1">
      <alignment readingOrder="0" shrinkToFit="0" textRotation="0" vertical="center" wrapText="0"/>
    </xf>
    <xf borderId="0" fillId="2" fontId="1" numFmtId="2" xfId="0" applyAlignment="1" applyFill="1" applyFont="1" applyNumberFormat="1">
      <alignment readingOrder="0" shrinkToFit="0" textRotation="0" vertical="center" wrapText="0"/>
    </xf>
    <xf borderId="0" fillId="2" fontId="34" numFmtId="164" xfId="0" applyAlignment="1" applyFill="1" applyFont="1" applyNumberFormat="1">
      <alignment shrinkToFit="0" textRotation="0" vertical="center" wrapText="0"/>
    </xf>
    <xf borderId="4" fillId="2" fontId="1" numFmtId="164" xfId="0" applyAlignment="1" applyBorder="1" applyFill="1" applyFont="1" applyNumberFormat="1">
      <alignment shrinkToFit="0" textRotation="0" vertical="center" wrapText="0"/>
    </xf>
    <xf borderId="4" fillId="2" fontId="1" numFmtId="164" xfId="0" applyAlignment="1" applyBorder="1" applyFill="1" applyFont="1" applyNumberFormat="1">
      <alignment readingOrder="0" shrinkToFit="0" textRotation="0" vertical="center" wrapText="0"/>
    </xf>
    <xf borderId="4" fillId="2" fontId="1" numFmtId="0" xfId="0" applyAlignment="1" applyBorder="1" applyFill="1" applyFont="1">
      <alignment shrinkToFit="0" textRotation="0" vertical="center" wrapText="0"/>
    </xf>
    <xf borderId="4" fillId="2" fontId="1" numFmtId="2" xfId="0" applyAlignment="1" applyBorder="1" applyFill="1" applyFont="1" applyNumberFormat="1">
      <alignment shrinkToFit="0" textRotation="0" vertical="center" wrapText="0"/>
    </xf>
    <xf borderId="4" fillId="2" fontId="1" numFmtId="4" xfId="0" applyAlignment="1" applyBorder="1" applyFill="1" applyFont="1" applyNumberFormat="1">
      <alignment shrinkToFit="0" textRotation="0" vertical="center" wrapText="0"/>
    </xf>
    <xf borderId="10" fillId="2" fontId="1" numFmtId="0" xfId="0" applyAlignment="1" applyBorder="1" applyFill="1" applyFont="1">
      <alignment shrinkToFit="0" textRotation="0" vertical="center" wrapText="0"/>
    </xf>
    <xf borderId="10" fillId="2" fontId="1" numFmtId="2" xfId="0" applyAlignment="1" applyBorder="1" applyFill="1" applyFont="1" applyNumberFormat="1">
      <alignment shrinkToFit="0" textRotation="0" vertical="center" wrapText="0"/>
    </xf>
    <xf borderId="10" fillId="2" fontId="1" numFmtId="4" xfId="0" applyAlignment="1" applyBorder="1" applyFill="1" applyFont="1" applyNumberFormat="1">
      <alignment shrinkToFit="0" textRotation="0" vertical="center" wrapText="0"/>
    </xf>
    <xf borderId="1" fillId="2" fontId="1" numFmtId="0" xfId="0" applyAlignment="1" applyBorder="1" applyFill="1" applyFont="1">
      <alignment shrinkToFit="0" textRotation="0" vertical="center" wrapText="0"/>
    </xf>
    <xf borderId="1" fillId="2" fontId="1" numFmtId="2" xfId="0" applyAlignment="1" applyBorder="1" applyFill="1" applyFont="1" applyNumberFormat="1">
      <alignment shrinkToFit="0" textRotation="0" vertical="center" wrapText="0"/>
    </xf>
    <xf borderId="1" fillId="2" fontId="1" numFmtId="4" xfId="0" applyAlignment="1" applyBorder="1" applyFill="1" applyFont="1" applyNumberFormat="1">
      <alignment shrinkToFit="0" textRotation="0" vertical="center" wrapText="0"/>
    </xf>
    <xf borderId="0" fillId="0" fontId="4" numFmtId="0" xfId="0" applyAlignment="1" applyFont="1">
      <alignment vertical="bottom"/>
    </xf>
    <xf borderId="0" fillId="0" fontId="4" numFmtId="0" xfId="0" applyAlignment="1" applyFont="1">
      <alignment vertical="bottom"/>
    </xf>
    <xf borderId="0" fillId="0" fontId="4" numFmtId="164" xfId="0" applyAlignment="1" applyFont="1" applyNumberFormat="1">
      <alignment vertical="bottom"/>
    </xf>
    <xf borderId="0" fillId="0" fontId="4" numFmtId="4" xfId="0" applyAlignment="1" applyFont="1" applyNumberFormat="1">
      <alignment vertical="bottom"/>
    </xf>
    <xf borderId="0" fillId="0" fontId="4" numFmtId="4" xfId="0" applyAlignment="1" applyFont="1" applyNumberFormat="1">
      <alignment vertical="bottom"/>
    </xf>
    <xf borderId="0" fillId="0" fontId="4" numFmtId="167" xfId="0" applyAlignment="1" applyFont="1" applyNumberFormat="1">
      <alignment vertical="bottom"/>
    </xf>
    <xf borderId="0" fillId="0" fontId="4" numFmtId="49" xfId="0" applyAlignment="1" applyFont="1" applyNumberFormat="1">
      <alignment vertical="bottom"/>
    </xf>
    <xf borderId="0" fillId="2" fontId="4" numFmtId="164" xfId="0" applyAlignment="1" applyFill="1" applyFont="1" applyNumberFormat="1">
      <alignment vertical="bottom"/>
    </xf>
    <xf borderId="0" fillId="2" fontId="4" numFmtId="0" xfId="0" applyAlignment="1" applyFill="1" applyFont="1">
      <alignment vertical="bottom"/>
    </xf>
    <xf borderId="0" fillId="2" fontId="30" numFmtId="0" xfId="0" applyAlignment="1" applyFill="1" applyFont="1">
      <alignment vertical="bottom"/>
    </xf>
    <xf borderId="0" fillId="0" fontId="4" numFmtId="4" xfId="0" applyAlignment="1" applyFont="1" applyNumberFormat="1">
      <alignment horizontal="right" vertical="bottom"/>
    </xf>
    <xf borderId="0" fillId="0" fontId="4" numFmtId="4" xfId="0" applyAlignment="1" applyFont="1" applyNumberFormat="1">
      <alignment horizontal="right" vertical="bottom"/>
    </xf>
    <xf borderId="0" fillId="3" fontId="2" numFmtId="0" xfId="0" applyAlignment="1" applyFill="1" applyFont="1">
      <alignment shrinkToFit="0" textRotation="0" vertical="center" wrapText="0"/>
    </xf>
    <xf borderId="0" fillId="2" fontId="2" numFmtId="0" xfId="0" applyAlignment="1" applyFill="1" applyFont="1">
      <alignment horizontal="right" shrinkToFit="0" textRotation="0" vertical="center" wrapText="0"/>
    </xf>
    <xf borderId="0" fillId="2" fontId="2" numFmtId="0" xfId="0" applyAlignment="1" applyFill="1" applyFont="1">
      <alignment shrinkToFit="0" textRotation="0" vertical="center" wrapText="0"/>
    </xf>
    <xf borderId="0" fillId="2" fontId="1" numFmtId="0" xfId="0" applyAlignment="1" applyFill="1" applyFont="1">
      <alignment textRotation="0"/>
    </xf>
    <xf borderId="0" fillId="3" fontId="2" numFmtId="4" xfId="0" applyAlignment="1" applyFill="1" applyFont="1" applyNumberFormat="1">
      <alignment shrinkToFit="0" textRotation="0" vertical="center" wrapText="0"/>
    </xf>
    <xf borderId="0" fillId="3" fontId="2" numFmtId="0" xfId="0" applyAlignment="1" applyFill="1" applyFont="1">
      <alignment textRotation="0"/>
    </xf>
    <xf borderId="0" fillId="2" fontId="6" numFmtId="0" xfId="0" applyAlignment="1" applyFill="1" applyFont="1">
      <alignment shrinkToFit="0" textRotation="0" vertical="center" wrapText="0"/>
    </xf>
    <xf borderId="0" fillId="17" fontId="3" numFmtId="164" xfId="0" applyFill="1" applyFont="1" applyNumberFormat="1"/>
    <xf borderId="0" fillId="2" fontId="1" numFmtId="0" xfId="0" applyAlignment="1" applyFill="1" applyFont="1">
      <alignment horizontal="center" shrinkToFit="0" textRotation="0" vertical="center" wrapText="0"/>
    </xf>
    <xf borderId="4" fillId="2" fontId="2" numFmtId="0" xfId="0" applyAlignment="1" applyBorder="1" applyFill="1" applyFont="1">
      <alignment textRotation="0"/>
    </xf>
    <xf borderId="10" fillId="0" fontId="4" numFmtId="4" xfId="0" applyAlignment="1" applyBorder="1" applyFont="1" applyNumberFormat="1">
      <alignment shrinkToFit="0" wrapText="1"/>
    </xf>
    <xf borderId="0" fillId="3" fontId="2" numFmtId="0" xfId="0" applyAlignment="1" applyFill="1" applyFont="1">
      <alignment readingOrder="0" shrinkToFit="0" textRotation="0" vertical="center" wrapText="0"/>
    </xf>
    <xf borderId="0" fillId="0" fontId="4" numFmtId="167" xfId="0" applyAlignment="1" applyFont="1" applyNumberFormat="1">
      <alignment shrinkToFit="0" vertical="bottom" wrapText="0"/>
    </xf>
    <xf borderId="0" fillId="0" fontId="3" numFmtId="0" xfId="0" applyAlignment="1" applyFont="1">
      <alignment vertical="bottom"/>
    </xf>
    <xf borderId="0" fillId="0" fontId="3" numFmtId="49" xfId="0" applyAlignment="1" applyFont="1" applyNumberFormat="1">
      <alignment vertical="bottom"/>
    </xf>
    <xf borderId="0" fillId="0" fontId="4" numFmtId="0" xfId="0" applyAlignment="1" applyFont="1">
      <alignment shrinkToFit="0" vertical="bottom" wrapText="0"/>
    </xf>
    <xf borderId="0" fillId="2" fontId="1" numFmtId="0" xfId="0" applyAlignment="1" applyFill="1" applyFont="1">
      <alignment readingOrder="0" shrinkToFit="0" textRotation="0" vertical="center" wrapText="0"/>
    </xf>
    <xf borderId="0" fillId="2" fontId="4" numFmtId="167" xfId="0" applyAlignment="1" applyFill="1" applyFont="1" applyNumberFormat="1">
      <alignment shrinkToFit="0" textRotation="0" vertical="bottom" wrapText="0"/>
    </xf>
    <xf borderId="0" fillId="2" fontId="4" numFmtId="0" xfId="0" applyAlignment="1" applyFill="1" applyFont="1">
      <alignment shrinkToFit="0" textRotation="0" vertical="bottom" wrapText="0"/>
    </xf>
    <xf borderId="0" fillId="2" fontId="4" numFmtId="49" xfId="0" applyAlignment="1" applyFill="1" applyFont="1" applyNumberFormat="1">
      <alignment shrinkToFit="0" textRotation="0" vertical="bottom" wrapText="0"/>
    </xf>
    <xf borderId="0" fillId="2" fontId="4" numFmtId="0" xfId="0" applyAlignment="1" applyFill="1" applyFont="1">
      <alignment shrinkToFit="0" vertical="bottom" wrapText="0"/>
    </xf>
    <xf borderId="0" fillId="0" fontId="4" numFmtId="0" xfId="0" applyAlignment="1" applyFont="1">
      <alignment shrinkToFit="0" vertical="bottom" wrapText="0"/>
    </xf>
    <xf borderId="0" fillId="0" fontId="2" numFmtId="0" xfId="0" applyAlignment="1" applyFont="1">
      <alignment shrinkToFit="0" textRotation="0" vertical="center" wrapText="0"/>
    </xf>
    <xf borderId="0" fillId="0" fontId="3" numFmtId="164" xfId="0" applyAlignment="1" applyFont="1" applyNumberFormat="1">
      <alignment vertical="bottom"/>
    </xf>
    <xf borderId="0" fillId="2" fontId="3" numFmtId="49" xfId="0" applyAlignment="1" applyFill="1" applyFont="1" applyNumberFormat="1">
      <alignment vertical="bottom"/>
    </xf>
    <xf borderId="0" fillId="2" fontId="4" numFmtId="164" xfId="0" applyAlignment="1" applyFill="1" applyFont="1" applyNumberFormat="1">
      <alignment shrinkToFit="0" vertical="bottom" wrapText="0"/>
    </xf>
    <xf borderId="0" fillId="0" fontId="4" numFmtId="164" xfId="0" applyAlignment="1" applyFont="1" applyNumberFormat="1">
      <alignment shrinkToFit="0" vertical="bottom" wrapText="0"/>
    </xf>
    <xf borderId="0" fillId="2" fontId="6" numFmtId="0" xfId="0" applyAlignment="1" applyFill="1" applyFont="1">
      <alignment readingOrder="0" shrinkToFit="0" textRotation="0" vertical="center" wrapText="0"/>
    </xf>
    <xf borderId="0" fillId="0" fontId="35" numFmtId="0" xfId="0" applyAlignment="1" applyFont="1">
      <alignment horizontal="right" shrinkToFit="0" vertical="bottom" wrapText="0"/>
    </xf>
    <xf borderId="0" fillId="2" fontId="35" numFmtId="0" xfId="0" applyAlignment="1" applyFill="1" applyFont="1">
      <alignment horizontal="right" shrinkToFit="0" vertical="bottom" wrapText="0"/>
    </xf>
    <xf borderId="0" fillId="2" fontId="4" numFmtId="167" xfId="0" applyAlignment="1" applyFill="1" applyFont="1" applyNumberFormat="1">
      <alignment shrinkToFit="0" vertical="bottom" wrapText="0"/>
    </xf>
    <xf borderId="0" fillId="2" fontId="3" numFmtId="164" xfId="0" applyAlignment="1" applyFill="1" applyFont="1" applyNumberFormat="1">
      <alignment vertical="bottom"/>
    </xf>
    <xf borderId="0" fillId="0" fontId="4" numFmtId="14" xfId="0" applyAlignment="1" applyFont="1" applyNumberFormat="1">
      <alignment horizontal="right" vertical="bottom"/>
    </xf>
    <xf borderId="0" fillId="2" fontId="4" numFmtId="0" xfId="0" applyAlignment="1" applyFill="1" applyFont="1">
      <alignment shrinkToFit="0" wrapText="0"/>
    </xf>
    <xf borderId="0" fillId="2" fontId="4" numFmtId="167" xfId="0" applyAlignment="1" applyFill="1" applyFont="1" applyNumberFormat="1">
      <alignment shrinkToFit="0" wrapText="0"/>
    </xf>
    <xf borderId="0" fillId="0" fontId="3" numFmtId="167" xfId="0" applyAlignment="1" applyFont="1" applyNumberFormat="1">
      <alignment vertical="bottom"/>
    </xf>
    <xf borderId="0" fillId="2" fontId="3" numFmtId="3" xfId="0" applyAlignment="1" applyFill="1" applyFont="1" applyNumberFormat="1">
      <alignment vertical="bottom"/>
    </xf>
    <xf borderId="0" fillId="0" fontId="3" numFmtId="3" xfId="0" applyAlignment="1" applyFont="1" applyNumberFormat="1">
      <alignment vertical="bottom"/>
    </xf>
    <xf borderId="0" fillId="0" fontId="3" numFmtId="4" xfId="0" applyAlignment="1" applyFont="1" applyNumberFormat="1">
      <alignment vertical="bottom"/>
    </xf>
    <xf borderId="0" fillId="0" fontId="4" numFmtId="0" xfId="0" applyAlignment="1" applyFont="1">
      <alignment readingOrder="0"/>
    </xf>
    <xf borderId="0" fillId="0" fontId="4" numFmtId="0" xfId="0" applyAlignment="1" applyFont="1">
      <alignment readingOrder="0" vertical="bottom"/>
    </xf>
    <xf borderId="0" fillId="0" fontId="3" numFmtId="165" xfId="0" applyAlignment="1" applyFont="1" applyNumberFormat="1">
      <alignment vertical="bottom"/>
    </xf>
    <xf borderId="0" fillId="0" fontId="9" numFmtId="0" xfId="0" applyAlignment="1" applyFont="1">
      <alignment shrinkToFit="0" vertical="bottom" wrapText="0"/>
    </xf>
    <xf borderId="0" fillId="0" fontId="4" numFmtId="14" xfId="0" applyAlignment="1" applyFont="1" applyNumberFormat="1">
      <alignment readingOrder="0"/>
    </xf>
    <xf borderId="0" fillId="0" fontId="4" numFmtId="165" xfId="0" applyAlignment="1" applyFont="1" applyNumberFormat="1">
      <alignment vertical="bottom"/>
    </xf>
    <xf borderId="1" fillId="2" fontId="1" numFmtId="10" xfId="0" applyAlignment="1" applyBorder="1" applyFill="1" applyFont="1" applyNumberFormat="1">
      <alignment horizontal="right" readingOrder="0" shrinkToFit="0" textRotation="0" vertical="center" wrapText="1"/>
    </xf>
    <xf borderId="1" fillId="0" fontId="1" numFmtId="164" xfId="0" applyAlignment="1" applyBorder="1" applyFont="1" applyNumberFormat="1">
      <alignment readingOrder="0" shrinkToFit="0" textRotation="0" vertical="center" wrapText="1"/>
    </xf>
    <xf borderId="1" fillId="2" fontId="1" numFmtId="0" xfId="0" applyAlignment="1" applyBorder="1" applyFill="1" applyFont="1">
      <alignment horizontal="left" readingOrder="0" shrinkToFit="0" textRotation="0" vertical="center" wrapText="1"/>
    </xf>
    <xf borderId="0" fillId="2" fontId="1" numFmtId="164" xfId="0" applyAlignment="1" applyFill="1" applyFont="1" applyNumberFormat="1">
      <alignment shrinkToFit="0" textRotation="0" vertical="center" wrapText="1"/>
    </xf>
    <xf borderId="0" fillId="2" fontId="1" numFmtId="0" xfId="0" applyAlignment="1" applyFill="1" applyFont="1">
      <alignment shrinkToFit="0" textRotation="0" vertical="center" wrapText="1"/>
    </xf>
    <xf borderId="0" fillId="2" fontId="1" numFmtId="0" xfId="0" applyAlignment="1" applyFill="1" applyFont="1">
      <alignment shrinkToFit="0" textRotation="0" vertical="center" wrapText="0"/>
    </xf>
    <xf borderId="0" fillId="2" fontId="1" numFmtId="4" xfId="0" applyAlignment="1" applyFill="1" applyFont="1" applyNumberFormat="1">
      <alignment horizontal="right" shrinkToFit="0" textRotation="0" vertical="center" wrapText="0"/>
    </xf>
    <xf borderId="0" fillId="2" fontId="1" numFmtId="4" xfId="0" applyAlignment="1" applyFill="1" applyFont="1" applyNumberFormat="1">
      <alignment horizontal="right" shrinkToFit="0" textRotation="0" vertical="center" wrapText="1"/>
    </xf>
    <xf borderId="0" fillId="2" fontId="1" numFmtId="167" xfId="0" applyAlignment="1" applyFill="1" applyFont="1" applyNumberFormat="1">
      <alignment shrinkToFit="0" textRotation="0" vertical="center" wrapText="0"/>
    </xf>
    <xf borderId="0" fillId="2" fontId="1" numFmtId="164" xfId="0" applyAlignment="1" applyFill="1" applyFont="1" applyNumberFormat="1">
      <alignment shrinkToFit="0" textRotation="0" vertical="center" wrapText="0"/>
    </xf>
    <xf borderId="0" fillId="2" fontId="4" numFmtId="0" xfId="0" applyAlignment="1" applyFill="1" applyFont="1">
      <alignment horizontal="center" vertical="center"/>
    </xf>
    <xf borderId="0" fillId="0" fontId="1" numFmtId="4" xfId="0" applyAlignment="1" applyFont="1" applyNumberFormat="1">
      <alignment horizontal="right" shrinkToFit="0" textRotation="0" vertical="center" wrapText="1"/>
    </xf>
    <xf borderId="0" fillId="0" fontId="1" numFmtId="4" xfId="0" applyAlignment="1" applyFont="1" applyNumberFormat="1">
      <alignment horizontal="right" readingOrder="0" shrinkToFit="0" textRotation="0" vertical="center" wrapText="1"/>
    </xf>
    <xf borderId="0" fillId="0" fontId="4" numFmtId="10" xfId="0" applyAlignment="1" applyFont="1" applyNumberFormat="1">
      <alignment readingOrder="0" vertical="center"/>
    </xf>
    <xf borderId="0" fillId="0" fontId="4" numFmtId="10" xfId="0" applyAlignment="1" applyFont="1" applyNumberFormat="1">
      <alignment vertical="center"/>
    </xf>
    <xf borderId="0" fillId="0" fontId="1" numFmtId="49" xfId="0" applyAlignment="1" applyFont="1" applyNumberFormat="1">
      <alignment shrinkToFit="0" textRotation="0" vertical="center" wrapText="1"/>
    </xf>
    <xf borderId="0" fillId="2" fontId="1" numFmtId="4" xfId="0" applyAlignment="1" applyFill="1" applyFont="1" applyNumberFormat="1">
      <alignment horizontal="right" shrinkToFit="0" textRotation="0" vertical="center" wrapText="1"/>
    </xf>
    <xf borderId="0" fillId="2" fontId="4" numFmtId="0" xfId="0" applyAlignment="1" applyFill="1" applyFont="1">
      <alignment shrinkToFit="0" vertical="center" wrapText="1"/>
    </xf>
    <xf borderId="0" fillId="2" fontId="1" numFmtId="4" xfId="0" applyAlignment="1" applyFill="1" applyFont="1" applyNumberFormat="1">
      <alignment horizontal="left" shrinkToFit="0" textRotation="0" vertical="center" wrapText="1"/>
    </xf>
    <xf borderId="0" fillId="2" fontId="1" numFmtId="167" xfId="0" applyAlignment="1" applyFill="1" applyFont="1" applyNumberFormat="1">
      <alignment horizontal="left" shrinkToFit="0" textRotation="0" vertical="center" wrapText="1"/>
    </xf>
    <xf borderId="0" fillId="0" fontId="1" numFmtId="4" xfId="0" applyAlignment="1" applyFont="1" applyNumberFormat="1">
      <alignment horizontal="right" shrinkToFit="0" textRotation="0" vertical="center" wrapText="0"/>
    </xf>
    <xf borderId="0" fillId="0" fontId="2" numFmtId="4" xfId="0" applyAlignment="1" applyFont="1" applyNumberFormat="1">
      <alignment horizontal="right" shrinkToFit="0" textRotation="0" vertical="center" wrapText="0"/>
    </xf>
    <xf borderId="0" fillId="0" fontId="9" numFmtId="4" xfId="0" applyAlignment="1" applyFont="1" applyNumberFormat="1">
      <alignment vertical="center"/>
    </xf>
    <xf borderId="26" fillId="2" fontId="2" numFmtId="4" xfId="0" applyAlignment="1" applyBorder="1" applyFill="1" applyFont="1" applyNumberFormat="1">
      <alignment shrinkToFit="0" textRotation="0" vertical="center" wrapText="1"/>
    </xf>
    <xf borderId="26" fillId="2" fontId="1" numFmtId="4" xfId="0" applyAlignment="1" applyBorder="1" applyFill="1" applyFont="1" applyNumberFormat="1">
      <alignment shrinkToFit="0" textRotation="0" vertical="center" wrapText="1"/>
    </xf>
    <xf borderId="26" fillId="2" fontId="1" numFmtId="4" xfId="0" applyAlignment="1" applyBorder="1" applyFill="1" applyFont="1" applyNumberFormat="1">
      <alignment shrinkToFit="0" textRotation="0" vertical="center" wrapText="0"/>
    </xf>
    <xf borderId="26" fillId="2" fontId="1" numFmtId="4" xfId="0" applyAlignment="1" applyBorder="1" applyFill="1" applyFont="1" applyNumberFormat="1">
      <alignment shrinkToFit="0" textRotation="0" vertical="center" wrapText="0"/>
    </xf>
    <xf borderId="26" fillId="0" fontId="1" numFmtId="4" xfId="0" applyAlignment="1" applyBorder="1" applyFont="1" applyNumberFormat="1">
      <alignment shrinkToFit="0" textRotation="0" vertical="center" wrapText="1"/>
    </xf>
    <xf borderId="26" fillId="0" fontId="1" numFmtId="4" xfId="0" applyAlignment="1" applyBorder="1" applyFont="1" applyNumberFormat="1">
      <alignment horizontal="left" shrinkToFit="0" textRotation="0" vertical="center" wrapText="0"/>
    </xf>
    <xf borderId="26" fillId="0" fontId="1" numFmtId="4" xfId="0" applyAlignment="1" applyBorder="1" applyFont="1" applyNumberFormat="1">
      <alignment shrinkToFit="0" textRotation="0" vertical="center" wrapText="0"/>
    </xf>
    <xf borderId="29" fillId="0" fontId="2" numFmtId="4" xfId="0" applyAlignment="1" applyBorder="1" applyFont="1" applyNumberFormat="1">
      <alignment shrinkToFit="0" textRotation="0" vertical="center" wrapText="1"/>
    </xf>
    <xf borderId="29" fillId="0" fontId="2" numFmtId="4" xfId="0" applyAlignment="1" applyBorder="1" applyFont="1" applyNumberFormat="1">
      <alignment horizontal="right" shrinkToFit="0" textRotation="0" vertical="center" wrapText="1"/>
    </xf>
    <xf borderId="26" fillId="0" fontId="4" numFmtId="4" xfId="0" applyAlignment="1" applyBorder="1" applyFont="1" applyNumberFormat="1">
      <alignment vertical="center"/>
    </xf>
    <xf borderId="26" fillId="2" fontId="1" numFmtId="167" xfId="0" applyAlignment="1" applyBorder="1" applyFill="1" applyFont="1" applyNumberFormat="1">
      <alignment shrinkToFit="0" textRotation="0" vertical="center" wrapText="1"/>
    </xf>
    <xf borderId="26" fillId="0" fontId="4" numFmtId="4" xfId="0" applyAlignment="1" applyBorder="1" applyFont="1" applyNumberFormat="1">
      <alignment shrinkToFit="0" vertical="center" wrapText="1"/>
    </xf>
    <xf borderId="26" fillId="0" fontId="2" numFmtId="4" xfId="0" applyAlignment="1" applyBorder="1" applyFont="1" applyNumberFormat="1">
      <alignment shrinkToFit="0" textRotation="0" vertical="center" wrapText="1"/>
    </xf>
    <xf borderId="26" fillId="0" fontId="2" numFmtId="4" xfId="0" applyAlignment="1" applyBorder="1" applyFont="1" applyNumberFormat="1">
      <alignment horizontal="right" shrinkToFit="0" textRotation="0" vertical="center" wrapText="1"/>
    </xf>
    <xf borderId="26" fillId="13" fontId="1" numFmtId="4" xfId="0" applyAlignment="1" applyBorder="1" applyFill="1" applyFont="1" applyNumberFormat="1">
      <alignment shrinkToFit="0" textRotation="0" vertical="center" wrapText="0"/>
    </xf>
    <xf borderId="26" fillId="20" fontId="1" numFmtId="4" xfId="0" applyAlignment="1" applyBorder="1" applyFill="1" applyFont="1" applyNumberFormat="1">
      <alignment shrinkToFit="0" textRotation="0" vertical="center" wrapText="0"/>
    </xf>
    <xf borderId="26" fillId="10" fontId="1" numFmtId="4" xfId="0" applyAlignment="1" applyBorder="1" applyFill="1" applyFont="1" applyNumberFormat="1">
      <alignment shrinkToFit="0" textRotation="0" vertical="center" wrapText="0"/>
    </xf>
    <xf borderId="0" fillId="0" fontId="1" numFmtId="4" xfId="0" applyAlignment="1" applyFont="1" applyNumberFormat="1">
      <alignment shrinkToFit="0" textRotation="0" vertical="center" wrapText="1"/>
    </xf>
    <xf borderId="0" fillId="0" fontId="1" numFmtId="4" xfId="0" applyAlignment="1" applyFont="1" applyNumberFormat="1">
      <alignment horizontal="left" shrinkToFit="0" textRotation="0" vertical="center" wrapText="1"/>
    </xf>
    <xf borderId="0" fillId="2" fontId="1" numFmtId="167" xfId="0" applyAlignment="1" applyFill="1" applyFont="1" applyNumberFormat="1">
      <alignment shrinkToFit="0" textRotation="0" vertical="center" wrapText="1"/>
    </xf>
    <xf borderId="0" fillId="0" fontId="4" numFmtId="4" xfId="0" applyAlignment="1" applyFont="1" applyNumberFormat="1">
      <alignment shrinkToFit="0" vertical="center" wrapText="1"/>
    </xf>
    <xf borderId="0" fillId="13" fontId="1" numFmtId="4" xfId="0" applyAlignment="1" applyFill="1" applyFont="1" applyNumberFormat="1">
      <alignment shrinkToFit="0" textRotation="0" vertical="center" wrapText="0"/>
    </xf>
    <xf borderId="0" fillId="0" fontId="1" numFmtId="4" xfId="0" applyAlignment="1" applyFont="1" applyNumberFormat="1">
      <alignment shrinkToFit="0" textRotation="0" vertical="center" wrapText="0"/>
    </xf>
    <xf borderId="0" fillId="0" fontId="1" numFmtId="4" xfId="0" applyAlignment="1" applyFont="1" applyNumberFormat="1">
      <alignment horizontal="left" shrinkToFit="0" textRotation="0" vertical="center" wrapText="0"/>
    </xf>
    <xf borderId="0" fillId="20" fontId="1" numFmtId="4" xfId="0" applyAlignment="1" applyFill="1" applyFont="1" applyNumberFormat="1">
      <alignment shrinkToFit="0" textRotation="0" vertical="center" wrapText="0"/>
    </xf>
    <xf borderId="0" fillId="10" fontId="1" numFmtId="4" xfId="0" applyAlignment="1" applyFill="1" applyFont="1" applyNumberFormat="1">
      <alignment shrinkToFit="0" textRotation="0" vertical="center" wrapText="0"/>
    </xf>
    <xf borderId="0" fillId="0" fontId="9" numFmtId="4" xfId="0" applyAlignment="1" applyFont="1" applyNumberFormat="1">
      <alignment horizontal="right" readingOrder="0" shrinkToFit="0" vertical="center" wrapText="1"/>
    </xf>
    <xf borderId="30" fillId="0" fontId="2" numFmtId="4" xfId="0" applyAlignment="1" applyBorder="1" applyFont="1" applyNumberFormat="1">
      <alignment horizontal="left" readingOrder="0" vertical="center"/>
    </xf>
    <xf borderId="31" fillId="0" fontId="4" numFmtId="4" xfId="0" applyAlignment="1" applyBorder="1" applyFont="1" applyNumberFormat="1">
      <alignment shrinkToFit="0" vertical="center" wrapText="0"/>
    </xf>
    <xf borderId="32" fillId="0" fontId="4" numFmtId="4" xfId="0" applyAlignment="1" applyBorder="1" applyFont="1" applyNumberFormat="1">
      <alignment shrinkToFit="0" vertical="center" wrapText="0"/>
    </xf>
    <xf borderId="33" fillId="0" fontId="9" numFmtId="4" xfId="0" applyAlignment="1" applyBorder="1" applyFont="1" applyNumberFormat="1">
      <alignment readingOrder="0" shrinkToFit="0" vertical="center" wrapText="0"/>
    </xf>
    <xf borderId="26" fillId="0" fontId="4" numFmtId="4" xfId="0" applyAlignment="1" applyBorder="1" applyFont="1" applyNumberFormat="1">
      <alignment shrinkToFit="0" vertical="center" wrapText="0"/>
    </xf>
    <xf borderId="34" fillId="0" fontId="4" numFmtId="4" xfId="0" applyAlignment="1" applyBorder="1" applyFont="1" applyNumberFormat="1">
      <alignment shrinkToFit="0" vertical="center" wrapText="0"/>
    </xf>
    <xf borderId="34" fillId="0" fontId="1" numFmtId="4" xfId="0" applyAlignment="1" applyBorder="1" applyFont="1" applyNumberFormat="1">
      <alignment shrinkToFit="0" textRotation="0" vertical="center" wrapText="1"/>
    </xf>
    <xf borderId="33" fillId="0" fontId="9" numFmtId="0" xfId="0" applyAlignment="1" applyBorder="1" applyFont="1">
      <alignment readingOrder="0" shrinkToFit="0" vertical="center" wrapText="0"/>
    </xf>
    <xf borderId="26" fillId="0" fontId="4" numFmtId="0" xfId="0" applyAlignment="1" applyBorder="1" applyFont="1">
      <alignment shrinkToFit="0" vertical="center" wrapText="0"/>
    </xf>
    <xf borderId="34" fillId="0" fontId="4" numFmtId="0" xfId="0" applyAlignment="1" applyBorder="1" applyFont="1">
      <alignment shrinkToFit="0" vertical="center" wrapText="0"/>
    </xf>
    <xf borderId="35" fillId="0" fontId="1" numFmtId="4" xfId="0" applyAlignment="1" applyBorder="1" applyFont="1" applyNumberFormat="1">
      <alignment horizontal="center" readingOrder="0" shrinkToFit="0" vertical="center" wrapText="1"/>
    </xf>
    <xf borderId="1" fillId="16" fontId="1" numFmtId="4" xfId="0" applyAlignment="1" applyBorder="1" applyFill="1" applyFont="1" applyNumberFormat="1">
      <alignment horizontal="left" shrinkToFit="0" vertical="center" wrapText="1"/>
    </xf>
    <xf borderId="36" fillId="16" fontId="4" numFmtId="0" xfId="0" applyAlignment="1" applyBorder="1" applyFill="1" applyFont="1">
      <alignment vertical="center"/>
    </xf>
    <xf borderId="36" fillId="28" fontId="4" numFmtId="0" xfId="0" applyAlignment="1" applyBorder="1" applyFill="1" applyFont="1">
      <alignment vertical="center"/>
    </xf>
    <xf borderId="1" fillId="0" fontId="1" numFmtId="4" xfId="0" applyAlignment="1" applyBorder="1" applyFont="1" applyNumberFormat="1">
      <alignment horizontal="left" readingOrder="0" shrinkToFit="0" vertical="center" wrapText="1"/>
    </xf>
    <xf borderId="1" fillId="9" fontId="4" numFmtId="0" xfId="0" applyAlignment="1" applyBorder="1" applyFill="1" applyFont="1">
      <alignment vertical="center"/>
    </xf>
    <xf borderId="36" fillId="9" fontId="4" numFmtId="0" xfId="0" applyAlignment="1" applyBorder="1" applyFill="1" applyFont="1">
      <alignment vertical="center"/>
    </xf>
    <xf borderId="1" fillId="30" fontId="1" numFmtId="4" xfId="0" applyAlignment="1" applyBorder="1" applyFill="1" applyFont="1" applyNumberFormat="1">
      <alignment horizontal="left" shrinkToFit="0" vertical="center" wrapText="1"/>
    </xf>
    <xf borderId="36" fillId="30" fontId="4" numFmtId="0" xfId="0" applyAlignment="1" applyBorder="1" applyFill="1" applyFont="1">
      <alignment vertical="center"/>
    </xf>
    <xf borderId="36" fillId="31" fontId="4" numFmtId="0" xfId="0" applyAlignment="1" applyBorder="1" applyFill="1" applyFont="1">
      <alignment vertical="center"/>
    </xf>
    <xf borderId="1" fillId="27" fontId="4" numFmtId="0" xfId="0" applyAlignment="1" applyBorder="1" applyFill="1" applyFont="1">
      <alignment readingOrder="0" vertical="center"/>
    </xf>
    <xf borderId="36" fillId="27" fontId="4" numFmtId="0" xfId="0" applyAlignment="1" applyBorder="1" applyFill="1" applyFont="1">
      <alignment readingOrder="0" vertical="center"/>
    </xf>
    <xf borderId="37" fillId="0" fontId="1" numFmtId="4" xfId="0" applyAlignment="1" applyBorder="1" applyFont="1" applyNumberFormat="1">
      <alignment horizontal="center" readingOrder="0" shrinkToFit="0" vertical="center" wrapText="1"/>
    </xf>
    <xf borderId="9" fillId="4" fontId="1" numFmtId="4" xfId="0" applyAlignment="1" applyBorder="1" applyFill="1" applyFont="1" applyNumberFormat="1">
      <alignment horizontal="left" shrinkToFit="0" vertical="center" wrapText="1"/>
    </xf>
    <xf borderId="38" fillId="4" fontId="4" numFmtId="0" xfId="0" applyAlignment="1" applyBorder="1" applyFill="1" applyFont="1">
      <alignment vertical="center"/>
    </xf>
    <xf borderId="38" fillId="32" fontId="4" numFmtId="0" xfId="0" applyAlignment="1" applyBorder="1" applyFill="1" applyFont="1">
      <alignment vertical="center"/>
    </xf>
    <xf borderId="1" fillId="6" fontId="4" numFmtId="0" xfId="0" applyAlignment="1" applyBorder="1" applyFill="1" applyFont="1">
      <alignment readingOrder="0" vertical="center"/>
    </xf>
    <xf borderId="36" fillId="6" fontId="4" numFmtId="0" xfId="0" applyAlignment="1" applyBorder="1" applyFill="1" applyFont="1">
      <alignment readingOrder="0" vertical="center"/>
    </xf>
    <xf borderId="39" fillId="0" fontId="1" numFmtId="4" xfId="0" applyAlignment="1" applyBorder="1" applyFont="1" applyNumberFormat="1">
      <alignment shrinkToFit="0" textRotation="0" vertical="center" wrapText="1"/>
    </xf>
    <xf borderId="24" fillId="0" fontId="1" numFmtId="4" xfId="0" applyAlignment="1" applyBorder="1" applyFont="1" applyNumberFormat="1">
      <alignment shrinkToFit="0" textRotation="0" vertical="center" wrapText="0"/>
    </xf>
    <xf borderId="40" fillId="0" fontId="1" numFmtId="4" xfId="0" applyAlignment="1" applyBorder="1" applyFont="1" applyNumberFormat="1">
      <alignment shrinkToFit="0" textRotation="0" vertical="center" wrapText="1"/>
    </xf>
    <xf borderId="6" fillId="0" fontId="1" numFmtId="4" xfId="0" applyAlignment="1" applyBorder="1" applyFont="1" applyNumberFormat="1">
      <alignment shrinkToFit="0" textRotation="0" vertical="center" wrapText="0"/>
    </xf>
    <xf borderId="39" fillId="0" fontId="1" numFmtId="4" xfId="0" applyAlignment="1" applyBorder="1" applyFont="1" applyNumberFormat="1">
      <alignment horizontal="center" readingOrder="0" shrinkToFit="0" vertical="center" wrapText="1"/>
    </xf>
    <xf borderId="24" fillId="0" fontId="1" numFmtId="4" xfId="0" applyAlignment="1" applyBorder="1" applyFont="1" applyNumberFormat="1">
      <alignment horizontal="left" readingOrder="0" shrinkToFit="0" vertical="center" wrapText="1"/>
    </xf>
    <xf borderId="24" fillId="28" fontId="1" numFmtId="0" xfId="0" applyAlignment="1" applyBorder="1" applyFill="1" applyFont="1">
      <alignment readingOrder="0" vertical="center"/>
    </xf>
    <xf borderId="40" fillId="28" fontId="1" numFmtId="0" xfId="0" applyAlignment="1" applyBorder="1" applyFill="1" applyFont="1">
      <alignment readingOrder="0" vertical="center"/>
    </xf>
    <xf borderId="41" fillId="20" fontId="1" numFmtId="4" xfId="0" applyAlignment="1" applyBorder="1" applyFill="1" applyFont="1" applyNumberFormat="1">
      <alignment shrinkToFit="0" textRotation="0" vertical="center" wrapText="1"/>
    </xf>
    <xf borderId="42" fillId="20" fontId="1" numFmtId="4" xfId="0" applyAlignment="1" applyBorder="1" applyFill="1" applyFont="1" applyNumberFormat="1">
      <alignment shrinkToFit="0" textRotation="0" vertical="center" wrapText="0"/>
    </xf>
    <xf borderId="43" fillId="20" fontId="1" numFmtId="4" xfId="0" applyAlignment="1" applyBorder="1" applyFill="1" applyFont="1" applyNumberFormat="1">
      <alignment shrinkToFit="0" textRotation="0" vertical="center" wrapText="1"/>
    </xf>
  </cellXfs>
  <cellStyles count="1">
    <cellStyle xfId="0" name="Normal" builtinId="0"/>
  </cellStyles>
  <dxfs count="22">
    <dxf>
      <font/>
      <fill>
        <patternFill patternType="solid">
          <fgColor rgb="FFB7E1CD"/>
          <bgColor rgb="FFB7E1CD"/>
        </patternFill>
      </fill>
      <border/>
    </dxf>
    <dxf>
      <font/>
      <fill>
        <patternFill patternType="solid">
          <fgColor rgb="FFF4C7C3"/>
          <bgColor rgb="FFF4C7C3"/>
        </patternFill>
      </fill>
      <border/>
    </dxf>
    <dxf>
      <font/>
      <fill>
        <patternFill patternType="solid">
          <fgColor rgb="FF00FFFF"/>
          <bgColor rgb="FF00FFFF"/>
        </patternFill>
      </fill>
      <border/>
    </dxf>
    <dxf>
      <font/>
      <fill>
        <patternFill patternType="solid">
          <fgColor rgb="FFFF0000"/>
          <bgColor rgb="FFFF0000"/>
        </patternFill>
      </fill>
      <border/>
    </dxf>
    <dxf>
      <font/>
      <fill>
        <patternFill patternType="solid">
          <fgColor rgb="FFCFE2F3"/>
          <bgColor rgb="FFCFE2F3"/>
        </patternFill>
      </fill>
      <border/>
    </dxf>
    <dxf>
      <font/>
      <fill>
        <patternFill patternType="solid">
          <fgColor rgb="FFFFF2CC"/>
          <bgColor rgb="FFFFF2CC"/>
        </patternFill>
      </fill>
      <border/>
    </dxf>
    <dxf>
      <font/>
      <fill>
        <patternFill patternType="solid">
          <fgColor rgb="FFEAD1DC"/>
          <bgColor rgb="FFEAD1DC"/>
        </patternFill>
      </fill>
      <border/>
    </dxf>
    <dxf>
      <font/>
      <fill>
        <patternFill patternType="solid">
          <fgColor rgb="FFD9D9D9"/>
          <bgColor rgb="FFD9D9D9"/>
        </patternFill>
      </fill>
      <border/>
    </dxf>
    <dxf>
      <font/>
      <fill>
        <patternFill patternType="solid">
          <fgColor rgb="FFE6B8AF"/>
          <bgColor rgb="FFE6B8AF"/>
        </patternFill>
      </fill>
      <border/>
    </dxf>
    <dxf>
      <font/>
      <fill>
        <patternFill patternType="solid">
          <fgColor rgb="FFD9D2E9"/>
          <bgColor rgb="FFD9D2E9"/>
        </patternFill>
      </fill>
      <border/>
    </dxf>
    <dxf>
      <font/>
      <fill>
        <patternFill patternType="solid">
          <fgColor rgb="FFE06666"/>
          <bgColor rgb="FFE06666"/>
        </patternFill>
      </fill>
      <border/>
    </dxf>
    <dxf>
      <font>
        <b/>
        <i/>
        <color rgb="FFD9D2E9"/>
      </font>
      <fill>
        <patternFill patternType="solid">
          <fgColor rgb="FF351C75"/>
          <bgColor rgb="FF351C75"/>
        </patternFill>
      </fill>
      <border/>
    </dxf>
    <dxf>
      <font/>
      <fill>
        <patternFill patternType="solid">
          <fgColor rgb="FFEA9999"/>
          <bgColor rgb="FFEA9999"/>
        </patternFill>
      </fill>
      <border/>
    </dxf>
    <dxf>
      <font/>
      <fill>
        <patternFill patternType="solid">
          <fgColor rgb="FFFCE8B2"/>
          <bgColor rgb="FFFCE8B2"/>
        </patternFill>
      </fill>
      <border/>
    </dxf>
    <dxf>
      <font/>
      <fill>
        <patternFill patternType="solid">
          <fgColor rgb="FF00FF00"/>
          <bgColor rgb="FF00FF00"/>
        </patternFill>
      </fill>
      <border/>
    </dxf>
    <dxf>
      <font>
        <b/>
      </font>
      <fill>
        <patternFill patternType="solid">
          <fgColor rgb="FFFFF2CC"/>
          <bgColor rgb="FFFFF2CC"/>
        </patternFill>
      </fill>
      <border/>
    </dxf>
    <dxf>
      <font>
        <b/>
      </font>
      <fill>
        <patternFill patternType="none"/>
      </fill>
      <border/>
    </dxf>
    <dxf>
      <font>
        <strike/>
      </font>
      <fill>
        <patternFill patternType="solid">
          <fgColor rgb="FFFFE599"/>
          <bgColor rgb="FFFFE599"/>
        </patternFill>
      </fill>
      <border/>
    </dxf>
    <dxf>
      <font>
        <i/>
        <strike/>
        <color rgb="FFFFFF00"/>
      </font>
      <fill>
        <patternFill patternType="solid">
          <fgColor rgb="FF434343"/>
          <bgColor rgb="FF434343"/>
        </patternFill>
      </fill>
      <border/>
    </dxf>
    <dxf>
      <font/>
      <fill>
        <patternFill patternType="solid">
          <fgColor rgb="FFFFE700"/>
          <bgColor rgb="FFFFE700"/>
        </patternFill>
      </fill>
      <border/>
    </dxf>
    <dxf>
      <font/>
      <fill>
        <patternFill patternType="solid">
          <fgColor rgb="FFFFFF00"/>
          <bgColor rgb="FFFFFF00"/>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1647825</xdr:colOff>
      <xdr:row>0</xdr:row>
      <xdr:rowOff>0</xdr:rowOff>
    </xdr:from>
    <xdr:ext cx="1876425" cy="390525"/>
    <xdr:sp>
      <xdr:nvSpPr>
        <xdr:cNvPr id="3" name="Shape 3"/>
        <xdr:cNvSpPr/>
      </xdr:nvSpPr>
      <xdr:spPr>
        <a:xfrm>
          <a:off x="1742200" y="521450"/>
          <a:ext cx="1861200" cy="3702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Запустить Меню</a:t>
          </a:r>
          <a:endParaRPr b="1"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4.xml"/><Relationship Id="rId3"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outlineLevelRow="1"/>
  <cols>
    <col customWidth="1" min="1" max="1" width="2.88"/>
    <col customWidth="1" min="2" max="2" width="38.0"/>
    <col customWidth="1" min="3" max="3" width="38.25"/>
    <col customWidth="1" min="4" max="4" width="22.75"/>
    <col customWidth="1" min="5" max="5" width="34.63"/>
    <col customWidth="1" min="6" max="6" width="40.13"/>
    <col customWidth="1" min="7" max="7" width="16.25" outlineLevel="1"/>
    <col min="8" max="11" width="12.63" outlineLevel="1"/>
  </cols>
  <sheetData>
    <row r="1" collapsed="1">
      <c r="A1" s="4"/>
      <c r="B1" s="4"/>
      <c r="C1" s="4"/>
      <c r="D1" s="6"/>
      <c r="E1" s="6"/>
      <c r="F1" s="6"/>
      <c r="G1" s="7" t="s">
        <v>0</v>
      </c>
      <c r="H1" s="8" t="s">
        <v>1</v>
      </c>
      <c r="I1" s="8"/>
      <c r="J1" s="8"/>
      <c r="K1" s="8"/>
    </row>
    <row r="2" hidden="1" outlineLevel="1">
      <c r="A2" s="10" t="s">
        <v>2</v>
      </c>
      <c r="B2" s="11" t="s">
        <v>3</v>
      </c>
      <c r="C2" s="11" t="s">
        <v>4</v>
      </c>
      <c r="D2" s="12"/>
      <c r="E2" s="14" t="s">
        <v>9</v>
      </c>
      <c r="F2" s="14" t="s">
        <v>11</v>
      </c>
      <c r="G2" s="7" t="s">
        <v>7</v>
      </c>
      <c r="H2" s="17" t="s">
        <v>14</v>
      </c>
      <c r="I2" s="19" t="s">
        <v>15</v>
      </c>
      <c r="J2" s="20" t="s">
        <v>18</v>
      </c>
      <c r="K2" s="22" t="s">
        <v>19</v>
      </c>
    </row>
    <row r="3" hidden="1" outlineLevel="1">
      <c r="A3" s="4"/>
      <c r="B3" s="23" t="s">
        <v>23</v>
      </c>
      <c r="C3" s="4"/>
      <c r="D3" s="6"/>
      <c r="E3" s="6"/>
      <c r="F3" s="6"/>
      <c r="G3" s="7" t="s">
        <v>25</v>
      </c>
      <c r="H3" s="8"/>
      <c r="I3" s="8"/>
      <c r="J3" s="8"/>
      <c r="K3" s="8" t="s">
        <v>26</v>
      </c>
    </row>
    <row r="4" hidden="1" outlineLevel="1">
      <c r="A4" s="4"/>
      <c r="B4" s="23" t="s">
        <v>27</v>
      </c>
      <c r="C4" s="4"/>
      <c r="D4" s="6"/>
      <c r="E4" s="6"/>
      <c r="F4" s="6"/>
      <c r="G4" s="7" t="s">
        <v>28</v>
      </c>
      <c r="H4" s="8"/>
      <c r="I4" s="8"/>
      <c r="J4" s="8"/>
      <c r="K4" s="8" t="s">
        <v>29</v>
      </c>
    </row>
    <row r="5" hidden="1" outlineLevel="1">
      <c r="A5" s="4"/>
      <c r="B5" s="23" t="s">
        <v>30</v>
      </c>
      <c r="C5" s="4"/>
      <c r="D5" s="6"/>
      <c r="E5" s="6"/>
      <c r="F5" s="6"/>
      <c r="G5" s="7" t="s">
        <v>31</v>
      </c>
      <c r="H5" s="8"/>
      <c r="I5" s="8"/>
      <c r="J5" s="8"/>
      <c r="K5" s="8" t="s">
        <v>33</v>
      </c>
    </row>
    <row r="6" hidden="1" outlineLevel="1">
      <c r="A6" s="4"/>
      <c r="B6" s="23" t="s">
        <v>34</v>
      </c>
      <c r="C6" s="4"/>
      <c r="D6" s="6"/>
      <c r="E6" s="6"/>
      <c r="F6" s="6"/>
      <c r="G6" s="7" t="s">
        <v>35</v>
      </c>
      <c r="H6" s="8"/>
      <c r="I6" s="8"/>
      <c r="J6" s="8"/>
      <c r="K6" s="8" t="s">
        <v>36</v>
      </c>
    </row>
    <row r="7" hidden="1" outlineLevel="1">
      <c r="A7" s="4"/>
      <c r="B7" s="4"/>
      <c r="C7" s="4"/>
      <c r="D7" s="6"/>
      <c r="E7" s="6"/>
      <c r="F7" s="6"/>
      <c r="G7" s="7" t="s">
        <v>37</v>
      </c>
      <c r="H7" s="8"/>
      <c r="I7" s="8"/>
      <c r="J7" s="8"/>
      <c r="K7" s="8" t="s">
        <v>38</v>
      </c>
    </row>
    <row r="8" hidden="1" outlineLevel="1">
      <c r="A8" s="4"/>
      <c r="B8" s="4"/>
      <c r="C8" s="4"/>
      <c r="D8" s="6"/>
      <c r="E8" s="6"/>
      <c r="F8" s="6"/>
      <c r="G8" s="7" t="s">
        <v>39</v>
      </c>
      <c r="H8" s="8"/>
      <c r="I8" s="8"/>
      <c r="J8" s="8"/>
      <c r="K8" s="17" t="s">
        <v>40</v>
      </c>
    </row>
    <row r="9" hidden="1" outlineLevel="1">
      <c r="A9" s="11" t="s">
        <v>41</v>
      </c>
      <c r="B9" s="11" t="s">
        <v>3</v>
      </c>
      <c r="C9" s="11" t="s">
        <v>4</v>
      </c>
      <c r="D9" s="28" t="s">
        <v>42</v>
      </c>
      <c r="E9" s="30" t="s">
        <v>43</v>
      </c>
      <c r="F9" s="14" t="s">
        <v>11</v>
      </c>
      <c r="G9" s="7" t="s">
        <v>44</v>
      </c>
      <c r="H9" s="31" t="s">
        <v>7</v>
      </c>
      <c r="I9" s="32"/>
      <c r="J9" s="22"/>
      <c r="K9" s="22" t="s">
        <v>45</v>
      </c>
    </row>
    <row r="10">
      <c r="A10" s="11" t="s">
        <v>41</v>
      </c>
      <c r="B10" s="11" t="s">
        <v>3</v>
      </c>
      <c r="C10" s="11" t="s">
        <v>4</v>
      </c>
      <c r="D10" s="28" t="s">
        <v>42</v>
      </c>
      <c r="E10" s="30" t="s">
        <v>43</v>
      </c>
      <c r="F10" s="14" t="s">
        <v>11</v>
      </c>
      <c r="G10" s="22" t="s">
        <v>46</v>
      </c>
      <c r="H10" s="33" t="s">
        <v>47</v>
      </c>
      <c r="I10" s="32"/>
      <c r="J10" s="22"/>
      <c r="K10" s="32"/>
    </row>
    <row r="11">
      <c r="A11" s="34">
        <v>1.0</v>
      </c>
      <c r="B11" s="36" t="s">
        <v>48</v>
      </c>
      <c r="C11" s="39" t="s">
        <v>49</v>
      </c>
      <c r="D11" s="40"/>
      <c r="E11" s="40"/>
      <c r="F11" s="42"/>
      <c r="G11" s="31" t="s">
        <v>50</v>
      </c>
      <c r="H11" s="31" t="s">
        <v>51</v>
      </c>
      <c r="I11" s="49" t="s">
        <v>53</v>
      </c>
      <c r="J11" s="50" t="s">
        <v>49</v>
      </c>
      <c r="K11" s="57" t="s">
        <v>45</v>
      </c>
    </row>
    <row r="12">
      <c r="A12" s="59"/>
      <c r="B12" s="60" t="s">
        <v>62</v>
      </c>
      <c r="C12" s="61">
        <v>255.0</v>
      </c>
      <c r="D12" s="62"/>
      <c r="E12" s="62"/>
      <c r="F12" s="42"/>
      <c r="G12" s="31" t="s">
        <v>63</v>
      </c>
      <c r="H12" s="32"/>
      <c r="I12" s="32"/>
      <c r="J12" s="57"/>
      <c r="K12" s="57" t="s">
        <v>45</v>
      </c>
    </row>
    <row r="13">
      <c r="A13" s="59">
        <v>0.0</v>
      </c>
      <c r="B13" s="36" t="s">
        <v>64</v>
      </c>
      <c r="C13" s="61"/>
      <c r="D13" s="62"/>
      <c r="E13" s="62"/>
      <c r="F13" s="42"/>
      <c r="G13" s="17" t="s">
        <v>64</v>
      </c>
      <c r="H13" s="32"/>
      <c r="I13" s="32"/>
      <c r="J13" s="57"/>
      <c r="K13" s="57" t="s">
        <v>45</v>
      </c>
    </row>
    <row r="14">
      <c r="A14" s="59"/>
      <c r="B14" s="63" t="s">
        <v>65</v>
      </c>
      <c r="C14" s="64"/>
      <c r="D14" s="62"/>
      <c r="E14" s="62"/>
      <c r="F14" s="42"/>
      <c r="G14" s="65" t="s">
        <v>66</v>
      </c>
      <c r="H14" s="32"/>
      <c r="I14" s="32"/>
      <c r="J14" s="50"/>
      <c r="K14" s="57" t="s">
        <v>45</v>
      </c>
    </row>
    <row r="15">
      <c r="A15" s="59"/>
      <c r="B15" s="60"/>
      <c r="C15" s="66"/>
      <c r="D15" s="62"/>
      <c r="E15" s="62"/>
      <c r="F15" s="42"/>
      <c r="G15" s="31"/>
      <c r="H15" s="32"/>
      <c r="I15" s="32"/>
      <c r="J15" s="57"/>
      <c r="K15" s="67"/>
    </row>
    <row r="16">
      <c r="A16" s="68" t="s">
        <v>67</v>
      </c>
      <c r="B16" s="70"/>
      <c r="C16" s="71"/>
      <c r="D16" s="28" t="s">
        <v>42</v>
      </c>
      <c r="E16" s="72" t="s">
        <v>68</v>
      </c>
      <c r="F16" s="72" t="s">
        <v>11</v>
      </c>
      <c r="G16" s="8"/>
      <c r="H16" s="8"/>
      <c r="I16" s="8"/>
      <c r="J16" s="8"/>
      <c r="K16" s="8"/>
    </row>
    <row r="17">
      <c r="A17" s="34">
        <v>2.0</v>
      </c>
      <c r="B17" s="73" t="s">
        <v>69</v>
      </c>
      <c r="C17" s="39" t="s">
        <v>70</v>
      </c>
      <c r="D17" s="40"/>
      <c r="E17" s="40" t="s">
        <v>71</v>
      </c>
      <c r="F17" s="42"/>
      <c r="G17" s="31" t="s">
        <v>72</v>
      </c>
      <c r="H17" s="32"/>
      <c r="I17" s="22" t="s">
        <v>53</v>
      </c>
      <c r="J17" s="50" t="s">
        <v>70</v>
      </c>
      <c r="K17" s="57" t="s">
        <v>45</v>
      </c>
    </row>
    <row r="18">
      <c r="A18" s="34">
        <v>3.0</v>
      </c>
      <c r="B18" s="73" t="s">
        <v>73</v>
      </c>
      <c r="C18" s="39">
        <v>30.0</v>
      </c>
      <c r="D18" s="40" t="str">
        <f t="shared" ref="D18:D21" si="1">IF(IFERROR(C18/1,0)=0,"Должно быть или число или точная дата, Ошибка","ok")</f>
        <v>ok</v>
      </c>
      <c r="E18" s="40" t="s">
        <v>74</v>
      </c>
      <c r="F18" s="62" t="s">
        <v>75</v>
      </c>
      <c r="G18" s="31" t="s">
        <v>76</v>
      </c>
      <c r="H18" s="32"/>
      <c r="I18" s="22" t="s">
        <v>53</v>
      </c>
      <c r="J18" s="50">
        <v>30.0</v>
      </c>
      <c r="K18" s="57" t="s">
        <v>45</v>
      </c>
    </row>
    <row r="19">
      <c r="A19" s="34">
        <v>4.0</v>
      </c>
      <c r="B19" s="76" t="s">
        <v>77</v>
      </c>
      <c r="C19" s="39"/>
      <c r="D19" s="40" t="str">
        <f t="shared" si="1"/>
        <v>Должно быть или число или точная дата, Ошибка</v>
      </c>
      <c r="E19" s="40" t="s">
        <v>78</v>
      </c>
      <c r="F19" s="42" t="s">
        <v>79</v>
      </c>
      <c r="G19" s="31" t="s">
        <v>80</v>
      </c>
      <c r="H19" s="32"/>
      <c r="I19" s="22" t="s">
        <v>53</v>
      </c>
      <c r="J19" s="57"/>
      <c r="K19" s="57" t="s">
        <v>45</v>
      </c>
    </row>
    <row r="20">
      <c r="A20" s="34">
        <v>5.0</v>
      </c>
      <c r="B20" s="76" t="s">
        <v>81</v>
      </c>
      <c r="C20" s="78">
        <v>7.0</v>
      </c>
      <c r="D20" s="40" t="str">
        <f t="shared" si="1"/>
        <v>ok</v>
      </c>
      <c r="E20" s="40" t="s">
        <v>82</v>
      </c>
      <c r="F20" s="62" t="s">
        <v>83</v>
      </c>
      <c r="G20" s="31" t="s">
        <v>84</v>
      </c>
      <c r="H20" s="32"/>
      <c r="I20" s="22" t="s">
        <v>53</v>
      </c>
      <c r="J20" s="50">
        <v>7.0</v>
      </c>
      <c r="K20" s="57" t="s">
        <v>45</v>
      </c>
    </row>
    <row r="21">
      <c r="A21" s="34">
        <v>6.0</v>
      </c>
      <c r="B21" s="76" t="s">
        <v>85</v>
      </c>
      <c r="C21" s="78">
        <v>30.0</v>
      </c>
      <c r="D21" s="40" t="str">
        <f t="shared" si="1"/>
        <v>ok</v>
      </c>
      <c r="E21" s="79" t="s">
        <v>86</v>
      </c>
      <c r="F21" s="62" t="s">
        <v>87</v>
      </c>
      <c r="G21" s="31" t="s">
        <v>88</v>
      </c>
      <c r="H21" s="32"/>
      <c r="I21" s="22" t="s">
        <v>53</v>
      </c>
      <c r="J21" s="50">
        <v>30.0</v>
      </c>
      <c r="K21" s="57" t="s">
        <v>45</v>
      </c>
    </row>
    <row r="22">
      <c r="A22" s="34">
        <v>7.0</v>
      </c>
      <c r="B22" s="76" t="s">
        <v>89</v>
      </c>
      <c r="C22" s="81"/>
      <c r="D22" s="82"/>
      <c r="E22" s="83" t="s">
        <v>86</v>
      </c>
      <c r="F22" s="82"/>
      <c r="G22" s="84" t="s">
        <v>90</v>
      </c>
      <c r="H22" s="8"/>
      <c r="I22" s="85" t="s">
        <v>53</v>
      </c>
      <c r="J22" s="87"/>
      <c r="K22" s="87" t="s">
        <v>45</v>
      </c>
    </row>
    <row r="23">
      <c r="A23" s="34">
        <v>8.0</v>
      </c>
      <c r="B23" s="73" t="s">
        <v>91</v>
      </c>
      <c r="C23" s="88"/>
      <c r="D23" s="82"/>
      <c r="E23" s="83"/>
      <c r="F23" s="82"/>
      <c r="G23" s="84" t="s">
        <v>92</v>
      </c>
      <c r="H23" s="8"/>
      <c r="I23" s="85" t="s">
        <v>53</v>
      </c>
      <c r="J23" s="87"/>
      <c r="K23" s="87" t="s">
        <v>33</v>
      </c>
    </row>
    <row r="24">
      <c r="A24" s="34">
        <v>9.0</v>
      </c>
      <c r="B24" s="73" t="s">
        <v>95</v>
      </c>
      <c r="C24" s="90"/>
      <c r="D24" s="82"/>
      <c r="E24" s="83" t="s">
        <v>97</v>
      </c>
      <c r="F24" s="82"/>
      <c r="G24" s="84" t="s">
        <v>98</v>
      </c>
      <c r="H24" s="8"/>
      <c r="I24" s="85" t="s">
        <v>53</v>
      </c>
      <c r="J24" s="87"/>
      <c r="K24" s="87" t="s">
        <v>45</v>
      </c>
    </row>
    <row r="25">
      <c r="A25" s="92">
        <v>10.0</v>
      </c>
      <c r="B25" s="93" t="s">
        <v>99</v>
      </c>
      <c r="C25" s="90"/>
      <c r="D25" s="94"/>
      <c r="E25" s="83" t="s">
        <v>97</v>
      </c>
      <c r="F25" s="94"/>
      <c r="G25" s="8" t="s">
        <v>101</v>
      </c>
      <c r="H25" s="8"/>
      <c r="I25" s="96" t="s">
        <v>53</v>
      </c>
      <c r="J25" s="8"/>
      <c r="K25" s="87" t="s">
        <v>45</v>
      </c>
    </row>
    <row r="26">
      <c r="A26" s="34">
        <v>11.0</v>
      </c>
      <c r="B26" s="97" t="s">
        <v>102</v>
      </c>
      <c r="C26" s="90"/>
      <c r="D26" s="82"/>
      <c r="E26" s="83" t="s">
        <v>97</v>
      </c>
      <c r="F26" s="62"/>
      <c r="G26" s="8" t="s">
        <v>103</v>
      </c>
      <c r="H26" s="8"/>
      <c r="I26" s="85" t="s">
        <v>53</v>
      </c>
      <c r="J26" s="84"/>
      <c r="K26" s="87" t="s">
        <v>26</v>
      </c>
    </row>
    <row r="27">
      <c r="A27" s="92">
        <v>12.0</v>
      </c>
      <c r="B27" s="99" t="s">
        <v>104</v>
      </c>
      <c r="C27" s="90"/>
      <c r="D27" s="82"/>
      <c r="E27" s="83" t="s">
        <v>97</v>
      </c>
      <c r="F27" s="62"/>
      <c r="G27" s="84" t="s">
        <v>105</v>
      </c>
      <c r="H27" s="8"/>
      <c r="I27" s="85" t="s">
        <v>53</v>
      </c>
      <c r="J27" s="84"/>
      <c r="K27" s="87" t="s">
        <v>26</v>
      </c>
    </row>
    <row r="28">
      <c r="A28" s="34">
        <v>13.0</v>
      </c>
      <c r="B28" s="73" t="s">
        <v>106</v>
      </c>
      <c r="C28" s="39"/>
      <c r="G28" s="8" t="s">
        <v>107</v>
      </c>
      <c r="H28" s="8"/>
      <c r="I28" s="96" t="s">
        <v>53</v>
      </c>
      <c r="J28" s="87"/>
      <c r="K28" s="87" t="s">
        <v>26</v>
      </c>
    </row>
    <row r="29">
      <c r="A29" s="92">
        <v>14.0</v>
      </c>
      <c r="B29" s="73" t="s">
        <v>108</v>
      </c>
      <c r="C29" s="39"/>
      <c r="D29" s="40"/>
      <c r="E29" s="40" t="s">
        <v>109</v>
      </c>
      <c r="F29" s="62" t="s">
        <v>110</v>
      </c>
      <c r="G29" s="84" t="s">
        <v>111</v>
      </c>
      <c r="H29" s="8"/>
      <c r="I29" s="85" t="s">
        <v>53</v>
      </c>
      <c r="J29" s="87"/>
      <c r="K29" s="87" t="s">
        <v>26</v>
      </c>
    </row>
    <row r="30">
      <c r="A30" s="34">
        <v>15.0</v>
      </c>
      <c r="B30" s="76" t="s">
        <v>112</v>
      </c>
      <c r="C30" s="39"/>
      <c r="D30" s="83"/>
      <c r="E30" s="83" t="s">
        <v>113</v>
      </c>
      <c r="F30" s="62" t="s">
        <v>114</v>
      </c>
      <c r="G30" s="84" t="s">
        <v>115</v>
      </c>
      <c r="H30" s="8"/>
      <c r="I30" s="85" t="s">
        <v>53</v>
      </c>
      <c r="J30" s="87"/>
      <c r="K30" s="87" t="s">
        <v>26</v>
      </c>
    </row>
    <row r="31">
      <c r="A31" s="92">
        <v>16.0</v>
      </c>
      <c r="B31" s="93" t="s">
        <v>116</v>
      </c>
      <c r="C31" s="105" t="s">
        <v>117</v>
      </c>
      <c r="D31" s="94"/>
      <c r="E31" s="94"/>
      <c r="F31" s="94"/>
      <c r="G31" s="8" t="s">
        <v>118</v>
      </c>
      <c r="H31" s="8"/>
      <c r="I31" s="96" t="s">
        <v>53</v>
      </c>
      <c r="J31" s="106">
        <v>5329.0</v>
      </c>
      <c r="K31" s="87" t="s">
        <v>26</v>
      </c>
    </row>
    <row r="32">
      <c r="A32" s="34">
        <v>17.0</v>
      </c>
      <c r="B32" s="92" t="s">
        <v>119</v>
      </c>
      <c r="C32" s="107"/>
      <c r="D32" s="62"/>
      <c r="E32" s="40" t="s">
        <v>120</v>
      </c>
      <c r="F32" s="82"/>
      <c r="G32" s="84" t="s">
        <v>121</v>
      </c>
      <c r="H32" s="8"/>
      <c r="I32" s="85" t="s">
        <v>53</v>
      </c>
      <c r="J32" s="84"/>
      <c r="K32" s="87" t="s">
        <v>45</v>
      </c>
    </row>
    <row r="33">
      <c r="A33" s="92">
        <v>18.0</v>
      </c>
      <c r="B33" s="92" t="s">
        <v>122</v>
      </c>
      <c r="C33" s="109"/>
      <c r="D33" s="40"/>
      <c r="E33" s="40" t="s">
        <v>120</v>
      </c>
      <c r="F33" s="82"/>
      <c r="G33" s="84" t="s">
        <v>123</v>
      </c>
      <c r="H33" s="8"/>
      <c r="I33" s="85" t="s">
        <v>53</v>
      </c>
      <c r="J33" s="84"/>
      <c r="K33" s="87" t="s">
        <v>33</v>
      </c>
    </row>
    <row r="34">
      <c r="A34" s="34">
        <v>19.0</v>
      </c>
      <c r="B34" s="92" t="s">
        <v>124</v>
      </c>
      <c r="C34" s="107"/>
      <c r="D34" s="62"/>
      <c r="E34" s="40" t="s">
        <v>125</v>
      </c>
      <c r="F34" s="82"/>
      <c r="G34" s="84" t="s">
        <v>126</v>
      </c>
      <c r="H34" s="8"/>
      <c r="I34" s="85" t="s">
        <v>53</v>
      </c>
      <c r="J34" s="84"/>
      <c r="K34" s="87" t="s">
        <v>45</v>
      </c>
    </row>
    <row r="35">
      <c r="A35" s="92">
        <v>20.0</v>
      </c>
      <c r="B35" s="92" t="s">
        <v>127</v>
      </c>
      <c r="C35" s="109"/>
      <c r="D35" s="40"/>
      <c r="E35" s="40" t="s">
        <v>125</v>
      </c>
      <c r="F35" s="82"/>
      <c r="G35" s="84" t="s">
        <v>128</v>
      </c>
      <c r="H35" s="8"/>
      <c r="I35" s="85" t="s">
        <v>53</v>
      </c>
      <c r="J35" s="84"/>
      <c r="K35" s="87" t="s">
        <v>33</v>
      </c>
    </row>
    <row r="36">
      <c r="A36" s="34">
        <v>21.0</v>
      </c>
      <c r="B36" s="92" t="s">
        <v>129</v>
      </c>
      <c r="C36" s="112"/>
      <c r="D36" s="40"/>
      <c r="E36" s="40" t="s">
        <v>82</v>
      </c>
      <c r="F36" s="42"/>
      <c r="G36" s="31" t="s">
        <v>130</v>
      </c>
      <c r="H36" s="32"/>
      <c r="I36" s="22" t="s">
        <v>53</v>
      </c>
      <c r="J36" s="31"/>
      <c r="K36" s="57" t="s">
        <v>26</v>
      </c>
    </row>
    <row r="37">
      <c r="A37" s="92">
        <v>22.0</v>
      </c>
      <c r="B37" s="92" t="s">
        <v>131</v>
      </c>
      <c r="C37" s="39"/>
      <c r="D37" s="40"/>
      <c r="E37" s="40" t="s">
        <v>82</v>
      </c>
      <c r="F37" s="62" t="s">
        <v>132</v>
      </c>
      <c r="G37" s="84" t="s">
        <v>133</v>
      </c>
      <c r="H37" s="8"/>
      <c r="I37" s="85" t="s">
        <v>53</v>
      </c>
      <c r="J37" s="84"/>
      <c r="K37" s="87" t="s">
        <v>26</v>
      </c>
    </row>
    <row r="38">
      <c r="A38" s="34">
        <v>23.0</v>
      </c>
      <c r="B38" s="92" t="s">
        <v>134</v>
      </c>
      <c r="C38" s="112"/>
      <c r="D38" s="40"/>
      <c r="E38" s="40" t="s">
        <v>78</v>
      </c>
      <c r="F38" s="62" t="s">
        <v>135</v>
      </c>
      <c r="G38" s="32"/>
      <c r="H38" s="32"/>
      <c r="I38" s="32"/>
      <c r="J38" s="31"/>
      <c r="K38" s="67"/>
    </row>
    <row r="39">
      <c r="A39" s="92">
        <v>24.0</v>
      </c>
      <c r="B39" s="113" t="s">
        <v>136</v>
      </c>
      <c r="C39" s="114"/>
      <c r="D39" s="62"/>
      <c r="E39" s="40"/>
      <c r="F39" s="82"/>
      <c r="G39" s="84" t="s">
        <v>137</v>
      </c>
      <c r="H39" s="8"/>
      <c r="I39" s="85" t="s">
        <v>53</v>
      </c>
      <c r="J39" s="84"/>
      <c r="K39" s="87" t="s">
        <v>26</v>
      </c>
    </row>
    <row r="40">
      <c r="A40" s="34">
        <v>25.0</v>
      </c>
      <c r="B40" s="73" t="s">
        <v>16</v>
      </c>
      <c r="C40" s="115"/>
      <c r="D40" s="117" t="str">
        <f>IF(C40&lt;&gt;'1-1 Сбор КП'!K22,"Ошибка проверить попозиционное НМЦ","ok")</f>
        <v>ok</v>
      </c>
      <c r="E40" s="117"/>
      <c r="F40" s="117"/>
      <c r="G40" s="84" t="s">
        <v>138</v>
      </c>
      <c r="H40" s="8"/>
      <c r="I40" s="85" t="s">
        <v>53</v>
      </c>
      <c r="J40" s="118">
        <v>0.0</v>
      </c>
      <c r="K40" s="87" t="s">
        <v>33</v>
      </c>
    </row>
    <row r="41">
      <c r="A41" s="92">
        <v>26.0</v>
      </c>
      <c r="B41" s="97" t="s">
        <v>139</v>
      </c>
      <c r="C41" s="39" t="s">
        <v>140</v>
      </c>
      <c r="D41" s="117" t="str">
        <f>IF(C41="","Необходимо выбрать валюту договора, ошибка","ok")</f>
        <v>ok</v>
      </c>
      <c r="E41" s="117"/>
      <c r="F41" s="117"/>
      <c r="G41" s="32" t="s">
        <v>141</v>
      </c>
      <c r="H41" s="8"/>
      <c r="I41" s="85" t="s">
        <v>53</v>
      </c>
      <c r="J41" s="65" t="s">
        <v>140</v>
      </c>
      <c r="K41" s="50" t="s">
        <v>45</v>
      </c>
    </row>
    <row r="42">
      <c r="A42" s="34">
        <v>27.0</v>
      </c>
      <c r="B42" s="92" t="s">
        <v>142</v>
      </c>
      <c r="C42" s="119">
        <v>0.22</v>
      </c>
      <c r="D42" s="117" t="str">
        <f>IF(C42="","Необходимо выбрать ставку НДС, ошибка","ok")</f>
        <v>ok</v>
      </c>
      <c r="E42" s="117"/>
      <c r="F42" s="117"/>
      <c r="G42" s="84" t="s">
        <v>143</v>
      </c>
      <c r="H42" s="8"/>
      <c r="I42" s="85" t="s">
        <v>53</v>
      </c>
      <c r="J42" s="120">
        <v>5377.0</v>
      </c>
      <c r="K42" s="87" t="s">
        <v>26</v>
      </c>
    </row>
    <row r="43">
      <c r="A43" s="92">
        <v>28.0</v>
      </c>
      <c r="B43" s="92" t="s">
        <v>144</v>
      </c>
      <c r="C43" s="39"/>
      <c r="D43" s="121"/>
      <c r="E43" s="121"/>
      <c r="F43" s="121"/>
      <c r="G43" s="31" t="s">
        <v>145</v>
      </c>
      <c r="H43" s="32"/>
      <c r="I43" s="22" t="s">
        <v>53</v>
      </c>
      <c r="J43" s="31"/>
      <c r="K43" s="57" t="s">
        <v>26</v>
      </c>
    </row>
    <row r="44">
      <c r="A44" s="34">
        <v>29.0</v>
      </c>
      <c r="B44" s="92" t="s">
        <v>146</v>
      </c>
      <c r="C44" s="112"/>
      <c r="D44" s="121"/>
      <c r="E44" s="121"/>
      <c r="F44" s="121"/>
      <c r="G44" s="31" t="s">
        <v>147</v>
      </c>
      <c r="H44" s="32"/>
      <c r="I44" s="22" t="s">
        <v>53</v>
      </c>
      <c r="J44" s="31"/>
      <c r="K44" s="57" t="s">
        <v>26</v>
      </c>
    </row>
    <row r="45">
      <c r="A45" s="34">
        <v>30.0</v>
      </c>
      <c r="B45" s="92" t="s">
        <v>148</v>
      </c>
      <c r="C45" s="112"/>
      <c r="D45" s="121"/>
      <c r="E45" s="121"/>
      <c r="F45" s="121"/>
      <c r="G45" s="31" t="s">
        <v>149</v>
      </c>
      <c r="H45" s="32"/>
      <c r="I45" s="22" t="s">
        <v>53</v>
      </c>
      <c r="J45" s="31"/>
      <c r="K45" s="57" t="s">
        <v>26</v>
      </c>
    </row>
    <row r="46">
      <c r="A46" s="92">
        <v>31.0</v>
      </c>
      <c r="B46" s="92" t="s">
        <v>150</v>
      </c>
      <c r="C46" s="112"/>
      <c r="D46" s="121"/>
      <c r="E46" s="121"/>
      <c r="F46" s="121"/>
      <c r="G46" s="31" t="s">
        <v>151</v>
      </c>
      <c r="H46" s="32"/>
      <c r="I46" s="22" t="s">
        <v>53</v>
      </c>
      <c r="J46" s="31"/>
      <c r="K46" s="57" t="s">
        <v>45</v>
      </c>
    </row>
    <row r="47">
      <c r="A47" s="34">
        <v>32.0</v>
      </c>
      <c r="B47" s="92" t="s">
        <v>152</v>
      </c>
      <c r="C47" s="112"/>
      <c r="D47" s="121"/>
      <c r="E47" s="121"/>
      <c r="F47" s="121"/>
      <c r="G47" s="31" t="s">
        <v>153</v>
      </c>
      <c r="H47" s="32"/>
      <c r="I47" s="22" t="s">
        <v>53</v>
      </c>
      <c r="J47" s="31"/>
      <c r="K47" s="57" t="s">
        <v>45</v>
      </c>
    </row>
    <row r="48">
      <c r="A48" s="117"/>
      <c r="B48" s="117"/>
      <c r="C48" s="117"/>
      <c r="D48" s="121"/>
      <c r="E48" s="121"/>
      <c r="F48" s="121"/>
      <c r="G48" s="32"/>
      <c r="H48" s="32"/>
      <c r="I48" s="32"/>
      <c r="J48" s="32"/>
      <c r="K48" s="67"/>
    </row>
    <row r="49">
      <c r="A49" s="68" t="s">
        <v>154</v>
      </c>
      <c r="B49" s="70"/>
      <c r="C49" s="71"/>
      <c r="D49" s="121"/>
      <c r="E49" s="121"/>
      <c r="F49" s="121"/>
      <c r="G49" s="32"/>
      <c r="H49" s="32"/>
      <c r="I49" s="32"/>
      <c r="J49" s="32"/>
      <c r="K49" s="67"/>
    </row>
    <row r="50">
      <c r="A50" s="92">
        <f>A47+1</f>
        <v>33</v>
      </c>
      <c r="B50" s="93" t="s">
        <v>155</v>
      </c>
      <c r="C50" s="122" t="s">
        <v>156</v>
      </c>
      <c r="D50" s="94"/>
      <c r="E50" s="94"/>
      <c r="F50" s="94"/>
      <c r="G50" s="17" t="s">
        <v>157</v>
      </c>
      <c r="H50" s="8"/>
      <c r="I50" s="96" t="s">
        <v>53</v>
      </c>
      <c r="J50" s="17" t="s">
        <v>158</v>
      </c>
      <c r="K50" s="50" t="s">
        <v>26</v>
      </c>
    </row>
    <row r="51">
      <c r="A51" s="92">
        <f t="shared" ref="A51:A55" si="2">A50+1</f>
        <v>34</v>
      </c>
      <c r="B51" s="93" t="s">
        <v>159</v>
      </c>
      <c r="C51" s="122" t="s">
        <v>160</v>
      </c>
      <c r="D51" s="94"/>
      <c r="E51" s="94"/>
      <c r="F51" s="94"/>
      <c r="G51" s="17" t="s">
        <v>161</v>
      </c>
      <c r="H51" s="8"/>
      <c r="I51" s="96" t="s">
        <v>53</v>
      </c>
      <c r="J51" s="17" t="s">
        <v>160</v>
      </c>
      <c r="K51" s="87" t="s">
        <v>45</v>
      </c>
    </row>
    <row r="52">
      <c r="A52" s="92">
        <f t="shared" si="2"/>
        <v>35</v>
      </c>
      <c r="B52" s="93" t="s">
        <v>162</v>
      </c>
      <c r="C52" s="122" t="s">
        <v>163</v>
      </c>
      <c r="D52" s="94"/>
      <c r="E52" s="94"/>
      <c r="F52" s="94"/>
      <c r="G52" s="17" t="s">
        <v>164</v>
      </c>
      <c r="H52" s="8"/>
      <c r="I52" s="96" t="s">
        <v>53</v>
      </c>
      <c r="J52" s="106">
        <v>1.0</v>
      </c>
      <c r="K52" s="50" t="s">
        <v>40</v>
      </c>
    </row>
    <row r="53">
      <c r="A53" s="92">
        <f t="shared" si="2"/>
        <v>36</v>
      </c>
      <c r="B53" s="93" t="s">
        <v>165</v>
      </c>
      <c r="C53" s="122" t="s">
        <v>166</v>
      </c>
      <c r="D53" s="94"/>
      <c r="E53" s="94"/>
      <c r="F53" s="94"/>
      <c r="G53" s="17" t="s">
        <v>167</v>
      </c>
      <c r="H53" s="8"/>
      <c r="I53" s="96" t="s">
        <v>53</v>
      </c>
      <c r="J53" s="106">
        <v>659.0</v>
      </c>
      <c r="K53" s="50" t="s">
        <v>40</v>
      </c>
    </row>
    <row r="54">
      <c r="A54" s="92">
        <f t="shared" si="2"/>
        <v>37</v>
      </c>
      <c r="B54" s="93" t="s">
        <v>168</v>
      </c>
      <c r="C54" s="122" t="s">
        <v>169</v>
      </c>
      <c r="D54" s="94"/>
      <c r="E54" s="94"/>
      <c r="F54" s="94"/>
      <c r="G54" s="17" t="s">
        <v>170</v>
      </c>
      <c r="H54" s="8"/>
      <c r="I54" s="96" t="s">
        <v>53</v>
      </c>
      <c r="J54" s="106">
        <v>895.0</v>
      </c>
      <c r="K54" s="50" t="s">
        <v>40</v>
      </c>
    </row>
    <row r="55">
      <c r="A55" s="92">
        <f t="shared" si="2"/>
        <v>38</v>
      </c>
      <c r="B55" s="93" t="s">
        <v>171</v>
      </c>
      <c r="C55" s="122" t="s">
        <v>172</v>
      </c>
      <c r="D55" s="94"/>
      <c r="E55" s="94"/>
      <c r="F55" s="94"/>
      <c r="G55" s="17" t="s">
        <v>173</v>
      </c>
      <c r="H55" s="8"/>
      <c r="I55" s="96" t="s">
        <v>53</v>
      </c>
      <c r="J55" s="106">
        <v>1.0</v>
      </c>
      <c r="K55" s="50" t="s">
        <v>40</v>
      </c>
    </row>
    <row r="56">
      <c r="A56" s="117"/>
      <c r="B56" s="117"/>
      <c r="C56" s="117"/>
      <c r="D56" s="121"/>
      <c r="E56" s="121"/>
      <c r="F56" s="121"/>
      <c r="G56" s="32"/>
      <c r="H56" s="32"/>
      <c r="I56" s="32"/>
      <c r="J56" s="32"/>
      <c r="K56" s="67"/>
    </row>
    <row r="57">
      <c r="A57" s="68" t="s">
        <v>174</v>
      </c>
      <c r="B57" s="70"/>
      <c r="C57" s="71"/>
      <c r="D57" s="121"/>
      <c r="E57" s="121"/>
      <c r="F57" s="121"/>
      <c r="G57" s="32"/>
      <c r="H57" s="32"/>
      <c r="I57" s="32"/>
      <c r="J57" s="8"/>
      <c r="K57" s="123"/>
    </row>
    <row r="58">
      <c r="A58" s="92">
        <f>A55+1</f>
        <v>39</v>
      </c>
      <c r="B58" s="92" t="s">
        <v>175</v>
      </c>
      <c r="C58" s="124" t="str">
        <f>'4-1 Расчет рентабельности КП'!B36</f>
        <v>#REF!</v>
      </c>
      <c r="D58" s="121"/>
      <c r="E58" s="121" t="s">
        <v>176</v>
      </c>
      <c r="F58" s="121"/>
      <c r="G58" s="32"/>
      <c r="H58" s="32"/>
      <c r="I58" s="32"/>
      <c r="J58" s="31"/>
      <c r="K58" s="67"/>
    </row>
    <row r="59">
      <c r="A59" s="92">
        <f t="shared" ref="A59:A61" si="3">A58+1</f>
        <v>40</v>
      </c>
      <c r="B59" s="92" t="s">
        <v>177</v>
      </c>
      <c r="C59" s="124" t="str">
        <f>'4-1 Расчет рентабельности КП'!B41</f>
        <v>#REF!</v>
      </c>
      <c r="D59" s="117"/>
      <c r="E59" s="117"/>
      <c r="F59" s="117"/>
      <c r="G59" s="8"/>
      <c r="H59" s="8"/>
      <c r="I59" s="8"/>
      <c r="J59" s="84"/>
      <c r="K59" s="123"/>
    </row>
    <row r="60">
      <c r="A60" s="92">
        <f t="shared" si="3"/>
        <v>41</v>
      </c>
      <c r="B60" s="125" t="s">
        <v>178</v>
      </c>
      <c r="C60" s="124">
        <f>IFERROR(COUNTIFS('3-3 Выбор поставщиков'!F2:F21,"&gt;0",'3-3 Выбор поставщиков'!A2:A21,"&lt;&gt;@"),0)</f>
        <v>0</v>
      </c>
      <c r="D60" s="117"/>
      <c r="E60" s="117"/>
      <c r="F60" s="117"/>
      <c r="G60" s="8"/>
      <c r="H60" s="8"/>
      <c r="I60" s="8"/>
      <c r="J60" s="87"/>
      <c r="K60" s="123"/>
    </row>
    <row r="61">
      <c r="A61" s="92">
        <f t="shared" si="3"/>
        <v>42</v>
      </c>
      <c r="B61" s="126" t="s">
        <v>179</v>
      </c>
      <c r="C61" s="124">
        <f t="array" ref="C61">COUNTA(UNIQUE('3-3 Выбор поставщиков'!K2:K21))</f>
        <v>1</v>
      </c>
      <c r="D61" s="117"/>
      <c r="E61" s="117"/>
      <c r="F61" s="117"/>
      <c r="G61" s="8"/>
      <c r="H61" s="8"/>
      <c r="I61" s="8"/>
      <c r="J61" s="84"/>
      <c r="K61" s="123"/>
    </row>
    <row r="62">
      <c r="A62" s="117"/>
      <c r="B62" s="117"/>
      <c r="C62" s="117"/>
      <c r="D62" s="117"/>
      <c r="E62" s="117"/>
      <c r="F62" s="117"/>
      <c r="G62" s="8"/>
      <c r="H62" s="8"/>
      <c r="I62" s="8"/>
      <c r="J62" s="8"/>
      <c r="K62" s="123"/>
    </row>
    <row r="63">
      <c r="A63" s="68" t="s">
        <v>180</v>
      </c>
      <c r="B63" s="70"/>
      <c r="C63" s="71"/>
      <c r="D63" s="117"/>
      <c r="E63" s="117"/>
      <c r="F63" s="117"/>
      <c r="G63" s="8"/>
      <c r="H63" s="8"/>
      <c r="I63" s="8"/>
      <c r="J63" s="8"/>
      <c r="K63" s="123"/>
    </row>
    <row r="64">
      <c r="A64" s="92">
        <f>A61+1</f>
        <v>43</v>
      </c>
      <c r="B64" s="93" t="s">
        <v>181</v>
      </c>
      <c r="C64" s="127"/>
      <c r="D64" s="31"/>
      <c r="E64" s="31" t="s">
        <v>182</v>
      </c>
      <c r="F64" s="117"/>
      <c r="G64" s="8"/>
      <c r="H64" s="8"/>
      <c r="I64" s="8"/>
      <c r="J64" s="84"/>
      <c r="K64" s="123"/>
    </row>
    <row r="65">
      <c r="A65" s="92">
        <f t="shared" ref="A65:A84" si="4">A64+1</f>
        <v>44</v>
      </c>
      <c r="B65" s="93" t="s">
        <v>183</v>
      </c>
      <c r="C65" s="127"/>
      <c r="D65" s="31"/>
      <c r="E65" s="31" t="s">
        <v>184</v>
      </c>
      <c r="F65" s="117"/>
      <c r="G65" s="8"/>
      <c r="H65" s="8"/>
      <c r="I65" s="8"/>
      <c r="J65" s="84"/>
      <c r="K65" s="123"/>
    </row>
    <row r="66">
      <c r="A66" s="92">
        <f t="shared" si="4"/>
        <v>45</v>
      </c>
      <c r="B66" s="93" t="s">
        <v>185</v>
      </c>
      <c r="C66" s="127"/>
      <c r="D66" s="31"/>
      <c r="E66" s="31" t="s">
        <v>186</v>
      </c>
      <c r="F66" s="117"/>
      <c r="G66" s="8"/>
      <c r="H66" s="8"/>
      <c r="I66" s="8"/>
      <c r="J66" s="84"/>
      <c r="K66" s="123"/>
    </row>
    <row r="67">
      <c r="A67" s="92">
        <f t="shared" si="4"/>
        <v>46</v>
      </c>
      <c r="B67" s="93" t="s">
        <v>187</v>
      </c>
      <c r="C67" s="127"/>
      <c r="D67" s="31"/>
      <c r="E67" s="31" t="s">
        <v>188</v>
      </c>
      <c r="F67" s="117"/>
      <c r="G67" s="8"/>
      <c r="H67" s="8"/>
      <c r="I67" s="8"/>
      <c r="J67" s="84"/>
      <c r="K67" s="123"/>
    </row>
    <row r="68" ht="30.0" customHeight="1">
      <c r="A68" s="92">
        <f t="shared" si="4"/>
        <v>47</v>
      </c>
      <c r="B68" s="93" t="s">
        <v>189</v>
      </c>
      <c r="C68" s="128"/>
      <c r="D68" s="31"/>
      <c r="E68" s="31" t="s">
        <v>190</v>
      </c>
      <c r="F68" s="117"/>
      <c r="G68" s="8"/>
      <c r="H68" s="8"/>
      <c r="I68" s="8"/>
      <c r="J68" s="84"/>
      <c r="K68" s="123"/>
    </row>
    <row r="69">
      <c r="A69" s="92">
        <f t="shared" si="4"/>
        <v>48</v>
      </c>
      <c r="B69" s="92" t="s">
        <v>191</v>
      </c>
      <c r="C69" s="129" t="str">
        <f>IF(C67+C68&gt;0,C67+C68,)</f>
        <v/>
      </c>
      <c r="D69" s="65"/>
      <c r="E69" s="65" t="s">
        <v>192</v>
      </c>
      <c r="F69" s="117"/>
      <c r="G69" s="8"/>
      <c r="H69" s="8"/>
      <c r="I69" s="8"/>
      <c r="J69" s="84"/>
      <c r="K69" s="123"/>
    </row>
    <row r="70">
      <c r="A70" s="92">
        <f t="shared" si="4"/>
        <v>49</v>
      </c>
      <c r="B70" s="93" t="s">
        <v>193</v>
      </c>
      <c r="C70" s="128"/>
      <c r="D70" s="31"/>
      <c r="E70" s="31" t="s">
        <v>194</v>
      </c>
      <c r="F70" s="117"/>
      <c r="G70" s="8"/>
      <c r="H70" s="8"/>
      <c r="I70" s="8"/>
      <c r="J70" s="84"/>
      <c r="K70" s="123"/>
    </row>
    <row r="71">
      <c r="A71" s="92">
        <f t="shared" si="4"/>
        <v>50</v>
      </c>
      <c r="B71" s="93" t="s">
        <v>195</v>
      </c>
      <c r="C71" s="129"/>
      <c r="D71" s="31"/>
      <c r="E71" s="31" t="s">
        <v>196</v>
      </c>
      <c r="F71" s="117"/>
      <c r="G71" s="8"/>
      <c r="H71" s="8"/>
      <c r="I71" s="8"/>
      <c r="J71" s="84"/>
      <c r="K71" s="123"/>
    </row>
    <row r="72">
      <c r="A72" s="92">
        <f t="shared" si="4"/>
        <v>51</v>
      </c>
      <c r="B72" s="93" t="s">
        <v>197</v>
      </c>
      <c r="C72" s="127"/>
      <c r="D72" s="31"/>
      <c r="E72" s="31" t="s">
        <v>198</v>
      </c>
      <c r="F72" s="117"/>
      <c r="G72" s="8"/>
      <c r="H72" s="8"/>
      <c r="I72" s="8"/>
      <c r="J72" s="84"/>
      <c r="K72" s="123"/>
    </row>
    <row r="73">
      <c r="A73" s="92">
        <f t="shared" si="4"/>
        <v>52</v>
      </c>
      <c r="B73" s="93" t="s">
        <v>199</v>
      </c>
      <c r="C73" s="127"/>
      <c r="D73" s="31"/>
      <c r="E73" s="31" t="s">
        <v>196</v>
      </c>
      <c r="F73" s="117"/>
      <c r="G73" s="8"/>
      <c r="H73" s="8"/>
      <c r="I73" s="8"/>
      <c r="J73" s="84"/>
      <c r="K73" s="123"/>
    </row>
    <row r="74">
      <c r="A74" s="92">
        <f t="shared" si="4"/>
        <v>53</v>
      </c>
      <c r="B74" s="93" t="s">
        <v>200</v>
      </c>
      <c r="C74" s="127"/>
      <c r="D74" s="31"/>
      <c r="E74" s="31" t="s">
        <v>201</v>
      </c>
      <c r="F74" s="117"/>
      <c r="G74" s="8"/>
      <c r="H74" s="8"/>
      <c r="I74" s="8"/>
      <c r="J74" s="84"/>
      <c r="K74" s="123"/>
    </row>
    <row r="75">
      <c r="A75" s="92">
        <f t="shared" si="4"/>
        <v>54</v>
      </c>
      <c r="B75" s="93" t="s">
        <v>202</v>
      </c>
      <c r="C75" s="127"/>
      <c r="D75" s="31"/>
      <c r="E75" s="31" t="s">
        <v>203</v>
      </c>
      <c r="F75" s="117"/>
      <c r="G75" s="8"/>
      <c r="H75" s="8"/>
      <c r="I75" s="8"/>
      <c r="J75" s="84"/>
      <c r="K75" s="123"/>
    </row>
    <row r="76">
      <c r="A76" s="92">
        <f t="shared" si="4"/>
        <v>55</v>
      </c>
      <c r="B76" s="92" t="s">
        <v>204</v>
      </c>
      <c r="C76" s="127"/>
      <c r="D76" s="31"/>
      <c r="E76" s="31" t="s">
        <v>182</v>
      </c>
      <c r="F76" s="117"/>
      <c r="G76" s="8"/>
      <c r="H76" s="8"/>
      <c r="I76" s="8"/>
      <c r="J76" s="84"/>
      <c r="K76" s="123"/>
    </row>
    <row r="77">
      <c r="A77" s="92">
        <f t="shared" si="4"/>
        <v>56</v>
      </c>
      <c r="B77" s="93" t="s">
        <v>205</v>
      </c>
      <c r="C77" s="109"/>
      <c r="D77" s="40" t="str">
        <f>IF(IFERROR(C77/1,-1)=-1,"Должно быть число, проверить пробелы Ошибка",)</f>
        <v/>
      </c>
      <c r="E77" s="31" t="s">
        <v>182</v>
      </c>
      <c r="F77" s="117"/>
      <c r="G77" s="8"/>
      <c r="H77" s="8"/>
      <c r="I77" s="8"/>
      <c r="J77" s="84"/>
      <c r="K77" s="123"/>
    </row>
    <row r="78">
      <c r="A78" s="92">
        <f t="shared" si="4"/>
        <v>57</v>
      </c>
      <c r="B78" s="93" t="s">
        <v>206</v>
      </c>
      <c r="C78" s="127"/>
      <c r="D78" s="31"/>
      <c r="E78" s="31" t="s">
        <v>182</v>
      </c>
      <c r="F78" s="117"/>
      <c r="G78" s="8"/>
      <c r="H78" s="8"/>
      <c r="I78" s="8"/>
      <c r="J78" s="84"/>
      <c r="K78" s="123"/>
    </row>
    <row r="79">
      <c r="A79" s="92">
        <f t="shared" si="4"/>
        <v>58</v>
      </c>
      <c r="B79" s="93" t="s">
        <v>207</v>
      </c>
      <c r="C79" s="127"/>
      <c r="D79" s="31"/>
      <c r="E79" s="31" t="s">
        <v>182</v>
      </c>
      <c r="F79" s="117"/>
      <c r="G79" s="8"/>
      <c r="H79" s="8"/>
      <c r="I79" s="8"/>
      <c r="J79" s="84"/>
      <c r="K79" s="123"/>
    </row>
    <row r="80">
      <c r="A80" s="92">
        <f t="shared" si="4"/>
        <v>59</v>
      </c>
      <c r="B80" s="93" t="s">
        <v>208</v>
      </c>
      <c r="C80" s="130"/>
      <c r="D80" s="31"/>
      <c r="E80" s="31" t="s">
        <v>182</v>
      </c>
      <c r="F80" s="117"/>
      <c r="G80" s="8"/>
      <c r="H80" s="8"/>
      <c r="I80" s="8"/>
      <c r="J80" s="84"/>
      <c r="K80" s="123"/>
    </row>
    <row r="81">
      <c r="A81" s="92">
        <f t="shared" si="4"/>
        <v>60</v>
      </c>
      <c r="B81" s="93" t="s">
        <v>209</v>
      </c>
      <c r="C81" s="112"/>
      <c r="D81" s="31"/>
      <c r="E81" s="31" t="s">
        <v>182</v>
      </c>
      <c r="F81" s="117"/>
      <c r="G81" s="8"/>
      <c r="H81" s="8"/>
      <c r="I81" s="8"/>
      <c r="J81" s="84"/>
      <c r="K81" s="123"/>
    </row>
    <row r="82">
      <c r="A82" s="92">
        <f t="shared" si="4"/>
        <v>61</v>
      </c>
      <c r="B82" s="93" t="s">
        <v>210</v>
      </c>
      <c r="C82" s="112"/>
      <c r="D82" s="31"/>
      <c r="E82" s="31" t="s">
        <v>182</v>
      </c>
      <c r="F82" s="117"/>
      <c r="G82" s="8"/>
      <c r="H82" s="8"/>
      <c r="I82" s="8"/>
      <c r="J82" s="84"/>
      <c r="K82" s="123"/>
    </row>
    <row r="83">
      <c r="A83" s="92">
        <f t="shared" si="4"/>
        <v>62</v>
      </c>
      <c r="B83" s="92" t="s">
        <v>211</v>
      </c>
      <c r="C83" s="112"/>
      <c r="D83" s="31"/>
      <c r="E83" s="31" t="s">
        <v>182</v>
      </c>
      <c r="F83" s="117"/>
      <c r="G83" s="8"/>
      <c r="H83" s="8"/>
      <c r="I83" s="8"/>
      <c r="J83" s="84"/>
      <c r="K83" s="123"/>
    </row>
    <row r="84">
      <c r="A84" s="92">
        <f t="shared" si="4"/>
        <v>63</v>
      </c>
      <c r="B84" s="93" t="s">
        <v>212</v>
      </c>
      <c r="C84" s="112"/>
      <c r="D84" s="117"/>
      <c r="E84" s="117"/>
      <c r="F84" s="117"/>
      <c r="G84" s="8"/>
      <c r="H84" s="8"/>
      <c r="I84" s="8"/>
      <c r="J84" s="84"/>
      <c r="K84" s="123"/>
    </row>
    <row r="85">
      <c r="A85" s="131"/>
      <c r="B85" s="132"/>
      <c r="C85" s="131"/>
      <c r="D85" s="132"/>
      <c r="E85" s="131"/>
      <c r="F85" s="131"/>
      <c r="G85" s="133"/>
      <c r="H85" s="134"/>
      <c r="I85" s="133"/>
      <c r="J85" s="134"/>
      <c r="K85" s="135"/>
    </row>
    <row r="86">
      <c r="A86" s="131"/>
      <c r="B86" s="132" t="s">
        <v>213</v>
      </c>
      <c r="C86" s="136">
        <v>46302.665081018524</v>
      </c>
      <c r="D86" s="132"/>
      <c r="E86" s="131"/>
      <c r="F86" s="132"/>
      <c r="G86" s="133" t="s">
        <v>214</v>
      </c>
      <c r="H86" s="134"/>
      <c r="I86" s="133" t="s">
        <v>53</v>
      </c>
      <c r="J86" s="133" t="s">
        <v>215</v>
      </c>
      <c r="K86" s="135" t="s">
        <v>36</v>
      </c>
    </row>
    <row r="87">
      <c r="A87" s="137"/>
      <c r="B87" s="138" t="s">
        <v>216</v>
      </c>
      <c r="C87" s="138" t="s">
        <v>217</v>
      </c>
      <c r="D87" s="137"/>
      <c r="E87" s="137"/>
      <c r="F87" s="137"/>
      <c r="G87" s="133" t="s">
        <v>218</v>
      </c>
      <c r="H87" s="134"/>
      <c r="I87" s="133" t="s">
        <v>53</v>
      </c>
      <c r="J87" s="139">
        <v>5469.0</v>
      </c>
      <c r="K87" s="135" t="s">
        <v>26</v>
      </c>
    </row>
    <row r="88">
      <c r="A88" s="131"/>
      <c r="B88" s="132" t="s">
        <v>219</v>
      </c>
      <c r="C88" s="132" t="s">
        <v>220</v>
      </c>
      <c r="D88" s="132"/>
      <c r="E88" s="131"/>
      <c r="F88" s="131"/>
      <c r="G88" s="133" t="s">
        <v>221</v>
      </c>
      <c r="H88" s="134"/>
      <c r="I88" s="133" t="s">
        <v>53</v>
      </c>
      <c r="J88" s="139">
        <v>5453.0</v>
      </c>
      <c r="K88" s="135" t="s">
        <v>26</v>
      </c>
    </row>
    <row r="89">
      <c r="A89" s="131"/>
      <c r="B89" s="140" t="s">
        <v>222</v>
      </c>
      <c r="C89" s="132" t="s">
        <v>223</v>
      </c>
      <c r="D89" s="132"/>
      <c r="E89" s="131"/>
      <c r="F89" s="131"/>
      <c r="G89" s="133" t="s">
        <v>224</v>
      </c>
      <c r="H89" s="134"/>
      <c r="I89" s="133" t="s">
        <v>53</v>
      </c>
      <c r="J89" s="139">
        <v>5495.0</v>
      </c>
      <c r="K89" s="135" t="s">
        <v>26</v>
      </c>
    </row>
    <row r="90">
      <c r="A90" s="131"/>
      <c r="B90" s="121" t="s">
        <v>225</v>
      </c>
      <c r="C90" s="131"/>
      <c r="D90" s="132"/>
      <c r="E90" s="131"/>
      <c r="F90" s="131"/>
      <c r="G90" s="133"/>
      <c r="H90" s="134"/>
      <c r="I90" s="133" t="s">
        <v>53</v>
      </c>
      <c r="J90" s="134"/>
      <c r="K90" s="135" t="s">
        <v>36</v>
      </c>
    </row>
    <row r="91">
      <c r="A91" s="131"/>
      <c r="B91" s="132"/>
      <c r="C91" s="136">
        <v>46308.60391387732</v>
      </c>
      <c r="D91" s="132"/>
      <c r="E91" s="131"/>
      <c r="F91" s="131"/>
      <c r="G91" s="133" t="s">
        <v>226</v>
      </c>
      <c r="H91" s="134"/>
      <c r="I91" s="133"/>
      <c r="J91" s="134"/>
      <c r="K91" s="135"/>
    </row>
    <row r="92">
      <c r="A92" s="137"/>
      <c r="B92" s="138" t="s">
        <v>227</v>
      </c>
      <c r="C92" s="137"/>
      <c r="D92" s="137"/>
      <c r="E92" s="131"/>
      <c r="F92" s="137"/>
      <c r="G92" s="133" t="s">
        <v>228</v>
      </c>
      <c r="H92" s="134"/>
      <c r="I92" s="133" t="s">
        <v>53</v>
      </c>
      <c r="J92" s="137"/>
      <c r="K92" s="135" t="s">
        <v>36</v>
      </c>
    </row>
    <row r="93">
      <c r="A93" s="137"/>
      <c r="B93" s="138" t="s">
        <v>229</v>
      </c>
      <c r="C93" s="138"/>
      <c r="D93" s="134"/>
      <c r="E93" s="131"/>
      <c r="F93" s="137"/>
      <c r="G93" s="133" t="s">
        <v>230</v>
      </c>
      <c r="H93" s="134"/>
      <c r="I93" s="133" t="s">
        <v>53</v>
      </c>
      <c r="J93" s="134"/>
      <c r="K93" s="135" t="s">
        <v>45</v>
      </c>
    </row>
    <row r="94">
      <c r="A94" s="134"/>
      <c r="B94" s="134"/>
      <c r="C94" s="134"/>
      <c r="D94" s="134"/>
      <c r="E94" s="131"/>
      <c r="F94" s="134"/>
      <c r="G94" s="133" t="s">
        <v>231</v>
      </c>
      <c r="H94" s="134"/>
      <c r="I94" s="134"/>
      <c r="J94" s="139">
        <v>0.0</v>
      </c>
      <c r="K94" s="141"/>
    </row>
    <row r="95">
      <c r="A95" s="134"/>
      <c r="B95" s="134"/>
      <c r="C95" s="138" t="s">
        <v>232</v>
      </c>
      <c r="D95" s="134"/>
      <c r="E95" s="131"/>
      <c r="F95" s="134"/>
      <c r="G95" s="133" t="s">
        <v>233</v>
      </c>
      <c r="H95" s="134"/>
      <c r="I95" s="134"/>
      <c r="J95" s="134"/>
      <c r="K95" s="141"/>
    </row>
    <row r="96">
      <c r="A96" s="134"/>
      <c r="B96" s="134"/>
      <c r="C96" s="134"/>
      <c r="D96" s="134"/>
      <c r="E96" s="131"/>
      <c r="F96" s="134"/>
      <c r="G96" s="134"/>
      <c r="H96" s="134"/>
      <c r="I96" s="134"/>
      <c r="J96" s="134"/>
      <c r="K96" s="141"/>
    </row>
    <row r="97">
      <c r="A97" s="134"/>
      <c r="B97" s="134"/>
      <c r="C97" s="142"/>
      <c r="D97" s="134"/>
      <c r="E97" s="131"/>
      <c r="F97" s="134"/>
      <c r="G97" s="134"/>
      <c r="H97" s="134"/>
      <c r="I97" s="134"/>
      <c r="J97" s="134"/>
      <c r="K97" s="141"/>
    </row>
    <row r="98">
      <c r="A98" s="134"/>
      <c r="B98" s="134"/>
      <c r="C98" s="131"/>
      <c r="D98" s="134"/>
      <c r="E98" s="131"/>
      <c r="F98" s="134"/>
      <c r="G98" s="134"/>
      <c r="H98" s="134"/>
      <c r="I98" s="134"/>
      <c r="J98" s="134"/>
      <c r="K98" s="141"/>
    </row>
    <row r="99">
      <c r="A99" s="134"/>
      <c r="B99" s="134"/>
      <c r="C99" s="140"/>
      <c r="D99" s="134"/>
      <c r="E99" s="131"/>
      <c r="F99" s="134"/>
      <c r="G99" s="134"/>
      <c r="H99" s="134"/>
      <c r="I99" s="134"/>
      <c r="J99" s="134"/>
      <c r="K99" s="141"/>
    </row>
    <row r="100">
      <c r="A100" s="134"/>
      <c r="B100" s="134"/>
      <c r="C100" s="131"/>
      <c r="D100" s="134"/>
      <c r="E100" s="131"/>
      <c r="F100" s="134"/>
      <c r="G100" s="134"/>
      <c r="H100" s="134"/>
      <c r="I100" s="134"/>
      <c r="J100" s="134"/>
      <c r="K100" s="141"/>
    </row>
    <row r="101">
      <c r="A101" s="134"/>
      <c r="B101" s="134"/>
      <c r="C101" s="132"/>
      <c r="D101" s="134"/>
      <c r="E101" s="131"/>
      <c r="F101" s="134"/>
      <c r="G101" s="134"/>
      <c r="H101" s="134"/>
      <c r="I101" s="134"/>
      <c r="J101" s="134"/>
      <c r="K101" s="141"/>
    </row>
    <row r="102">
      <c r="A102" s="134"/>
      <c r="B102" s="134"/>
      <c r="C102" s="134"/>
      <c r="D102" s="134"/>
      <c r="E102" s="131"/>
      <c r="F102" s="134"/>
      <c r="G102" s="134"/>
      <c r="H102" s="134"/>
      <c r="I102" s="134"/>
      <c r="J102" s="134"/>
      <c r="K102" s="141"/>
    </row>
    <row r="103">
      <c r="A103" s="134"/>
      <c r="B103" s="134"/>
      <c r="C103" s="131"/>
      <c r="D103" s="134"/>
      <c r="E103" s="131"/>
      <c r="F103" s="134"/>
      <c r="G103" s="134"/>
      <c r="H103" s="134"/>
      <c r="I103" s="134"/>
      <c r="J103" s="134"/>
      <c r="K103" s="141"/>
    </row>
    <row r="104">
      <c r="A104" s="134"/>
      <c r="B104" s="134"/>
      <c r="C104" s="134"/>
      <c r="D104" s="134"/>
      <c r="E104" s="131"/>
      <c r="F104" s="134"/>
      <c r="G104" s="134"/>
      <c r="H104" s="134"/>
      <c r="I104" s="134"/>
      <c r="J104" s="134"/>
      <c r="K104" s="141"/>
    </row>
    <row r="105">
      <c r="A105" s="134"/>
      <c r="B105" s="134"/>
      <c r="C105" s="133"/>
      <c r="D105" s="134"/>
      <c r="E105" s="131"/>
      <c r="F105" s="134"/>
      <c r="G105" s="134"/>
      <c r="H105" s="134"/>
      <c r="I105" s="134"/>
      <c r="J105" s="134"/>
      <c r="K105" s="141"/>
    </row>
    <row r="106">
      <c r="A106" s="134"/>
      <c r="B106" s="134"/>
      <c r="C106" s="134"/>
      <c r="D106" s="134"/>
      <c r="E106" s="131"/>
      <c r="F106" s="134"/>
      <c r="G106" s="134"/>
      <c r="H106" s="134"/>
      <c r="I106" s="134"/>
      <c r="J106" s="134"/>
      <c r="K106" s="141"/>
    </row>
    <row r="107">
      <c r="A107" s="134"/>
      <c r="B107" s="134"/>
      <c r="C107" s="133"/>
      <c r="D107" s="134"/>
      <c r="E107" s="131"/>
      <c r="F107" s="134"/>
      <c r="G107" s="134"/>
      <c r="H107" s="134"/>
      <c r="I107" s="134"/>
      <c r="J107" s="134"/>
      <c r="K107" s="141"/>
    </row>
    <row r="108">
      <c r="A108" s="134"/>
      <c r="B108" s="134"/>
      <c r="C108" s="134"/>
      <c r="D108" s="134"/>
      <c r="E108" s="134"/>
      <c r="F108" s="134"/>
      <c r="G108" s="134"/>
      <c r="H108" s="134"/>
      <c r="I108" s="134"/>
      <c r="J108" s="134"/>
      <c r="K108" s="141"/>
    </row>
    <row r="109">
      <c r="A109" s="131"/>
      <c r="B109" s="132"/>
      <c r="C109" s="143"/>
      <c r="D109" s="131"/>
      <c r="E109" s="131"/>
      <c r="F109" s="131"/>
      <c r="G109" s="134"/>
      <c r="H109" s="134"/>
      <c r="I109" s="134"/>
      <c r="J109" s="134"/>
      <c r="K109" s="141"/>
    </row>
    <row r="110">
      <c r="A110" s="131"/>
      <c r="B110" s="132"/>
      <c r="C110" s="131"/>
      <c r="D110" s="131"/>
      <c r="E110" s="131"/>
      <c r="F110" s="131"/>
      <c r="G110" s="133"/>
      <c r="H110" s="134"/>
      <c r="I110" s="133"/>
      <c r="J110" s="134"/>
      <c r="K110" s="135"/>
    </row>
    <row r="111">
      <c r="A111" s="131"/>
      <c r="B111" s="132"/>
      <c r="C111" s="131"/>
      <c r="D111" s="132"/>
      <c r="E111" s="131"/>
      <c r="F111" s="131"/>
      <c r="G111" s="133"/>
      <c r="H111" s="134"/>
      <c r="I111" s="133"/>
      <c r="J111" s="134"/>
      <c r="K111" s="135"/>
    </row>
    <row r="112">
      <c r="A112" s="131"/>
      <c r="B112" s="132"/>
      <c r="C112" s="131"/>
      <c r="D112" s="131"/>
      <c r="E112" s="131"/>
      <c r="F112" s="131"/>
      <c r="G112" s="134"/>
      <c r="H112" s="134"/>
      <c r="I112" s="133"/>
      <c r="J112" s="134"/>
      <c r="K112" s="135"/>
    </row>
  </sheetData>
  <mergeCells count="4">
    <mergeCell ref="A16:C16"/>
    <mergeCell ref="A49:C49"/>
    <mergeCell ref="A57:C57"/>
    <mergeCell ref="A63:C63"/>
  </mergeCells>
  <conditionalFormatting sqref="D9:D112 C11 C16:C48 C50:C112">
    <cfRule type="expression" dxfId="0" priority="1">
      <formula>$D9="ok"</formula>
    </cfRule>
  </conditionalFormatting>
  <conditionalFormatting sqref="D9:D112 C11 C16:C48 C50:C112">
    <cfRule type="expression" dxfId="1" priority="2">
      <formula>IFERROR(SEARCH("Ошибка",$D9,1),0)&gt;0</formula>
    </cfRule>
  </conditionalFormatting>
  <dataValidations>
    <dataValidation type="list" allowBlank="1" sqref="C36">
      <formula1>'Настройки писем'!$BD$2:$BD$8</formula1>
    </dataValidation>
    <dataValidation type="list" allowBlank="1" sqref="C44">
      <formula1>"Нет,Мы экспортируем,Заказчик экспортирует"</formula1>
    </dataValidation>
    <dataValidation type="list" allowBlank="1" sqref="C45">
      <formula1>"Нет,Запрет,Ограничение,Преимущество"</formula1>
    </dataValidation>
    <dataValidation type="list" allowBlank="1" sqref="I11:I112">
      <formula1>"Нет,Да"</formula1>
    </dataValidation>
    <dataValidation type="list" allowBlank="1" sqref="C41">
      <formula1>"RUB,EUR,USD,UAH,BYN,KZT"</formula1>
    </dataValidation>
    <dataValidation type="list" allowBlank="1" sqref="C42">
      <formula1>"22%,0%,10%"</formula1>
    </dataValidation>
    <dataValidation type="list" allowBlank="1" sqref="C83">
      <formula1>"Логист,Менеджер,Партнер"</formula1>
    </dataValidation>
    <dataValidation type="list" allowBlank="1" sqref="C39">
      <formula1>"Насосное оборудование,Компрессоры,Электротовары,Запчасти"</formula1>
    </dataValidation>
    <dataValidation type="list" allowBlank="1" sqref="C80">
      <formula1>"Только ЭДО,ЭДО + Бумага,Скан по электронке + Бумага,Только Скан,Только Бумага"</formula1>
    </dataValidation>
    <dataValidation type="list" allowBlank="1" sqref="C28:C30 C37 C43">
      <formula1>"Нет,Да"</formula1>
    </dataValidation>
    <dataValidation type="list" allowBlank="1" sqref="K11:K112">
      <formula1>'0-Паспорт проекта'!$K$3:$K$9</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outlineLevelRow="1"/>
  <cols>
    <col customWidth="1" min="1" max="1" width="5.63"/>
    <col customWidth="1" min="2" max="2" width="9.88"/>
    <col customWidth="1" min="3" max="3" width="9.63"/>
    <col customWidth="1" min="4" max="4" width="4.0"/>
    <col customWidth="1" min="5" max="5" width="30.75"/>
    <col customWidth="1" min="6" max="6" width="27.5"/>
    <col customWidth="1" min="7" max="8" width="12.63"/>
    <col customWidth="1" min="9" max="9" width="13.5"/>
    <col customWidth="1" min="10" max="10" width="20.63"/>
    <col customWidth="1" min="11" max="11" width="20.88"/>
    <col customWidth="1" min="12" max="12" width="9.75"/>
    <col customWidth="1" min="13" max="13" width="8.75"/>
    <col customWidth="1" min="14" max="14" width="12.5"/>
    <col customWidth="1" min="15" max="15" width="13.63"/>
    <col customWidth="1" min="16" max="16" width="11.88"/>
    <col customWidth="1" min="17" max="21" width="4.88"/>
  </cols>
  <sheetData>
    <row r="1">
      <c r="A1" s="1"/>
      <c r="B1" s="2"/>
      <c r="C1" s="3" t="s">
        <v>0</v>
      </c>
      <c r="D1" s="1"/>
      <c r="E1" s="1"/>
      <c r="F1" s="2"/>
      <c r="G1" s="1"/>
      <c r="H1" s="1"/>
      <c r="I1" s="5"/>
      <c r="J1" s="1"/>
      <c r="K1" s="1"/>
      <c r="L1" s="1"/>
      <c r="M1" s="1"/>
      <c r="N1" s="9"/>
      <c r="O1" s="1"/>
      <c r="P1" s="1"/>
      <c r="Q1" s="1"/>
      <c r="R1" s="1"/>
      <c r="S1" s="1"/>
      <c r="T1" s="1"/>
      <c r="U1" s="1"/>
    </row>
    <row r="2" outlineLevel="1">
      <c r="A2" s="1" t="s">
        <v>5</v>
      </c>
      <c r="B2" s="1" t="s">
        <v>6</v>
      </c>
      <c r="C2" s="3" t="s">
        <v>7</v>
      </c>
      <c r="D2" s="1" t="s">
        <v>2</v>
      </c>
      <c r="E2" s="5" t="s">
        <v>8</v>
      </c>
      <c r="F2" s="15" t="s">
        <v>10</v>
      </c>
      <c r="G2" s="5" t="s">
        <v>12</v>
      </c>
      <c r="H2" s="18" t="s">
        <v>13</v>
      </c>
      <c r="I2" s="5" t="s">
        <v>16</v>
      </c>
      <c r="J2" s="21" t="s">
        <v>17</v>
      </c>
      <c r="K2" s="21" t="s">
        <v>20</v>
      </c>
      <c r="L2" s="21" t="s">
        <v>21</v>
      </c>
      <c r="M2" s="21" t="s">
        <v>22</v>
      </c>
      <c r="N2" s="24" t="s">
        <v>24</v>
      </c>
      <c r="O2" s="1"/>
      <c r="P2" s="1"/>
      <c r="Q2" s="1"/>
      <c r="R2" s="1"/>
      <c r="S2" s="1"/>
      <c r="T2" s="1"/>
      <c r="U2" s="1"/>
    </row>
    <row r="3" outlineLevel="1">
      <c r="A3" s="1"/>
      <c r="B3" s="2"/>
      <c r="C3" s="3" t="s">
        <v>25</v>
      </c>
      <c r="D3" s="1" t="s">
        <v>25</v>
      </c>
      <c r="E3" s="1" t="s">
        <v>32</v>
      </c>
      <c r="F3" s="1" t="s">
        <v>32</v>
      </c>
      <c r="G3" s="1" t="s">
        <v>32</v>
      </c>
      <c r="H3" s="1" t="s">
        <v>32</v>
      </c>
      <c r="I3" s="5" t="s">
        <v>32</v>
      </c>
      <c r="J3" s="26" t="s">
        <v>25</v>
      </c>
      <c r="K3" s="26" t="s">
        <v>25</v>
      </c>
      <c r="L3" s="1" t="s">
        <v>25</v>
      </c>
      <c r="M3" s="1" t="s">
        <v>25</v>
      </c>
      <c r="N3" s="1" t="s">
        <v>25</v>
      </c>
      <c r="O3" s="1"/>
      <c r="P3" s="1"/>
      <c r="Q3" s="1"/>
      <c r="R3" s="1"/>
      <c r="S3" s="1"/>
      <c r="T3" s="1"/>
      <c r="U3" s="1"/>
    </row>
    <row r="4" outlineLevel="1">
      <c r="A4" s="1"/>
      <c r="B4" s="2"/>
      <c r="C4" s="27" t="s">
        <v>28</v>
      </c>
      <c r="D4" s="1"/>
      <c r="E4" s="1"/>
      <c r="F4" s="2"/>
      <c r="G4" s="1"/>
      <c r="H4" s="1"/>
      <c r="I4" s="5"/>
      <c r="J4" s="29"/>
      <c r="K4" s="29"/>
      <c r="L4" s="1"/>
      <c r="M4" s="1"/>
      <c r="N4" s="9"/>
      <c r="O4" s="1"/>
      <c r="P4" s="1"/>
      <c r="Q4" s="1"/>
      <c r="R4" s="1"/>
      <c r="S4" s="1"/>
      <c r="T4" s="1"/>
      <c r="U4" s="1"/>
    </row>
    <row r="5" outlineLevel="1">
      <c r="A5" s="1"/>
      <c r="B5" s="2"/>
      <c r="C5" s="27" t="s">
        <v>31</v>
      </c>
      <c r="D5" s="1"/>
      <c r="E5" s="1"/>
      <c r="F5" s="2"/>
      <c r="G5" s="1"/>
      <c r="H5" s="1"/>
      <c r="I5" s="5"/>
      <c r="J5" s="29"/>
      <c r="K5" s="29"/>
      <c r="L5" s="1"/>
      <c r="M5" s="1"/>
      <c r="N5" s="9"/>
      <c r="O5" s="1"/>
      <c r="P5" s="1"/>
      <c r="Q5" s="1"/>
      <c r="R5" s="1"/>
      <c r="S5" s="1"/>
      <c r="T5" s="1"/>
      <c r="U5" s="1"/>
    </row>
    <row r="6" outlineLevel="1">
      <c r="A6" s="1"/>
      <c r="B6" s="2"/>
      <c r="C6" s="27" t="s">
        <v>35</v>
      </c>
      <c r="D6" s="35"/>
      <c r="E6" s="37"/>
      <c r="F6" s="38"/>
      <c r="G6" s="41"/>
      <c r="H6" s="41"/>
      <c r="I6" s="5"/>
      <c r="J6" s="29"/>
      <c r="K6" s="29"/>
      <c r="L6" s="1"/>
      <c r="M6" s="1"/>
      <c r="N6" s="9"/>
      <c r="O6" s="1"/>
      <c r="P6" s="1"/>
      <c r="Q6" s="1"/>
      <c r="R6" s="1"/>
      <c r="S6" s="1"/>
      <c r="T6" s="1"/>
      <c r="U6" s="1"/>
    </row>
    <row r="7" outlineLevel="1">
      <c r="A7" s="1"/>
      <c r="B7" s="5"/>
      <c r="C7" s="5" t="s">
        <v>52</v>
      </c>
      <c r="D7" s="44"/>
      <c r="E7" s="44"/>
      <c r="F7" s="46"/>
      <c r="G7" s="44"/>
      <c r="H7" s="47"/>
      <c r="I7" s="5"/>
      <c r="J7" s="29"/>
      <c r="K7" s="29"/>
      <c r="L7" s="1"/>
      <c r="M7" s="1"/>
      <c r="N7" s="9"/>
      <c r="O7" s="1"/>
      <c r="P7" s="1"/>
      <c r="Q7" s="1"/>
      <c r="R7" s="1"/>
      <c r="S7" s="1"/>
      <c r="T7" s="1"/>
      <c r="U7" s="1"/>
    </row>
    <row r="8" outlineLevel="1">
      <c r="A8" s="1"/>
      <c r="B8" s="2"/>
      <c r="C8" s="5" t="s">
        <v>39</v>
      </c>
      <c r="D8" s="1"/>
      <c r="E8" s="1"/>
      <c r="F8" s="2"/>
      <c r="G8" s="1"/>
      <c r="H8" s="1"/>
      <c r="I8" s="5"/>
      <c r="J8" s="29"/>
      <c r="K8" s="29"/>
      <c r="L8" s="1"/>
      <c r="M8" s="1"/>
      <c r="N8" s="9"/>
      <c r="O8" s="1"/>
      <c r="P8" s="1"/>
      <c r="Q8" s="1"/>
      <c r="R8" s="1"/>
      <c r="S8" s="1"/>
      <c r="T8" s="1"/>
      <c r="U8" s="1"/>
    </row>
    <row r="9" outlineLevel="1">
      <c r="A9" s="1"/>
      <c r="B9" s="2"/>
      <c r="C9" s="3" t="s">
        <v>44</v>
      </c>
      <c r="D9" s="1"/>
      <c r="E9" s="1"/>
      <c r="F9" s="2"/>
      <c r="G9" s="1"/>
      <c r="H9" s="1"/>
      <c r="I9" s="5"/>
      <c r="J9" s="29"/>
      <c r="K9" s="29"/>
      <c r="L9" s="1"/>
      <c r="M9" s="1"/>
      <c r="N9" s="9"/>
      <c r="O9" s="1"/>
      <c r="P9" s="1"/>
      <c r="Q9" s="1"/>
      <c r="R9" s="1"/>
      <c r="S9" s="1"/>
      <c r="T9" s="1"/>
      <c r="U9" s="1"/>
    </row>
    <row r="10">
      <c r="A10" s="52"/>
      <c r="B10" s="54"/>
      <c r="C10" s="69" t="str">
        <f>IFERROR(__xludf.DUMMYFUNCTION("{""ID_Товара"";
LAMBDA( doFindRow, doFilter, theWordStart, theCStart, theWordEnd, theCEnd, theDataWord, theData, 
  doFilter(doFindRow(theDataWord,theWordStart,theCStart),doFindRow(theDataWord,theWordEnd,theCEnd),theData)
)( 
 LAMBDA(theWords,theWord,theC"&amp;" ,   VLOOKUP( theWord, BYROW(theWords,LAMBDA(theW,{theW , ROW(theW)})),2,FALSE ) +theC),
 LAMBDA(bodyStart,bodyEnd,theData, FILTER(theData,bodyStart &lt;= BYROW(theData,lambda(d,ROW(d))) ,BYROW(theData,lambda(d,ROW(d)))&lt;=bodyEnd )),
 ""№"",1,""@"",-1,'1-1 Сб"&amp;"ор КП'!C1:C31
 ,'1-1 Сбор КП'!Z1:Z31
)}
"),"ID_Товара")</f>
        <v>ID_Товара</v>
      </c>
      <c r="D10" s="74" t="str">
        <f>IFERROR(__xludf.DUMMYFUNCTION("{ 
{'1-1 Сбор КП'!C1:G1};
{LAMBDA( doFindRow, doFilter, theWordStart, theCStart, theWordEnd, theCEnd, theDataWord, theData, 
  doFilter(doFindRow(theDataWord,theWordStart,theCStart),doFindRow(theDataWord,theWordEnd,theCEnd),theData)
)( 
 LAMBDA(theWords,t"&amp;"heWord,theC ,   VLOOKUP( theWord, BYROW(theWords,LAMBDA(theW,{theW , ROW(theW)})),2,FALSE ) +theC),
 LAMBDA(bodyStart,bodyEnd,theData, FILTER(theData,bodyStart &lt;= BYROW(theData,lambda(d,ROW(d))) ,BYROW(theData,lambda(d,ROW(d)))&lt;=bodyEnd )),
 ""№"",1,""@"""&amp;",-1,'1-1 Сбор КП'!C1:C31
 ,'1-1 Сбор КП'!C1:G31
)}
}"),"№")</f>
        <v>№</v>
      </c>
      <c r="E10" s="74" t="str">
        <f>IFERROR(__xludf.DUMMYFUNCTION("""COMPUTED_VALUE"""),"Номенклатура")</f>
        <v>Номенклатура</v>
      </c>
      <c r="F10" s="75" t="str">
        <f>IFERROR(__xludf.DUMMYFUNCTION("""COMPUTED_VALUE"""),"Характеристики")</f>
        <v>Характеристики</v>
      </c>
      <c r="G10" s="74" t="str">
        <f>IFERROR(__xludf.DUMMYFUNCTION("""COMPUTED_VALUE"""),"Ед. Изм")</f>
        <v>Ед. Изм</v>
      </c>
      <c r="H10" s="77" t="str">
        <f>IFERROR(__xludf.DUMMYFUNCTION("""COMPUTED_VALUE"""),"Кол-во")</f>
        <v>Кол-во</v>
      </c>
      <c r="I10" s="74" t="str">
        <f>IFERROR(__xludf.DUMMYFUNCTION("{ 
{'1-1 Сбор КП'!K1};
{LAMBDA( doFindRow, doFilter, theWordStart, theCStart, theWordEnd, theCEnd, theDataWord, theData, 
  doFilter(doFindRow(theDataWord,theWordStart,theCStart),doFindRow(theDataWord,theWordEnd,theCEnd),theData)
)( 
 LAMBDA(theWords,theW"&amp;"ord,theC ,   VLOOKUP( theWord, BYROW(theWords,LAMBDA(theW,{theW , ROW(theW)})),2,FALSE ) +theC),
 LAMBDA(bodyStart,bodyEnd,theData, FILTER(theData,bodyStart &lt;= BYROW(theData,lambda(d,ROW(d))) ,BYROW(theData,lambda(d,ROW(d)))&lt;=bodyEnd )),
 ""№"",1,""@"",-1"&amp;",'1-1 Сбор КП'!C1:C31
 ,'1-1 Сбор КП'!K1:K31
)}
}"),"НМЦ")</f>
        <v>НМЦ</v>
      </c>
      <c r="J10" s="116" t="str">
        <f t="array" ref="J10:J313">IF(E10:E313&lt;&gt;"",IFERROR(VLOOKUP(E10:E313,{'5-1 Сбор КП Закупки'!E10:E313,'5-1 Сбор КП Закупки'!F10:F313},2,FALSE) ,),)</f>
        <v>Название товара по договору</v>
      </c>
      <c r="K10" s="116" t="str">
        <f t="array" ref="K10:K313">IF(E10:E313&lt;&gt;"",IFERROR(VLOOKUP(E10:E313,{'5-1 Сбор КП Закупки'!E10:E313,'5-1 Сбор КП Закупки'!G10:G313},2,FALSE) ,),)</f>
        <v>Изготовитель товара по договору</v>
      </c>
      <c r="L10" s="77" t="str">
        <f>IFERROR(__xludf.DUMMYFUNCTION("BYROW({ 
{'1-1 Сбор КП'!O1};
{LAMBDA( doFindRow, doFilter, theWordStart, theCStart, theWordEnd, theCEnd, theDataWord, theData, 
  doFilter(doFindRow(theDataWord,theWordStart,theCStart),doFindRow(theDataWord,theWordEnd,theCEnd),theData)
)( 
 LAMBDA(theWord"&amp;"s,theWord,theC ,   VLOOKUP( theWord, BYROW(theWords,LAMBDA(theW,{theW , ROW(theW)})),2,FALSE ) +theC),
 LAMBDA(bodyStart,bodyEnd,theData, FILTER(theData,bodyStart &lt;= BYROW(theData,lambda(d,ROW(d))) ,BYROW(theData,lambda(d,ROW(d)))&lt;=bodyEnd )),
 ""№"",1,"""&amp;"@"",-1,'1-1 Сбор КП'!C1:C31
 ,'1-1 Сбор КП'!O1:O31
)}
},LAMBDA(theG,IFERROR(theG,)))"),"Группа")</f>
        <v>Группа</v>
      </c>
      <c r="M10" s="77" t="str">
        <f t="array" ref="M10:M313">{"Группа";LAMBDA(doFind,theIds,theData, doFind(theIds,theData)
)(
LAMBDA(theIds,theData, BYROW(theIds,LAMBDA(ti,IF(ti&lt;&gt;"", IFERROR(VLOOKUP(ti,theData,2,0),),)))),
'1-0 Товары'!C11:C313,
{'5-2 Запросы КП Закупки'!C11:C313,'5-2 Запросы КП Закупки'!N11:N313}
)}</f>
        <v>Группа</v>
      </c>
      <c r="N10" s="164" t="str">
        <f>IFERROR(__xludf.DUMMYFUNCTION("{ 
{'1-1 Сбор КП'!N1};
{LAMBDA( doFindRow, doFilter, theWordStart, theCStart, theWordEnd, theCEnd, theDataWord, theData, 
  doFilter(doFindRow(theDataWord,theWordStart,theCStart),doFindRow(theDataWord,theWordEnd,theCEnd),theData)
)( 
 LAMBDA(theWords,theW"&amp;"ord,theC ,   VLOOKUP( theWord, BYROW(theWords,LAMBDA(theW,{theW , ROW(theW)})),2,FALSE ) +theC),
 LAMBDA(bodyStart,bodyEnd,theData, FILTER(theData,bodyStart &lt;= BYROW(theData,lambda(d,ROW(d))) ,BYROW(theData,lambda(d,ROW(d)))&lt;=bodyEnd )),
 ""№"",1,""@"",-1"&amp;",'1-1 Сбор КП'!C1:C31
 ,'1-1 Сбор КП'!N1:N31
)}
}"),"Срок поставки по договору")</f>
        <v>Срок поставки по договору</v>
      </c>
      <c r="O10" s="77" t="str">
        <f>IFERROR(__xludf.DUMMYFUNCTION("{ 
{'1-1 Сбор КП'!L1};
{LAMBDA( doFindRow, doFilter, theWordStart, theCStart, theWordEnd, theCEnd, theDataWord, theData, 
  doFilter(doFindRow(theDataWord,theWordStart,theCStart),doFindRow(theDataWord,theWordEnd,theCEnd),theData)
)( 
 LAMBDA(theWords,theW"&amp;"ord,theC ,   VLOOKUP( theWord, BYROW(theWords,LAMBDA(theW,{theW , ROW(theW)})),2,FALSE ) +theC),
 LAMBDA(bodyStart,bodyEnd,theData, FILTER(theData,bodyStart &lt;= BYROW(theData,lambda(d,ROW(d))) ,BYROW(theData,lambda(d,ROW(d)))&lt;=bodyEnd )),
 ""№"",1,""@"",-1"&amp;",'1-1 Сбор КП'!C1:C31
 ,'1-1 Сбор КП'!L1:L31
)}
}"),"Нац режим 1875")</f>
        <v>Нац режим 1875</v>
      </c>
      <c r="P10" s="77" t="str">
        <f>IFERROR(__xludf.DUMMYFUNCTION("{ 
{'1-1 Сбор КП'!M1};
{LAMBDA( doFindRow, doFilter, theWordStart, theCStart, theWordEnd, theCEnd, theDataWord, theData, 
  doFilter(doFindRow(theDataWord,theWordStart,theCStart),doFindRow(theDataWord,theWordEnd,theCEnd),theData)
)( 
 LAMBDA(theWords,theW"&amp;"ord,theC ,   VLOOKUP( theWord, BYROW(theWords,LAMBDA(theW,{theW , ROW(theW)})),2,FALSE ) +theC),
 LAMBDA(bodyStart,bodyEnd,theData, FILTER(theData,bodyStart &lt;= BYROW(theData,lambda(d,ROW(d))) ,BYROW(theData,lambda(d,ROW(d)))&lt;=bodyEnd )),
 ""№"",1,""@"",-1"&amp;",'1-1 Сбор КП'!C1:C31
 ,'1-1 Сбор КП'!M1:M31
)}
}"),"Код ОКПД 2")</f>
        <v>Код ОКПД 2</v>
      </c>
      <c r="Q10" s="77"/>
      <c r="R10" s="77"/>
      <c r="S10" s="77"/>
      <c r="T10" s="77"/>
      <c r="U10" s="77"/>
    </row>
    <row r="11">
      <c r="A11" s="174"/>
      <c r="B11" s="175"/>
      <c r="C11" s="176" t="str">
        <f>IFERROR(__xludf.DUMMYFUNCTION("""COMPUTED_VALUE"""),"ID_T001")</f>
        <v>ID_T001</v>
      </c>
      <c r="D11" s="178" t="str">
        <f>IFERROR(__xludf.DUMMYFUNCTION("""COMPUTED_VALUE"""),"1")</f>
        <v>1</v>
      </c>
      <c r="E11" s="178" t="str">
        <f>IFERROR(__xludf.DUMMYFUNCTION("""COMPUTED_VALUE"""),"Масляный фильтр - Артикул 89781969 ESG-315 зав.№ F010451")</f>
        <v>Масляный фильтр - Артикул 89781969 ESG-315 зав.№ F010451</v>
      </c>
      <c r="F11" s="180" t="str">
        <f>IFERROR(__xludf.DUMMYFUNCTION("""COMPUTED_VALUE""")," ESG-315 зав. № F01045")</f>
        <v> ESG-315 зав. № F01045</v>
      </c>
      <c r="G11" s="178" t="str">
        <f>IFERROR(__xludf.DUMMYFUNCTION("""COMPUTED_VALUE"""),"шт.")</f>
        <v>шт.</v>
      </c>
      <c r="H11" s="182">
        <f>IFERROR(__xludf.DUMMYFUNCTION("""COMPUTED_VALUE"""),3.0)</f>
        <v>3</v>
      </c>
      <c r="I11" s="183"/>
      <c r="J11" s="174"/>
      <c r="K11" s="174"/>
      <c r="L11" s="174"/>
      <c r="M11" s="174"/>
      <c r="N11" s="185"/>
      <c r="O11" s="174"/>
      <c r="P11" s="174"/>
      <c r="Q11" s="174"/>
      <c r="R11" s="174"/>
      <c r="S11" s="174"/>
      <c r="T11" s="174"/>
      <c r="U11" s="174"/>
    </row>
    <row r="12">
      <c r="A12" s="187"/>
      <c r="B12" s="188"/>
      <c r="C12" s="192" t="str">
        <f>IFERROR(__xludf.DUMMYFUNCTION("""COMPUTED_VALUE"""),"ID_T002")</f>
        <v>ID_T002</v>
      </c>
      <c r="D12" s="193" t="str">
        <f>IFERROR(__xludf.DUMMYFUNCTION("""COMPUTED_VALUE"""),"2")</f>
        <v>2</v>
      </c>
      <c r="E12" s="193" t="str">
        <f>IFERROR(__xludf.DUMMYFUNCTION("""COMPUTED_VALUE"""),"Масляный фильтр - Артикул 85062259")</f>
        <v>Масляный фильтр - Артикул 85062259</v>
      </c>
      <c r="F12" s="194" t="str">
        <f>IFERROR(__xludf.DUMMYFUNCTION("""COMPUTED_VALUE"""),"ESG-315 зав.№ 17030008 
VS-250; ESM-200")</f>
        <v>ESG-315 зав.№ 17030008 
VS-250; ESM-200</v>
      </c>
      <c r="G12" s="193" t="str">
        <f>IFERROR(__xludf.DUMMYFUNCTION("""COMPUTED_VALUE"""),"шт.")</f>
        <v>шт.</v>
      </c>
      <c r="H12" s="195">
        <f>IFERROR(__xludf.DUMMYFUNCTION("""COMPUTED_VALUE"""),6.0)</f>
        <v>6</v>
      </c>
      <c r="I12" s="197"/>
      <c r="J12" s="187"/>
      <c r="K12" s="187"/>
      <c r="L12" s="187"/>
      <c r="M12" s="187"/>
      <c r="N12" s="198"/>
      <c r="O12" s="187"/>
      <c r="P12" s="187"/>
      <c r="Q12" s="187"/>
      <c r="R12" s="187"/>
      <c r="S12" s="187"/>
      <c r="T12" s="187"/>
      <c r="U12" s="187"/>
    </row>
    <row r="13">
      <c r="A13" s="187"/>
      <c r="B13" s="188"/>
      <c r="C13" s="192" t="str">
        <f>IFERROR(__xludf.DUMMYFUNCTION("""COMPUTED_VALUE"""),"ID_T003")</f>
        <v>ID_T003</v>
      </c>
      <c r="D13" s="193" t="str">
        <f>IFERROR(__xludf.DUMMYFUNCTION("""COMPUTED_VALUE"""),"3")</f>
        <v>3</v>
      </c>
      <c r="E13" s="193" t="str">
        <f>IFERROR(__xludf.DUMMYFUNCTION("""COMPUTED_VALUE"""),"Воздушный фильтр - Артикул 85067179 ")</f>
        <v>Воздушный фильтр - Артикул 85067179 </v>
      </c>
      <c r="F13" s="194" t="str">
        <f>IFERROR(__xludf.DUMMYFUNCTION("""COMPUTED_VALUE"""),"ESG-315 зав.№ F010451;
ESG-315 зав.№ 17030008
VS-250; ESM-200; «Gardner Denver»")</f>
        <v>ESG-315 зав.№ F010451;
ESG-315 зав.№ 17030008
VS-250; ESM-200; «Gardner Denver»</v>
      </c>
      <c r="G13" s="193" t="str">
        <f>IFERROR(__xludf.DUMMYFUNCTION("""COMPUTED_VALUE"""),"шт.")</f>
        <v>шт.</v>
      </c>
      <c r="H13" s="195">
        <f>IFERROR(__xludf.DUMMYFUNCTION("""COMPUTED_VALUE"""),16.0)</f>
        <v>16</v>
      </c>
      <c r="I13" s="197"/>
      <c r="J13" s="187"/>
      <c r="K13" s="187"/>
      <c r="L13" s="187"/>
      <c r="M13" s="187"/>
      <c r="N13" s="198"/>
      <c r="O13" s="187"/>
      <c r="P13" s="187"/>
      <c r="Q13" s="187"/>
      <c r="R13" s="187"/>
      <c r="S13" s="187"/>
      <c r="T13" s="187"/>
      <c r="U13" s="187"/>
    </row>
    <row r="14">
      <c r="A14" s="187"/>
      <c r="B14" s="188"/>
      <c r="C14" s="192" t="str">
        <f>IFERROR(__xludf.DUMMYFUNCTION("""COMPUTED_VALUE"""),"ID_T004")</f>
        <v>ID_T004</v>
      </c>
      <c r="D14" s="193" t="str">
        <f>IFERROR(__xludf.DUMMYFUNCTION("""COMPUTED_VALUE"""),"4")</f>
        <v>4</v>
      </c>
      <c r="E14" s="193" t="str">
        <f>IFERROR(__xludf.DUMMYFUNCTION("""COMPUTED_VALUE"""),"Термостат в сборе ESM-200; «Gardner Denver»")</f>
        <v>Термостат в сборе ESM-200; «Gardner Denver»</v>
      </c>
      <c r="F14" s="194" t="str">
        <f>IFERROR(__xludf.DUMMYFUNCTION("""COMPUTED_VALUE"""),"ESM-200; «Gardner Denver»")</f>
        <v>ESM-200; «Gardner Denver»</v>
      </c>
      <c r="G14" s="193" t="str">
        <f>IFERROR(__xludf.DUMMYFUNCTION("""COMPUTED_VALUE"""),"шт.")</f>
        <v>шт.</v>
      </c>
      <c r="H14" s="195">
        <f>IFERROR(__xludf.DUMMYFUNCTION("""COMPUTED_VALUE"""),2.0)</f>
        <v>2</v>
      </c>
      <c r="I14" s="197"/>
      <c r="J14" s="187"/>
      <c r="K14" s="187"/>
      <c r="L14" s="187"/>
      <c r="M14" s="187"/>
      <c r="N14" s="198"/>
      <c r="O14" s="187"/>
      <c r="P14" s="187"/>
      <c r="Q14" s="187"/>
      <c r="R14" s="187"/>
      <c r="S14" s="187"/>
      <c r="T14" s="187"/>
      <c r="U14" s="187"/>
    </row>
    <row r="15">
      <c r="A15" s="187"/>
      <c r="B15" s="188"/>
      <c r="C15" s="192" t="str">
        <f>IFERROR(__xludf.DUMMYFUNCTION("""COMPUTED_VALUE"""),"ID_T005")</f>
        <v>ID_T005</v>
      </c>
      <c r="D15" s="193" t="str">
        <f>IFERROR(__xludf.DUMMYFUNCTION("""COMPUTED_VALUE"""),"5")</f>
        <v>5</v>
      </c>
      <c r="E15" s="193" t="str">
        <f>IFERROR(__xludf.DUMMYFUNCTION("""COMPUTED_VALUE"""),"Масляный сепаратор Артикул 03498328")</f>
        <v>Масляный сепаратор Артикул 03498328</v>
      </c>
      <c r="F15" s="194" t="str">
        <f>IFERROR(__xludf.DUMMYFUNCTION("""COMPUTED_VALUE""")," ESS-18 «Gardner Denver»")</f>
        <v> ESS-18 «Gardner Denver»</v>
      </c>
      <c r="G15" s="193" t="str">
        <f>IFERROR(__xludf.DUMMYFUNCTION("""COMPUTED_VALUE"""),"шт.")</f>
        <v>шт.</v>
      </c>
      <c r="H15" s="195">
        <f>IFERROR(__xludf.DUMMYFUNCTION("""COMPUTED_VALUE"""),3.0)</f>
        <v>3</v>
      </c>
      <c r="I15" s="197"/>
      <c r="J15" s="187"/>
      <c r="K15" s="187"/>
      <c r="L15" s="187"/>
      <c r="M15" s="187"/>
      <c r="N15" s="198"/>
      <c r="O15" s="187"/>
      <c r="P15" s="187"/>
      <c r="Q15" s="187"/>
      <c r="R15" s="187"/>
      <c r="S15" s="187"/>
      <c r="T15" s="187"/>
      <c r="U15" s="187"/>
    </row>
    <row r="16">
      <c r="A16" s="187"/>
      <c r="B16" s="188"/>
      <c r="C16" s="192" t="str">
        <f>IFERROR(__xludf.DUMMYFUNCTION("""COMPUTED_VALUE"""),"ID_T006")</f>
        <v>ID_T006</v>
      </c>
      <c r="D16" s="193" t="str">
        <f>IFERROR(__xludf.DUMMYFUNCTION("""COMPUTED_VALUE"""),"6")</f>
        <v>6</v>
      </c>
      <c r="E16" s="193" t="str">
        <f>IFERROR(__xludf.DUMMYFUNCTION("""COMPUTED_VALUE"""),"Масляный фильтр Артикул 89675429")</f>
        <v>Масляный фильтр Артикул 89675429</v>
      </c>
      <c r="F16" s="194" t="str">
        <f>IFERROR(__xludf.DUMMYFUNCTION("""COMPUTED_VALUE""")," ESS-18 «Gardner Denver»")</f>
        <v> ESS-18 «Gardner Denver»</v>
      </c>
      <c r="G16" s="193" t="str">
        <f>IFERROR(__xludf.DUMMYFUNCTION("""COMPUTED_VALUE"""),"шт.")</f>
        <v>шт.</v>
      </c>
      <c r="H16" s="195">
        <f>IFERROR(__xludf.DUMMYFUNCTION("""COMPUTED_VALUE"""),3.0)</f>
        <v>3</v>
      </c>
      <c r="I16" s="197"/>
      <c r="J16" s="187"/>
      <c r="K16" s="187"/>
      <c r="L16" s="187"/>
      <c r="M16" s="187"/>
      <c r="N16" s="198"/>
      <c r="O16" s="187"/>
      <c r="P16" s="187"/>
      <c r="Q16" s="187"/>
      <c r="R16" s="187"/>
      <c r="S16" s="187"/>
      <c r="T16" s="187"/>
      <c r="U16" s="187"/>
    </row>
    <row r="17">
      <c r="A17" s="187"/>
      <c r="B17" s="188"/>
      <c r="C17" s="192" t="str">
        <f>IFERROR(__xludf.DUMMYFUNCTION("""COMPUTED_VALUE"""),"ID_T007")</f>
        <v>ID_T007</v>
      </c>
      <c r="D17" s="193" t="str">
        <f>IFERROR(__xludf.DUMMYFUNCTION("""COMPUTED_VALUE"""),"7")</f>
        <v>7</v>
      </c>
      <c r="E17" s="193" t="str">
        <f>IFERROR(__xludf.DUMMYFUNCTION("""COMPUTED_VALUE"""),"Воздушный фильтр - Артикул 81166609")</f>
        <v>Воздушный фильтр - Артикул 81166609</v>
      </c>
      <c r="F17" s="194" t="str">
        <f>IFERROR(__xludf.DUMMYFUNCTION("""COMPUTED_VALUE""")," ESS-18 «Gardner Denver»")</f>
        <v> ESS-18 «Gardner Denver»</v>
      </c>
      <c r="G17" s="193" t="str">
        <f>IFERROR(__xludf.DUMMYFUNCTION("""COMPUTED_VALUE"""),"шт.")</f>
        <v>шт.</v>
      </c>
      <c r="H17" s="195">
        <f>IFERROR(__xludf.DUMMYFUNCTION("""COMPUTED_VALUE"""),3.0)</f>
        <v>3</v>
      </c>
      <c r="I17" s="197"/>
      <c r="J17" s="187"/>
      <c r="K17" s="187"/>
      <c r="L17" s="187"/>
      <c r="M17" s="187"/>
      <c r="N17" s="198"/>
      <c r="O17" s="187"/>
      <c r="P17" s="187"/>
      <c r="Q17" s="187"/>
      <c r="R17" s="187"/>
      <c r="S17" s="187"/>
      <c r="T17" s="187"/>
      <c r="U17" s="187"/>
    </row>
    <row r="18">
      <c r="A18" s="187"/>
      <c r="B18" s="188"/>
      <c r="C18" s="192" t="str">
        <f>IFERROR(__xludf.DUMMYFUNCTION("""COMPUTED_VALUE"""),"ID_T008")</f>
        <v>ID_T008</v>
      </c>
      <c r="D18" s="193" t="str">
        <f>IFERROR(__xludf.DUMMYFUNCTION("""COMPUTED_VALUE"""),"8")</f>
        <v>8</v>
      </c>
      <c r="E18" s="193" t="str">
        <f>IFERROR(__xludf.DUMMYFUNCTION("""COMPUTED_VALUE"""),"Сервисный набор арт. 2906020000 ")</f>
        <v>Сервисный набор арт. 2906020000 </v>
      </c>
      <c r="F18" s="194" t="str">
        <f>IFERROR(__xludf.DUMMYFUNCTION("""COMPUTED_VALUE"""),"GA 200 зав. № APF133999; GA 250 зав. № APF133914; GA 250 зав. № APF 133915 «Atlas Copco»")</f>
        <v>GA 200 зав. № APF133999; GA 250 зав. № APF133914; GA 250 зав. № APF 133915 «Atlas Copco»</v>
      </c>
      <c r="G18" s="193" t="str">
        <f>IFERROR(__xludf.DUMMYFUNCTION("""COMPUTED_VALUE"""),"шт.")</f>
        <v>шт.</v>
      </c>
      <c r="H18" s="195">
        <f>IFERROR(__xludf.DUMMYFUNCTION("""COMPUTED_VALUE"""),3.0)</f>
        <v>3</v>
      </c>
      <c r="I18" s="197"/>
      <c r="J18" s="187"/>
      <c r="K18" s="187"/>
      <c r="L18" s="187"/>
      <c r="M18" s="187"/>
      <c r="N18" s="198"/>
      <c r="O18" s="187"/>
      <c r="P18" s="187"/>
      <c r="Q18" s="187"/>
      <c r="R18" s="187"/>
      <c r="S18" s="187"/>
      <c r="T18" s="187"/>
      <c r="U18" s="187"/>
    </row>
    <row r="19">
      <c r="A19" s="187"/>
      <c r="B19" s="188"/>
      <c r="C19" s="192" t="str">
        <f>IFERROR(__xludf.DUMMYFUNCTION("""COMPUTED_VALUE"""),"ID_T009")</f>
        <v>ID_T009</v>
      </c>
      <c r="D19" s="193" t="str">
        <f>IFERROR(__xludf.DUMMYFUNCTION("""COMPUTED_VALUE"""),"9")</f>
        <v>9</v>
      </c>
      <c r="E19" s="193" t="str">
        <f>IFERROR(__xludf.DUMMYFUNCTION("""COMPUTED_VALUE"""),"Сервисный набор 8000 ч. арт. 2906075700")</f>
        <v>Сервисный набор 8000 ч. арт. 2906075700</v>
      </c>
      <c r="F19" s="194" t="str">
        <f>IFERROR(__xludf.DUMMYFUNCTION("""COMPUTED_VALUE"""),"GA 200 зав. № APF133999; GA 250 зав. № APF133914; GA 250 зав. № APF 133915 «Atlas Copco»")</f>
        <v>GA 200 зав. № APF133999; GA 250 зав. № APF133914; GA 250 зав. № APF 133915 «Atlas Copco»</v>
      </c>
      <c r="G19" s="193" t="str">
        <f>IFERROR(__xludf.DUMMYFUNCTION("""COMPUTED_VALUE"""),"шт.")</f>
        <v>шт.</v>
      </c>
      <c r="H19" s="195">
        <f>IFERROR(__xludf.DUMMYFUNCTION("""COMPUTED_VALUE"""),3.0)</f>
        <v>3</v>
      </c>
      <c r="I19" s="197"/>
      <c r="J19" s="187"/>
      <c r="K19" s="187"/>
      <c r="L19" s="187"/>
      <c r="M19" s="187"/>
      <c r="N19" s="198"/>
      <c r="O19" s="187"/>
      <c r="P19" s="187"/>
      <c r="Q19" s="187"/>
      <c r="R19" s="187"/>
      <c r="S19" s="187"/>
      <c r="T19" s="187"/>
      <c r="U19" s="187"/>
    </row>
    <row r="20">
      <c r="A20" s="187"/>
      <c r="B20" s="188"/>
      <c r="C20" s="192" t="str">
        <f>IFERROR(__xludf.DUMMYFUNCTION("""COMPUTED_VALUE"""),"ID_T010")</f>
        <v>ID_T010</v>
      </c>
      <c r="D20" s="193" t="str">
        <f>IFERROR(__xludf.DUMMYFUNCTION("""COMPUTED_VALUE"""),"10")</f>
        <v>10</v>
      </c>
      <c r="E20" s="193" t="str">
        <f>IFERROR(__xludf.DUMMYFUNCTION("""COMPUTED_VALUE"""),"Масляный сепаратор ")</f>
        <v>Масляный сепаратор </v>
      </c>
      <c r="F20" s="194" t="str">
        <f>IFERROR(__xludf.DUMMYFUNCTION("""COMPUTED_VALUE"""),"«Dalgakiran» Inversys +315 зав. №VD 4037, зав. № VD 6420.")</f>
        <v>«Dalgakiran» Inversys +315 зав. №VD 4037, зав. № VD 6420.</v>
      </c>
      <c r="G20" s="193" t="str">
        <f>IFERROR(__xludf.DUMMYFUNCTION("""COMPUTED_VALUE"""),"шт.")</f>
        <v>шт.</v>
      </c>
      <c r="H20" s="195">
        <f>IFERROR(__xludf.DUMMYFUNCTION("""COMPUTED_VALUE"""),3.0)</f>
        <v>3</v>
      </c>
      <c r="I20" s="197"/>
      <c r="J20" s="187"/>
      <c r="K20" s="187"/>
      <c r="L20" s="187"/>
      <c r="M20" s="187"/>
      <c r="N20" s="198"/>
      <c r="O20" s="187"/>
      <c r="P20" s="187"/>
      <c r="Q20" s="187"/>
      <c r="R20" s="187"/>
      <c r="S20" s="187"/>
      <c r="T20" s="187"/>
      <c r="U20" s="187"/>
    </row>
    <row r="21">
      <c r="A21" s="187"/>
      <c r="B21" s="188"/>
      <c r="C21" s="192" t="str">
        <f>IFERROR(__xludf.DUMMYFUNCTION("""COMPUTED_VALUE"""),"ID_T011")</f>
        <v>ID_T011</v>
      </c>
      <c r="D21" s="193" t="str">
        <f>IFERROR(__xludf.DUMMYFUNCTION("""COMPUTED_VALUE"""),"11")</f>
        <v>11</v>
      </c>
      <c r="E21" s="193" t="str">
        <f>IFERROR(__xludf.DUMMYFUNCTION("""COMPUTED_VALUE"""),"Воздушный фильтр")</f>
        <v>Воздушный фильтр</v>
      </c>
      <c r="F21" s="194" t="str">
        <f>IFERROR(__xludf.DUMMYFUNCTION("""COMPUTED_VALUE"""),"«Dalgakiran» Inversys +315 зав. №VD 4037, зав. № VD 6420.")</f>
        <v>«Dalgakiran» Inversys +315 зав. №VD 4037, зав. № VD 6420.</v>
      </c>
      <c r="G21" s="193" t="str">
        <f>IFERROR(__xludf.DUMMYFUNCTION("""COMPUTED_VALUE"""),"шт.")</f>
        <v>шт.</v>
      </c>
      <c r="H21" s="195">
        <f>IFERROR(__xludf.DUMMYFUNCTION("""COMPUTED_VALUE"""),6.0)</f>
        <v>6</v>
      </c>
      <c r="I21" s="197"/>
      <c r="J21" s="187"/>
      <c r="K21" s="187"/>
      <c r="L21" s="187"/>
      <c r="M21" s="187"/>
      <c r="N21" s="198"/>
      <c r="O21" s="187"/>
      <c r="P21" s="187"/>
      <c r="Q21" s="187"/>
      <c r="R21" s="187"/>
      <c r="S21" s="187"/>
      <c r="T21" s="187"/>
      <c r="U21" s="187"/>
    </row>
    <row r="22">
      <c r="A22" s="187"/>
      <c r="B22" s="188"/>
      <c r="C22" s="192" t="str">
        <f>IFERROR(__xludf.DUMMYFUNCTION("""COMPUTED_VALUE"""),"ID_T012")</f>
        <v>ID_T012</v>
      </c>
      <c r="D22" s="193" t="str">
        <f>IFERROR(__xludf.DUMMYFUNCTION("""COMPUTED_VALUE"""),"12")</f>
        <v>12</v>
      </c>
      <c r="E22" s="193" t="str">
        <f>IFERROR(__xludf.DUMMYFUNCTION("""COMPUTED_VALUE"""),"Масляный фильтр")</f>
        <v>Масляный фильтр</v>
      </c>
      <c r="F22" s="194" t="str">
        <f>IFERROR(__xludf.DUMMYFUNCTION("""COMPUTED_VALUE"""),"«Dalgakiran» Inversys +315 зав. №VD 4037, зав. № VD 6420.")</f>
        <v>«Dalgakiran» Inversys +315 зав. №VD 4037, зав. № VD 6420.</v>
      </c>
      <c r="G22" s="193" t="str">
        <f>IFERROR(__xludf.DUMMYFUNCTION("""COMPUTED_VALUE"""),"шт.")</f>
        <v>шт.</v>
      </c>
      <c r="H22" s="195">
        <f>IFERROR(__xludf.DUMMYFUNCTION("""COMPUTED_VALUE"""),6.0)</f>
        <v>6</v>
      </c>
      <c r="I22" s="197"/>
      <c r="J22" s="187"/>
      <c r="K22" s="187"/>
      <c r="L22" s="187"/>
      <c r="M22" s="187"/>
      <c r="N22" s="198"/>
      <c r="O22" s="187"/>
      <c r="P22" s="187"/>
      <c r="Q22" s="187"/>
      <c r="R22" s="187"/>
      <c r="S22" s="187"/>
      <c r="T22" s="187"/>
      <c r="U22" s="187"/>
    </row>
    <row r="23">
      <c r="A23" s="187"/>
      <c r="B23" s="188"/>
      <c r="C23" s="192" t="str">
        <f>IFERROR(__xludf.DUMMYFUNCTION("""COMPUTED_VALUE"""),"ID_T013")</f>
        <v>ID_T013</v>
      </c>
      <c r="D23" s="193" t="str">
        <f>IFERROR(__xludf.DUMMYFUNCTION("""COMPUTED_VALUE"""),"13")</f>
        <v>13</v>
      </c>
      <c r="E23" s="193" t="str">
        <f>IFERROR(__xludf.DUMMYFUNCTION("""COMPUTED_VALUE"""),"Масляный сепаратор DS 3084 ")</f>
        <v>Масляный сепаратор DS 3084 </v>
      </c>
      <c r="F23" s="194" t="str">
        <f>IFERROR(__xludf.DUMMYFUNCTION("""COMPUTED_VALUE"""),"BB-50/8 ВУЗ  АО «НПАО «ВНИИ компрессормаш»")</f>
        <v>BB-50/8 ВУЗ  АО «НПАО «ВНИИ компрессормаш»</v>
      </c>
      <c r="G23" s="193" t="str">
        <f>IFERROR(__xludf.DUMMYFUNCTION("""COMPUTED_VALUE"""),"шт.")</f>
        <v>шт.</v>
      </c>
      <c r="H23" s="195">
        <f>IFERROR(__xludf.DUMMYFUNCTION("""COMPUTED_VALUE"""),2.0)</f>
        <v>2</v>
      </c>
      <c r="I23" s="197"/>
      <c r="J23" s="187"/>
      <c r="K23" s="187"/>
      <c r="L23" s="187"/>
      <c r="M23" s="187"/>
      <c r="N23" s="198"/>
      <c r="O23" s="187"/>
      <c r="P23" s="187"/>
      <c r="Q23" s="187"/>
      <c r="R23" s="187"/>
      <c r="S23" s="187"/>
      <c r="T23" s="187"/>
      <c r="U23" s="187"/>
    </row>
    <row r="24">
      <c r="A24" s="187"/>
      <c r="B24" s="188"/>
      <c r="C24" s="192" t="str">
        <f>IFERROR(__xludf.DUMMYFUNCTION("""COMPUTED_VALUE"""),"ID_T014")</f>
        <v>ID_T014</v>
      </c>
      <c r="D24" s="193" t="str">
        <f>IFERROR(__xludf.DUMMYFUNCTION("""COMPUTED_VALUE"""),"14")</f>
        <v>14</v>
      </c>
      <c r="E24" s="193" t="str">
        <f>IFERROR(__xludf.DUMMYFUNCTION("""COMPUTED_VALUE"""),"Воздушный фильтр ЛААЗ ЭФВ 721.1109560 (7405. 1109560)")</f>
        <v>Воздушный фильтр ЛААЗ ЭФВ 721.1109560 (7405. 1109560)</v>
      </c>
      <c r="F24" s="194" t="str">
        <f>IFERROR(__xludf.DUMMYFUNCTION("""COMPUTED_VALUE"""),"BB-50/8 ВУЗ  АО «НПАО «ВНИИ компрессормаш»")</f>
        <v>BB-50/8 ВУЗ  АО «НПАО «ВНИИ компрессормаш»</v>
      </c>
      <c r="G24" s="193" t="str">
        <f>IFERROR(__xludf.DUMMYFUNCTION("""COMPUTED_VALUE"""),"шт.")</f>
        <v>шт.</v>
      </c>
      <c r="H24" s="195">
        <f>IFERROR(__xludf.DUMMYFUNCTION("""COMPUTED_VALUE"""),4.0)</f>
        <v>4</v>
      </c>
      <c r="I24" s="197"/>
      <c r="J24" s="187"/>
      <c r="K24" s="187"/>
      <c r="L24" s="187"/>
      <c r="M24" s="187"/>
      <c r="N24" s="198"/>
      <c r="O24" s="187"/>
      <c r="P24" s="187"/>
      <c r="Q24" s="187"/>
      <c r="R24" s="187"/>
      <c r="S24" s="187"/>
      <c r="T24" s="187"/>
      <c r="U24" s="187"/>
    </row>
    <row r="25">
      <c r="A25" s="187"/>
      <c r="B25" s="188"/>
      <c r="C25" s="192" t="str">
        <f>IFERROR(__xludf.DUMMYFUNCTION("""COMPUTED_VALUE"""),"ID_T015")</f>
        <v>ID_T015</v>
      </c>
      <c r="D25" s="193" t="str">
        <f>IFERROR(__xludf.DUMMYFUNCTION("""COMPUTED_VALUE"""),"15")</f>
        <v>15</v>
      </c>
      <c r="E25" s="193" t="str">
        <f>IFERROR(__xludf.DUMMYFUNCTION("""COMPUTED_VALUE"""),"Масляный фильтр W13145/3")</f>
        <v>Масляный фильтр W13145/3</v>
      </c>
      <c r="F25" s="194" t="str">
        <f>IFERROR(__xludf.DUMMYFUNCTION("""COMPUTED_VALUE"""),"BB-50/8 ВУЗ  АО «НПАО «ВНИИ компрессормаш»")</f>
        <v>BB-50/8 ВУЗ  АО «НПАО «ВНИИ компрессормаш»</v>
      </c>
      <c r="G25" s="193" t="str">
        <f>IFERROR(__xludf.DUMMYFUNCTION("""COMPUTED_VALUE"""),"шт.")</f>
        <v>шт.</v>
      </c>
      <c r="H25" s="195">
        <f>IFERROR(__xludf.DUMMYFUNCTION("""COMPUTED_VALUE"""),4.0)</f>
        <v>4</v>
      </c>
      <c r="I25" s="197"/>
      <c r="J25" s="187"/>
      <c r="K25" s="187"/>
      <c r="L25" s="187"/>
      <c r="M25" s="187"/>
      <c r="N25" s="198"/>
      <c r="O25" s="187"/>
      <c r="P25" s="187"/>
      <c r="Q25" s="187"/>
      <c r="R25" s="187"/>
      <c r="S25" s="187"/>
      <c r="T25" s="187"/>
      <c r="U25" s="187"/>
    </row>
    <row r="26">
      <c r="A26" s="187"/>
      <c r="B26" s="188"/>
      <c r="C26" s="192" t="str">
        <f>IFERROR(__xludf.DUMMYFUNCTION("""COMPUTED_VALUE"""),"ID_T016")</f>
        <v>ID_T016</v>
      </c>
      <c r="D26" s="193" t="str">
        <f>IFERROR(__xludf.DUMMYFUNCTION("""COMPUTED_VALUE"""),"16")</f>
        <v>16</v>
      </c>
      <c r="E26" s="193"/>
      <c r="F26" s="194"/>
      <c r="G26" s="193"/>
      <c r="H26" s="195"/>
      <c r="I26" s="197"/>
      <c r="J26" s="187"/>
      <c r="K26" s="187"/>
      <c r="L26" s="187"/>
      <c r="M26" s="187"/>
      <c r="N26" s="198"/>
      <c r="O26" s="187"/>
      <c r="P26" s="187"/>
      <c r="Q26" s="187"/>
      <c r="R26" s="187"/>
      <c r="S26" s="187"/>
      <c r="T26" s="187"/>
      <c r="U26" s="187"/>
    </row>
    <row r="27">
      <c r="A27" s="187"/>
      <c r="B27" s="188"/>
      <c r="C27" s="192" t="str">
        <f>IFERROR(__xludf.DUMMYFUNCTION("""COMPUTED_VALUE"""),"ID_T017")</f>
        <v>ID_T017</v>
      </c>
      <c r="D27" s="193" t="str">
        <f>IFERROR(__xludf.DUMMYFUNCTION("""COMPUTED_VALUE"""),"17")</f>
        <v>17</v>
      </c>
      <c r="E27" s="193"/>
      <c r="F27" s="194"/>
      <c r="G27" s="193"/>
      <c r="H27" s="195"/>
      <c r="I27" s="197"/>
      <c r="J27" s="187"/>
      <c r="K27" s="187"/>
      <c r="L27" s="187"/>
      <c r="M27" s="187"/>
      <c r="N27" s="198"/>
      <c r="O27" s="187"/>
      <c r="P27" s="187"/>
      <c r="Q27" s="187"/>
      <c r="R27" s="187"/>
      <c r="S27" s="187"/>
      <c r="T27" s="187"/>
      <c r="U27" s="187"/>
    </row>
    <row r="28">
      <c r="A28" s="187"/>
      <c r="B28" s="188"/>
      <c r="C28" s="192" t="str">
        <f>IFERROR(__xludf.DUMMYFUNCTION("""COMPUTED_VALUE"""),"ID_T018")</f>
        <v>ID_T018</v>
      </c>
      <c r="D28" s="193" t="str">
        <f>IFERROR(__xludf.DUMMYFUNCTION("""COMPUTED_VALUE"""),"18")</f>
        <v>18</v>
      </c>
      <c r="E28" s="193"/>
      <c r="F28" s="194"/>
      <c r="G28" s="193"/>
      <c r="H28" s="195"/>
      <c r="I28" s="197"/>
      <c r="J28" s="187"/>
      <c r="K28" s="187"/>
      <c r="L28" s="187"/>
      <c r="M28" s="187"/>
      <c r="N28" s="198"/>
      <c r="O28" s="187"/>
      <c r="P28" s="187"/>
      <c r="Q28" s="187"/>
      <c r="R28" s="187"/>
      <c r="S28" s="187"/>
      <c r="T28" s="187"/>
      <c r="U28" s="187"/>
    </row>
    <row r="29">
      <c r="A29" s="187"/>
      <c r="B29" s="188"/>
      <c r="C29" s="192" t="str">
        <f>IFERROR(__xludf.DUMMYFUNCTION("""COMPUTED_VALUE"""),"ID_T019")</f>
        <v>ID_T019</v>
      </c>
      <c r="D29" s="193" t="str">
        <f>IFERROR(__xludf.DUMMYFUNCTION("""COMPUTED_VALUE"""),"19")</f>
        <v>19</v>
      </c>
      <c r="E29" s="193"/>
      <c r="F29" s="194"/>
      <c r="G29" s="193"/>
      <c r="H29" s="195"/>
      <c r="I29" s="197"/>
      <c r="J29" s="187"/>
      <c r="K29" s="187"/>
      <c r="L29" s="187"/>
      <c r="M29" s="187"/>
      <c r="N29" s="198"/>
      <c r="O29" s="187"/>
      <c r="P29" s="187"/>
      <c r="Q29" s="187"/>
      <c r="R29" s="187"/>
      <c r="S29" s="187"/>
      <c r="T29" s="187"/>
      <c r="U29" s="187"/>
    </row>
    <row r="30">
      <c r="A30" s="187"/>
      <c r="B30" s="188"/>
      <c r="C30" s="192" t="str">
        <f>IFERROR(__xludf.DUMMYFUNCTION("""COMPUTED_VALUE"""),"ID_T020")</f>
        <v>ID_T020</v>
      </c>
      <c r="D30" s="193" t="str">
        <f>IFERROR(__xludf.DUMMYFUNCTION("""COMPUTED_VALUE"""),"20")</f>
        <v>20</v>
      </c>
      <c r="E30" s="193"/>
      <c r="F30" s="194"/>
      <c r="G30" s="193"/>
      <c r="H30" s="195"/>
      <c r="I30" s="197"/>
      <c r="J30" s="187"/>
      <c r="K30" s="187"/>
      <c r="L30" s="187"/>
      <c r="M30" s="187"/>
      <c r="N30" s="198"/>
      <c r="O30" s="187"/>
      <c r="P30" s="187"/>
      <c r="Q30" s="187"/>
      <c r="R30" s="187"/>
      <c r="S30" s="187"/>
      <c r="T30" s="187"/>
      <c r="U30" s="187"/>
    </row>
    <row r="31">
      <c r="A31" s="187"/>
      <c r="B31" s="188"/>
      <c r="C31" s="192"/>
      <c r="D31" s="193"/>
      <c r="E31" s="193"/>
      <c r="F31" s="194"/>
      <c r="G31" s="193"/>
      <c r="H31" s="195"/>
      <c r="I31" s="197"/>
      <c r="J31" s="187"/>
      <c r="K31" s="187"/>
      <c r="L31" s="187"/>
      <c r="M31" s="187"/>
      <c r="N31" s="198"/>
      <c r="O31" s="187"/>
      <c r="P31" s="187"/>
      <c r="Q31" s="187"/>
      <c r="R31" s="187"/>
      <c r="S31" s="187"/>
      <c r="T31" s="187"/>
      <c r="U31" s="187"/>
    </row>
    <row r="32">
      <c r="A32" s="187"/>
      <c r="B32" s="188"/>
      <c r="C32" s="192"/>
      <c r="D32" s="193"/>
      <c r="E32" s="193"/>
      <c r="F32" s="194"/>
      <c r="G32" s="193"/>
      <c r="H32" s="195"/>
      <c r="I32" s="197"/>
      <c r="J32" s="187"/>
      <c r="K32" s="187"/>
      <c r="L32" s="187"/>
      <c r="M32" s="187"/>
      <c r="N32" s="198"/>
      <c r="O32" s="187"/>
      <c r="P32" s="187"/>
      <c r="Q32" s="187"/>
      <c r="R32" s="187"/>
      <c r="S32" s="187"/>
      <c r="T32" s="187"/>
      <c r="U32" s="187"/>
    </row>
    <row r="33">
      <c r="A33" s="187"/>
      <c r="B33" s="188"/>
      <c r="C33" s="192"/>
      <c r="D33" s="193"/>
      <c r="E33" s="193"/>
      <c r="F33" s="194"/>
      <c r="G33" s="193"/>
      <c r="H33" s="195"/>
      <c r="I33" s="197"/>
      <c r="J33" s="187"/>
      <c r="K33" s="187"/>
      <c r="L33" s="187"/>
      <c r="M33" s="187"/>
      <c r="N33" s="198"/>
      <c r="O33" s="187"/>
      <c r="P33" s="187"/>
      <c r="Q33" s="187"/>
      <c r="R33" s="187"/>
      <c r="S33" s="187"/>
      <c r="T33" s="187"/>
      <c r="U33" s="187"/>
    </row>
    <row r="34">
      <c r="A34" s="187"/>
      <c r="B34" s="188"/>
      <c r="C34" s="192"/>
      <c r="D34" s="193"/>
      <c r="E34" s="193"/>
      <c r="F34" s="194"/>
      <c r="G34" s="193"/>
      <c r="H34" s="195"/>
      <c r="I34" s="197"/>
      <c r="J34" s="187"/>
      <c r="K34" s="187"/>
      <c r="L34" s="187"/>
      <c r="M34" s="187"/>
      <c r="N34" s="198"/>
      <c r="O34" s="187"/>
      <c r="P34" s="187"/>
      <c r="Q34" s="187"/>
      <c r="R34" s="187"/>
      <c r="S34" s="187"/>
      <c r="T34" s="187"/>
      <c r="U34" s="187"/>
    </row>
    <row r="35">
      <c r="A35" s="187"/>
      <c r="B35" s="188"/>
      <c r="C35" s="192"/>
      <c r="D35" s="193"/>
      <c r="E35" s="193"/>
      <c r="F35" s="194"/>
      <c r="G35" s="193"/>
      <c r="H35" s="195"/>
      <c r="I35" s="197"/>
      <c r="J35" s="187"/>
      <c r="K35" s="187"/>
      <c r="L35" s="187"/>
      <c r="M35" s="187"/>
      <c r="N35" s="198"/>
      <c r="O35" s="187"/>
      <c r="P35" s="187"/>
      <c r="Q35" s="187"/>
      <c r="R35" s="187"/>
      <c r="S35" s="187"/>
      <c r="T35" s="187"/>
      <c r="U35" s="187"/>
    </row>
    <row r="36">
      <c r="A36" s="187"/>
      <c r="B36" s="188"/>
      <c r="C36" s="192"/>
      <c r="D36" s="193"/>
      <c r="E36" s="193"/>
      <c r="F36" s="194"/>
      <c r="G36" s="193"/>
      <c r="H36" s="195"/>
      <c r="I36" s="197"/>
      <c r="J36" s="187"/>
      <c r="K36" s="187"/>
      <c r="L36" s="187"/>
      <c r="M36" s="187"/>
      <c r="N36" s="198"/>
      <c r="O36" s="187"/>
      <c r="P36" s="187"/>
      <c r="Q36" s="187"/>
      <c r="R36" s="187"/>
      <c r="S36" s="187"/>
      <c r="T36" s="187"/>
      <c r="U36" s="187"/>
    </row>
    <row r="37">
      <c r="A37" s="187"/>
      <c r="B37" s="188"/>
      <c r="C37" s="192"/>
      <c r="D37" s="193"/>
      <c r="E37" s="193"/>
      <c r="F37" s="194"/>
      <c r="G37" s="193"/>
      <c r="H37" s="195"/>
      <c r="I37" s="197"/>
      <c r="J37" s="187"/>
      <c r="K37" s="187"/>
      <c r="L37" s="187"/>
      <c r="M37" s="187"/>
      <c r="N37" s="198"/>
      <c r="O37" s="187"/>
      <c r="P37" s="187"/>
      <c r="Q37" s="187"/>
      <c r="R37" s="187"/>
      <c r="S37" s="187"/>
      <c r="T37" s="187"/>
      <c r="U37" s="187"/>
    </row>
    <row r="38">
      <c r="A38" s="187"/>
      <c r="B38" s="188"/>
      <c r="C38" s="192"/>
      <c r="D38" s="193"/>
      <c r="E38" s="193"/>
      <c r="F38" s="194"/>
      <c r="G38" s="193"/>
      <c r="H38" s="195"/>
      <c r="I38" s="197"/>
      <c r="J38" s="187"/>
      <c r="K38" s="187"/>
      <c r="L38" s="187"/>
      <c r="M38" s="187"/>
      <c r="N38" s="198"/>
      <c r="O38" s="187"/>
      <c r="P38" s="187"/>
      <c r="Q38" s="187"/>
      <c r="R38" s="187"/>
      <c r="S38" s="187"/>
      <c r="T38" s="187"/>
      <c r="U38" s="187"/>
    </row>
    <row r="39">
      <c r="A39" s="187"/>
      <c r="B39" s="188"/>
      <c r="C39" s="192"/>
      <c r="D39" s="193"/>
      <c r="E39" s="193"/>
      <c r="F39" s="194"/>
      <c r="G39" s="193"/>
      <c r="H39" s="195"/>
      <c r="I39" s="197"/>
      <c r="J39" s="187"/>
      <c r="K39" s="187"/>
      <c r="L39" s="187"/>
      <c r="M39" s="187"/>
      <c r="N39" s="198"/>
      <c r="O39" s="187"/>
      <c r="P39" s="187"/>
      <c r="Q39" s="187"/>
      <c r="R39" s="187"/>
      <c r="S39" s="187"/>
      <c r="T39" s="187"/>
      <c r="U39" s="187"/>
    </row>
    <row r="40">
      <c r="A40" s="187"/>
      <c r="B40" s="188"/>
      <c r="C40" s="192"/>
      <c r="D40" s="193"/>
      <c r="E40" s="193"/>
      <c r="F40" s="194"/>
      <c r="G40" s="193"/>
      <c r="H40" s="195"/>
      <c r="I40" s="197"/>
      <c r="J40" s="187"/>
      <c r="K40" s="187"/>
      <c r="L40" s="187"/>
      <c r="M40" s="187"/>
      <c r="N40" s="198"/>
      <c r="O40" s="187"/>
      <c r="P40" s="187"/>
      <c r="Q40" s="187"/>
      <c r="R40" s="187"/>
      <c r="S40" s="187"/>
      <c r="T40" s="187"/>
      <c r="U40" s="187"/>
    </row>
    <row r="41">
      <c r="A41" s="187"/>
      <c r="B41" s="188"/>
      <c r="C41" s="192"/>
      <c r="D41" s="193"/>
      <c r="E41" s="193"/>
      <c r="F41" s="194"/>
      <c r="G41" s="193"/>
      <c r="H41" s="195"/>
      <c r="I41" s="197"/>
      <c r="J41" s="187"/>
      <c r="K41" s="187"/>
      <c r="L41" s="187"/>
      <c r="M41" s="187"/>
      <c r="N41" s="198"/>
      <c r="O41" s="187"/>
      <c r="P41" s="187"/>
      <c r="Q41" s="187"/>
      <c r="R41" s="187"/>
      <c r="S41" s="187"/>
      <c r="T41" s="187"/>
      <c r="U41" s="187"/>
    </row>
    <row r="42">
      <c r="A42" s="187"/>
      <c r="B42" s="188"/>
      <c r="C42" s="192"/>
      <c r="D42" s="193"/>
      <c r="E42" s="193"/>
      <c r="F42" s="194"/>
      <c r="G42" s="193"/>
      <c r="H42" s="195"/>
      <c r="I42" s="197"/>
      <c r="J42" s="187"/>
      <c r="K42" s="187"/>
      <c r="L42" s="187"/>
      <c r="M42" s="187"/>
      <c r="N42" s="198"/>
      <c r="O42" s="187"/>
      <c r="P42" s="187"/>
      <c r="Q42" s="187"/>
      <c r="R42" s="187"/>
      <c r="S42" s="187"/>
      <c r="T42" s="187"/>
      <c r="U42" s="187"/>
    </row>
    <row r="43">
      <c r="A43" s="187"/>
      <c r="B43" s="188"/>
      <c r="C43" s="192"/>
      <c r="D43" s="193"/>
      <c r="E43" s="193"/>
      <c r="F43" s="194"/>
      <c r="G43" s="193"/>
      <c r="H43" s="195"/>
      <c r="I43" s="197"/>
      <c r="J43" s="187"/>
      <c r="K43" s="187"/>
      <c r="L43" s="187"/>
      <c r="M43" s="187"/>
      <c r="N43" s="198"/>
      <c r="O43" s="187"/>
      <c r="P43" s="187"/>
      <c r="Q43" s="187"/>
      <c r="R43" s="187"/>
      <c r="S43" s="187"/>
      <c r="T43" s="187"/>
      <c r="U43" s="187"/>
    </row>
    <row r="44">
      <c r="A44" s="187"/>
      <c r="B44" s="188"/>
      <c r="C44" s="192"/>
      <c r="D44" s="193"/>
      <c r="E44" s="193"/>
      <c r="F44" s="194"/>
      <c r="G44" s="193"/>
      <c r="H44" s="195"/>
      <c r="I44" s="197"/>
      <c r="J44" s="187"/>
      <c r="K44" s="187"/>
      <c r="L44" s="187"/>
      <c r="M44" s="187"/>
      <c r="N44" s="198"/>
      <c r="O44" s="187"/>
      <c r="P44" s="187"/>
      <c r="Q44" s="187"/>
      <c r="R44" s="187"/>
      <c r="S44" s="187"/>
      <c r="T44" s="187"/>
      <c r="U44" s="187"/>
    </row>
    <row r="45">
      <c r="A45" s="187"/>
      <c r="B45" s="188"/>
      <c r="C45" s="192"/>
      <c r="D45" s="193"/>
      <c r="E45" s="193"/>
      <c r="F45" s="194"/>
      <c r="G45" s="193"/>
      <c r="H45" s="195"/>
      <c r="I45" s="197"/>
      <c r="J45" s="187"/>
      <c r="K45" s="187"/>
      <c r="L45" s="187"/>
      <c r="M45" s="187"/>
      <c r="N45" s="198"/>
      <c r="O45" s="187"/>
      <c r="P45" s="187"/>
      <c r="Q45" s="187"/>
      <c r="R45" s="187"/>
      <c r="S45" s="187"/>
      <c r="T45" s="187"/>
      <c r="U45" s="187"/>
    </row>
    <row r="46">
      <c r="A46" s="187"/>
      <c r="B46" s="188"/>
      <c r="C46" s="192"/>
      <c r="D46" s="193"/>
      <c r="E46" s="193"/>
      <c r="F46" s="194"/>
      <c r="G46" s="193"/>
      <c r="H46" s="195"/>
      <c r="I46" s="197"/>
      <c r="J46" s="187"/>
      <c r="K46" s="187"/>
      <c r="L46" s="187"/>
      <c r="M46" s="187"/>
      <c r="N46" s="198"/>
      <c r="O46" s="187"/>
      <c r="P46" s="187"/>
      <c r="Q46" s="187"/>
      <c r="R46" s="187"/>
      <c r="S46" s="187"/>
      <c r="T46" s="187"/>
      <c r="U46" s="187"/>
    </row>
    <row r="47">
      <c r="A47" s="187"/>
      <c r="B47" s="188"/>
      <c r="C47" s="192"/>
      <c r="D47" s="193"/>
      <c r="E47" s="193"/>
      <c r="F47" s="194"/>
      <c r="G47" s="193"/>
      <c r="H47" s="195"/>
      <c r="I47" s="197"/>
      <c r="J47" s="187"/>
      <c r="K47" s="187"/>
      <c r="L47" s="187"/>
      <c r="M47" s="187"/>
      <c r="N47" s="198"/>
      <c r="O47" s="187"/>
      <c r="P47" s="187"/>
      <c r="Q47" s="187"/>
      <c r="R47" s="187"/>
      <c r="S47" s="187"/>
      <c r="T47" s="187"/>
      <c r="U47" s="187"/>
    </row>
    <row r="48">
      <c r="A48" s="187"/>
      <c r="B48" s="188"/>
      <c r="C48" s="192"/>
      <c r="D48" s="193"/>
      <c r="E48" s="193"/>
      <c r="F48" s="194"/>
      <c r="G48" s="193"/>
      <c r="H48" s="195"/>
      <c r="I48" s="197"/>
      <c r="J48" s="187"/>
      <c r="K48" s="187"/>
      <c r="L48" s="187"/>
      <c r="M48" s="187"/>
      <c r="N48" s="198"/>
      <c r="O48" s="187"/>
      <c r="P48" s="187"/>
      <c r="Q48" s="187"/>
      <c r="R48" s="187"/>
      <c r="S48" s="187"/>
      <c r="T48" s="187"/>
      <c r="U48" s="187"/>
    </row>
    <row r="49">
      <c r="A49" s="187"/>
      <c r="B49" s="188"/>
      <c r="C49" s="192"/>
      <c r="D49" s="193"/>
      <c r="E49" s="193"/>
      <c r="F49" s="194"/>
      <c r="G49" s="193"/>
      <c r="H49" s="195"/>
      <c r="I49" s="197"/>
      <c r="J49" s="187"/>
      <c r="K49" s="187"/>
      <c r="L49" s="187"/>
      <c r="M49" s="187"/>
      <c r="N49" s="198"/>
      <c r="O49" s="187"/>
      <c r="P49" s="187"/>
      <c r="Q49" s="187"/>
      <c r="R49" s="187"/>
      <c r="S49" s="187"/>
      <c r="T49" s="187"/>
      <c r="U49" s="187"/>
    </row>
    <row r="50">
      <c r="A50" s="187"/>
      <c r="B50" s="188"/>
      <c r="C50" s="192"/>
      <c r="D50" s="193"/>
      <c r="E50" s="193"/>
      <c r="F50" s="194"/>
      <c r="G50" s="193"/>
      <c r="H50" s="195"/>
      <c r="I50" s="197"/>
      <c r="J50" s="187"/>
      <c r="K50" s="187"/>
      <c r="L50" s="187"/>
      <c r="M50" s="187"/>
      <c r="N50" s="198"/>
      <c r="O50" s="187"/>
      <c r="P50" s="187"/>
      <c r="Q50" s="187"/>
      <c r="R50" s="187"/>
      <c r="S50" s="187"/>
      <c r="T50" s="187"/>
      <c r="U50" s="187"/>
    </row>
    <row r="51">
      <c r="A51" s="187"/>
      <c r="B51" s="188"/>
      <c r="C51" s="192"/>
      <c r="D51" s="193"/>
      <c r="E51" s="193"/>
      <c r="F51" s="194"/>
      <c r="G51" s="193"/>
      <c r="H51" s="195"/>
      <c r="I51" s="197"/>
      <c r="J51" s="187"/>
      <c r="K51" s="187"/>
      <c r="L51" s="187"/>
      <c r="M51" s="187"/>
      <c r="N51" s="198"/>
      <c r="O51" s="187"/>
      <c r="P51" s="187"/>
      <c r="Q51" s="187"/>
      <c r="R51" s="187"/>
      <c r="S51" s="187"/>
      <c r="T51" s="187"/>
      <c r="U51" s="187"/>
    </row>
    <row r="52">
      <c r="A52" s="187"/>
      <c r="B52" s="188"/>
      <c r="C52" s="192"/>
      <c r="D52" s="193"/>
      <c r="E52" s="193"/>
      <c r="F52" s="194"/>
      <c r="G52" s="193"/>
      <c r="H52" s="195"/>
      <c r="I52" s="197"/>
      <c r="J52" s="187"/>
      <c r="K52" s="187"/>
      <c r="L52" s="187"/>
      <c r="M52" s="187"/>
      <c r="N52" s="198"/>
      <c r="O52" s="187"/>
      <c r="P52" s="187"/>
      <c r="Q52" s="187"/>
      <c r="R52" s="187"/>
      <c r="S52" s="187"/>
      <c r="T52" s="187"/>
      <c r="U52" s="187"/>
    </row>
    <row r="53">
      <c r="A53" s="187"/>
      <c r="B53" s="188"/>
      <c r="C53" s="192"/>
      <c r="D53" s="193"/>
      <c r="E53" s="193"/>
      <c r="F53" s="194"/>
      <c r="G53" s="193"/>
      <c r="H53" s="195"/>
      <c r="I53" s="197"/>
      <c r="J53" s="187"/>
      <c r="K53" s="187"/>
      <c r="L53" s="187"/>
      <c r="M53" s="187"/>
      <c r="N53" s="198"/>
      <c r="O53" s="187"/>
      <c r="P53" s="187"/>
      <c r="Q53" s="187"/>
      <c r="R53" s="187"/>
      <c r="S53" s="187"/>
      <c r="T53" s="187"/>
      <c r="U53" s="187"/>
    </row>
    <row r="54">
      <c r="A54" s="187"/>
      <c r="B54" s="188"/>
      <c r="C54" s="192"/>
      <c r="D54" s="193"/>
      <c r="E54" s="193"/>
      <c r="F54" s="194"/>
      <c r="G54" s="193"/>
      <c r="H54" s="195"/>
      <c r="I54" s="197"/>
      <c r="J54" s="187"/>
      <c r="K54" s="187"/>
      <c r="L54" s="187"/>
      <c r="M54" s="187"/>
      <c r="N54" s="198"/>
      <c r="O54" s="187"/>
      <c r="P54" s="187"/>
      <c r="Q54" s="187"/>
      <c r="R54" s="187"/>
      <c r="S54" s="187"/>
      <c r="T54" s="187"/>
      <c r="U54" s="187"/>
    </row>
    <row r="55">
      <c r="A55" s="187"/>
      <c r="B55" s="188"/>
      <c r="C55" s="192"/>
      <c r="D55" s="193"/>
      <c r="E55" s="193"/>
      <c r="F55" s="194"/>
      <c r="G55" s="193"/>
      <c r="H55" s="195"/>
      <c r="I55" s="197"/>
      <c r="J55" s="187"/>
      <c r="K55" s="187"/>
      <c r="L55" s="187"/>
      <c r="M55" s="187"/>
      <c r="N55" s="198"/>
      <c r="O55" s="187"/>
      <c r="P55" s="187"/>
      <c r="Q55" s="187"/>
      <c r="R55" s="187"/>
      <c r="S55" s="187"/>
      <c r="T55" s="187"/>
      <c r="U55" s="187"/>
    </row>
    <row r="56">
      <c r="A56" s="187"/>
      <c r="B56" s="188"/>
      <c r="C56" s="192"/>
      <c r="D56" s="193"/>
      <c r="E56" s="193"/>
      <c r="F56" s="194"/>
      <c r="G56" s="193"/>
      <c r="H56" s="195"/>
      <c r="I56" s="197"/>
      <c r="J56" s="187"/>
      <c r="K56" s="187"/>
      <c r="L56" s="187"/>
      <c r="M56" s="187"/>
      <c r="N56" s="198"/>
      <c r="O56" s="187"/>
      <c r="P56" s="187"/>
      <c r="Q56" s="187"/>
      <c r="R56" s="187"/>
      <c r="S56" s="187"/>
      <c r="T56" s="187"/>
      <c r="U56" s="187"/>
    </row>
    <row r="57">
      <c r="A57" s="187"/>
      <c r="B57" s="188"/>
      <c r="C57" s="192"/>
      <c r="D57" s="193"/>
      <c r="E57" s="193"/>
      <c r="F57" s="194"/>
      <c r="G57" s="193"/>
      <c r="H57" s="195"/>
      <c r="I57" s="197"/>
      <c r="J57" s="187"/>
      <c r="K57" s="187"/>
      <c r="L57" s="187"/>
      <c r="M57" s="187"/>
      <c r="N57" s="198"/>
      <c r="O57" s="187"/>
      <c r="P57" s="187"/>
      <c r="Q57" s="187"/>
      <c r="R57" s="187"/>
      <c r="S57" s="187"/>
      <c r="T57" s="187"/>
      <c r="U57" s="187"/>
    </row>
    <row r="58">
      <c r="A58" s="187"/>
      <c r="B58" s="188"/>
      <c r="C58" s="192"/>
      <c r="D58" s="193"/>
      <c r="E58" s="193"/>
      <c r="F58" s="194"/>
      <c r="G58" s="193"/>
      <c r="H58" s="195"/>
      <c r="I58" s="197"/>
      <c r="J58" s="187"/>
      <c r="K58" s="187"/>
      <c r="L58" s="187"/>
      <c r="M58" s="187"/>
      <c r="N58" s="198"/>
      <c r="O58" s="187"/>
      <c r="P58" s="187"/>
      <c r="Q58" s="187"/>
      <c r="R58" s="187"/>
      <c r="S58" s="187"/>
      <c r="T58" s="187"/>
      <c r="U58" s="187"/>
    </row>
    <row r="59">
      <c r="A59" s="187"/>
      <c r="B59" s="188"/>
      <c r="C59" s="192"/>
      <c r="D59" s="193"/>
      <c r="E59" s="193"/>
      <c r="F59" s="194"/>
      <c r="G59" s="193"/>
      <c r="H59" s="195"/>
      <c r="I59" s="197"/>
      <c r="J59" s="187"/>
      <c r="K59" s="187"/>
      <c r="L59" s="187"/>
      <c r="M59" s="187"/>
      <c r="N59" s="198"/>
      <c r="O59" s="187"/>
      <c r="P59" s="187"/>
      <c r="Q59" s="187"/>
      <c r="R59" s="187"/>
      <c r="S59" s="187"/>
      <c r="T59" s="187"/>
      <c r="U59" s="187"/>
    </row>
    <row r="60">
      <c r="A60" s="187"/>
      <c r="B60" s="188"/>
      <c r="C60" s="192"/>
      <c r="D60" s="193"/>
      <c r="E60" s="193"/>
      <c r="F60" s="194"/>
      <c r="G60" s="193"/>
      <c r="H60" s="195"/>
      <c r="I60" s="197"/>
      <c r="J60" s="187"/>
      <c r="K60" s="187"/>
      <c r="L60" s="187"/>
      <c r="M60" s="187"/>
      <c r="N60" s="198"/>
      <c r="O60" s="187"/>
      <c r="P60" s="187"/>
      <c r="Q60" s="187"/>
      <c r="R60" s="187"/>
      <c r="S60" s="187"/>
      <c r="T60" s="187"/>
      <c r="U60" s="187"/>
    </row>
    <row r="61">
      <c r="A61" s="187"/>
      <c r="B61" s="188"/>
      <c r="C61" s="192"/>
      <c r="D61" s="193"/>
      <c r="E61" s="193"/>
      <c r="F61" s="194"/>
      <c r="G61" s="193"/>
      <c r="H61" s="195"/>
      <c r="I61" s="197"/>
      <c r="J61" s="187"/>
      <c r="K61" s="187"/>
      <c r="L61" s="187"/>
      <c r="M61" s="187"/>
      <c r="N61" s="198"/>
      <c r="O61" s="187"/>
      <c r="P61" s="187"/>
      <c r="Q61" s="187"/>
      <c r="R61" s="187"/>
      <c r="S61" s="187"/>
      <c r="T61" s="187"/>
      <c r="U61" s="187"/>
    </row>
    <row r="62">
      <c r="A62" s="187"/>
      <c r="B62" s="188"/>
      <c r="C62" s="192"/>
      <c r="D62" s="193"/>
      <c r="E62" s="193"/>
      <c r="F62" s="194"/>
      <c r="G62" s="193"/>
      <c r="H62" s="195"/>
      <c r="I62" s="197"/>
      <c r="J62" s="187"/>
      <c r="K62" s="187"/>
      <c r="L62" s="187"/>
      <c r="M62" s="187"/>
      <c r="N62" s="198"/>
      <c r="O62" s="187"/>
      <c r="P62" s="187"/>
      <c r="Q62" s="187"/>
      <c r="R62" s="187"/>
      <c r="S62" s="187"/>
      <c r="T62" s="187"/>
      <c r="U62" s="187"/>
    </row>
    <row r="63">
      <c r="A63" s="187"/>
      <c r="B63" s="188"/>
      <c r="C63" s="192"/>
      <c r="D63" s="193"/>
      <c r="E63" s="193"/>
      <c r="F63" s="194"/>
      <c r="G63" s="193"/>
      <c r="H63" s="195"/>
      <c r="I63" s="197"/>
      <c r="J63" s="187"/>
      <c r="K63" s="187"/>
      <c r="L63" s="187"/>
      <c r="M63" s="187"/>
      <c r="N63" s="198"/>
      <c r="O63" s="187"/>
      <c r="P63" s="187"/>
      <c r="Q63" s="187"/>
      <c r="R63" s="187"/>
      <c r="S63" s="187"/>
      <c r="T63" s="187"/>
      <c r="U63" s="187"/>
    </row>
    <row r="64">
      <c r="A64" s="187"/>
      <c r="B64" s="188"/>
      <c r="C64" s="192"/>
      <c r="D64" s="193"/>
      <c r="E64" s="193"/>
      <c r="F64" s="194"/>
      <c r="G64" s="193"/>
      <c r="H64" s="195"/>
      <c r="I64" s="197"/>
      <c r="J64" s="187"/>
      <c r="K64" s="187"/>
      <c r="L64" s="187"/>
      <c r="M64" s="187"/>
      <c r="N64" s="198"/>
      <c r="O64" s="187"/>
      <c r="P64" s="187"/>
      <c r="Q64" s="187"/>
      <c r="R64" s="187"/>
      <c r="S64" s="187"/>
      <c r="T64" s="187"/>
      <c r="U64" s="187"/>
    </row>
    <row r="65">
      <c r="A65" s="187"/>
      <c r="B65" s="188"/>
      <c r="C65" s="192"/>
      <c r="D65" s="193"/>
      <c r="E65" s="193"/>
      <c r="F65" s="194"/>
      <c r="G65" s="193"/>
      <c r="H65" s="195"/>
      <c r="I65" s="197"/>
      <c r="J65" s="187"/>
      <c r="K65" s="187"/>
      <c r="L65" s="187"/>
      <c r="M65" s="187"/>
      <c r="N65" s="198"/>
      <c r="O65" s="187"/>
      <c r="P65" s="187"/>
      <c r="Q65" s="187"/>
      <c r="R65" s="187"/>
      <c r="S65" s="187"/>
      <c r="T65" s="187"/>
      <c r="U65" s="187"/>
    </row>
    <row r="66">
      <c r="A66" s="187"/>
      <c r="B66" s="188"/>
      <c r="C66" s="192"/>
      <c r="D66" s="193"/>
      <c r="E66" s="193"/>
      <c r="F66" s="194"/>
      <c r="G66" s="193"/>
      <c r="H66" s="195"/>
      <c r="I66" s="197"/>
      <c r="J66" s="187"/>
      <c r="K66" s="187"/>
      <c r="L66" s="187"/>
      <c r="M66" s="187"/>
      <c r="N66" s="198"/>
      <c r="O66" s="187"/>
      <c r="P66" s="187"/>
      <c r="Q66" s="187"/>
      <c r="R66" s="187"/>
      <c r="S66" s="187"/>
      <c r="T66" s="187"/>
      <c r="U66" s="187"/>
    </row>
    <row r="67">
      <c r="A67" s="187"/>
      <c r="B67" s="188"/>
      <c r="C67" s="192"/>
      <c r="D67" s="193"/>
      <c r="E67" s="193"/>
      <c r="F67" s="194"/>
      <c r="G67" s="193"/>
      <c r="H67" s="195"/>
      <c r="I67" s="197"/>
      <c r="J67" s="187"/>
      <c r="K67" s="187"/>
      <c r="L67" s="187"/>
      <c r="M67" s="187"/>
      <c r="N67" s="198"/>
      <c r="O67" s="187"/>
      <c r="P67" s="187"/>
      <c r="Q67" s="187"/>
      <c r="R67" s="187"/>
      <c r="S67" s="187"/>
      <c r="T67" s="187"/>
      <c r="U67" s="187"/>
    </row>
    <row r="68">
      <c r="A68" s="187"/>
      <c r="B68" s="188"/>
      <c r="C68" s="192"/>
      <c r="D68" s="193"/>
      <c r="E68" s="193"/>
      <c r="F68" s="194"/>
      <c r="G68" s="193"/>
      <c r="H68" s="195"/>
      <c r="I68" s="197"/>
      <c r="J68" s="187"/>
      <c r="K68" s="187"/>
      <c r="L68" s="187"/>
      <c r="M68" s="187"/>
      <c r="N68" s="198"/>
      <c r="O68" s="187"/>
      <c r="P68" s="187"/>
      <c r="Q68" s="187"/>
      <c r="R68" s="187"/>
      <c r="S68" s="187"/>
      <c r="T68" s="187"/>
      <c r="U68" s="187"/>
    </row>
    <row r="69">
      <c r="A69" s="187"/>
      <c r="B69" s="188"/>
      <c r="C69" s="192"/>
      <c r="D69" s="193"/>
      <c r="E69" s="193"/>
      <c r="F69" s="194"/>
      <c r="G69" s="193"/>
      <c r="H69" s="195"/>
      <c r="I69" s="197"/>
      <c r="J69" s="187"/>
      <c r="K69" s="187"/>
      <c r="L69" s="187"/>
      <c r="M69" s="187"/>
      <c r="N69" s="198"/>
      <c r="O69" s="187"/>
      <c r="P69" s="187"/>
      <c r="Q69" s="187"/>
      <c r="R69" s="187"/>
      <c r="S69" s="187"/>
      <c r="T69" s="187"/>
      <c r="U69" s="187"/>
    </row>
    <row r="70">
      <c r="A70" s="187"/>
      <c r="B70" s="188"/>
      <c r="C70" s="192"/>
      <c r="D70" s="193"/>
      <c r="E70" s="193"/>
      <c r="F70" s="194"/>
      <c r="G70" s="193"/>
      <c r="H70" s="195"/>
      <c r="I70" s="197"/>
      <c r="J70" s="187"/>
      <c r="K70" s="187"/>
      <c r="L70" s="187"/>
      <c r="M70" s="187"/>
      <c r="N70" s="198"/>
      <c r="O70" s="187"/>
      <c r="P70" s="187"/>
      <c r="Q70" s="187"/>
      <c r="R70" s="187"/>
      <c r="S70" s="187"/>
      <c r="T70" s="187"/>
      <c r="U70" s="187"/>
    </row>
    <row r="71">
      <c r="A71" s="187"/>
      <c r="B71" s="188"/>
      <c r="C71" s="192"/>
      <c r="D71" s="193"/>
      <c r="E71" s="193"/>
      <c r="F71" s="194"/>
      <c r="G71" s="193"/>
      <c r="H71" s="195"/>
      <c r="I71" s="197"/>
      <c r="J71" s="187"/>
      <c r="K71" s="187"/>
      <c r="L71" s="187"/>
      <c r="M71" s="187"/>
      <c r="N71" s="198"/>
      <c r="O71" s="187"/>
      <c r="P71" s="187"/>
      <c r="Q71" s="187"/>
      <c r="R71" s="187"/>
      <c r="S71" s="187"/>
      <c r="T71" s="187"/>
      <c r="U71" s="187"/>
    </row>
    <row r="72">
      <c r="A72" s="187"/>
      <c r="B72" s="188"/>
      <c r="C72" s="192"/>
      <c r="D72" s="193"/>
      <c r="E72" s="193"/>
      <c r="F72" s="194"/>
      <c r="G72" s="193"/>
      <c r="H72" s="195"/>
      <c r="I72" s="197"/>
      <c r="J72" s="187"/>
      <c r="K72" s="187"/>
      <c r="L72" s="187"/>
      <c r="M72" s="187"/>
      <c r="N72" s="198"/>
      <c r="O72" s="187"/>
      <c r="P72" s="187"/>
      <c r="Q72" s="187"/>
      <c r="R72" s="187"/>
      <c r="S72" s="187"/>
      <c r="T72" s="187"/>
      <c r="U72" s="187"/>
    </row>
    <row r="73">
      <c r="A73" s="187"/>
      <c r="B73" s="188"/>
      <c r="C73" s="192"/>
      <c r="D73" s="193"/>
      <c r="E73" s="193"/>
      <c r="F73" s="194"/>
      <c r="G73" s="193"/>
      <c r="H73" s="195"/>
      <c r="I73" s="197"/>
      <c r="J73" s="187"/>
      <c r="K73" s="187"/>
      <c r="L73" s="187"/>
      <c r="M73" s="187"/>
      <c r="N73" s="198"/>
      <c r="O73" s="187"/>
      <c r="P73" s="187"/>
      <c r="Q73" s="187"/>
      <c r="R73" s="187"/>
      <c r="S73" s="187"/>
      <c r="T73" s="187"/>
      <c r="U73" s="187"/>
    </row>
    <row r="74">
      <c r="A74" s="187"/>
      <c r="B74" s="188"/>
      <c r="C74" s="192"/>
      <c r="D74" s="193"/>
      <c r="E74" s="193"/>
      <c r="F74" s="194"/>
      <c r="G74" s="193"/>
      <c r="H74" s="195"/>
      <c r="I74" s="197"/>
      <c r="J74" s="187"/>
      <c r="K74" s="187"/>
      <c r="L74" s="187"/>
      <c r="M74" s="187"/>
      <c r="N74" s="198"/>
      <c r="O74" s="187"/>
      <c r="P74" s="187"/>
      <c r="Q74" s="187"/>
      <c r="R74" s="187"/>
      <c r="S74" s="187"/>
      <c r="T74" s="187"/>
      <c r="U74" s="187"/>
    </row>
    <row r="75">
      <c r="A75" s="187"/>
      <c r="B75" s="188"/>
      <c r="C75" s="192"/>
      <c r="D75" s="193"/>
      <c r="E75" s="193"/>
      <c r="F75" s="194"/>
      <c r="G75" s="193"/>
      <c r="H75" s="195"/>
      <c r="I75" s="197"/>
      <c r="J75" s="187"/>
      <c r="K75" s="187"/>
      <c r="L75" s="187"/>
      <c r="M75" s="187"/>
      <c r="N75" s="198"/>
      <c r="O75" s="187"/>
      <c r="P75" s="187"/>
      <c r="Q75" s="187"/>
      <c r="R75" s="187"/>
      <c r="S75" s="187"/>
      <c r="T75" s="187"/>
      <c r="U75" s="187"/>
    </row>
    <row r="76">
      <c r="A76" s="187"/>
      <c r="B76" s="188"/>
      <c r="C76" s="192"/>
      <c r="D76" s="193"/>
      <c r="E76" s="193"/>
      <c r="F76" s="194"/>
      <c r="G76" s="193"/>
      <c r="H76" s="195"/>
      <c r="I76" s="197"/>
      <c r="J76" s="187"/>
      <c r="K76" s="187"/>
      <c r="L76" s="187"/>
      <c r="M76" s="187"/>
      <c r="N76" s="198"/>
      <c r="O76" s="187"/>
      <c r="P76" s="187"/>
      <c r="Q76" s="187"/>
      <c r="R76" s="187"/>
      <c r="S76" s="187"/>
      <c r="T76" s="187"/>
      <c r="U76" s="187"/>
    </row>
    <row r="77">
      <c r="A77" s="187"/>
      <c r="B77" s="188"/>
      <c r="C77" s="192"/>
      <c r="D77" s="193"/>
      <c r="E77" s="193"/>
      <c r="F77" s="194"/>
      <c r="G77" s="193"/>
      <c r="H77" s="195"/>
      <c r="I77" s="197"/>
      <c r="J77" s="187"/>
      <c r="K77" s="187"/>
      <c r="L77" s="187"/>
      <c r="M77" s="187"/>
      <c r="N77" s="198"/>
      <c r="O77" s="187"/>
      <c r="P77" s="187"/>
      <c r="Q77" s="187"/>
      <c r="R77" s="187"/>
      <c r="S77" s="187"/>
      <c r="T77" s="187"/>
      <c r="U77" s="187"/>
    </row>
    <row r="78">
      <c r="A78" s="187"/>
      <c r="B78" s="188"/>
      <c r="C78" s="192"/>
      <c r="D78" s="193"/>
      <c r="E78" s="193"/>
      <c r="F78" s="194"/>
      <c r="G78" s="193"/>
      <c r="H78" s="195"/>
      <c r="I78" s="197"/>
      <c r="J78" s="187"/>
      <c r="K78" s="187"/>
      <c r="L78" s="187"/>
      <c r="M78" s="187"/>
      <c r="N78" s="198"/>
      <c r="O78" s="187"/>
      <c r="P78" s="187"/>
      <c r="Q78" s="187"/>
      <c r="R78" s="187"/>
      <c r="S78" s="187"/>
      <c r="T78" s="187"/>
      <c r="U78" s="187"/>
    </row>
    <row r="79">
      <c r="A79" s="187"/>
      <c r="B79" s="188"/>
      <c r="C79" s="192"/>
      <c r="D79" s="193"/>
      <c r="E79" s="193"/>
      <c r="F79" s="194"/>
      <c r="G79" s="193"/>
      <c r="H79" s="195"/>
      <c r="I79" s="197"/>
      <c r="J79" s="187"/>
      <c r="K79" s="187"/>
      <c r="L79" s="187"/>
      <c r="M79" s="187"/>
      <c r="N79" s="198"/>
      <c r="O79" s="187"/>
      <c r="P79" s="187"/>
      <c r="Q79" s="187"/>
      <c r="R79" s="187"/>
      <c r="S79" s="187"/>
      <c r="T79" s="187"/>
      <c r="U79" s="187"/>
    </row>
    <row r="80">
      <c r="A80" s="187"/>
      <c r="B80" s="188"/>
      <c r="C80" s="192"/>
      <c r="D80" s="193"/>
      <c r="E80" s="193"/>
      <c r="F80" s="194"/>
      <c r="G80" s="193"/>
      <c r="H80" s="195"/>
      <c r="I80" s="197"/>
      <c r="J80" s="187"/>
      <c r="K80" s="187"/>
      <c r="L80" s="187"/>
      <c r="M80" s="187"/>
      <c r="N80" s="198"/>
      <c r="O80" s="187"/>
      <c r="P80" s="187"/>
      <c r="Q80" s="187"/>
      <c r="R80" s="187"/>
      <c r="S80" s="187"/>
      <c r="T80" s="187"/>
      <c r="U80" s="187"/>
    </row>
    <row r="81">
      <c r="A81" s="187"/>
      <c r="B81" s="188"/>
      <c r="C81" s="192"/>
      <c r="D81" s="193"/>
      <c r="E81" s="193"/>
      <c r="F81" s="194"/>
      <c r="G81" s="193"/>
      <c r="H81" s="195"/>
      <c r="I81" s="197"/>
      <c r="J81" s="187"/>
      <c r="K81" s="187"/>
      <c r="L81" s="187"/>
      <c r="M81" s="187"/>
      <c r="N81" s="198"/>
      <c r="O81" s="187"/>
      <c r="P81" s="187"/>
      <c r="Q81" s="187"/>
      <c r="R81" s="187"/>
      <c r="S81" s="187"/>
      <c r="T81" s="187"/>
      <c r="U81" s="187"/>
    </row>
    <row r="82">
      <c r="A82" s="187"/>
      <c r="B82" s="188"/>
      <c r="C82" s="192"/>
      <c r="D82" s="193"/>
      <c r="E82" s="193"/>
      <c r="F82" s="194"/>
      <c r="G82" s="193"/>
      <c r="H82" s="195"/>
      <c r="I82" s="197"/>
      <c r="J82" s="187"/>
      <c r="K82" s="187"/>
      <c r="L82" s="187"/>
      <c r="M82" s="187"/>
      <c r="N82" s="198"/>
      <c r="O82" s="187"/>
      <c r="P82" s="187"/>
      <c r="Q82" s="187"/>
      <c r="R82" s="187"/>
      <c r="S82" s="187"/>
      <c r="T82" s="187"/>
      <c r="U82" s="187"/>
    </row>
    <row r="83">
      <c r="A83" s="187"/>
      <c r="B83" s="188"/>
      <c r="C83" s="192"/>
      <c r="D83" s="193"/>
      <c r="E83" s="193"/>
      <c r="F83" s="194"/>
      <c r="G83" s="193"/>
      <c r="H83" s="195"/>
      <c r="I83" s="197"/>
      <c r="J83" s="187"/>
      <c r="K83" s="187"/>
      <c r="L83" s="187"/>
      <c r="M83" s="187"/>
      <c r="N83" s="198"/>
      <c r="O83" s="187"/>
      <c r="P83" s="187"/>
      <c r="Q83" s="187"/>
      <c r="R83" s="187"/>
      <c r="S83" s="187"/>
      <c r="T83" s="187"/>
      <c r="U83" s="187"/>
    </row>
    <row r="84">
      <c r="A84" s="187"/>
      <c r="B84" s="188"/>
      <c r="C84" s="192"/>
      <c r="D84" s="193"/>
      <c r="E84" s="193"/>
      <c r="F84" s="194"/>
      <c r="G84" s="193"/>
      <c r="H84" s="195"/>
      <c r="I84" s="197"/>
      <c r="J84" s="187"/>
      <c r="K84" s="187"/>
      <c r="L84" s="187"/>
      <c r="M84" s="187"/>
      <c r="N84" s="198"/>
      <c r="O84" s="187"/>
      <c r="P84" s="187"/>
      <c r="Q84" s="187"/>
      <c r="R84" s="187"/>
      <c r="S84" s="187"/>
      <c r="T84" s="187"/>
      <c r="U84" s="187"/>
    </row>
    <row r="85">
      <c r="A85" s="187"/>
      <c r="B85" s="188"/>
      <c r="C85" s="192"/>
      <c r="D85" s="193"/>
      <c r="E85" s="193"/>
      <c r="F85" s="194"/>
      <c r="G85" s="193"/>
      <c r="H85" s="195"/>
      <c r="I85" s="197"/>
      <c r="J85" s="187"/>
      <c r="K85" s="187"/>
      <c r="L85" s="187"/>
      <c r="M85" s="187"/>
      <c r="N85" s="198"/>
      <c r="O85" s="187"/>
      <c r="P85" s="187"/>
      <c r="Q85" s="187"/>
      <c r="R85" s="187"/>
      <c r="S85" s="187"/>
      <c r="T85" s="187"/>
      <c r="U85" s="187"/>
    </row>
    <row r="86">
      <c r="A86" s="187"/>
      <c r="B86" s="188"/>
      <c r="C86" s="192"/>
      <c r="D86" s="193"/>
      <c r="E86" s="193"/>
      <c r="F86" s="194"/>
      <c r="G86" s="193"/>
      <c r="H86" s="195"/>
      <c r="I86" s="197"/>
      <c r="J86" s="187"/>
      <c r="K86" s="187"/>
      <c r="L86" s="187"/>
      <c r="M86" s="187"/>
      <c r="N86" s="198"/>
      <c r="O86" s="187"/>
      <c r="P86" s="187"/>
      <c r="Q86" s="187"/>
      <c r="R86" s="187"/>
      <c r="S86" s="187"/>
      <c r="T86" s="187"/>
      <c r="U86" s="187"/>
    </row>
    <row r="87">
      <c r="A87" s="187"/>
      <c r="B87" s="188"/>
      <c r="C87" s="192"/>
      <c r="D87" s="193"/>
      <c r="E87" s="193"/>
      <c r="F87" s="194"/>
      <c r="G87" s="193"/>
      <c r="H87" s="195"/>
      <c r="I87" s="197"/>
      <c r="J87" s="187"/>
      <c r="K87" s="187"/>
      <c r="L87" s="187"/>
      <c r="M87" s="187"/>
      <c r="N87" s="198"/>
      <c r="O87" s="187"/>
      <c r="P87" s="187"/>
      <c r="Q87" s="187"/>
      <c r="R87" s="187"/>
      <c r="S87" s="187"/>
      <c r="T87" s="187"/>
      <c r="U87" s="187"/>
    </row>
    <row r="88">
      <c r="A88" s="187"/>
      <c r="B88" s="188"/>
      <c r="C88" s="192"/>
      <c r="D88" s="193"/>
      <c r="E88" s="193"/>
      <c r="F88" s="194"/>
      <c r="G88" s="193"/>
      <c r="H88" s="195"/>
      <c r="I88" s="197"/>
      <c r="J88" s="187"/>
      <c r="K88" s="187"/>
      <c r="L88" s="187"/>
      <c r="M88" s="187"/>
      <c r="N88" s="198"/>
      <c r="O88" s="187"/>
      <c r="P88" s="187"/>
      <c r="Q88" s="187"/>
      <c r="R88" s="187"/>
      <c r="S88" s="187"/>
      <c r="T88" s="187"/>
      <c r="U88" s="187"/>
    </row>
    <row r="89">
      <c r="A89" s="187"/>
      <c r="B89" s="188"/>
      <c r="C89" s="192"/>
      <c r="D89" s="193"/>
      <c r="E89" s="193"/>
      <c r="F89" s="194"/>
      <c r="G89" s="193"/>
      <c r="H89" s="195"/>
      <c r="I89" s="197"/>
      <c r="J89" s="187"/>
      <c r="K89" s="187"/>
      <c r="L89" s="187"/>
      <c r="M89" s="187"/>
      <c r="N89" s="198"/>
      <c r="O89" s="187"/>
      <c r="P89" s="187"/>
      <c r="Q89" s="187"/>
      <c r="R89" s="187"/>
      <c r="S89" s="187"/>
      <c r="T89" s="187"/>
      <c r="U89" s="187"/>
    </row>
    <row r="90">
      <c r="A90" s="187"/>
      <c r="B90" s="188"/>
      <c r="C90" s="192"/>
      <c r="D90" s="193"/>
      <c r="E90" s="193"/>
      <c r="F90" s="194"/>
      <c r="G90" s="193"/>
      <c r="H90" s="195"/>
      <c r="I90" s="197"/>
      <c r="J90" s="187"/>
      <c r="K90" s="187"/>
      <c r="L90" s="187"/>
      <c r="M90" s="187"/>
      <c r="N90" s="198"/>
      <c r="O90" s="187"/>
      <c r="P90" s="187"/>
      <c r="Q90" s="187"/>
      <c r="R90" s="187"/>
      <c r="S90" s="187"/>
      <c r="T90" s="187"/>
      <c r="U90" s="187"/>
    </row>
    <row r="91">
      <c r="A91" s="187"/>
      <c r="B91" s="188"/>
      <c r="C91" s="192"/>
      <c r="D91" s="193"/>
      <c r="E91" s="193"/>
      <c r="F91" s="194"/>
      <c r="G91" s="193"/>
      <c r="H91" s="195"/>
      <c r="I91" s="197"/>
      <c r="J91" s="187"/>
      <c r="K91" s="187"/>
      <c r="L91" s="187"/>
      <c r="M91" s="187"/>
      <c r="N91" s="198"/>
      <c r="O91" s="187"/>
      <c r="P91" s="187"/>
      <c r="Q91" s="187"/>
      <c r="R91" s="187"/>
      <c r="S91" s="187"/>
      <c r="T91" s="187"/>
      <c r="U91" s="187"/>
    </row>
    <row r="92">
      <c r="A92" s="187"/>
      <c r="B92" s="188"/>
      <c r="C92" s="192"/>
      <c r="D92" s="193"/>
      <c r="E92" s="193"/>
      <c r="F92" s="194"/>
      <c r="G92" s="193"/>
      <c r="H92" s="195"/>
      <c r="I92" s="197"/>
      <c r="J92" s="187"/>
      <c r="K92" s="187"/>
      <c r="L92" s="187"/>
      <c r="M92" s="187"/>
      <c r="N92" s="198"/>
      <c r="O92" s="187"/>
      <c r="P92" s="187"/>
      <c r="Q92" s="187"/>
      <c r="R92" s="187"/>
      <c r="S92" s="187"/>
      <c r="T92" s="187"/>
      <c r="U92" s="187"/>
    </row>
    <row r="93">
      <c r="A93" s="187"/>
      <c r="B93" s="188"/>
      <c r="C93" s="192"/>
      <c r="D93" s="193"/>
      <c r="E93" s="193"/>
      <c r="F93" s="194"/>
      <c r="G93" s="193"/>
      <c r="H93" s="195"/>
      <c r="I93" s="197"/>
      <c r="J93" s="187"/>
      <c r="K93" s="187"/>
      <c r="L93" s="187"/>
      <c r="M93" s="187"/>
      <c r="N93" s="198"/>
      <c r="O93" s="187"/>
      <c r="P93" s="187"/>
      <c r="Q93" s="187"/>
      <c r="R93" s="187"/>
      <c r="S93" s="187"/>
      <c r="T93" s="187"/>
      <c r="U93" s="187"/>
    </row>
    <row r="94">
      <c r="A94" s="187"/>
      <c r="B94" s="188"/>
      <c r="C94" s="192"/>
      <c r="D94" s="193"/>
      <c r="E94" s="193"/>
      <c r="F94" s="194"/>
      <c r="G94" s="193"/>
      <c r="H94" s="195"/>
      <c r="I94" s="197"/>
      <c r="J94" s="187"/>
      <c r="K94" s="187"/>
      <c r="L94" s="187"/>
      <c r="M94" s="187"/>
      <c r="N94" s="198"/>
      <c r="O94" s="187"/>
      <c r="P94" s="187"/>
      <c r="Q94" s="187"/>
      <c r="R94" s="187"/>
      <c r="S94" s="187"/>
      <c r="T94" s="187"/>
      <c r="U94" s="187"/>
    </row>
    <row r="95">
      <c r="A95" s="187"/>
      <c r="B95" s="188"/>
      <c r="C95" s="192"/>
      <c r="D95" s="193"/>
      <c r="E95" s="193"/>
      <c r="F95" s="194"/>
      <c r="G95" s="193"/>
      <c r="H95" s="195"/>
      <c r="I95" s="197"/>
      <c r="J95" s="187"/>
      <c r="K95" s="187"/>
      <c r="L95" s="187"/>
      <c r="M95" s="187"/>
      <c r="N95" s="198"/>
      <c r="O95" s="187"/>
      <c r="P95" s="187"/>
      <c r="Q95" s="187"/>
      <c r="R95" s="187"/>
      <c r="S95" s="187"/>
      <c r="T95" s="187"/>
      <c r="U95" s="187"/>
    </row>
    <row r="96">
      <c r="A96" s="187"/>
      <c r="B96" s="188"/>
      <c r="C96" s="192"/>
      <c r="D96" s="193"/>
      <c r="E96" s="193"/>
      <c r="F96" s="194"/>
      <c r="G96" s="193"/>
      <c r="H96" s="195"/>
      <c r="I96" s="197"/>
      <c r="J96" s="187"/>
      <c r="K96" s="187"/>
      <c r="L96" s="187"/>
      <c r="M96" s="187"/>
      <c r="N96" s="198"/>
      <c r="O96" s="187"/>
      <c r="P96" s="187"/>
      <c r="Q96" s="187"/>
      <c r="R96" s="187"/>
      <c r="S96" s="187"/>
      <c r="T96" s="187"/>
      <c r="U96" s="187"/>
    </row>
    <row r="97">
      <c r="A97" s="187"/>
      <c r="B97" s="188"/>
      <c r="C97" s="192"/>
      <c r="D97" s="193"/>
      <c r="E97" s="193"/>
      <c r="F97" s="194"/>
      <c r="G97" s="193"/>
      <c r="H97" s="195"/>
      <c r="I97" s="197"/>
      <c r="J97" s="187"/>
      <c r="K97" s="187"/>
      <c r="L97" s="187"/>
      <c r="M97" s="187"/>
      <c r="N97" s="198"/>
      <c r="O97" s="187"/>
      <c r="P97" s="187"/>
      <c r="Q97" s="187"/>
      <c r="R97" s="187"/>
      <c r="S97" s="187"/>
      <c r="T97" s="187"/>
      <c r="U97" s="187"/>
    </row>
    <row r="98">
      <c r="A98" s="187"/>
      <c r="B98" s="188"/>
      <c r="C98" s="192"/>
      <c r="D98" s="193"/>
      <c r="E98" s="193"/>
      <c r="F98" s="194"/>
      <c r="G98" s="193"/>
      <c r="H98" s="195"/>
      <c r="I98" s="197"/>
      <c r="J98" s="187"/>
      <c r="K98" s="187"/>
      <c r="L98" s="187"/>
      <c r="M98" s="187"/>
      <c r="N98" s="198"/>
      <c r="O98" s="187"/>
      <c r="P98" s="187"/>
      <c r="Q98" s="187"/>
      <c r="R98" s="187"/>
      <c r="S98" s="187"/>
      <c r="T98" s="187"/>
      <c r="U98" s="187"/>
    </row>
    <row r="99">
      <c r="A99" s="187"/>
      <c r="B99" s="188"/>
      <c r="C99" s="192"/>
      <c r="D99" s="193"/>
      <c r="E99" s="193"/>
      <c r="F99" s="194"/>
      <c r="G99" s="193"/>
      <c r="H99" s="195"/>
      <c r="I99" s="197"/>
      <c r="J99" s="187"/>
      <c r="K99" s="187"/>
      <c r="L99" s="187"/>
      <c r="M99" s="187"/>
      <c r="N99" s="198"/>
      <c r="O99" s="187"/>
      <c r="P99" s="187"/>
      <c r="Q99" s="187"/>
      <c r="R99" s="187"/>
      <c r="S99" s="187"/>
      <c r="T99" s="187"/>
      <c r="U99" s="187"/>
    </row>
    <row r="100">
      <c r="A100" s="187"/>
      <c r="B100" s="188"/>
      <c r="C100" s="192"/>
      <c r="D100" s="193"/>
      <c r="E100" s="193"/>
      <c r="F100" s="194"/>
      <c r="G100" s="193"/>
      <c r="H100" s="195"/>
      <c r="I100" s="197"/>
      <c r="J100" s="187"/>
      <c r="K100" s="187"/>
      <c r="L100" s="187"/>
      <c r="M100" s="187"/>
      <c r="N100" s="198"/>
      <c r="O100" s="187"/>
      <c r="P100" s="187"/>
      <c r="Q100" s="187"/>
      <c r="R100" s="187"/>
      <c r="S100" s="187"/>
      <c r="T100" s="187"/>
      <c r="U100" s="187"/>
    </row>
    <row r="101">
      <c r="A101" s="187"/>
      <c r="B101" s="188"/>
      <c r="C101" s="192"/>
      <c r="D101" s="193"/>
      <c r="E101" s="193"/>
      <c r="F101" s="194"/>
      <c r="G101" s="193"/>
      <c r="H101" s="195"/>
      <c r="I101" s="197"/>
      <c r="J101" s="187"/>
      <c r="K101" s="187"/>
      <c r="L101" s="187"/>
      <c r="M101" s="187"/>
      <c r="N101" s="198"/>
      <c r="O101" s="187"/>
      <c r="P101" s="187"/>
      <c r="Q101" s="187"/>
      <c r="R101" s="187"/>
      <c r="S101" s="187"/>
      <c r="T101" s="187"/>
      <c r="U101" s="187"/>
    </row>
    <row r="102">
      <c r="A102" s="187"/>
      <c r="B102" s="188"/>
      <c r="C102" s="192"/>
      <c r="D102" s="193"/>
      <c r="E102" s="193"/>
      <c r="F102" s="194"/>
      <c r="G102" s="193"/>
      <c r="H102" s="195"/>
      <c r="I102" s="197"/>
      <c r="J102" s="187"/>
      <c r="K102" s="187"/>
      <c r="L102" s="187"/>
      <c r="M102" s="187"/>
      <c r="N102" s="198"/>
      <c r="O102" s="187"/>
      <c r="P102" s="187"/>
      <c r="Q102" s="187"/>
      <c r="R102" s="187"/>
      <c r="S102" s="187"/>
      <c r="T102" s="187"/>
      <c r="U102" s="187"/>
    </row>
    <row r="103">
      <c r="A103" s="187"/>
      <c r="B103" s="188"/>
      <c r="C103" s="192"/>
      <c r="D103" s="193"/>
      <c r="E103" s="193"/>
      <c r="F103" s="194"/>
      <c r="G103" s="193"/>
      <c r="H103" s="195"/>
      <c r="I103" s="197"/>
      <c r="J103" s="187"/>
      <c r="K103" s="187"/>
      <c r="L103" s="187"/>
      <c r="M103" s="187"/>
      <c r="N103" s="198"/>
      <c r="O103" s="187"/>
      <c r="P103" s="187"/>
      <c r="Q103" s="187"/>
      <c r="R103" s="187"/>
      <c r="S103" s="187"/>
      <c r="T103" s="187"/>
      <c r="U103" s="187"/>
    </row>
    <row r="104">
      <c r="A104" s="187"/>
      <c r="B104" s="188"/>
      <c r="C104" s="192"/>
      <c r="D104" s="193"/>
      <c r="E104" s="193"/>
      <c r="F104" s="194"/>
      <c r="G104" s="193"/>
      <c r="H104" s="195"/>
      <c r="I104" s="197"/>
      <c r="J104" s="187"/>
      <c r="K104" s="187"/>
      <c r="L104" s="187"/>
      <c r="M104" s="187"/>
      <c r="N104" s="198"/>
      <c r="O104" s="187"/>
      <c r="P104" s="187"/>
      <c r="Q104" s="187"/>
      <c r="R104" s="187"/>
      <c r="S104" s="187"/>
      <c r="T104" s="187"/>
      <c r="U104" s="187"/>
    </row>
    <row r="105">
      <c r="A105" s="187"/>
      <c r="B105" s="188"/>
      <c r="C105" s="192"/>
      <c r="D105" s="193"/>
      <c r="E105" s="193"/>
      <c r="F105" s="194"/>
      <c r="G105" s="193"/>
      <c r="H105" s="195"/>
      <c r="I105" s="197"/>
      <c r="J105" s="187"/>
      <c r="K105" s="187"/>
      <c r="L105" s="187"/>
      <c r="M105" s="187"/>
      <c r="N105" s="198"/>
      <c r="O105" s="187"/>
      <c r="P105" s="187"/>
      <c r="Q105" s="187"/>
      <c r="R105" s="187"/>
      <c r="S105" s="187"/>
      <c r="T105" s="187"/>
      <c r="U105" s="187"/>
    </row>
    <row r="106">
      <c r="A106" s="187"/>
      <c r="B106" s="188"/>
      <c r="C106" s="192"/>
      <c r="D106" s="193"/>
      <c r="E106" s="193"/>
      <c r="F106" s="194"/>
      <c r="G106" s="193"/>
      <c r="H106" s="195"/>
      <c r="I106" s="197"/>
      <c r="J106" s="187"/>
      <c r="K106" s="187"/>
      <c r="L106" s="187"/>
      <c r="M106" s="187"/>
      <c r="N106" s="198"/>
      <c r="O106" s="187"/>
      <c r="P106" s="187"/>
      <c r="Q106" s="187"/>
      <c r="R106" s="187"/>
      <c r="S106" s="187"/>
      <c r="T106" s="187"/>
      <c r="U106" s="187"/>
    </row>
    <row r="107">
      <c r="A107" s="187"/>
      <c r="B107" s="188"/>
      <c r="C107" s="192"/>
      <c r="D107" s="193"/>
      <c r="E107" s="193"/>
      <c r="F107" s="194"/>
      <c r="G107" s="193"/>
      <c r="H107" s="195"/>
      <c r="I107" s="197"/>
      <c r="J107" s="187"/>
      <c r="K107" s="187"/>
      <c r="L107" s="187"/>
      <c r="M107" s="187"/>
      <c r="N107" s="198"/>
      <c r="O107" s="187"/>
      <c r="P107" s="187"/>
      <c r="Q107" s="187"/>
      <c r="R107" s="187"/>
      <c r="S107" s="187"/>
      <c r="T107" s="187"/>
      <c r="U107" s="187"/>
    </row>
    <row r="108">
      <c r="A108" s="187"/>
      <c r="B108" s="188"/>
      <c r="C108" s="192"/>
      <c r="D108" s="193"/>
      <c r="E108" s="193"/>
      <c r="F108" s="194"/>
      <c r="G108" s="193"/>
      <c r="H108" s="195"/>
      <c r="I108" s="197"/>
      <c r="J108" s="187"/>
      <c r="K108" s="187"/>
      <c r="L108" s="187"/>
      <c r="M108" s="187"/>
      <c r="N108" s="198"/>
      <c r="O108" s="187"/>
      <c r="P108" s="187"/>
      <c r="Q108" s="187"/>
      <c r="R108" s="187"/>
      <c r="S108" s="187"/>
      <c r="T108" s="187"/>
      <c r="U108" s="187"/>
    </row>
    <row r="109">
      <c r="A109" s="187"/>
      <c r="B109" s="188"/>
      <c r="C109" s="192"/>
      <c r="D109" s="193"/>
      <c r="E109" s="193"/>
      <c r="F109" s="194"/>
      <c r="G109" s="193"/>
      <c r="H109" s="195"/>
      <c r="I109" s="197"/>
      <c r="J109" s="187"/>
      <c r="K109" s="187"/>
      <c r="L109" s="187"/>
      <c r="M109" s="187"/>
      <c r="N109" s="198"/>
      <c r="O109" s="187"/>
      <c r="P109" s="187"/>
      <c r="Q109" s="187"/>
      <c r="R109" s="187"/>
      <c r="S109" s="187"/>
      <c r="T109" s="187"/>
      <c r="U109" s="187"/>
    </row>
    <row r="110">
      <c r="A110" s="187"/>
      <c r="B110" s="188"/>
      <c r="C110" s="192"/>
      <c r="D110" s="193"/>
      <c r="E110" s="193"/>
      <c r="F110" s="194"/>
      <c r="G110" s="193"/>
      <c r="H110" s="195"/>
      <c r="I110" s="197"/>
      <c r="J110" s="187"/>
      <c r="K110" s="187"/>
      <c r="L110" s="187"/>
      <c r="M110" s="187"/>
      <c r="N110" s="198"/>
      <c r="O110" s="187"/>
      <c r="P110" s="187"/>
      <c r="Q110" s="187"/>
      <c r="R110" s="187"/>
      <c r="S110" s="187"/>
      <c r="T110" s="187"/>
      <c r="U110" s="187"/>
    </row>
    <row r="111">
      <c r="A111" s="187"/>
      <c r="B111" s="188"/>
      <c r="C111" s="192"/>
      <c r="D111" s="193"/>
      <c r="E111" s="193"/>
      <c r="F111" s="194"/>
      <c r="G111" s="193"/>
      <c r="H111" s="195"/>
      <c r="I111" s="197"/>
      <c r="J111" s="187"/>
      <c r="K111" s="187"/>
      <c r="L111" s="187"/>
      <c r="M111" s="187"/>
      <c r="N111" s="198"/>
      <c r="O111" s="187"/>
      <c r="P111" s="187"/>
      <c r="Q111" s="187"/>
      <c r="R111" s="187"/>
      <c r="S111" s="187"/>
      <c r="T111" s="187"/>
      <c r="U111" s="187"/>
    </row>
    <row r="112">
      <c r="A112" s="187"/>
      <c r="B112" s="188"/>
      <c r="C112" s="192"/>
      <c r="D112" s="193"/>
      <c r="E112" s="193"/>
      <c r="F112" s="194"/>
      <c r="G112" s="193"/>
      <c r="H112" s="195"/>
      <c r="I112" s="197"/>
      <c r="J112" s="187"/>
      <c r="K112" s="187"/>
      <c r="L112" s="187"/>
      <c r="M112" s="187"/>
      <c r="N112" s="198"/>
      <c r="O112" s="187"/>
      <c r="P112" s="187"/>
      <c r="Q112" s="187"/>
      <c r="R112" s="187"/>
      <c r="S112" s="187"/>
      <c r="T112" s="187"/>
      <c r="U112" s="187"/>
    </row>
    <row r="113">
      <c r="A113" s="187"/>
      <c r="B113" s="188"/>
      <c r="C113" s="192"/>
      <c r="D113" s="193"/>
      <c r="E113" s="193"/>
      <c r="F113" s="194"/>
      <c r="G113" s="193"/>
      <c r="H113" s="195"/>
      <c r="I113" s="197"/>
      <c r="J113" s="187"/>
      <c r="K113" s="187"/>
      <c r="L113" s="187"/>
      <c r="M113" s="187"/>
      <c r="N113" s="198"/>
      <c r="O113" s="187"/>
      <c r="P113" s="187"/>
      <c r="Q113" s="187"/>
      <c r="R113" s="187"/>
      <c r="S113" s="187"/>
      <c r="T113" s="187"/>
      <c r="U113" s="187"/>
    </row>
    <row r="114">
      <c r="A114" s="187"/>
      <c r="B114" s="188"/>
      <c r="C114" s="192"/>
      <c r="D114" s="193"/>
      <c r="E114" s="193"/>
      <c r="F114" s="194"/>
      <c r="G114" s="193"/>
      <c r="H114" s="195"/>
      <c r="I114" s="197"/>
      <c r="J114" s="187"/>
      <c r="K114" s="187"/>
      <c r="L114" s="187"/>
      <c r="M114" s="187"/>
      <c r="N114" s="198"/>
      <c r="O114" s="187"/>
      <c r="P114" s="187"/>
      <c r="Q114" s="187"/>
      <c r="R114" s="187"/>
      <c r="S114" s="187"/>
      <c r="T114" s="187"/>
      <c r="U114" s="187"/>
    </row>
    <row r="115">
      <c r="A115" s="187"/>
      <c r="B115" s="188"/>
      <c r="C115" s="192"/>
      <c r="D115" s="193"/>
      <c r="E115" s="193"/>
      <c r="F115" s="194"/>
      <c r="G115" s="193"/>
      <c r="H115" s="195"/>
      <c r="I115" s="197"/>
      <c r="J115" s="187"/>
      <c r="K115" s="187"/>
      <c r="L115" s="187"/>
      <c r="M115" s="187"/>
      <c r="N115" s="198"/>
      <c r="O115" s="187"/>
      <c r="P115" s="187"/>
      <c r="Q115" s="187"/>
      <c r="R115" s="187"/>
      <c r="S115" s="187"/>
      <c r="T115" s="187"/>
      <c r="U115" s="187"/>
    </row>
    <row r="116">
      <c r="A116" s="187"/>
      <c r="B116" s="188"/>
      <c r="C116" s="192"/>
      <c r="D116" s="193"/>
      <c r="E116" s="193"/>
      <c r="F116" s="194"/>
      <c r="G116" s="193"/>
      <c r="H116" s="195"/>
      <c r="I116" s="197"/>
      <c r="J116" s="187"/>
      <c r="K116" s="187"/>
      <c r="L116" s="187"/>
      <c r="M116" s="187"/>
      <c r="N116" s="198"/>
      <c r="O116" s="187"/>
      <c r="P116" s="187"/>
      <c r="Q116" s="187"/>
      <c r="R116" s="187"/>
      <c r="S116" s="187"/>
      <c r="T116" s="187"/>
      <c r="U116" s="187"/>
    </row>
    <row r="117">
      <c r="A117" s="187"/>
      <c r="B117" s="188"/>
      <c r="C117" s="192"/>
      <c r="D117" s="193"/>
      <c r="E117" s="193"/>
      <c r="F117" s="194"/>
      <c r="G117" s="193"/>
      <c r="H117" s="195"/>
      <c r="I117" s="197"/>
      <c r="J117" s="187"/>
      <c r="K117" s="187"/>
      <c r="L117" s="187"/>
      <c r="M117" s="187"/>
      <c r="N117" s="198"/>
      <c r="O117" s="187"/>
      <c r="P117" s="187"/>
      <c r="Q117" s="187"/>
      <c r="R117" s="187"/>
      <c r="S117" s="187"/>
      <c r="T117" s="187"/>
      <c r="U117" s="187"/>
    </row>
    <row r="118">
      <c r="A118" s="187"/>
      <c r="B118" s="188"/>
      <c r="C118" s="192"/>
      <c r="D118" s="193"/>
      <c r="E118" s="193"/>
      <c r="F118" s="194"/>
      <c r="G118" s="193"/>
      <c r="H118" s="195"/>
      <c r="I118" s="197"/>
      <c r="J118" s="187"/>
      <c r="K118" s="187"/>
      <c r="L118" s="187"/>
      <c r="M118" s="187"/>
      <c r="N118" s="198"/>
      <c r="O118" s="187"/>
      <c r="P118" s="187"/>
      <c r="Q118" s="187"/>
      <c r="R118" s="187"/>
      <c r="S118" s="187"/>
      <c r="T118" s="187"/>
      <c r="U118" s="187"/>
    </row>
    <row r="119">
      <c r="A119" s="187"/>
      <c r="B119" s="188"/>
      <c r="C119" s="192"/>
      <c r="D119" s="193"/>
      <c r="E119" s="193"/>
      <c r="F119" s="194"/>
      <c r="G119" s="193"/>
      <c r="H119" s="195"/>
      <c r="I119" s="197"/>
      <c r="J119" s="187"/>
      <c r="K119" s="187"/>
      <c r="L119" s="187"/>
      <c r="M119" s="187"/>
      <c r="N119" s="198"/>
      <c r="O119" s="187"/>
      <c r="P119" s="187"/>
      <c r="Q119" s="187"/>
      <c r="R119" s="187"/>
      <c r="S119" s="187"/>
      <c r="T119" s="187"/>
      <c r="U119" s="187"/>
    </row>
    <row r="120">
      <c r="A120" s="187"/>
      <c r="B120" s="188"/>
      <c r="C120" s="192"/>
      <c r="D120" s="193"/>
      <c r="E120" s="193"/>
      <c r="F120" s="194"/>
      <c r="G120" s="193"/>
      <c r="H120" s="195"/>
      <c r="I120" s="197"/>
      <c r="J120" s="187"/>
      <c r="K120" s="187"/>
      <c r="L120" s="187"/>
      <c r="M120" s="187"/>
      <c r="N120" s="198"/>
      <c r="O120" s="187"/>
      <c r="P120" s="187"/>
      <c r="Q120" s="187"/>
      <c r="R120" s="187"/>
      <c r="S120" s="187"/>
      <c r="T120" s="187"/>
      <c r="U120" s="187"/>
    </row>
    <row r="121">
      <c r="A121" s="187"/>
      <c r="B121" s="188"/>
      <c r="C121" s="192"/>
      <c r="D121" s="193"/>
      <c r="E121" s="193"/>
      <c r="F121" s="194"/>
      <c r="G121" s="193"/>
      <c r="H121" s="195"/>
      <c r="I121" s="197"/>
      <c r="J121" s="187"/>
      <c r="K121" s="187"/>
      <c r="L121" s="187"/>
      <c r="M121" s="187"/>
      <c r="N121" s="198"/>
      <c r="O121" s="187"/>
      <c r="P121" s="187"/>
      <c r="Q121" s="187"/>
      <c r="R121" s="187"/>
      <c r="S121" s="187"/>
      <c r="T121" s="187"/>
      <c r="U121" s="187"/>
    </row>
    <row r="122">
      <c r="A122" s="187"/>
      <c r="B122" s="188"/>
      <c r="C122" s="192"/>
      <c r="D122" s="193"/>
      <c r="E122" s="193"/>
      <c r="F122" s="194"/>
      <c r="G122" s="193"/>
      <c r="H122" s="195"/>
      <c r="I122" s="197"/>
      <c r="J122" s="187"/>
      <c r="K122" s="187"/>
      <c r="L122" s="187"/>
      <c r="M122" s="187"/>
      <c r="N122" s="198"/>
      <c r="O122" s="187"/>
      <c r="P122" s="187"/>
      <c r="Q122" s="187"/>
      <c r="R122" s="187"/>
      <c r="S122" s="187"/>
      <c r="T122" s="187"/>
      <c r="U122" s="187"/>
    </row>
    <row r="123">
      <c r="A123" s="187"/>
      <c r="B123" s="188"/>
      <c r="C123" s="192"/>
      <c r="D123" s="193"/>
      <c r="E123" s="193"/>
      <c r="F123" s="194"/>
      <c r="G123" s="193"/>
      <c r="H123" s="195"/>
      <c r="I123" s="197"/>
      <c r="J123" s="187"/>
      <c r="K123" s="187"/>
      <c r="L123" s="187"/>
      <c r="M123" s="187"/>
      <c r="N123" s="198"/>
      <c r="O123" s="187"/>
      <c r="P123" s="187"/>
      <c r="Q123" s="187"/>
      <c r="R123" s="187"/>
      <c r="S123" s="187"/>
      <c r="T123" s="187"/>
      <c r="U123" s="187"/>
    </row>
    <row r="124">
      <c r="A124" s="187"/>
      <c r="B124" s="188"/>
      <c r="C124" s="192"/>
      <c r="D124" s="193"/>
      <c r="E124" s="193"/>
      <c r="F124" s="194"/>
      <c r="G124" s="193"/>
      <c r="H124" s="195"/>
      <c r="I124" s="197"/>
      <c r="J124" s="187"/>
      <c r="K124" s="187"/>
      <c r="L124" s="187"/>
      <c r="M124" s="187"/>
      <c r="N124" s="198"/>
      <c r="O124" s="187"/>
      <c r="P124" s="187"/>
      <c r="Q124" s="187"/>
      <c r="R124" s="187"/>
      <c r="S124" s="187"/>
      <c r="T124" s="187"/>
      <c r="U124" s="187"/>
    </row>
    <row r="125">
      <c r="A125" s="187"/>
      <c r="B125" s="188"/>
      <c r="C125" s="192"/>
      <c r="D125" s="193"/>
      <c r="E125" s="193"/>
      <c r="F125" s="194"/>
      <c r="G125" s="193"/>
      <c r="H125" s="195"/>
      <c r="I125" s="197"/>
      <c r="J125" s="187"/>
      <c r="K125" s="187"/>
      <c r="L125" s="187"/>
      <c r="M125" s="187"/>
      <c r="N125" s="198"/>
      <c r="O125" s="187"/>
      <c r="P125" s="187"/>
      <c r="Q125" s="187"/>
      <c r="R125" s="187"/>
      <c r="S125" s="187"/>
      <c r="T125" s="187"/>
      <c r="U125" s="187"/>
    </row>
    <row r="126">
      <c r="A126" s="187"/>
      <c r="B126" s="188"/>
      <c r="C126" s="192"/>
      <c r="D126" s="193"/>
      <c r="E126" s="193"/>
      <c r="F126" s="194"/>
      <c r="G126" s="193"/>
      <c r="H126" s="195"/>
      <c r="I126" s="197"/>
      <c r="J126" s="187"/>
      <c r="K126" s="187"/>
      <c r="L126" s="187"/>
      <c r="M126" s="187"/>
      <c r="N126" s="198"/>
      <c r="O126" s="187"/>
      <c r="P126" s="187"/>
      <c r="Q126" s="187"/>
      <c r="R126" s="187"/>
      <c r="S126" s="187"/>
      <c r="T126" s="187"/>
      <c r="U126" s="187"/>
    </row>
    <row r="127">
      <c r="A127" s="187"/>
      <c r="B127" s="188"/>
      <c r="C127" s="192"/>
      <c r="D127" s="193"/>
      <c r="E127" s="193"/>
      <c r="F127" s="194"/>
      <c r="G127" s="193"/>
      <c r="H127" s="195"/>
      <c r="I127" s="197"/>
      <c r="J127" s="187"/>
      <c r="K127" s="187"/>
      <c r="L127" s="187"/>
      <c r="M127" s="187"/>
      <c r="N127" s="198"/>
      <c r="O127" s="187"/>
      <c r="P127" s="187"/>
      <c r="Q127" s="187"/>
      <c r="R127" s="187"/>
      <c r="S127" s="187"/>
      <c r="T127" s="187"/>
      <c r="U127" s="187"/>
    </row>
    <row r="128">
      <c r="A128" s="187"/>
      <c r="B128" s="188"/>
      <c r="C128" s="192"/>
      <c r="D128" s="193"/>
      <c r="E128" s="193"/>
      <c r="F128" s="194"/>
      <c r="G128" s="193"/>
      <c r="H128" s="195"/>
      <c r="I128" s="197"/>
      <c r="J128" s="187"/>
      <c r="K128" s="187"/>
      <c r="L128" s="187"/>
      <c r="M128" s="187"/>
      <c r="N128" s="198"/>
      <c r="O128" s="187"/>
      <c r="P128" s="187"/>
      <c r="Q128" s="187"/>
      <c r="R128" s="187"/>
      <c r="S128" s="187"/>
      <c r="T128" s="187"/>
      <c r="U128" s="187"/>
    </row>
    <row r="129">
      <c r="A129" s="187"/>
      <c r="B129" s="188"/>
      <c r="C129" s="192"/>
      <c r="D129" s="193"/>
      <c r="E129" s="193"/>
      <c r="F129" s="194"/>
      <c r="G129" s="193"/>
      <c r="H129" s="195"/>
      <c r="I129" s="197"/>
      <c r="J129" s="187"/>
      <c r="K129" s="187"/>
      <c r="L129" s="187"/>
      <c r="M129" s="187"/>
      <c r="N129" s="198"/>
      <c r="O129" s="187"/>
      <c r="P129" s="187"/>
      <c r="Q129" s="187"/>
      <c r="R129" s="187"/>
      <c r="S129" s="187"/>
      <c r="T129" s="187"/>
      <c r="U129" s="187"/>
    </row>
    <row r="130">
      <c r="A130" s="187"/>
      <c r="B130" s="188"/>
      <c r="C130" s="192"/>
      <c r="D130" s="193"/>
      <c r="E130" s="193"/>
      <c r="F130" s="194"/>
      <c r="G130" s="193"/>
      <c r="H130" s="195"/>
      <c r="I130" s="197"/>
      <c r="J130" s="187"/>
      <c r="K130" s="187"/>
      <c r="L130" s="187"/>
      <c r="M130" s="187"/>
      <c r="N130" s="198"/>
      <c r="O130" s="187"/>
      <c r="P130" s="187"/>
      <c r="Q130" s="187"/>
      <c r="R130" s="187"/>
      <c r="S130" s="187"/>
      <c r="T130" s="187"/>
      <c r="U130" s="187"/>
    </row>
    <row r="131">
      <c r="A131" s="187"/>
      <c r="B131" s="188"/>
      <c r="C131" s="192"/>
      <c r="D131" s="193"/>
      <c r="E131" s="193"/>
      <c r="F131" s="194"/>
      <c r="G131" s="193"/>
      <c r="H131" s="195"/>
      <c r="I131" s="197"/>
      <c r="J131" s="187"/>
      <c r="K131" s="187"/>
      <c r="L131" s="187"/>
      <c r="M131" s="187"/>
      <c r="N131" s="198"/>
      <c r="O131" s="187"/>
      <c r="P131" s="187"/>
      <c r="Q131" s="187"/>
      <c r="R131" s="187"/>
      <c r="S131" s="187"/>
      <c r="T131" s="187"/>
      <c r="U131" s="187"/>
    </row>
    <row r="132">
      <c r="A132" s="187"/>
      <c r="B132" s="188"/>
      <c r="C132" s="192"/>
      <c r="D132" s="193"/>
      <c r="E132" s="193"/>
      <c r="F132" s="194"/>
      <c r="G132" s="193"/>
      <c r="H132" s="195"/>
      <c r="I132" s="197"/>
      <c r="J132" s="187"/>
      <c r="K132" s="187"/>
      <c r="L132" s="187"/>
      <c r="M132" s="187"/>
      <c r="N132" s="198"/>
      <c r="O132" s="187"/>
      <c r="P132" s="187"/>
      <c r="Q132" s="187"/>
      <c r="R132" s="187"/>
      <c r="S132" s="187"/>
      <c r="T132" s="187"/>
      <c r="U132" s="187"/>
    </row>
    <row r="133">
      <c r="A133" s="187"/>
      <c r="B133" s="188"/>
      <c r="C133" s="192"/>
      <c r="D133" s="193"/>
      <c r="E133" s="193"/>
      <c r="F133" s="194"/>
      <c r="G133" s="193"/>
      <c r="H133" s="195"/>
      <c r="I133" s="197"/>
      <c r="J133" s="187"/>
      <c r="K133" s="187"/>
      <c r="L133" s="187"/>
      <c r="M133" s="187"/>
      <c r="N133" s="198"/>
      <c r="O133" s="187"/>
      <c r="P133" s="187"/>
      <c r="Q133" s="187"/>
      <c r="R133" s="187"/>
      <c r="S133" s="187"/>
      <c r="T133" s="187"/>
      <c r="U133" s="187"/>
    </row>
    <row r="134">
      <c r="A134" s="187"/>
      <c r="B134" s="188"/>
      <c r="C134" s="192"/>
      <c r="D134" s="193"/>
      <c r="E134" s="193"/>
      <c r="F134" s="194"/>
      <c r="G134" s="193"/>
      <c r="H134" s="195"/>
      <c r="I134" s="197"/>
      <c r="J134" s="187"/>
      <c r="K134" s="187"/>
      <c r="L134" s="187"/>
      <c r="M134" s="187"/>
      <c r="N134" s="198"/>
      <c r="O134" s="187"/>
      <c r="P134" s="187"/>
      <c r="Q134" s="187"/>
      <c r="R134" s="187"/>
      <c r="S134" s="187"/>
      <c r="T134" s="187"/>
      <c r="U134" s="187"/>
    </row>
    <row r="135">
      <c r="A135" s="187"/>
      <c r="B135" s="188"/>
      <c r="C135" s="192"/>
      <c r="D135" s="193"/>
      <c r="E135" s="193"/>
      <c r="F135" s="194"/>
      <c r="G135" s="193"/>
      <c r="H135" s="195"/>
      <c r="I135" s="197"/>
      <c r="J135" s="187"/>
      <c r="K135" s="187"/>
      <c r="L135" s="187"/>
      <c r="M135" s="187"/>
      <c r="N135" s="198"/>
      <c r="O135" s="187"/>
      <c r="P135" s="187"/>
      <c r="Q135" s="187"/>
      <c r="R135" s="187"/>
      <c r="S135" s="187"/>
      <c r="T135" s="187"/>
      <c r="U135" s="187"/>
    </row>
    <row r="136">
      <c r="A136" s="187"/>
      <c r="B136" s="188"/>
      <c r="C136" s="192"/>
      <c r="D136" s="193"/>
      <c r="E136" s="193"/>
      <c r="F136" s="194"/>
      <c r="G136" s="193"/>
      <c r="H136" s="195"/>
      <c r="I136" s="197"/>
      <c r="J136" s="187"/>
      <c r="K136" s="187"/>
      <c r="L136" s="187"/>
      <c r="M136" s="187"/>
      <c r="N136" s="198"/>
      <c r="O136" s="187"/>
      <c r="P136" s="187"/>
      <c r="Q136" s="187"/>
      <c r="R136" s="187"/>
      <c r="S136" s="187"/>
      <c r="T136" s="187"/>
      <c r="U136" s="187"/>
    </row>
    <row r="137">
      <c r="A137" s="187"/>
      <c r="B137" s="188"/>
      <c r="C137" s="192"/>
      <c r="D137" s="193"/>
      <c r="E137" s="193"/>
      <c r="F137" s="194"/>
      <c r="G137" s="193"/>
      <c r="H137" s="195"/>
      <c r="I137" s="197"/>
      <c r="J137" s="187"/>
      <c r="K137" s="187"/>
      <c r="L137" s="187"/>
      <c r="M137" s="187"/>
      <c r="N137" s="198"/>
      <c r="O137" s="187"/>
      <c r="P137" s="187"/>
      <c r="Q137" s="187"/>
      <c r="R137" s="187"/>
      <c r="S137" s="187"/>
      <c r="T137" s="187"/>
      <c r="U137" s="187"/>
    </row>
    <row r="138">
      <c r="A138" s="187"/>
      <c r="B138" s="188"/>
      <c r="C138" s="192"/>
      <c r="D138" s="193"/>
      <c r="E138" s="193"/>
      <c r="F138" s="194"/>
      <c r="G138" s="193"/>
      <c r="H138" s="195"/>
      <c r="I138" s="197"/>
      <c r="J138" s="187"/>
      <c r="K138" s="187"/>
      <c r="L138" s="187"/>
      <c r="M138" s="187"/>
      <c r="N138" s="198"/>
      <c r="O138" s="187"/>
      <c r="P138" s="187"/>
      <c r="Q138" s="187"/>
      <c r="R138" s="187"/>
      <c r="S138" s="187"/>
      <c r="T138" s="187"/>
      <c r="U138" s="187"/>
    </row>
    <row r="139">
      <c r="A139" s="187"/>
      <c r="B139" s="188"/>
      <c r="C139" s="192"/>
      <c r="D139" s="193"/>
      <c r="E139" s="193"/>
      <c r="F139" s="194"/>
      <c r="G139" s="193"/>
      <c r="H139" s="195"/>
      <c r="I139" s="197"/>
      <c r="J139" s="187"/>
      <c r="K139" s="187"/>
      <c r="L139" s="187"/>
      <c r="M139" s="187"/>
      <c r="N139" s="198"/>
      <c r="O139" s="187"/>
      <c r="P139" s="187"/>
      <c r="Q139" s="187"/>
      <c r="R139" s="187"/>
      <c r="S139" s="187"/>
      <c r="T139" s="187"/>
      <c r="U139" s="187"/>
    </row>
    <row r="140">
      <c r="A140" s="187"/>
      <c r="B140" s="188"/>
      <c r="C140" s="192"/>
      <c r="D140" s="193"/>
      <c r="E140" s="193"/>
      <c r="F140" s="194"/>
      <c r="G140" s="193"/>
      <c r="H140" s="195"/>
      <c r="I140" s="197"/>
      <c r="J140" s="187"/>
      <c r="K140" s="187"/>
      <c r="L140" s="187"/>
      <c r="M140" s="187"/>
      <c r="N140" s="198"/>
      <c r="O140" s="187"/>
      <c r="P140" s="187"/>
      <c r="Q140" s="187"/>
      <c r="R140" s="187"/>
      <c r="S140" s="187"/>
      <c r="T140" s="187"/>
      <c r="U140" s="187"/>
    </row>
    <row r="141">
      <c r="A141" s="187"/>
      <c r="B141" s="188"/>
      <c r="C141" s="192"/>
      <c r="D141" s="193"/>
      <c r="E141" s="193"/>
      <c r="F141" s="194"/>
      <c r="G141" s="193"/>
      <c r="H141" s="195"/>
      <c r="I141" s="197"/>
      <c r="J141" s="187"/>
      <c r="K141" s="187"/>
      <c r="L141" s="187"/>
      <c r="M141" s="187"/>
      <c r="N141" s="198"/>
      <c r="O141" s="187"/>
      <c r="P141" s="187"/>
      <c r="Q141" s="187"/>
      <c r="R141" s="187"/>
      <c r="S141" s="187"/>
      <c r="T141" s="187"/>
      <c r="U141" s="187"/>
    </row>
    <row r="142">
      <c r="A142" s="187"/>
      <c r="B142" s="188"/>
      <c r="C142" s="192"/>
      <c r="D142" s="193"/>
      <c r="E142" s="193"/>
      <c r="F142" s="194"/>
      <c r="G142" s="193"/>
      <c r="H142" s="195"/>
      <c r="I142" s="197"/>
      <c r="J142" s="187"/>
      <c r="K142" s="187"/>
      <c r="L142" s="187"/>
      <c r="M142" s="187"/>
      <c r="N142" s="198"/>
      <c r="O142" s="187"/>
      <c r="P142" s="187"/>
      <c r="Q142" s="187"/>
      <c r="R142" s="187"/>
      <c r="S142" s="187"/>
      <c r="T142" s="187"/>
      <c r="U142" s="187"/>
    </row>
    <row r="143">
      <c r="A143" s="187"/>
      <c r="B143" s="188"/>
      <c r="C143" s="192"/>
      <c r="D143" s="193"/>
      <c r="E143" s="193"/>
      <c r="F143" s="194"/>
      <c r="G143" s="193"/>
      <c r="H143" s="195"/>
      <c r="I143" s="197"/>
      <c r="J143" s="187"/>
      <c r="K143" s="187"/>
      <c r="L143" s="187"/>
      <c r="M143" s="187"/>
      <c r="N143" s="198"/>
      <c r="O143" s="187"/>
      <c r="P143" s="187"/>
      <c r="Q143" s="187"/>
      <c r="R143" s="187"/>
      <c r="S143" s="187"/>
      <c r="T143" s="187"/>
      <c r="U143" s="187"/>
    </row>
    <row r="144">
      <c r="A144" s="187"/>
      <c r="B144" s="188"/>
      <c r="C144" s="192"/>
      <c r="D144" s="193"/>
      <c r="E144" s="193"/>
      <c r="F144" s="194"/>
      <c r="G144" s="193"/>
      <c r="H144" s="195"/>
      <c r="I144" s="197"/>
      <c r="J144" s="187"/>
      <c r="K144" s="187"/>
      <c r="L144" s="187"/>
      <c r="M144" s="187"/>
      <c r="N144" s="198"/>
      <c r="O144" s="187"/>
      <c r="P144" s="187"/>
      <c r="Q144" s="187"/>
      <c r="R144" s="187"/>
      <c r="S144" s="187"/>
      <c r="T144" s="187"/>
      <c r="U144" s="187"/>
    </row>
    <row r="145">
      <c r="A145" s="187"/>
      <c r="B145" s="188"/>
      <c r="C145" s="192"/>
      <c r="D145" s="193"/>
      <c r="E145" s="193"/>
      <c r="F145" s="194"/>
      <c r="G145" s="193"/>
      <c r="H145" s="195"/>
      <c r="I145" s="197"/>
      <c r="J145" s="187"/>
      <c r="K145" s="187"/>
      <c r="L145" s="187"/>
      <c r="M145" s="187"/>
      <c r="N145" s="198"/>
      <c r="O145" s="187"/>
      <c r="P145" s="187"/>
      <c r="Q145" s="187"/>
      <c r="R145" s="187"/>
      <c r="S145" s="187"/>
      <c r="T145" s="187"/>
      <c r="U145" s="187"/>
    </row>
    <row r="146">
      <c r="A146" s="187"/>
      <c r="B146" s="188"/>
      <c r="C146" s="192"/>
      <c r="D146" s="193"/>
      <c r="E146" s="193"/>
      <c r="F146" s="194"/>
      <c r="G146" s="193"/>
      <c r="H146" s="195"/>
      <c r="I146" s="197"/>
      <c r="J146" s="187"/>
      <c r="K146" s="187"/>
      <c r="L146" s="187"/>
      <c r="M146" s="187"/>
      <c r="N146" s="198"/>
      <c r="O146" s="187"/>
      <c r="P146" s="187"/>
      <c r="Q146" s="187"/>
      <c r="R146" s="187"/>
      <c r="S146" s="187"/>
      <c r="T146" s="187"/>
      <c r="U146" s="187"/>
    </row>
    <row r="147">
      <c r="A147" s="187"/>
      <c r="B147" s="188"/>
      <c r="C147" s="192"/>
      <c r="D147" s="193"/>
      <c r="E147" s="193"/>
      <c r="F147" s="194"/>
      <c r="G147" s="193"/>
      <c r="H147" s="195"/>
      <c r="I147" s="197"/>
      <c r="J147" s="187"/>
      <c r="K147" s="187"/>
      <c r="L147" s="187"/>
      <c r="M147" s="187"/>
      <c r="N147" s="198"/>
      <c r="O147" s="187"/>
      <c r="P147" s="187"/>
      <c r="Q147" s="187"/>
      <c r="R147" s="187"/>
      <c r="S147" s="187"/>
      <c r="T147" s="187"/>
      <c r="U147" s="187"/>
    </row>
    <row r="148">
      <c r="A148" s="187"/>
      <c r="B148" s="188"/>
      <c r="C148" s="192"/>
      <c r="D148" s="193"/>
      <c r="E148" s="193"/>
      <c r="F148" s="194"/>
      <c r="G148" s="193"/>
      <c r="H148" s="195"/>
      <c r="I148" s="197"/>
      <c r="J148" s="187"/>
      <c r="K148" s="187"/>
      <c r="L148" s="187"/>
      <c r="M148" s="187"/>
      <c r="N148" s="198"/>
      <c r="O148" s="187"/>
      <c r="P148" s="187"/>
      <c r="Q148" s="187"/>
      <c r="R148" s="187"/>
      <c r="S148" s="187"/>
      <c r="T148" s="187"/>
      <c r="U148" s="187"/>
    </row>
    <row r="149">
      <c r="A149" s="187"/>
      <c r="B149" s="188"/>
      <c r="C149" s="192"/>
      <c r="D149" s="193"/>
      <c r="E149" s="193"/>
      <c r="F149" s="194"/>
      <c r="G149" s="193"/>
      <c r="H149" s="195"/>
      <c r="I149" s="197"/>
      <c r="J149" s="187"/>
      <c r="K149" s="187"/>
      <c r="L149" s="187"/>
      <c r="M149" s="187"/>
      <c r="N149" s="198"/>
      <c r="O149" s="187"/>
      <c r="P149" s="187"/>
      <c r="Q149" s="187"/>
      <c r="R149" s="187"/>
      <c r="S149" s="187"/>
      <c r="T149" s="187"/>
      <c r="U149" s="187"/>
    </row>
    <row r="150">
      <c r="A150" s="187"/>
      <c r="B150" s="188"/>
      <c r="C150" s="192"/>
      <c r="D150" s="193"/>
      <c r="E150" s="193"/>
      <c r="F150" s="194"/>
      <c r="G150" s="193"/>
      <c r="H150" s="195"/>
      <c r="I150" s="197"/>
      <c r="J150" s="187"/>
      <c r="K150" s="187"/>
      <c r="L150" s="187"/>
      <c r="M150" s="187"/>
      <c r="N150" s="198"/>
      <c r="O150" s="187"/>
      <c r="P150" s="187"/>
      <c r="Q150" s="187"/>
      <c r="R150" s="187"/>
      <c r="S150" s="187"/>
      <c r="T150" s="187"/>
      <c r="U150" s="187"/>
    </row>
    <row r="151">
      <c r="A151" s="187"/>
      <c r="B151" s="188"/>
      <c r="C151" s="192"/>
      <c r="D151" s="193"/>
      <c r="E151" s="193"/>
      <c r="F151" s="194"/>
      <c r="G151" s="193"/>
      <c r="H151" s="195"/>
      <c r="I151" s="197"/>
      <c r="J151" s="187"/>
      <c r="K151" s="187"/>
      <c r="L151" s="187"/>
      <c r="M151" s="187"/>
      <c r="N151" s="198"/>
      <c r="O151" s="187"/>
      <c r="P151" s="187"/>
      <c r="Q151" s="187"/>
      <c r="R151" s="187"/>
      <c r="S151" s="187"/>
      <c r="T151" s="187"/>
      <c r="U151" s="187"/>
    </row>
    <row r="152">
      <c r="A152" s="187"/>
      <c r="B152" s="188"/>
      <c r="C152" s="192"/>
      <c r="D152" s="193"/>
      <c r="E152" s="193"/>
      <c r="F152" s="194"/>
      <c r="G152" s="193"/>
      <c r="H152" s="195"/>
      <c r="I152" s="197"/>
      <c r="J152" s="187"/>
      <c r="K152" s="187"/>
      <c r="L152" s="187"/>
      <c r="M152" s="187"/>
      <c r="N152" s="198"/>
      <c r="O152" s="187"/>
      <c r="P152" s="187"/>
      <c r="Q152" s="187"/>
      <c r="R152" s="187"/>
      <c r="S152" s="187"/>
      <c r="T152" s="187"/>
      <c r="U152" s="187"/>
    </row>
    <row r="153">
      <c r="A153" s="187"/>
      <c r="B153" s="188"/>
      <c r="C153" s="192"/>
      <c r="D153" s="193"/>
      <c r="E153" s="193"/>
      <c r="F153" s="194"/>
      <c r="G153" s="193"/>
      <c r="H153" s="195"/>
      <c r="I153" s="197"/>
      <c r="J153" s="187"/>
      <c r="K153" s="187"/>
      <c r="L153" s="187"/>
      <c r="M153" s="187"/>
      <c r="N153" s="198"/>
      <c r="O153" s="187"/>
      <c r="P153" s="187"/>
      <c r="Q153" s="187"/>
      <c r="R153" s="187"/>
      <c r="S153" s="187"/>
      <c r="T153" s="187"/>
      <c r="U153" s="187"/>
    </row>
    <row r="154">
      <c r="A154" s="187"/>
      <c r="B154" s="188"/>
      <c r="C154" s="192"/>
      <c r="D154" s="193"/>
      <c r="E154" s="193"/>
      <c r="F154" s="194"/>
      <c r="G154" s="193"/>
      <c r="H154" s="195"/>
      <c r="I154" s="197"/>
      <c r="J154" s="187"/>
      <c r="K154" s="187"/>
      <c r="L154" s="187"/>
      <c r="M154" s="187"/>
      <c r="N154" s="198"/>
      <c r="O154" s="187"/>
      <c r="P154" s="187"/>
      <c r="Q154" s="187"/>
      <c r="R154" s="187"/>
      <c r="S154" s="187"/>
      <c r="T154" s="187"/>
      <c r="U154" s="187"/>
    </row>
    <row r="155">
      <c r="A155" s="187"/>
      <c r="B155" s="188"/>
      <c r="C155" s="192"/>
      <c r="D155" s="193"/>
      <c r="E155" s="193"/>
      <c r="F155" s="194"/>
      <c r="G155" s="193"/>
      <c r="H155" s="195"/>
      <c r="I155" s="197"/>
      <c r="J155" s="187"/>
      <c r="K155" s="187"/>
      <c r="L155" s="187"/>
      <c r="M155" s="187"/>
      <c r="N155" s="198"/>
      <c r="O155" s="187"/>
      <c r="P155" s="187"/>
      <c r="Q155" s="187"/>
      <c r="R155" s="187"/>
      <c r="S155" s="187"/>
      <c r="T155" s="187"/>
      <c r="U155" s="187"/>
    </row>
    <row r="156">
      <c r="A156" s="187"/>
      <c r="B156" s="188"/>
      <c r="C156" s="192"/>
      <c r="D156" s="193"/>
      <c r="E156" s="193"/>
      <c r="F156" s="194"/>
      <c r="G156" s="193"/>
      <c r="H156" s="195"/>
      <c r="I156" s="197"/>
      <c r="J156" s="187"/>
      <c r="K156" s="187"/>
      <c r="L156" s="187"/>
      <c r="M156" s="187"/>
      <c r="N156" s="198"/>
      <c r="O156" s="187"/>
      <c r="P156" s="187"/>
      <c r="Q156" s="187"/>
      <c r="R156" s="187"/>
      <c r="S156" s="187"/>
      <c r="T156" s="187"/>
      <c r="U156" s="187"/>
    </row>
    <row r="157">
      <c r="A157" s="187"/>
      <c r="B157" s="188"/>
      <c r="C157" s="192"/>
      <c r="D157" s="193"/>
      <c r="E157" s="193"/>
      <c r="F157" s="194"/>
      <c r="G157" s="193"/>
      <c r="H157" s="195"/>
      <c r="I157" s="197"/>
      <c r="J157" s="187"/>
      <c r="K157" s="187"/>
      <c r="L157" s="187"/>
      <c r="M157" s="187"/>
      <c r="N157" s="198"/>
      <c r="O157" s="187"/>
      <c r="P157" s="187"/>
      <c r="Q157" s="187"/>
      <c r="R157" s="187"/>
      <c r="S157" s="187"/>
      <c r="T157" s="187"/>
      <c r="U157" s="187"/>
    </row>
    <row r="158">
      <c r="A158" s="187"/>
      <c r="B158" s="188"/>
      <c r="C158" s="192"/>
      <c r="D158" s="193"/>
      <c r="E158" s="193"/>
      <c r="F158" s="194"/>
      <c r="G158" s="193"/>
      <c r="H158" s="195"/>
      <c r="I158" s="197"/>
      <c r="J158" s="187"/>
      <c r="K158" s="187"/>
      <c r="L158" s="187"/>
      <c r="M158" s="187"/>
      <c r="N158" s="198"/>
      <c r="O158" s="187"/>
      <c r="P158" s="187"/>
      <c r="Q158" s="187"/>
      <c r="R158" s="187"/>
      <c r="S158" s="187"/>
      <c r="T158" s="187"/>
      <c r="U158" s="187"/>
    </row>
    <row r="159">
      <c r="A159" s="187"/>
      <c r="B159" s="188"/>
      <c r="C159" s="192"/>
      <c r="D159" s="193"/>
      <c r="E159" s="193"/>
      <c r="F159" s="194"/>
      <c r="G159" s="193"/>
      <c r="H159" s="195"/>
      <c r="I159" s="197"/>
      <c r="J159" s="187"/>
      <c r="K159" s="187"/>
      <c r="L159" s="187"/>
      <c r="M159" s="187"/>
      <c r="N159" s="198"/>
      <c r="O159" s="187"/>
      <c r="P159" s="187"/>
      <c r="Q159" s="187"/>
      <c r="R159" s="187"/>
      <c r="S159" s="187"/>
      <c r="T159" s="187"/>
      <c r="U159" s="187"/>
    </row>
    <row r="160">
      <c r="A160" s="187"/>
      <c r="B160" s="188"/>
      <c r="C160" s="192"/>
      <c r="D160" s="193"/>
      <c r="E160" s="193"/>
      <c r="F160" s="194"/>
      <c r="G160" s="193"/>
      <c r="H160" s="195"/>
      <c r="I160" s="197"/>
      <c r="J160" s="187"/>
      <c r="K160" s="187"/>
      <c r="L160" s="187"/>
      <c r="M160" s="187"/>
      <c r="N160" s="198"/>
      <c r="O160" s="187"/>
      <c r="P160" s="187"/>
      <c r="Q160" s="187"/>
      <c r="R160" s="187"/>
      <c r="S160" s="187"/>
      <c r="T160" s="187"/>
      <c r="U160" s="187"/>
    </row>
    <row r="161">
      <c r="A161" s="187"/>
      <c r="B161" s="188"/>
      <c r="C161" s="192"/>
      <c r="D161" s="193"/>
      <c r="E161" s="193"/>
      <c r="F161" s="194"/>
      <c r="G161" s="193"/>
      <c r="H161" s="195"/>
      <c r="I161" s="197"/>
      <c r="J161" s="187"/>
      <c r="K161" s="187"/>
      <c r="L161" s="187"/>
      <c r="M161" s="187"/>
      <c r="N161" s="198"/>
      <c r="O161" s="187"/>
      <c r="P161" s="187"/>
      <c r="Q161" s="187"/>
      <c r="R161" s="187"/>
      <c r="S161" s="187"/>
      <c r="T161" s="187"/>
      <c r="U161" s="187"/>
    </row>
    <row r="162">
      <c r="A162" s="187"/>
      <c r="B162" s="188"/>
      <c r="C162" s="192"/>
      <c r="D162" s="193"/>
      <c r="E162" s="193"/>
      <c r="F162" s="194"/>
      <c r="G162" s="193"/>
      <c r="H162" s="195"/>
      <c r="I162" s="197"/>
      <c r="J162" s="187"/>
      <c r="K162" s="187"/>
      <c r="L162" s="187"/>
      <c r="M162" s="187"/>
      <c r="N162" s="198"/>
      <c r="O162" s="187"/>
      <c r="P162" s="187"/>
      <c r="Q162" s="187"/>
      <c r="R162" s="187"/>
      <c r="S162" s="187"/>
      <c r="T162" s="187"/>
      <c r="U162" s="187"/>
    </row>
    <row r="163">
      <c r="A163" s="187"/>
      <c r="B163" s="188"/>
      <c r="C163" s="192"/>
      <c r="D163" s="193"/>
      <c r="E163" s="193"/>
      <c r="F163" s="194"/>
      <c r="G163" s="193"/>
      <c r="H163" s="195"/>
      <c r="I163" s="197"/>
      <c r="J163" s="187"/>
      <c r="K163" s="187"/>
      <c r="L163" s="187"/>
      <c r="M163" s="187"/>
      <c r="N163" s="198"/>
      <c r="O163" s="187"/>
      <c r="P163" s="187"/>
      <c r="Q163" s="187"/>
      <c r="R163" s="187"/>
      <c r="S163" s="187"/>
      <c r="T163" s="187"/>
      <c r="U163" s="187"/>
    </row>
    <row r="164">
      <c r="A164" s="187"/>
      <c r="B164" s="188"/>
      <c r="C164" s="192"/>
      <c r="D164" s="193"/>
      <c r="E164" s="193"/>
      <c r="F164" s="194"/>
      <c r="G164" s="193"/>
      <c r="H164" s="195"/>
      <c r="I164" s="197"/>
      <c r="J164" s="187"/>
      <c r="K164" s="187"/>
      <c r="L164" s="187"/>
      <c r="M164" s="187"/>
      <c r="N164" s="198"/>
      <c r="O164" s="187"/>
      <c r="P164" s="187"/>
      <c r="Q164" s="187"/>
      <c r="R164" s="187"/>
      <c r="S164" s="187"/>
      <c r="T164" s="187"/>
      <c r="U164" s="187"/>
    </row>
    <row r="165">
      <c r="A165" s="187"/>
      <c r="B165" s="188"/>
      <c r="C165" s="192"/>
      <c r="D165" s="193"/>
      <c r="E165" s="193"/>
      <c r="F165" s="194"/>
      <c r="G165" s="193"/>
      <c r="H165" s="195"/>
      <c r="I165" s="197"/>
      <c r="J165" s="187"/>
      <c r="K165" s="187"/>
      <c r="L165" s="187"/>
      <c r="M165" s="187"/>
      <c r="N165" s="198"/>
      <c r="O165" s="187"/>
      <c r="P165" s="187"/>
      <c r="Q165" s="187"/>
      <c r="R165" s="187"/>
      <c r="S165" s="187"/>
      <c r="T165" s="187"/>
      <c r="U165" s="187"/>
    </row>
    <row r="166">
      <c r="A166" s="187"/>
      <c r="B166" s="188"/>
      <c r="C166" s="192"/>
      <c r="D166" s="193"/>
      <c r="E166" s="193"/>
      <c r="F166" s="194"/>
      <c r="G166" s="193"/>
      <c r="H166" s="195"/>
      <c r="I166" s="197"/>
      <c r="J166" s="187"/>
      <c r="K166" s="187"/>
      <c r="L166" s="187"/>
      <c r="M166" s="187"/>
      <c r="N166" s="198"/>
      <c r="O166" s="187"/>
      <c r="P166" s="187"/>
      <c r="Q166" s="187"/>
      <c r="R166" s="187"/>
      <c r="S166" s="187"/>
      <c r="T166" s="187"/>
      <c r="U166" s="187"/>
    </row>
    <row r="167">
      <c r="A167" s="187"/>
      <c r="B167" s="188"/>
      <c r="C167" s="192"/>
      <c r="D167" s="193"/>
      <c r="E167" s="193"/>
      <c r="F167" s="194"/>
      <c r="G167" s="193"/>
      <c r="H167" s="195"/>
      <c r="I167" s="197"/>
      <c r="J167" s="187"/>
      <c r="K167" s="187"/>
      <c r="L167" s="187"/>
      <c r="M167" s="187"/>
      <c r="N167" s="198"/>
      <c r="O167" s="187"/>
      <c r="P167" s="187"/>
      <c r="Q167" s="187"/>
      <c r="R167" s="187"/>
      <c r="S167" s="187"/>
      <c r="T167" s="187"/>
      <c r="U167" s="187"/>
    </row>
    <row r="168">
      <c r="A168" s="187"/>
      <c r="B168" s="188"/>
      <c r="C168" s="192"/>
      <c r="D168" s="193"/>
      <c r="E168" s="193"/>
      <c r="F168" s="194"/>
      <c r="G168" s="193"/>
      <c r="H168" s="195"/>
      <c r="I168" s="197"/>
      <c r="J168" s="187"/>
      <c r="K168" s="187"/>
      <c r="L168" s="187"/>
      <c r="M168" s="187"/>
      <c r="N168" s="198"/>
      <c r="O168" s="187"/>
      <c r="P168" s="187"/>
      <c r="Q168" s="187"/>
      <c r="R168" s="187"/>
      <c r="S168" s="187"/>
      <c r="T168" s="187"/>
      <c r="U168" s="187"/>
    </row>
    <row r="169">
      <c r="A169" s="187"/>
      <c r="B169" s="188"/>
      <c r="C169" s="192"/>
      <c r="D169" s="193"/>
      <c r="E169" s="193"/>
      <c r="F169" s="194"/>
      <c r="G169" s="193"/>
      <c r="H169" s="195"/>
      <c r="I169" s="197"/>
      <c r="J169" s="187"/>
      <c r="K169" s="187"/>
      <c r="L169" s="187"/>
      <c r="M169" s="187"/>
      <c r="N169" s="198"/>
      <c r="O169" s="187"/>
      <c r="P169" s="187"/>
      <c r="Q169" s="187"/>
      <c r="R169" s="187"/>
      <c r="S169" s="187"/>
      <c r="T169" s="187"/>
      <c r="U169" s="187"/>
    </row>
    <row r="170">
      <c r="A170" s="187"/>
      <c r="B170" s="188"/>
      <c r="C170" s="192"/>
      <c r="D170" s="193"/>
      <c r="E170" s="193"/>
      <c r="F170" s="194"/>
      <c r="G170" s="193"/>
      <c r="H170" s="195"/>
      <c r="I170" s="197"/>
      <c r="J170" s="187"/>
      <c r="K170" s="187"/>
      <c r="L170" s="187"/>
      <c r="M170" s="187"/>
      <c r="N170" s="198"/>
      <c r="O170" s="187"/>
      <c r="P170" s="187"/>
      <c r="Q170" s="187"/>
      <c r="R170" s="187"/>
      <c r="S170" s="187"/>
      <c r="T170" s="187"/>
      <c r="U170" s="187"/>
    </row>
    <row r="171">
      <c r="A171" s="187"/>
      <c r="B171" s="188"/>
      <c r="C171" s="192"/>
      <c r="D171" s="193"/>
      <c r="E171" s="193"/>
      <c r="F171" s="194"/>
      <c r="G171" s="193"/>
      <c r="H171" s="195"/>
      <c r="I171" s="197"/>
      <c r="J171" s="187"/>
      <c r="K171" s="187"/>
      <c r="L171" s="187"/>
      <c r="M171" s="187"/>
      <c r="N171" s="198"/>
      <c r="O171" s="187"/>
      <c r="P171" s="187"/>
      <c r="Q171" s="187"/>
      <c r="R171" s="187"/>
      <c r="S171" s="187"/>
      <c r="T171" s="187"/>
      <c r="U171" s="187"/>
    </row>
    <row r="172">
      <c r="A172" s="187"/>
      <c r="B172" s="188"/>
      <c r="C172" s="192"/>
      <c r="D172" s="193"/>
      <c r="E172" s="193"/>
      <c r="F172" s="194"/>
      <c r="G172" s="193"/>
      <c r="H172" s="195"/>
      <c r="I172" s="197"/>
      <c r="J172" s="187"/>
      <c r="K172" s="187"/>
      <c r="L172" s="187"/>
      <c r="M172" s="187"/>
      <c r="N172" s="198"/>
      <c r="O172" s="187"/>
      <c r="P172" s="187"/>
      <c r="Q172" s="187"/>
      <c r="R172" s="187"/>
      <c r="S172" s="187"/>
      <c r="T172" s="187"/>
      <c r="U172" s="187"/>
    </row>
    <row r="173">
      <c r="A173" s="187"/>
      <c r="B173" s="188"/>
      <c r="C173" s="192"/>
      <c r="D173" s="193"/>
      <c r="E173" s="193"/>
      <c r="F173" s="194"/>
      <c r="G173" s="193"/>
      <c r="H173" s="195"/>
      <c r="I173" s="197"/>
      <c r="J173" s="187"/>
      <c r="K173" s="187"/>
      <c r="L173" s="187"/>
      <c r="M173" s="187"/>
      <c r="N173" s="198"/>
      <c r="O173" s="187"/>
      <c r="P173" s="187"/>
      <c r="Q173" s="187"/>
      <c r="R173" s="187"/>
      <c r="S173" s="187"/>
      <c r="T173" s="187"/>
      <c r="U173" s="187"/>
    </row>
    <row r="174">
      <c r="A174" s="187"/>
      <c r="B174" s="188"/>
      <c r="C174" s="192"/>
      <c r="D174" s="193"/>
      <c r="E174" s="193"/>
      <c r="F174" s="194"/>
      <c r="G174" s="193"/>
      <c r="H174" s="195"/>
      <c r="I174" s="197"/>
      <c r="J174" s="187"/>
      <c r="K174" s="187"/>
      <c r="L174" s="187"/>
      <c r="M174" s="187"/>
      <c r="N174" s="198"/>
      <c r="O174" s="187"/>
      <c r="P174" s="187"/>
      <c r="Q174" s="187"/>
      <c r="R174" s="187"/>
      <c r="S174" s="187"/>
      <c r="T174" s="187"/>
      <c r="U174" s="187"/>
    </row>
    <row r="175">
      <c r="A175" s="187"/>
      <c r="B175" s="188"/>
      <c r="C175" s="192"/>
      <c r="D175" s="193"/>
      <c r="E175" s="193"/>
      <c r="F175" s="194"/>
      <c r="G175" s="193"/>
      <c r="H175" s="195"/>
      <c r="I175" s="197"/>
      <c r="J175" s="187"/>
      <c r="K175" s="187"/>
      <c r="L175" s="187"/>
      <c r="M175" s="187"/>
      <c r="N175" s="198"/>
      <c r="O175" s="187"/>
      <c r="P175" s="187"/>
      <c r="Q175" s="187"/>
      <c r="R175" s="187"/>
      <c r="S175" s="187"/>
      <c r="T175" s="187"/>
      <c r="U175" s="187"/>
    </row>
    <row r="176">
      <c r="A176" s="187"/>
      <c r="B176" s="188"/>
      <c r="C176" s="192"/>
      <c r="D176" s="193"/>
      <c r="E176" s="193"/>
      <c r="F176" s="194"/>
      <c r="G176" s="193"/>
      <c r="H176" s="195"/>
      <c r="I176" s="197"/>
      <c r="J176" s="187"/>
      <c r="K176" s="187"/>
      <c r="L176" s="187"/>
      <c r="M176" s="187"/>
      <c r="N176" s="198"/>
      <c r="O176" s="187"/>
      <c r="P176" s="187"/>
      <c r="Q176" s="187"/>
      <c r="R176" s="187"/>
      <c r="S176" s="187"/>
      <c r="T176" s="187"/>
      <c r="U176" s="187"/>
    </row>
    <row r="177">
      <c r="A177" s="187"/>
      <c r="B177" s="188"/>
      <c r="C177" s="192"/>
      <c r="D177" s="193"/>
      <c r="E177" s="193"/>
      <c r="F177" s="194"/>
      <c r="G177" s="193"/>
      <c r="H177" s="195"/>
      <c r="I177" s="197"/>
      <c r="J177" s="187"/>
      <c r="K177" s="187"/>
      <c r="L177" s="187"/>
      <c r="M177" s="187"/>
      <c r="N177" s="198"/>
      <c r="O177" s="187"/>
      <c r="P177" s="187"/>
      <c r="Q177" s="187"/>
      <c r="R177" s="187"/>
      <c r="S177" s="187"/>
      <c r="T177" s="187"/>
      <c r="U177" s="187"/>
    </row>
    <row r="178">
      <c r="A178" s="187"/>
      <c r="B178" s="188"/>
      <c r="C178" s="192"/>
      <c r="D178" s="193"/>
      <c r="E178" s="193"/>
      <c r="F178" s="194"/>
      <c r="G178" s="193"/>
      <c r="H178" s="195"/>
      <c r="I178" s="197"/>
      <c r="J178" s="187"/>
      <c r="K178" s="187"/>
      <c r="L178" s="187"/>
      <c r="M178" s="187"/>
      <c r="N178" s="198"/>
      <c r="O178" s="187"/>
      <c r="P178" s="187"/>
      <c r="Q178" s="187"/>
      <c r="R178" s="187"/>
      <c r="S178" s="187"/>
      <c r="T178" s="187"/>
      <c r="U178" s="187"/>
    </row>
    <row r="179">
      <c r="A179" s="187"/>
      <c r="B179" s="188"/>
      <c r="C179" s="192"/>
      <c r="D179" s="193"/>
      <c r="E179" s="193"/>
      <c r="F179" s="194"/>
      <c r="G179" s="193"/>
      <c r="H179" s="195"/>
      <c r="I179" s="197"/>
      <c r="J179" s="187"/>
      <c r="K179" s="187"/>
      <c r="L179" s="187"/>
      <c r="M179" s="187"/>
      <c r="N179" s="198"/>
      <c r="O179" s="187"/>
      <c r="P179" s="187"/>
      <c r="Q179" s="187"/>
      <c r="R179" s="187"/>
      <c r="S179" s="187"/>
      <c r="T179" s="187"/>
      <c r="U179" s="187"/>
    </row>
    <row r="180">
      <c r="A180" s="187"/>
      <c r="B180" s="188"/>
      <c r="C180" s="192"/>
      <c r="D180" s="193"/>
      <c r="E180" s="193"/>
      <c r="F180" s="194"/>
      <c r="G180" s="193"/>
      <c r="H180" s="195"/>
      <c r="I180" s="197"/>
      <c r="J180" s="187"/>
      <c r="K180" s="187"/>
      <c r="L180" s="187"/>
      <c r="M180" s="187"/>
      <c r="N180" s="198"/>
      <c r="O180" s="187"/>
      <c r="P180" s="187"/>
      <c r="Q180" s="187"/>
      <c r="R180" s="187"/>
      <c r="S180" s="187"/>
      <c r="T180" s="187"/>
      <c r="U180" s="187"/>
    </row>
    <row r="181">
      <c r="A181" s="187"/>
      <c r="B181" s="188"/>
      <c r="C181" s="192"/>
      <c r="D181" s="193"/>
      <c r="E181" s="193"/>
      <c r="F181" s="194"/>
      <c r="G181" s="193"/>
      <c r="H181" s="195"/>
      <c r="I181" s="197"/>
      <c r="J181" s="187"/>
      <c r="K181" s="187"/>
      <c r="L181" s="187"/>
      <c r="M181" s="187"/>
      <c r="N181" s="198"/>
      <c r="O181" s="187"/>
      <c r="P181" s="187"/>
      <c r="Q181" s="187"/>
      <c r="R181" s="187"/>
      <c r="S181" s="187"/>
      <c r="T181" s="187"/>
      <c r="U181" s="187"/>
    </row>
    <row r="182">
      <c r="A182" s="187"/>
      <c r="B182" s="188"/>
      <c r="C182" s="192"/>
      <c r="D182" s="193"/>
      <c r="E182" s="193"/>
      <c r="F182" s="194"/>
      <c r="G182" s="193"/>
      <c r="H182" s="195"/>
      <c r="I182" s="197"/>
      <c r="J182" s="187"/>
      <c r="K182" s="187"/>
      <c r="L182" s="187"/>
      <c r="M182" s="187"/>
      <c r="N182" s="198"/>
      <c r="O182" s="187"/>
      <c r="P182" s="187"/>
      <c r="Q182" s="187"/>
      <c r="R182" s="187"/>
      <c r="S182" s="187"/>
      <c r="T182" s="187"/>
      <c r="U182" s="187"/>
    </row>
    <row r="183">
      <c r="A183" s="187"/>
      <c r="B183" s="188"/>
      <c r="C183" s="192"/>
      <c r="D183" s="193"/>
      <c r="E183" s="193"/>
      <c r="F183" s="194"/>
      <c r="G183" s="193"/>
      <c r="H183" s="195"/>
      <c r="I183" s="197"/>
      <c r="J183" s="187"/>
      <c r="K183" s="187"/>
      <c r="L183" s="187"/>
      <c r="M183" s="187"/>
      <c r="N183" s="198"/>
      <c r="O183" s="187"/>
      <c r="P183" s="187"/>
      <c r="Q183" s="187"/>
      <c r="R183" s="187"/>
      <c r="S183" s="187"/>
      <c r="T183" s="187"/>
      <c r="U183" s="187"/>
    </row>
    <row r="184">
      <c r="A184" s="187"/>
      <c r="B184" s="188"/>
      <c r="C184" s="192"/>
      <c r="D184" s="193"/>
      <c r="E184" s="193"/>
      <c r="F184" s="194"/>
      <c r="G184" s="193"/>
      <c r="H184" s="195"/>
      <c r="I184" s="197"/>
      <c r="J184" s="187"/>
      <c r="K184" s="187"/>
      <c r="L184" s="187"/>
      <c r="M184" s="187"/>
      <c r="N184" s="198"/>
      <c r="O184" s="187"/>
      <c r="P184" s="187"/>
      <c r="Q184" s="187"/>
      <c r="R184" s="187"/>
      <c r="S184" s="187"/>
      <c r="T184" s="187"/>
      <c r="U184" s="187"/>
    </row>
    <row r="185">
      <c r="A185" s="187"/>
      <c r="B185" s="188"/>
      <c r="C185" s="192"/>
      <c r="D185" s="193"/>
      <c r="E185" s="193"/>
      <c r="F185" s="194"/>
      <c r="G185" s="193"/>
      <c r="H185" s="195"/>
      <c r="I185" s="197"/>
      <c r="J185" s="187"/>
      <c r="K185" s="187"/>
      <c r="L185" s="187"/>
      <c r="M185" s="187"/>
      <c r="N185" s="198"/>
      <c r="O185" s="187"/>
      <c r="P185" s="187"/>
      <c r="Q185" s="187"/>
      <c r="R185" s="187"/>
      <c r="S185" s="187"/>
      <c r="T185" s="187"/>
      <c r="U185" s="187"/>
    </row>
    <row r="186">
      <c r="A186" s="187"/>
      <c r="B186" s="188"/>
      <c r="C186" s="192"/>
      <c r="D186" s="193"/>
      <c r="E186" s="193"/>
      <c r="F186" s="194"/>
      <c r="G186" s="193"/>
      <c r="H186" s="195"/>
      <c r="I186" s="197"/>
      <c r="J186" s="187"/>
      <c r="K186" s="187"/>
      <c r="L186" s="187"/>
      <c r="M186" s="187"/>
      <c r="N186" s="198"/>
      <c r="O186" s="187"/>
      <c r="P186" s="187"/>
      <c r="Q186" s="187"/>
      <c r="R186" s="187"/>
      <c r="S186" s="187"/>
      <c r="T186" s="187"/>
      <c r="U186" s="187"/>
    </row>
    <row r="187">
      <c r="A187" s="187"/>
      <c r="B187" s="188"/>
      <c r="C187" s="192"/>
      <c r="D187" s="193"/>
      <c r="E187" s="193"/>
      <c r="F187" s="194"/>
      <c r="G187" s="193"/>
      <c r="H187" s="195"/>
      <c r="I187" s="197"/>
      <c r="J187" s="187"/>
      <c r="K187" s="187"/>
      <c r="L187" s="187"/>
      <c r="M187" s="187"/>
      <c r="N187" s="198"/>
      <c r="O187" s="187"/>
      <c r="P187" s="187"/>
      <c r="Q187" s="187"/>
      <c r="R187" s="187"/>
      <c r="S187" s="187"/>
      <c r="T187" s="187"/>
      <c r="U187" s="187"/>
    </row>
    <row r="188">
      <c r="A188" s="187"/>
      <c r="B188" s="188"/>
      <c r="C188" s="192"/>
      <c r="D188" s="193"/>
      <c r="E188" s="193"/>
      <c r="F188" s="194"/>
      <c r="G188" s="193"/>
      <c r="H188" s="195"/>
      <c r="I188" s="197"/>
      <c r="J188" s="187"/>
      <c r="K188" s="187"/>
      <c r="L188" s="187"/>
      <c r="M188" s="187"/>
      <c r="N188" s="198"/>
      <c r="O188" s="187"/>
      <c r="P188" s="187"/>
      <c r="Q188" s="187"/>
      <c r="R188" s="187"/>
      <c r="S188" s="187"/>
      <c r="T188" s="187"/>
      <c r="U188" s="187"/>
    </row>
    <row r="189">
      <c r="A189" s="187"/>
      <c r="B189" s="188"/>
      <c r="C189" s="192"/>
      <c r="D189" s="193"/>
      <c r="E189" s="193"/>
      <c r="F189" s="194"/>
      <c r="G189" s="193"/>
      <c r="H189" s="195"/>
      <c r="I189" s="197"/>
      <c r="J189" s="187"/>
      <c r="K189" s="187"/>
      <c r="L189" s="187"/>
      <c r="M189" s="187"/>
      <c r="N189" s="198"/>
      <c r="O189" s="187"/>
      <c r="P189" s="187"/>
      <c r="Q189" s="187"/>
      <c r="R189" s="187"/>
      <c r="S189" s="187"/>
      <c r="T189" s="187"/>
      <c r="U189" s="187"/>
    </row>
    <row r="190">
      <c r="A190" s="187"/>
      <c r="B190" s="188"/>
      <c r="C190" s="192"/>
      <c r="D190" s="193"/>
      <c r="E190" s="193"/>
      <c r="F190" s="194"/>
      <c r="G190" s="193"/>
      <c r="H190" s="195"/>
      <c r="I190" s="197"/>
      <c r="J190" s="187"/>
      <c r="K190" s="187"/>
      <c r="L190" s="187"/>
      <c r="M190" s="187"/>
      <c r="N190" s="198"/>
      <c r="O190" s="187"/>
      <c r="P190" s="187"/>
      <c r="Q190" s="187"/>
      <c r="R190" s="187"/>
      <c r="S190" s="187"/>
      <c r="T190" s="187"/>
      <c r="U190" s="187"/>
    </row>
    <row r="191">
      <c r="A191" s="187"/>
      <c r="B191" s="188"/>
      <c r="C191" s="192"/>
      <c r="D191" s="193"/>
      <c r="E191" s="193"/>
      <c r="F191" s="194"/>
      <c r="G191" s="193"/>
      <c r="H191" s="195"/>
      <c r="I191" s="197"/>
      <c r="J191" s="187"/>
      <c r="K191" s="187"/>
      <c r="L191" s="187"/>
      <c r="M191" s="187"/>
      <c r="N191" s="198"/>
      <c r="O191" s="187"/>
      <c r="P191" s="187"/>
      <c r="Q191" s="187"/>
      <c r="R191" s="187"/>
      <c r="S191" s="187"/>
      <c r="T191" s="187"/>
      <c r="U191" s="187"/>
    </row>
    <row r="192">
      <c r="A192" s="187"/>
      <c r="B192" s="188"/>
      <c r="C192" s="192"/>
      <c r="D192" s="193"/>
      <c r="E192" s="193"/>
      <c r="F192" s="194"/>
      <c r="G192" s="193"/>
      <c r="H192" s="195"/>
      <c r="I192" s="197"/>
      <c r="J192" s="187"/>
      <c r="K192" s="187"/>
      <c r="L192" s="187"/>
      <c r="M192" s="187"/>
      <c r="N192" s="198"/>
      <c r="O192" s="187"/>
      <c r="P192" s="187"/>
      <c r="Q192" s="187"/>
      <c r="R192" s="187"/>
      <c r="S192" s="187"/>
      <c r="T192" s="187"/>
      <c r="U192" s="187"/>
    </row>
    <row r="193">
      <c r="A193" s="187"/>
      <c r="B193" s="188"/>
      <c r="C193" s="192"/>
      <c r="D193" s="193"/>
      <c r="E193" s="193"/>
      <c r="F193" s="194"/>
      <c r="G193" s="193"/>
      <c r="H193" s="195"/>
      <c r="I193" s="197"/>
      <c r="J193" s="187"/>
      <c r="K193" s="187"/>
      <c r="L193" s="187"/>
      <c r="M193" s="187"/>
      <c r="N193" s="198"/>
      <c r="O193" s="187"/>
      <c r="P193" s="187"/>
      <c r="Q193" s="187"/>
      <c r="R193" s="187"/>
      <c r="S193" s="187"/>
      <c r="T193" s="187"/>
      <c r="U193" s="187"/>
    </row>
    <row r="194">
      <c r="A194" s="187"/>
      <c r="B194" s="188"/>
      <c r="C194" s="192"/>
      <c r="D194" s="193"/>
      <c r="E194" s="193"/>
      <c r="F194" s="194"/>
      <c r="G194" s="193"/>
      <c r="H194" s="195"/>
      <c r="I194" s="197"/>
      <c r="J194" s="187"/>
      <c r="K194" s="187"/>
      <c r="L194" s="187"/>
      <c r="M194" s="187"/>
      <c r="N194" s="198"/>
      <c r="O194" s="187"/>
      <c r="P194" s="187"/>
      <c r="Q194" s="187"/>
      <c r="R194" s="187"/>
      <c r="S194" s="187"/>
      <c r="T194" s="187"/>
      <c r="U194" s="187"/>
    </row>
    <row r="195">
      <c r="A195" s="187"/>
      <c r="B195" s="188"/>
      <c r="C195" s="192"/>
      <c r="D195" s="193"/>
      <c r="E195" s="193"/>
      <c r="F195" s="194"/>
      <c r="G195" s="193"/>
      <c r="H195" s="195"/>
      <c r="I195" s="197"/>
      <c r="J195" s="187"/>
      <c r="K195" s="187"/>
      <c r="L195" s="187"/>
      <c r="M195" s="187"/>
      <c r="N195" s="198"/>
      <c r="O195" s="187"/>
      <c r="P195" s="187"/>
      <c r="Q195" s="187"/>
      <c r="R195" s="187"/>
      <c r="S195" s="187"/>
      <c r="T195" s="187"/>
      <c r="U195" s="187"/>
    </row>
    <row r="196">
      <c r="A196" s="187"/>
      <c r="B196" s="188"/>
      <c r="C196" s="192"/>
      <c r="D196" s="193"/>
      <c r="E196" s="193"/>
      <c r="F196" s="194"/>
      <c r="G196" s="193"/>
      <c r="H196" s="195"/>
      <c r="I196" s="197"/>
      <c r="J196" s="187"/>
      <c r="K196" s="187"/>
      <c r="L196" s="187"/>
      <c r="M196" s="187"/>
      <c r="N196" s="198"/>
      <c r="O196" s="187"/>
      <c r="P196" s="187"/>
      <c r="Q196" s="187"/>
      <c r="R196" s="187"/>
      <c r="S196" s="187"/>
      <c r="T196" s="187"/>
      <c r="U196" s="187"/>
    </row>
    <row r="197">
      <c r="A197" s="187"/>
      <c r="B197" s="188"/>
      <c r="C197" s="192"/>
      <c r="D197" s="193"/>
      <c r="E197" s="193"/>
      <c r="F197" s="194"/>
      <c r="G197" s="193"/>
      <c r="H197" s="195"/>
      <c r="I197" s="197"/>
      <c r="J197" s="187"/>
      <c r="K197" s="187"/>
      <c r="L197" s="187"/>
      <c r="M197" s="187"/>
      <c r="N197" s="198"/>
      <c r="O197" s="187"/>
      <c r="P197" s="187"/>
      <c r="Q197" s="187"/>
      <c r="R197" s="187"/>
      <c r="S197" s="187"/>
      <c r="T197" s="187"/>
      <c r="U197" s="187"/>
    </row>
    <row r="198">
      <c r="A198" s="187"/>
      <c r="B198" s="188"/>
      <c r="C198" s="192"/>
      <c r="D198" s="193"/>
      <c r="E198" s="193"/>
      <c r="F198" s="194"/>
      <c r="G198" s="193"/>
      <c r="H198" s="195"/>
      <c r="I198" s="197"/>
      <c r="J198" s="187"/>
      <c r="K198" s="187"/>
      <c r="L198" s="187"/>
      <c r="M198" s="187"/>
      <c r="N198" s="198"/>
      <c r="O198" s="187"/>
      <c r="P198" s="187"/>
      <c r="Q198" s="187"/>
      <c r="R198" s="187"/>
      <c r="S198" s="187"/>
      <c r="T198" s="187"/>
      <c r="U198" s="187"/>
    </row>
    <row r="199">
      <c r="A199" s="187"/>
      <c r="B199" s="188"/>
      <c r="C199" s="192"/>
      <c r="D199" s="193"/>
      <c r="E199" s="193"/>
      <c r="F199" s="194"/>
      <c r="G199" s="193"/>
      <c r="H199" s="195"/>
      <c r="I199" s="197"/>
      <c r="J199" s="187"/>
      <c r="K199" s="187"/>
      <c r="L199" s="187"/>
      <c r="M199" s="187"/>
      <c r="N199" s="198"/>
      <c r="O199" s="187"/>
      <c r="P199" s="187"/>
      <c r="Q199" s="187"/>
      <c r="R199" s="187"/>
      <c r="S199" s="187"/>
      <c r="T199" s="187"/>
      <c r="U199" s="187"/>
    </row>
    <row r="200">
      <c r="A200" s="187"/>
      <c r="B200" s="188"/>
      <c r="C200" s="192"/>
      <c r="D200" s="193"/>
      <c r="E200" s="193"/>
      <c r="F200" s="194"/>
      <c r="G200" s="193"/>
      <c r="H200" s="195"/>
      <c r="I200" s="197"/>
      <c r="J200" s="187"/>
      <c r="K200" s="187"/>
      <c r="L200" s="187"/>
      <c r="M200" s="187"/>
      <c r="N200" s="198"/>
      <c r="O200" s="187"/>
      <c r="P200" s="187"/>
      <c r="Q200" s="187"/>
      <c r="R200" s="187"/>
      <c r="S200" s="187"/>
      <c r="T200" s="187"/>
      <c r="U200" s="187"/>
    </row>
    <row r="201">
      <c r="A201" s="187"/>
      <c r="B201" s="188"/>
      <c r="C201" s="192"/>
      <c r="D201" s="193"/>
      <c r="E201" s="193"/>
      <c r="F201" s="194"/>
      <c r="G201" s="193"/>
      <c r="H201" s="195"/>
      <c r="I201" s="197"/>
      <c r="J201" s="187"/>
      <c r="K201" s="187"/>
      <c r="L201" s="187"/>
      <c r="M201" s="187"/>
      <c r="N201" s="198"/>
      <c r="O201" s="187"/>
      <c r="P201" s="187"/>
      <c r="Q201" s="187"/>
      <c r="R201" s="187"/>
      <c r="S201" s="187"/>
      <c r="T201" s="187"/>
      <c r="U201" s="187"/>
    </row>
    <row r="202">
      <c r="A202" s="187"/>
      <c r="B202" s="188"/>
      <c r="C202" s="192"/>
      <c r="D202" s="193"/>
      <c r="E202" s="193"/>
      <c r="F202" s="194"/>
      <c r="G202" s="193"/>
      <c r="H202" s="195"/>
      <c r="I202" s="197"/>
      <c r="J202" s="187"/>
      <c r="K202" s="187"/>
      <c r="L202" s="187"/>
      <c r="M202" s="187"/>
      <c r="N202" s="198"/>
      <c r="O202" s="187"/>
      <c r="P202" s="187"/>
      <c r="Q202" s="187"/>
      <c r="R202" s="187"/>
      <c r="S202" s="187"/>
      <c r="T202" s="187"/>
      <c r="U202" s="187"/>
    </row>
    <row r="203">
      <c r="A203" s="187"/>
      <c r="B203" s="188"/>
      <c r="C203" s="192"/>
      <c r="D203" s="193"/>
      <c r="E203" s="193"/>
      <c r="F203" s="194"/>
      <c r="G203" s="193"/>
      <c r="H203" s="195"/>
      <c r="I203" s="197"/>
      <c r="J203" s="187"/>
      <c r="K203" s="187"/>
      <c r="L203" s="187"/>
      <c r="M203" s="187"/>
      <c r="N203" s="198"/>
      <c r="O203" s="187"/>
      <c r="P203" s="187"/>
      <c r="Q203" s="187"/>
      <c r="R203" s="187"/>
      <c r="S203" s="187"/>
      <c r="T203" s="187"/>
      <c r="U203" s="187"/>
    </row>
    <row r="204">
      <c r="A204" s="187"/>
      <c r="B204" s="188"/>
      <c r="C204" s="192"/>
      <c r="D204" s="193"/>
      <c r="E204" s="193"/>
      <c r="F204" s="194"/>
      <c r="G204" s="193"/>
      <c r="H204" s="195"/>
      <c r="I204" s="197"/>
      <c r="J204" s="187"/>
      <c r="K204" s="187"/>
      <c r="L204" s="187"/>
      <c r="M204" s="187"/>
      <c r="N204" s="198"/>
      <c r="O204" s="187"/>
      <c r="P204" s="187"/>
      <c r="Q204" s="187"/>
      <c r="R204" s="187"/>
      <c r="S204" s="187"/>
      <c r="T204" s="187"/>
      <c r="U204" s="187"/>
    </row>
    <row r="205">
      <c r="A205" s="187"/>
      <c r="B205" s="188"/>
      <c r="C205" s="192"/>
      <c r="D205" s="193"/>
      <c r="E205" s="193"/>
      <c r="F205" s="194"/>
      <c r="G205" s="193"/>
      <c r="H205" s="195"/>
      <c r="I205" s="197"/>
      <c r="J205" s="187"/>
      <c r="K205" s="187"/>
      <c r="L205" s="187"/>
      <c r="M205" s="187"/>
      <c r="N205" s="198"/>
      <c r="O205" s="187"/>
      <c r="P205" s="187"/>
      <c r="Q205" s="187"/>
      <c r="R205" s="187"/>
      <c r="S205" s="187"/>
      <c r="T205" s="187"/>
      <c r="U205" s="187"/>
    </row>
    <row r="206">
      <c r="A206" s="187"/>
      <c r="B206" s="188"/>
      <c r="C206" s="192"/>
      <c r="D206" s="193"/>
      <c r="E206" s="193"/>
      <c r="F206" s="194"/>
      <c r="G206" s="193"/>
      <c r="H206" s="195"/>
      <c r="I206" s="197"/>
      <c r="J206" s="187"/>
      <c r="K206" s="187"/>
      <c r="L206" s="187"/>
      <c r="M206" s="187"/>
      <c r="N206" s="198"/>
      <c r="O206" s="187"/>
      <c r="P206" s="187"/>
      <c r="Q206" s="187"/>
      <c r="R206" s="187"/>
      <c r="S206" s="187"/>
      <c r="T206" s="187"/>
      <c r="U206" s="187"/>
    </row>
    <row r="207">
      <c r="A207" s="187"/>
      <c r="B207" s="188"/>
      <c r="C207" s="192"/>
      <c r="D207" s="193"/>
      <c r="E207" s="193"/>
      <c r="F207" s="194"/>
      <c r="G207" s="193"/>
      <c r="H207" s="195"/>
      <c r="I207" s="197"/>
      <c r="J207" s="187"/>
      <c r="K207" s="187"/>
      <c r="L207" s="187"/>
      <c r="M207" s="187"/>
      <c r="N207" s="198"/>
      <c r="O207" s="187"/>
      <c r="P207" s="187"/>
      <c r="Q207" s="187"/>
      <c r="R207" s="187"/>
      <c r="S207" s="187"/>
      <c r="T207" s="187"/>
      <c r="U207" s="187"/>
    </row>
    <row r="208">
      <c r="A208" s="187"/>
      <c r="B208" s="188"/>
      <c r="C208" s="192"/>
      <c r="D208" s="193"/>
      <c r="E208" s="193"/>
      <c r="F208" s="194"/>
      <c r="G208" s="193"/>
      <c r="H208" s="195"/>
      <c r="I208" s="197"/>
      <c r="J208" s="187"/>
      <c r="K208" s="187"/>
      <c r="L208" s="187"/>
      <c r="M208" s="187"/>
      <c r="N208" s="198"/>
      <c r="O208" s="187"/>
      <c r="P208" s="187"/>
      <c r="Q208" s="187"/>
      <c r="R208" s="187"/>
      <c r="S208" s="187"/>
      <c r="T208" s="187"/>
      <c r="U208" s="187"/>
    </row>
    <row r="209">
      <c r="A209" s="187"/>
      <c r="B209" s="188"/>
      <c r="C209" s="192"/>
      <c r="D209" s="193"/>
      <c r="E209" s="193"/>
      <c r="F209" s="194"/>
      <c r="G209" s="193"/>
      <c r="H209" s="195"/>
      <c r="I209" s="197"/>
      <c r="J209" s="187"/>
      <c r="K209" s="187"/>
      <c r="L209" s="187"/>
      <c r="M209" s="187"/>
      <c r="N209" s="198"/>
      <c r="O209" s="187"/>
      <c r="P209" s="187"/>
      <c r="Q209" s="187"/>
      <c r="R209" s="187"/>
      <c r="S209" s="187"/>
      <c r="T209" s="187"/>
      <c r="U209" s="187"/>
    </row>
    <row r="210">
      <c r="A210" s="187"/>
      <c r="B210" s="188"/>
      <c r="C210" s="192"/>
      <c r="D210" s="193"/>
      <c r="E210" s="193"/>
      <c r="F210" s="194"/>
      <c r="G210" s="193"/>
      <c r="H210" s="195"/>
      <c r="I210" s="197"/>
      <c r="J210" s="187"/>
      <c r="K210" s="187"/>
      <c r="L210" s="187"/>
      <c r="M210" s="187"/>
      <c r="N210" s="198"/>
      <c r="O210" s="187"/>
      <c r="P210" s="187"/>
      <c r="Q210" s="187"/>
      <c r="R210" s="187"/>
      <c r="S210" s="187"/>
      <c r="T210" s="187"/>
      <c r="U210" s="187"/>
    </row>
    <row r="211">
      <c r="A211" s="187"/>
      <c r="B211" s="188"/>
      <c r="C211" s="192"/>
      <c r="D211" s="193"/>
      <c r="E211" s="193"/>
      <c r="F211" s="194"/>
      <c r="G211" s="193"/>
      <c r="H211" s="195"/>
      <c r="I211" s="197"/>
      <c r="J211" s="187"/>
      <c r="K211" s="187"/>
      <c r="L211" s="187"/>
      <c r="M211" s="187"/>
      <c r="N211" s="198"/>
      <c r="O211" s="187"/>
      <c r="P211" s="187"/>
      <c r="Q211" s="187"/>
      <c r="R211" s="187"/>
      <c r="S211" s="187"/>
      <c r="T211" s="187"/>
      <c r="U211" s="187"/>
    </row>
    <row r="212">
      <c r="A212" s="187"/>
      <c r="B212" s="188"/>
      <c r="C212" s="192"/>
      <c r="D212" s="193"/>
      <c r="E212" s="193"/>
      <c r="F212" s="194"/>
      <c r="G212" s="193"/>
      <c r="H212" s="195"/>
      <c r="I212" s="197"/>
      <c r="J212" s="187"/>
      <c r="K212" s="187"/>
      <c r="L212" s="187"/>
      <c r="M212" s="187"/>
      <c r="N212" s="198"/>
      <c r="O212" s="187"/>
      <c r="P212" s="187"/>
      <c r="Q212" s="187"/>
      <c r="R212" s="187"/>
      <c r="S212" s="187"/>
      <c r="T212" s="187"/>
      <c r="U212" s="187"/>
    </row>
    <row r="213">
      <c r="A213" s="187"/>
      <c r="B213" s="188"/>
      <c r="C213" s="192"/>
      <c r="D213" s="193"/>
      <c r="E213" s="193"/>
      <c r="F213" s="194"/>
      <c r="G213" s="193"/>
      <c r="H213" s="195"/>
      <c r="I213" s="197"/>
      <c r="J213" s="187"/>
      <c r="K213" s="187"/>
      <c r="L213" s="187"/>
      <c r="M213" s="187"/>
      <c r="N213" s="198"/>
      <c r="O213" s="187"/>
      <c r="P213" s="187"/>
      <c r="Q213" s="187"/>
      <c r="R213" s="187"/>
      <c r="S213" s="187"/>
      <c r="T213" s="187"/>
      <c r="U213" s="187"/>
    </row>
    <row r="214">
      <c r="A214" s="187"/>
      <c r="B214" s="188"/>
      <c r="C214" s="192"/>
      <c r="D214" s="193"/>
      <c r="E214" s="193"/>
      <c r="F214" s="194"/>
      <c r="G214" s="193"/>
      <c r="H214" s="195"/>
      <c r="I214" s="197"/>
      <c r="J214" s="187"/>
      <c r="K214" s="187"/>
      <c r="L214" s="187"/>
      <c r="M214" s="187"/>
      <c r="N214" s="198"/>
      <c r="O214" s="187"/>
      <c r="P214" s="187"/>
      <c r="Q214" s="187"/>
      <c r="R214" s="187"/>
      <c r="S214" s="187"/>
      <c r="T214" s="187"/>
      <c r="U214" s="187"/>
    </row>
    <row r="215">
      <c r="A215" s="187"/>
      <c r="B215" s="188"/>
      <c r="C215" s="192"/>
      <c r="D215" s="193"/>
      <c r="E215" s="193"/>
      <c r="F215" s="194"/>
      <c r="G215" s="193"/>
      <c r="H215" s="195"/>
      <c r="I215" s="197"/>
      <c r="J215" s="187"/>
      <c r="K215" s="187"/>
      <c r="L215" s="187"/>
      <c r="M215" s="187"/>
      <c r="N215" s="198"/>
      <c r="O215" s="187"/>
      <c r="P215" s="187"/>
      <c r="Q215" s="187"/>
      <c r="R215" s="187"/>
      <c r="S215" s="187"/>
      <c r="T215" s="187"/>
      <c r="U215" s="187"/>
    </row>
    <row r="216">
      <c r="A216" s="187"/>
      <c r="B216" s="188"/>
      <c r="C216" s="192"/>
      <c r="D216" s="193"/>
      <c r="E216" s="193"/>
      <c r="F216" s="194"/>
      <c r="G216" s="193"/>
      <c r="H216" s="195"/>
      <c r="I216" s="197"/>
      <c r="J216" s="187"/>
      <c r="K216" s="187"/>
      <c r="L216" s="187"/>
      <c r="M216" s="187"/>
      <c r="N216" s="198"/>
      <c r="O216" s="187"/>
      <c r="P216" s="187"/>
      <c r="Q216" s="187"/>
      <c r="R216" s="187"/>
      <c r="S216" s="187"/>
      <c r="T216" s="187"/>
      <c r="U216" s="187"/>
    </row>
    <row r="217">
      <c r="A217" s="187"/>
      <c r="B217" s="188"/>
      <c r="C217" s="192"/>
      <c r="D217" s="193"/>
      <c r="E217" s="193"/>
      <c r="F217" s="194"/>
      <c r="G217" s="193"/>
      <c r="H217" s="195"/>
      <c r="I217" s="197"/>
      <c r="J217" s="187"/>
      <c r="K217" s="187"/>
      <c r="L217" s="187"/>
      <c r="M217" s="187"/>
      <c r="N217" s="198"/>
      <c r="O217" s="187"/>
      <c r="P217" s="187"/>
      <c r="Q217" s="187"/>
      <c r="R217" s="187"/>
      <c r="S217" s="187"/>
      <c r="T217" s="187"/>
      <c r="U217" s="187"/>
    </row>
    <row r="218">
      <c r="A218" s="187"/>
      <c r="B218" s="188"/>
      <c r="C218" s="192"/>
      <c r="D218" s="193"/>
      <c r="E218" s="193"/>
      <c r="F218" s="194"/>
      <c r="G218" s="193"/>
      <c r="H218" s="195"/>
      <c r="I218" s="197"/>
      <c r="J218" s="187"/>
      <c r="K218" s="187"/>
      <c r="L218" s="187"/>
      <c r="M218" s="187"/>
      <c r="N218" s="198"/>
      <c r="O218" s="187"/>
      <c r="P218" s="187"/>
      <c r="Q218" s="187"/>
      <c r="R218" s="187"/>
      <c r="S218" s="187"/>
      <c r="T218" s="187"/>
      <c r="U218" s="187"/>
    </row>
    <row r="219">
      <c r="A219" s="187"/>
      <c r="B219" s="188"/>
      <c r="C219" s="192"/>
      <c r="D219" s="193"/>
      <c r="E219" s="193"/>
      <c r="F219" s="194"/>
      <c r="G219" s="193"/>
      <c r="H219" s="195"/>
      <c r="I219" s="197"/>
      <c r="J219" s="187"/>
      <c r="K219" s="187"/>
      <c r="L219" s="187"/>
      <c r="M219" s="187"/>
      <c r="N219" s="198"/>
      <c r="O219" s="187"/>
      <c r="P219" s="187"/>
      <c r="Q219" s="187"/>
      <c r="R219" s="187"/>
      <c r="S219" s="187"/>
      <c r="T219" s="187"/>
      <c r="U219" s="187"/>
    </row>
    <row r="220">
      <c r="A220" s="187"/>
      <c r="B220" s="188"/>
      <c r="C220" s="192"/>
      <c r="D220" s="193"/>
      <c r="E220" s="193"/>
      <c r="F220" s="194"/>
      <c r="G220" s="193"/>
      <c r="H220" s="195"/>
      <c r="I220" s="197"/>
      <c r="J220" s="187"/>
      <c r="K220" s="187"/>
      <c r="L220" s="187"/>
      <c r="M220" s="187"/>
      <c r="N220" s="198"/>
      <c r="O220" s="187"/>
      <c r="P220" s="187"/>
      <c r="Q220" s="187"/>
      <c r="R220" s="187"/>
      <c r="S220" s="187"/>
      <c r="T220" s="187"/>
      <c r="U220" s="187"/>
    </row>
    <row r="221">
      <c r="A221" s="187"/>
      <c r="B221" s="188"/>
      <c r="C221" s="192"/>
      <c r="D221" s="193"/>
      <c r="E221" s="193"/>
      <c r="F221" s="194"/>
      <c r="G221" s="193"/>
      <c r="H221" s="195"/>
      <c r="I221" s="197"/>
      <c r="J221" s="187"/>
      <c r="K221" s="187"/>
      <c r="L221" s="187"/>
      <c r="M221" s="187"/>
      <c r="N221" s="198"/>
      <c r="O221" s="187"/>
      <c r="P221" s="187"/>
      <c r="Q221" s="187"/>
      <c r="R221" s="187"/>
      <c r="S221" s="187"/>
      <c r="T221" s="187"/>
      <c r="U221" s="187"/>
    </row>
    <row r="222">
      <c r="A222" s="187"/>
      <c r="B222" s="188"/>
      <c r="C222" s="192"/>
      <c r="D222" s="193"/>
      <c r="E222" s="193"/>
      <c r="F222" s="194"/>
      <c r="G222" s="193"/>
      <c r="H222" s="195"/>
      <c r="I222" s="197"/>
      <c r="J222" s="187"/>
      <c r="K222" s="187"/>
      <c r="L222" s="187"/>
      <c r="M222" s="187"/>
      <c r="N222" s="198"/>
      <c r="O222" s="187"/>
      <c r="P222" s="187"/>
      <c r="Q222" s="187"/>
      <c r="R222" s="187"/>
      <c r="S222" s="187"/>
      <c r="T222" s="187"/>
      <c r="U222" s="187"/>
    </row>
    <row r="223">
      <c r="A223" s="187"/>
      <c r="B223" s="188"/>
      <c r="C223" s="192"/>
      <c r="D223" s="193"/>
      <c r="E223" s="193"/>
      <c r="F223" s="194"/>
      <c r="G223" s="193"/>
      <c r="H223" s="195"/>
      <c r="I223" s="197"/>
      <c r="J223" s="187"/>
      <c r="K223" s="187"/>
      <c r="L223" s="187"/>
      <c r="M223" s="187"/>
      <c r="N223" s="198"/>
      <c r="O223" s="187"/>
      <c r="P223" s="187"/>
      <c r="Q223" s="187"/>
      <c r="R223" s="187"/>
      <c r="S223" s="187"/>
      <c r="T223" s="187"/>
      <c r="U223" s="187"/>
    </row>
    <row r="224">
      <c r="A224" s="187"/>
      <c r="B224" s="188"/>
      <c r="C224" s="192"/>
      <c r="D224" s="193"/>
      <c r="E224" s="193"/>
      <c r="F224" s="194"/>
      <c r="G224" s="193"/>
      <c r="H224" s="195"/>
      <c r="I224" s="197"/>
      <c r="J224" s="187"/>
      <c r="K224" s="187"/>
      <c r="L224" s="187"/>
      <c r="M224" s="187"/>
      <c r="N224" s="198"/>
      <c r="O224" s="187"/>
      <c r="P224" s="187"/>
      <c r="Q224" s="187"/>
      <c r="R224" s="187"/>
      <c r="S224" s="187"/>
      <c r="T224" s="187"/>
      <c r="U224" s="187"/>
    </row>
    <row r="225">
      <c r="A225" s="187"/>
      <c r="B225" s="188"/>
      <c r="C225" s="192"/>
      <c r="D225" s="193"/>
      <c r="E225" s="193"/>
      <c r="F225" s="194"/>
      <c r="G225" s="193"/>
      <c r="H225" s="195"/>
      <c r="I225" s="197"/>
      <c r="J225" s="187"/>
      <c r="K225" s="187"/>
      <c r="L225" s="187"/>
      <c r="M225" s="187"/>
      <c r="N225" s="198"/>
      <c r="O225" s="187"/>
      <c r="P225" s="187"/>
      <c r="Q225" s="187"/>
      <c r="R225" s="187"/>
      <c r="S225" s="187"/>
      <c r="T225" s="187"/>
      <c r="U225" s="187"/>
    </row>
    <row r="226">
      <c r="A226" s="187"/>
      <c r="B226" s="188"/>
      <c r="C226" s="192"/>
      <c r="D226" s="193"/>
      <c r="E226" s="193"/>
      <c r="F226" s="194"/>
      <c r="G226" s="193"/>
      <c r="H226" s="195"/>
      <c r="I226" s="197"/>
      <c r="J226" s="187"/>
      <c r="K226" s="187"/>
      <c r="L226" s="187"/>
      <c r="M226" s="187"/>
      <c r="N226" s="198"/>
      <c r="O226" s="187"/>
      <c r="P226" s="187"/>
      <c r="Q226" s="187"/>
      <c r="R226" s="187"/>
      <c r="S226" s="187"/>
      <c r="T226" s="187"/>
      <c r="U226" s="187"/>
    </row>
    <row r="227">
      <c r="A227" s="187"/>
      <c r="B227" s="188"/>
      <c r="C227" s="192"/>
      <c r="D227" s="193"/>
      <c r="E227" s="193"/>
      <c r="F227" s="194"/>
      <c r="G227" s="193"/>
      <c r="H227" s="195"/>
      <c r="I227" s="197"/>
      <c r="J227" s="187"/>
      <c r="K227" s="187"/>
      <c r="L227" s="187"/>
      <c r="M227" s="187"/>
      <c r="N227" s="198"/>
      <c r="O227" s="187"/>
      <c r="P227" s="187"/>
      <c r="Q227" s="187"/>
      <c r="R227" s="187"/>
      <c r="S227" s="187"/>
      <c r="T227" s="187"/>
      <c r="U227" s="187"/>
    </row>
    <row r="228">
      <c r="A228" s="187"/>
      <c r="B228" s="188"/>
      <c r="C228" s="192"/>
      <c r="D228" s="193"/>
      <c r="E228" s="193"/>
      <c r="F228" s="194"/>
      <c r="G228" s="193"/>
      <c r="H228" s="195"/>
      <c r="I228" s="197"/>
      <c r="J228" s="187"/>
      <c r="K228" s="187"/>
      <c r="L228" s="187"/>
      <c r="M228" s="187"/>
      <c r="N228" s="198"/>
      <c r="O228" s="187"/>
      <c r="P228" s="187"/>
      <c r="Q228" s="187"/>
      <c r="R228" s="187"/>
      <c r="S228" s="187"/>
      <c r="T228" s="187"/>
      <c r="U228" s="187"/>
    </row>
    <row r="229">
      <c r="A229" s="187"/>
      <c r="B229" s="188"/>
      <c r="C229" s="192"/>
      <c r="D229" s="193"/>
      <c r="E229" s="193"/>
      <c r="F229" s="194"/>
      <c r="G229" s="193"/>
      <c r="H229" s="195"/>
      <c r="I229" s="197"/>
      <c r="J229" s="187"/>
      <c r="K229" s="187"/>
      <c r="L229" s="187"/>
      <c r="M229" s="187"/>
      <c r="N229" s="198"/>
      <c r="O229" s="187"/>
      <c r="P229" s="187"/>
      <c r="Q229" s="187"/>
      <c r="R229" s="187"/>
      <c r="S229" s="187"/>
      <c r="T229" s="187"/>
      <c r="U229" s="187"/>
    </row>
    <row r="230">
      <c r="A230" s="187"/>
      <c r="B230" s="188"/>
      <c r="C230" s="192"/>
      <c r="D230" s="193"/>
      <c r="E230" s="193"/>
      <c r="F230" s="194"/>
      <c r="G230" s="193"/>
      <c r="H230" s="195"/>
      <c r="I230" s="197"/>
      <c r="J230" s="187"/>
      <c r="K230" s="187"/>
      <c r="L230" s="187"/>
      <c r="M230" s="187"/>
      <c r="N230" s="198"/>
      <c r="O230" s="187"/>
      <c r="P230" s="187"/>
      <c r="Q230" s="187"/>
      <c r="R230" s="187"/>
      <c r="S230" s="187"/>
      <c r="T230" s="187"/>
      <c r="U230" s="187"/>
    </row>
    <row r="231">
      <c r="A231" s="187"/>
      <c r="B231" s="188"/>
      <c r="C231" s="192"/>
      <c r="D231" s="193"/>
      <c r="E231" s="193"/>
      <c r="F231" s="194"/>
      <c r="G231" s="193"/>
      <c r="H231" s="195"/>
      <c r="I231" s="197"/>
      <c r="J231" s="187"/>
      <c r="K231" s="187"/>
      <c r="L231" s="187"/>
      <c r="M231" s="187"/>
      <c r="N231" s="198"/>
      <c r="O231" s="187"/>
      <c r="P231" s="187"/>
      <c r="Q231" s="187"/>
      <c r="R231" s="187"/>
      <c r="S231" s="187"/>
      <c r="T231" s="187"/>
      <c r="U231" s="187"/>
    </row>
    <row r="232">
      <c r="A232" s="187"/>
      <c r="B232" s="188"/>
      <c r="C232" s="192"/>
      <c r="D232" s="193"/>
      <c r="E232" s="193"/>
      <c r="F232" s="194"/>
      <c r="G232" s="193"/>
      <c r="H232" s="195"/>
      <c r="I232" s="197"/>
      <c r="J232" s="187"/>
      <c r="K232" s="187"/>
      <c r="L232" s="187"/>
      <c r="M232" s="187"/>
      <c r="N232" s="198"/>
      <c r="O232" s="187"/>
      <c r="P232" s="187"/>
      <c r="Q232" s="187"/>
      <c r="R232" s="187"/>
      <c r="S232" s="187"/>
      <c r="T232" s="187"/>
      <c r="U232" s="187"/>
    </row>
    <row r="233">
      <c r="A233" s="187"/>
      <c r="B233" s="188"/>
      <c r="C233" s="192"/>
      <c r="D233" s="193"/>
      <c r="E233" s="193"/>
      <c r="F233" s="194"/>
      <c r="G233" s="193"/>
      <c r="H233" s="195"/>
      <c r="I233" s="197"/>
      <c r="J233" s="187"/>
      <c r="K233" s="187"/>
      <c r="L233" s="187"/>
      <c r="M233" s="187"/>
      <c r="N233" s="198"/>
      <c r="O233" s="187"/>
      <c r="P233" s="187"/>
      <c r="Q233" s="187"/>
      <c r="R233" s="187"/>
      <c r="S233" s="187"/>
      <c r="T233" s="187"/>
      <c r="U233" s="187"/>
    </row>
    <row r="234">
      <c r="A234" s="187"/>
      <c r="B234" s="188"/>
      <c r="C234" s="192"/>
      <c r="D234" s="193"/>
      <c r="E234" s="193"/>
      <c r="F234" s="194"/>
      <c r="G234" s="193"/>
      <c r="H234" s="195"/>
      <c r="I234" s="197"/>
      <c r="J234" s="187"/>
      <c r="K234" s="187"/>
      <c r="L234" s="187"/>
      <c r="M234" s="187"/>
      <c r="N234" s="198"/>
      <c r="O234" s="187"/>
      <c r="P234" s="187"/>
      <c r="Q234" s="187"/>
      <c r="R234" s="187"/>
      <c r="S234" s="187"/>
      <c r="T234" s="187"/>
      <c r="U234" s="187"/>
    </row>
    <row r="235">
      <c r="A235" s="187"/>
      <c r="B235" s="188"/>
      <c r="C235" s="192"/>
      <c r="D235" s="193"/>
      <c r="E235" s="193"/>
      <c r="F235" s="194"/>
      <c r="G235" s="193"/>
      <c r="H235" s="195"/>
      <c r="I235" s="197"/>
      <c r="J235" s="187"/>
      <c r="K235" s="187"/>
      <c r="L235" s="187"/>
      <c r="M235" s="187"/>
      <c r="N235" s="198"/>
      <c r="O235" s="187"/>
      <c r="P235" s="187"/>
      <c r="Q235" s="187"/>
      <c r="R235" s="187"/>
      <c r="S235" s="187"/>
      <c r="T235" s="187"/>
      <c r="U235" s="187"/>
    </row>
    <row r="236">
      <c r="A236" s="187"/>
      <c r="B236" s="188"/>
      <c r="C236" s="192"/>
      <c r="D236" s="193"/>
      <c r="E236" s="193"/>
      <c r="F236" s="194"/>
      <c r="G236" s="193"/>
      <c r="H236" s="195"/>
      <c r="I236" s="197"/>
      <c r="J236" s="187"/>
      <c r="K236" s="187"/>
      <c r="L236" s="187"/>
      <c r="M236" s="187"/>
      <c r="N236" s="198"/>
      <c r="O236" s="187"/>
      <c r="P236" s="187"/>
      <c r="Q236" s="187"/>
      <c r="R236" s="187"/>
      <c r="S236" s="187"/>
      <c r="T236" s="187"/>
      <c r="U236" s="187"/>
    </row>
    <row r="237">
      <c r="A237" s="187"/>
      <c r="B237" s="188"/>
      <c r="C237" s="192"/>
      <c r="D237" s="193"/>
      <c r="E237" s="193"/>
      <c r="F237" s="194"/>
      <c r="G237" s="193"/>
      <c r="H237" s="195"/>
      <c r="I237" s="197"/>
      <c r="J237" s="187"/>
      <c r="K237" s="187"/>
      <c r="L237" s="187"/>
      <c r="M237" s="187"/>
      <c r="N237" s="198"/>
      <c r="O237" s="187"/>
      <c r="P237" s="187"/>
      <c r="Q237" s="187"/>
      <c r="R237" s="187"/>
      <c r="S237" s="187"/>
      <c r="T237" s="187"/>
      <c r="U237" s="187"/>
    </row>
    <row r="238">
      <c r="A238" s="187"/>
      <c r="B238" s="188"/>
      <c r="C238" s="192"/>
      <c r="D238" s="193"/>
      <c r="E238" s="193"/>
      <c r="F238" s="194"/>
      <c r="G238" s="193"/>
      <c r="H238" s="195"/>
      <c r="I238" s="197"/>
      <c r="J238" s="187"/>
      <c r="K238" s="187"/>
      <c r="L238" s="187"/>
      <c r="M238" s="187"/>
      <c r="N238" s="198"/>
      <c r="O238" s="187"/>
      <c r="P238" s="187"/>
      <c r="Q238" s="187"/>
      <c r="R238" s="187"/>
      <c r="S238" s="187"/>
      <c r="T238" s="187"/>
      <c r="U238" s="187"/>
    </row>
    <row r="239">
      <c r="A239" s="187"/>
      <c r="B239" s="188"/>
      <c r="C239" s="192"/>
      <c r="D239" s="193"/>
      <c r="E239" s="193"/>
      <c r="F239" s="194"/>
      <c r="G239" s="193"/>
      <c r="H239" s="195"/>
      <c r="I239" s="197"/>
      <c r="J239" s="187"/>
      <c r="K239" s="187"/>
      <c r="L239" s="187"/>
      <c r="M239" s="187"/>
      <c r="N239" s="198"/>
      <c r="O239" s="187"/>
      <c r="P239" s="187"/>
      <c r="Q239" s="187"/>
      <c r="R239" s="187"/>
      <c r="S239" s="187"/>
      <c r="T239" s="187"/>
      <c r="U239" s="187"/>
    </row>
    <row r="240">
      <c r="A240" s="187"/>
      <c r="B240" s="188"/>
      <c r="C240" s="192"/>
      <c r="D240" s="193"/>
      <c r="E240" s="193"/>
      <c r="F240" s="194"/>
      <c r="G240" s="193"/>
      <c r="H240" s="195"/>
      <c r="I240" s="197"/>
      <c r="J240" s="187"/>
      <c r="K240" s="187"/>
      <c r="L240" s="187"/>
      <c r="M240" s="187"/>
      <c r="N240" s="198"/>
      <c r="O240" s="187"/>
      <c r="P240" s="187"/>
      <c r="Q240" s="187"/>
      <c r="R240" s="187"/>
      <c r="S240" s="187"/>
      <c r="T240" s="187"/>
      <c r="U240" s="187"/>
    </row>
    <row r="241">
      <c r="A241" s="187"/>
      <c r="B241" s="188"/>
      <c r="C241" s="192"/>
      <c r="D241" s="193"/>
      <c r="E241" s="193"/>
      <c r="F241" s="194"/>
      <c r="G241" s="193"/>
      <c r="H241" s="195"/>
      <c r="I241" s="197"/>
      <c r="J241" s="187"/>
      <c r="K241" s="187"/>
      <c r="L241" s="187"/>
      <c r="M241" s="187"/>
      <c r="N241" s="198"/>
      <c r="O241" s="187"/>
      <c r="P241" s="187"/>
      <c r="Q241" s="187"/>
      <c r="R241" s="187"/>
      <c r="S241" s="187"/>
      <c r="T241" s="187"/>
      <c r="U241" s="187"/>
    </row>
    <row r="242">
      <c r="A242" s="187"/>
      <c r="B242" s="188"/>
      <c r="C242" s="192"/>
      <c r="D242" s="193"/>
      <c r="E242" s="193"/>
      <c r="F242" s="194"/>
      <c r="G242" s="193"/>
      <c r="H242" s="195"/>
      <c r="I242" s="197"/>
      <c r="J242" s="187"/>
      <c r="K242" s="187"/>
      <c r="L242" s="187"/>
      <c r="M242" s="187"/>
      <c r="N242" s="198"/>
      <c r="O242" s="187"/>
      <c r="P242" s="187"/>
      <c r="Q242" s="187"/>
      <c r="R242" s="187"/>
      <c r="S242" s="187"/>
      <c r="T242" s="187"/>
      <c r="U242" s="187"/>
    </row>
    <row r="243">
      <c r="A243" s="187"/>
      <c r="B243" s="188"/>
      <c r="C243" s="192"/>
      <c r="D243" s="193"/>
      <c r="E243" s="193"/>
      <c r="F243" s="194"/>
      <c r="G243" s="193"/>
      <c r="H243" s="195"/>
      <c r="I243" s="197"/>
      <c r="J243" s="187"/>
      <c r="K243" s="187"/>
      <c r="L243" s="187"/>
      <c r="M243" s="187"/>
      <c r="N243" s="198"/>
      <c r="O243" s="187"/>
      <c r="P243" s="187"/>
      <c r="Q243" s="187"/>
      <c r="R243" s="187"/>
      <c r="S243" s="187"/>
      <c r="T243" s="187"/>
      <c r="U243" s="187"/>
    </row>
    <row r="244">
      <c r="A244" s="187"/>
      <c r="B244" s="188"/>
      <c r="C244" s="192"/>
      <c r="D244" s="193"/>
      <c r="E244" s="193"/>
      <c r="F244" s="194"/>
      <c r="G244" s="193"/>
      <c r="H244" s="195"/>
      <c r="I244" s="197"/>
      <c r="J244" s="187"/>
      <c r="K244" s="187"/>
      <c r="L244" s="187"/>
      <c r="M244" s="187"/>
      <c r="N244" s="198"/>
      <c r="O244" s="187"/>
      <c r="P244" s="187"/>
      <c r="Q244" s="187"/>
      <c r="R244" s="187"/>
      <c r="S244" s="187"/>
      <c r="T244" s="187"/>
      <c r="U244" s="187"/>
    </row>
    <row r="245">
      <c r="A245" s="187"/>
      <c r="B245" s="188"/>
      <c r="C245" s="192"/>
      <c r="D245" s="193"/>
      <c r="E245" s="193"/>
      <c r="F245" s="194"/>
      <c r="G245" s="193"/>
      <c r="H245" s="195"/>
      <c r="I245" s="197"/>
      <c r="J245" s="187"/>
      <c r="K245" s="187"/>
      <c r="L245" s="187"/>
      <c r="M245" s="187"/>
      <c r="N245" s="198"/>
      <c r="O245" s="187"/>
      <c r="P245" s="187"/>
      <c r="Q245" s="187"/>
      <c r="R245" s="187"/>
      <c r="S245" s="187"/>
      <c r="T245" s="187"/>
      <c r="U245" s="187"/>
    </row>
    <row r="246">
      <c r="A246" s="187"/>
      <c r="B246" s="188"/>
      <c r="C246" s="192"/>
      <c r="D246" s="193"/>
      <c r="E246" s="193"/>
      <c r="F246" s="194"/>
      <c r="G246" s="193"/>
      <c r="H246" s="195"/>
      <c r="I246" s="197"/>
      <c r="J246" s="187"/>
      <c r="K246" s="187"/>
      <c r="L246" s="187"/>
      <c r="M246" s="187"/>
      <c r="N246" s="198"/>
      <c r="O246" s="187"/>
      <c r="P246" s="187"/>
      <c r="Q246" s="187"/>
      <c r="R246" s="187"/>
      <c r="S246" s="187"/>
      <c r="T246" s="187"/>
      <c r="U246" s="187"/>
    </row>
    <row r="247">
      <c r="A247" s="187"/>
      <c r="B247" s="188"/>
      <c r="C247" s="192"/>
      <c r="D247" s="193"/>
      <c r="E247" s="193"/>
      <c r="F247" s="194"/>
      <c r="G247" s="193"/>
      <c r="H247" s="195"/>
      <c r="I247" s="197"/>
      <c r="J247" s="187"/>
      <c r="K247" s="187"/>
      <c r="L247" s="187"/>
      <c r="M247" s="187"/>
      <c r="N247" s="198"/>
      <c r="O247" s="187"/>
      <c r="P247" s="187"/>
      <c r="Q247" s="187"/>
      <c r="R247" s="187"/>
      <c r="S247" s="187"/>
      <c r="T247" s="187"/>
      <c r="U247" s="187"/>
    </row>
    <row r="248">
      <c r="A248" s="187"/>
      <c r="B248" s="188"/>
      <c r="C248" s="192"/>
      <c r="D248" s="193"/>
      <c r="E248" s="193"/>
      <c r="F248" s="194"/>
      <c r="G248" s="193"/>
      <c r="H248" s="195"/>
      <c r="I248" s="197"/>
      <c r="J248" s="187"/>
      <c r="K248" s="187"/>
      <c r="L248" s="187"/>
      <c r="M248" s="187"/>
      <c r="N248" s="198"/>
      <c r="O248" s="187"/>
      <c r="P248" s="187"/>
      <c r="Q248" s="187"/>
      <c r="R248" s="187"/>
      <c r="S248" s="187"/>
      <c r="T248" s="187"/>
      <c r="U248" s="187"/>
    </row>
    <row r="249">
      <c r="A249" s="187"/>
      <c r="B249" s="188"/>
      <c r="C249" s="192"/>
      <c r="D249" s="193"/>
      <c r="E249" s="193"/>
      <c r="F249" s="194"/>
      <c r="G249" s="193"/>
      <c r="H249" s="195"/>
      <c r="I249" s="197"/>
      <c r="J249" s="187"/>
      <c r="K249" s="187"/>
      <c r="L249" s="187"/>
      <c r="M249" s="187"/>
      <c r="N249" s="198"/>
      <c r="O249" s="187"/>
      <c r="P249" s="187"/>
      <c r="Q249" s="187"/>
      <c r="R249" s="187"/>
      <c r="S249" s="187"/>
      <c r="T249" s="187"/>
      <c r="U249" s="187"/>
    </row>
    <row r="250">
      <c r="A250" s="187"/>
      <c r="B250" s="188"/>
      <c r="C250" s="192"/>
      <c r="D250" s="193"/>
      <c r="E250" s="193"/>
      <c r="F250" s="194"/>
      <c r="G250" s="193"/>
      <c r="H250" s="195"/>
      <c r="I250" s="197"/>
      <c r="J250" s="187"/>
      <c r="K250" s="187"/>
      <c r="L250" s="187"/>
      <c r="M250" s="187"/>
      <c r="N250" s="198"/>
      <c r="O250" s="187"/>
      <c r="P250" s="187"/>
      <c r="Q250" s="187"/>
      <c r="R250" s="187"/>
      <c r="S250" s="187"/>
      <c r="T250" s="187"/>
      <c r="U250" s="187"/>
    </row>
    <row r="251">
      <c r="A251" s="187"/>
      <c r="B251" s="188"/>
      <c r="C251" s="192"/>
      <c r="D251" s="193"/>
      <c r="E251" s="193"/>
      <c r="F251" s="194"/>
      <c r="G251" s="193"/>
      <c r="H251" s="195"/>
      <c r="I251" s="197"/>
      <c r="J251" s="187"/>
      <c r="K251" s="187"/>
      <c r="L251" s="187"/>
      <c r="M251" s="187"/>
      <c r="N251" s="198"/>
      <c r="O251" s="187"/>
      <c r="P251" s="187"/>
      <c r="Q251" s="187"/>
      <c r="R251" s="187"/>
      <c r="S251" s="187"/>
      <c r="T251" s="187"/>
      <c r="U251" s="187"/>
    </row>
    <row r="252">
      <c r="A252" s="187"/>
      <c r="B252" s="188"/>
      <c r="C252" s="192"/>
      <c r="D252" s="193"/>
      <c r="E252" s="193"/>
      <c r="F252" s="194"/>
      <c r="G252" s="193"/>
      <c r="H252" s="195"/>
      <c r="I252" s="197"/>
      <c r="J252" s="187"/>
      <c r="K252" s="187"/>
      <c r="L252" s="187"/>
      <c r="M252" s="187"/>
      <c r="N252" s="198"/>
      <c r="O252" s="187"/>
      <c r="P252" s="187"/>
      <c r="Q252" s="187"/>
      <c r="R252" s="187"/>
      <c r="S252" s="187"/>
      <c r="T252" s="187"/>
      <c r="U252" s="187"/>
    </row>
    <row r="253">
      <c r="A253" s="187"/>
      <c r="B253" s="188"/>
      <c r="C253" s="192"/>
      <c r="D253" s="193"/>
      <c r="E253" s="193"/>
      <c r="F253" s="194"/>
      <c r="G253" s="193"/>
      <c r="H253" s="195"/>
      <c r="I253" s="197"/>
      <c r="J253" s="187"/>
      <c r="K253" s="187"/>
      <c r="L253" s="187"/>
      <c r="M253" s="187"/>
      <c r="N253" s="198"/>
      <c r="O253" s="187"/>
      <c r="P253" s="187"/>
      <c r="Q253" s="187"/>
      <c r="R253" s="187"/>
      <c r="S253" s="187"/>
      <c r="T253" s="187"/>
      <c r="U253" s="187"/>
    </row>
    <row r="254">
      <c r="A254" s="187"/>
      <c r="B254" s="188"/>
      <c r="C254" s="192"/>
      <c r="D254" s="193"/>
      <c r="E254" s="193"/>
      <c r="F254" s="194"/>
      <c r="G254" s="193"/>
      <c r="H254" s="195"/>
      <c r="I254" s="197"/>
      <c r="J254" s="187"/>
      <c r="K254" s="187"/>
      <c r="L254" s="187"/>
      <c r="M254" s="187"/>
      <c r="N254" s="198"/>
      <c r="O254" s="187"/>
      <c r="P254" s="187"/>
      <c r="Q254" s="187"/>
      <c r="R254" s="187"/>
      <c r="S254" s="187"/>
      <c r="T254" s="187"/>
      <c r="U254" s="187"/>
    </row>
    <row r="255">
      <c r="A255" s="187"/>
      <c r="B255" s="188"/>
      <c r="C255" s="192"/>
      <c r="D255" s="193"/>
      <c r="E255" s="193"/>
      <c r="F255" s="194"/>
      <c r="G255" s="193"/>
      <c r="H255" s="195"/>
      <c r="I255" s="197"/>
      <c r="J255" s="187"/>
      <c r="K255" s="187"/>
      <c r="L255" s="187"/>
      <c r="M255" s="187"/>
      <c r="N255" s="198"/>
      <c r="O255" s="187"/>
      <c r="P255" s="187"/>
      <c r="Q255" s="187"/>
      <c r="R255" s="187"/>
      <c r="S255" s="187"/>
      <c r="T255" s="187"/>
      <c r="U255" s="187"/>
    </row>
    <row r="256">
      <c r="A256" s="187"/>
      <c r="B256" s="188"/>
      <c r="C256" s="192"/>
      <c r="D256" s="193"/>
      <c r="E256" s="193"/>
      <c r="F256" s="194"/>
      <c r="G256" s="193"/>
      <c r="H256" s="195"/>
      <c r="I256" s="197"/>
      <c r="J256" s="187"/>
      <c r="K256" s="187"/>
      <c r="L256" s="187"/>
      <c r="M256" s="187"/>
      <c r="N256" s="198"/>
      <c r="O256" s="187"/>
      <c r="P256" s="187"/>
      <c r="Q256" s="187"/>
      <c r="R256" s="187"/>
      <c r="S256" s="187"/>
      <c r="T256" s="187"/>
      <c r="U256" s="187"/>
    </row>
    <row r="257">
      <c r="A257" s="187"/>
      <c r="B257" s="188"/>
      <c r="C257" s="192"/>
      <c r="D257" s="193"/>
      <c r="E257" s="193"/>
      <c r="F257" s="194"/>
      <c r="G257" s="193"/>
      <c r="H257" s="195"/>
      <c r="I257" s="197"/>
      <c r="J257" s="187"/>
      <c r="K257" s="187"/>
      <c r="L257" s="187"/>
      <c r="M257" s="187"/>
      <c r="N257" s="198"/>
      <c r="O257" s="187"/>
      <c r="P257" s="187"/>
      <c r="Q257" s="187"/>
      <c r="R257" s="187"/>
      <c r="S257" s="187"/>
      <c r="T257" s="187"/>
      <c r="U257" s="187"/>
    </row>
    <row r="258">
      <c r="A258" s="187"/>
      <c r="B258" s="188"/>
      <c r="C258" s="192"/>
      <c r="D258" s="193"/>
      <c r="E258" s="193"/>
      <c r="F258" s="194"/>
      <c r="G258" s="193"/>
      <c r="H258" s="195"/>
      <c r="I258" s="197"/>
      <c r="J258" s="187"/>
      <c r="K258" s="187"/>
      <c r="L258" s="187"/>
      <c r="M258" s="187"/>
      <c r="N258" s="198"/>
      <c r="O258" s="187"/>
      <c r="P258" s="187"/>
      <c r="Q258" s="187"/>
      <c r="R258" s="187"/>
      <c r="S258" s="187"/>
      <c r="T258" s="187"/>
      <c r="U258" s="187"/>
    </row>
    <row r="259">
      <c r="A259" s="187"/>
      <c r="B259" s="188"/>
      <c r="C259" s="192"/>
      <c r="D259" s="193"/>
      <c r="E259" s="193"/>
      <c r="F259" s="194"/>
      <c r="G259" s="193"/>
      <c r="H259" s="195"/>
      <c r="I259" s="197"/>
      <c r="J259" s="187"/>
      <c r="K259" s="187"/>
      <c r="L259" s="187"/>
      <c r="M259" s="187"/>
      <c r="N259" s="198"/>
      <c r="O259" s="187"/>
      <c r="P259" s="187"/>
      <c r="Q259" s="187"/>
      <c r="R259" s="187"/>
      <c r="S259" s="187"/>
      <c r="T259" s="187"/>
      <c r="U259" s="187"/>
    </row>
    <row r="260">
      <c r="A260" s="187"/>
      <c r="B260" s="188"/>
      <c r="C260" s="192"/>
      <c r="D260" s="193"/>
      <c r="E260" s="193"/>
      <c r="F260" s="194"/>
      <c r="G260" s="193"/>
      <c r="H260" s="195"/>
      <c r="I260" s="197"/>
      <c r="J260" s="187"/>
      <c r="K260" s="187"/>
      <c r="L260" s="187"/>
      <c r="M260" s="187"/>
      <c r="N260" s="198"/>
      <c r="O260" s="187"/>
      <c r="P260" s="187"/>
      <c r="Q260" s="187"/>
      <c r="R260" s="187"/>
      <c r="S260" s="187"/>
      <c r="T260" s="187"/>
      <c r="U260" s="187"/>
    </row>
    <row r="261">
      <c r="A261" s="187"/>
      <c r="B261" s="188"/>
      <c r="C261" s="192"/>
      <c r="D261" s="193"/>
      <c r="E261" s="193"/>
      <c r="F261" s="194"/>
      <c r="G261" s="193"/>
      <c r="H261" s="195"/>
      <c r="I261" s="197"/>
      <c r="J261" s="187"/>
      <c r="K261" s="187"/>
      <c r="L261" s="187"/>
      <c r="M261" s="187"/>
      <c r="N261" s="198"/>
      <c r="O261" s="187"/>
      <c r="P261" s="187"/>
      <c r="Q261" s="187"/>
      <c r="R261" s="187"/>
      <c r="S261" s="187"/>
      <c r="T261" s="187"/>
      <c r="U261" s="187"/>
    </row>
    <row r="262">
      <c r="A262" s="187"/>
      <c r="B262" s="188"/>
      <c r="C262" s="192"/>
      <c r="D262" s="193"/>
      <c r="E262" s="193"/>
      <c r="F262" s="194"/>
      <c r="G262" s="193"/>
      <c r="H262" s="195"/>
      <c r="I262" s="197"/>
      <c r="J262" s="187"/>
      <c r="K262" s="187"/>
      <c r="L262" s="187"/>
      <c r="M262" s="187"/>
      <c r="N262" s="198"/>
      <c r="O262" s="187"/>
      <c r="P262" s="187"/>
      <c r="Q262" s="187"/>
      <c r="R262" s="187"/>
      <c r="S262" s="187"/>
      <c r="T262" s="187"/>
      <c r="U262" s="187"/>
    </row>
    <row r="263">
      <c r="A263" s="187"/>
      <c r="B263" s="188"/>
      <c r="C263" s="192"/>
      <c r="D263" s="193"/>
      <c r="E263" s="193"/>
      <c r="F263" s="194"/>
      <c r="G263" s="193"/>
      <c r="H263" s="195"/>
      <c r="I263" s="197"/>
      <c r="J263" s="187"/>
      <c r="K263" s="187"/>
      <c r="L263" s="187"/>
      <c r="M263" s="187"/>
      <c r="N263" s="198"/>
      <c r="O263" s="187"/>
      <c r="P263" s="187"/>
      <c r="Q263" s="187"/>
      <c r="R263" s="187"/>
      <c r="S263" s="187"/>
      <c r="T263" s="187"/>
      <c r="U263" s="187"/>
    </row>
    <row r="264">
      <c r="A264" s="187"/>
      <c r="B264" s="188"/>
      <c r="C264" s="192"/>
      <c r="D264" s="193"/>
      <c r="E264" s="193"/>
      <c r="F264" s="194"/>
      <c r="G264" s="193"/>
      <c r="H264" s="195"/>
      <c r="I264" s="197"/>
      <c r="J264" s="187"/>
      <c r="K264" s="187"/>
      <c r="L264" s="187"/>
      <c r="M264" s="187"/>
      <c r="N264" s="198"/>
      <c r="O264" s="187"/>
      <c r="P264" s="187"/>
      <c r="Q264" s="187"/>
      <c r="R264" s="187"/>
      <c r="S264" s="187"/>
      <c r="T264" s="187"/>
      <c r="U264" s="187"/>
    </row>
    <row r="265">
      <c r="A265" s="187"/>
      <c r="B265" s="188"/>
      <c r="C265" s="192"/>
      <c r="D265" s="193"/>
      <c r="E265" s="193"/>
      <c r="F265" s="194"/>
      <c r="G265" s="193"/>
      <c r="H265" s="195"/>
      <c r="I265" s="197"/>
      <c r="J265" s="187"/>
      <c r="K265" s="187"/>
      <c r="L265" s="187"/>
      <c r="M265" s="187"/>
      <c r="N265" s="198"/>
      <c r="O265" s="187"/>
      <c r="P265" s="187"/>
      <c r="Q265" s="187"/>
      <c r="R265" s="187"/>
      <c r="S265" s="187"/>
      <c r="T265" s="187"/>
      <c r="U265" s="187"/>
    </row>
    <row r="266">
      <c r="A266" s="187"/>
      <c r="B266" s="188"/>
      <c r="C266" s="192"/>
      <c r="D266" s="193"/>
      <c r="E266" s="193"/>
      <c r="F266" s="194"/>
      <c r="G266" s="193"/>
      <c r="H266" s="195"/>
      <c r="I266" s="197"/>
      <c r="J266" s="187"/>
      <c r="K266" s="187"/>
      <c r="L266" s="187"/>
      <c r="M266" s="187"/>
      <c r="N266" s="198"/>
      <c r="O266" s="187"/>
      <c r="P266" s="187"/>
      <c r="Q266" s="187"/>
      <c r="R266" s="187"/>
      <c r="S266" s="187"/>
      <c r="T266" s="187"/>
      <c r="U266" s="187"/>
    </row>
    <row r="267">
      <c r="A267" s="187"/>
      <c r="B267" s="188"/>
      <c r="C267" s="192"/>
      <c r="D267" s="193"/>
      <c r="E267" s="193"/>
      <c r="F267" s="194"/>
      <c r="G267" s="193"/>
      <c r="H267" s="195"/>
      <c r="I267" s="197"/>
      <c r="J267" s="187"/>
      <c r="K267" s="187"/>
      <c r="L267" s="187"/>
      <c r="M267" s="187"/>
      <c r="N267" s="198"/>
      <c r="O267" s="187"/>
      <c r="P267" s="187"/>
      <c r="Q267" s="187"/>
      <c r="R267" s="187"/>
      <c r="S267" s="187"/>
      <c r="T267" s="187"/>
      <c r="U267" s="187"/>
    </row>
    <row r="268">
      <c r="A268" s="187"/>
      <c r="B268" s="188"/>
      <c r="C268" s="192"/>
      <c r="D268" s="193"/>
      <c r="E268" s="193"/>
      <c r="F268" s="194"/>
      <c r="G268" s="193"/>
      <c r="H268" s="195"/>
      <c r="I268" s="197"/>
      <c r="J268" s="187"/>
      <c r="K268" s="187"/>
      <c r="L268" s="187"/>
      <c r="M268" s="187"/>
      <c r="N268" s="198"/>
      <c r="O268" s="187"/>
      <c r="P268" s="187"/>
      <c r="Q268" s="187"/>
      <c r="R268" s="187"/>
      <c r="S268" s="187"/>
      <c r="T268" s="187"/>
      <c r="U268" s="187"/>
    </row>
    <row r="269">
      <c r="A269" s="187"/>
      <c r="B269" s="188"/>
      <c r="C269" s="192"/>
      <c r="D269" s="193"/>
      <c r="E269" s="193"/>
      <c r="F269" s="194"/>
      <c r="G269" s="193"/>
      <c r="H269" s="195"/>
      <c r="I269" s="197"/>
      <c r="J269" s="187"/>
      <c r="K269" s="187"/>
      <c r="L269" s="187"/>
      <c r="M269" s="187"/>
      <c r="N269" s="198"/>
      <c r="O269" s="187"/>
      <c r="P269" s="187"/>
      <c r="Q269" s="187"/>
      <c r="R269" s="187"/>
      <c r="S269" s="187"/>
      <c r="T269" s="187"/>
      <c r="U269" s="187"/>
    </row>
    <row r="270">
      <c r="A270" s="187"/>
      <c r="B270" s="188"/>
      <c r="C270" s="192"/>
      <c r="D270" s="193"/>
      <c r="E270" s="193"/>
      <c r="F270" s="194"/>
      <c r="G270" s="193"/>
      <c r="H270" s="195"/>
      <c r="I270" s="197"/>
      <c r="J270" s="187"/>
      <c r="K270" s="187"/>
      <c r="L270" s="187"/>
      <c r="M270" s="187"/>
      <c r="N270" s="198"/>
      <c r="O270" s="187"/>
      <c r="P270" s="187"/>
      <c r="Q270" s="187"/>
      <c r="R270" s="187"/>
      <c r="S270" s="187"/>
      <c r="T270" s="187"/>
      <c r="U270" s="187"/>
    </row>
    <row r="271">
      <c r="A271" s="187"/>
      <c r="B271" s="188"/>
      <c r="C271" s="192"/>
      <c r="D271" s="193"/>
      <c r="E271" s="193"/>
      <c r="F271" s="194"/>
      <c r="G271" s="193"/>
      <c r="H271" s="195"/>
      <c r="I271" s="197"/>
      <c r="J271" s="187"/>
      <c r="K271" s="187"/>
      <c r="L271" s="187"/>
      <c r="M271" s="187"/>
      <c r="N271" s="198"/>
      <c r="O271" s="187"/>
      <c r="P271" s="187"/>
      <c r="Q271" s="187"/>
      <c r="R271" s="187"/>
      <c r="S271" s="187"/>
      <c r="T271" s="187"/>
      <c r="U271" s="187"/>
    </row>
    <row r="272">
      <c r="A272" s="187"/>
      <c r="B272" s="188"/>
      <c r="C272" s="192"/>
      <c r="D272" s="193"/>
      <c r="E272" s="193"/>
      <c r="F272" s="194"/>
      <c r="G272" s="193"/>
      <c r="H272" s="195"/>
      <c r="I272" s="197"/>
      <c r="J272" s="187"/>
      <c r="K272" s="187"/>
      <c r="L272" s="187"/>
      <c r="M272" s="187"/>
      <c r="N272" s="198"/>
      <c r="O272" s="187"/>
      <c r="P272" s="187"/>
      <c r="Q272" s="187"/>
      <c r="R272" s="187"/>
      <c r="S272" s="187"/>
      <c r="T272" s="187"/>
      <c r="U272" s="187"/>
    </row>
    <row r="273">
      <c r="A273" s="187"/>
      <c r="B273" s="188"/>
      <c r="C273" s="192"/>
      <c r="D273" s="193"/>
      <c r="E273" s="193"/>
      <c r="F273" s="194"/>
      <c r="G273" s="193"/>
      <c r="H273" s="195"/>
      <c r="I273" s="197"/>
      <c r="J273" s="187"/>
      <c r="K273" s="187"/>
      <c r="L273" s="187"/>
      <c r="M273" s="187"/>
      <c r="N273" s="198"/>
      <c r="O273" s="187"/>
      <c r="P273" s="187"/>
      <c r="Q273" s="187"/>
      <c r="R273" s="187"/>
      <c r="S273" s="187"/>
      <c r="T273" s="187"/>
      <c r="U273" s="187"/>
    </row>
    <row r="274">
      <c r="A274" s="187"/>
      <c r="B274" s="188"/>
      <c r="C274" s="192"/>
      <c r="D274" s="193"/>
      <c r="E274" s="193"/>
      <c r="F274" s="194"/>
      <c r="G274" s="193"/>
      <c r="H274" s="195"/>
      <c r="I274" s="197"/>
      <c r="J274" s="187"/>
      <c r="K274" s="187"/>
      <c r="L274" s="187"/>
      <c r="M274" s="187"/>
      <c r="N274" s="198"/>
      <c r="O274" s="187"/>
      <c r="P274" s="187"/>
      <c r="Q274" s="187"/>
      <c r="R274" s="187"/>
      <c r="S274" s="187"/>
      <c r="T274" s="187"/>
      <c r="U274" s="187"/>
    </row>
    <row r="275">
      <c r="A275" s="187"/>
      <c r="B275" s="188"/>
      <c r="C275" s="192"/>
      <c r="D275" s="193"/>
      <c r="E275" s="193"/>
      <c r="F275" s="194"/>
      <c r="G275" s="193"/>
      <c r="H275" s="195"/>
      <c r="I275" s="197"/>
      <c r="J275" s="187"/>
      <c r="K275" s="187"/>
      <c r="L275" s="187"/>
      <c r="M275" s="187"/>
      <c r="N275" s="198"/>
      <c r="O275" s="187"/>
      <c r="P275" s="187"/>
      <c r="Q275" s="187"/>
      <c r="R275" s="187"/>
      <c r="S275" s="187"/>
      <c r="T275" s="187"/>
      <c r="U275" s="187"/>
    </row>
    <row r="276">
      <c r="A276" s="187"/>
      <c r="B276" s="188"/>
      <c r="C276" s="192"/>
      <c r="D276" s="193"/>
      <c r="E276" s="193"/>
      <c r="F276" s="194"/>
      <c r="G276" s="193"/>
      <c r="H276" s="195"/>
      <c r="I276" s="197"/>
      <c r="J276" s="187"/>
      <c r="K276" s="187"/>
      <c r="L276" s="187"/>
      <c r="M276" s="187"/>
      <c r="N276" s="198"/>
      <c r="O276" s="187"/>
      <c r="P276" s="187"/>
      <c r="Q276" s="187"/>
      <c r="R276" s="187"/>
      <c r="S276" s="187"/>
      <c r="T276" s="187"/>
      <c r="U276" s="187"/>
    </row>
    <row r="277">
      <c r="A277" s="187"/>
      <c r="B277" s="188"/>
      <c r="C277" s="192"/>
      <c r="D277" s="193"/>
      <c r="E277" s="193"/>
      <c r="F277" s="194"/>
      <c r="G277" s="193"/>
      <c r="H277" s="195"/>
      <c r="I277" s="197"/>
      <c r="J277" s="187"/>
      <c r="K277" s="187"/>
      <c r="L277" s="187"/>
      <c r="M277" s="187"/>
      <c r="N277" s="198"/>
      <c r="O277" s="187"/>
      <c r="P277" s="187"/>
      <c r="Q277" s="187"/>
      <c r="R277" s="187"/>
      <c r="S277" s="187"/>
      <c r="T277" s="187"/>
      <c r="U277" s="187"/>
    </row>
    <row r="278">
      <c r="A278" s="187"/>
      <c r="B278" s="188"/>
      <c r="C278" s="192"/>
      <c r="D278" s="193"/>
      <c r="E278" s="193"/>
      <c r="F278" s="194"/>
      <c r="G278" s="193"/>
      <c r="H278" s="195"/>
      <c r="I278" s="197"/>
      <c r="J278" s="187"/>
      <c r="K278" s="187"/>
      <c r="L278" s="187"/>
      <c r="M278" s="187"/>
      <c r="N278" s="198"/>
      <c r="O278" s="187"/>
      <c r="P278" s="187"/>
      <c r="Q278" s="187"/>
      <c r="R278" s="187"/>
      <c r="S278" s="187"/>
      <c r="T278" s="187"/>
      <c r="U278" s="187"/>
    </row>
    <row r="279">
      <c r="A279" s="187"/>
      <c r="B279" s="188"/>
      <c r="C279" s="192"/>
      <c r="D279" s="193"/>
      <c r="E279" s="193"/>
      <c r="F279" s="194"/>
      <c r="G279" s="193"/>
      <c r="H279" s="195"/>
      <c r="I279" s="197"/>
      <c r="J279" s="187"/>
      <c r="K279" s="187"/>
      <c r="L279" s="187"/>
      <c r="M279" s="187"/>
      <c r="N279" s="198"/>
      <c r="O279" s="187"/>
      <c r="P279" s="187"/>
      <c r="Q279" s="187"/>
      <c r="R279" s="187"/>
      <c r="S279" s="187"/>
      <c r="T279" s="187"/>
      <c r="U279" s="187"/>
    </row>
    <row r="280">
      <c r="A280" s="187"/>
      <c r="B280" s="188"/>
      <c r="C280" s="192"/>
      <c r="D280" s="193"/>
      <c r="E280" s="193"/>
      <c r="F280" s="194"/>
      <c r="G280" s="193"/>
      <c r="H280" s="195"/>
      <c r="I280" s="197"/>
      <c r="J280" s="187"/>
      <c r="K280" s="187"/>
      <c r="L280" s="187"/>
      <c r="M280" s="187"/>
      <c r="N280" s="198"/>
      <c r="O280" s="187"/>
      <c r="P280" s="187"/>
      <c r="Q280" s="187"/>
      <c r="R280" s="187"/>
      <c r="S280" s="187"/>
      <c r="T280" s="187"/>
      <c r="U280" s="187"/>
    </row>
    <row r="281">
      <c r="A281" s="187"/>
      <c r="B281" s="188"/>
      <c r="C281" s="192"/>
      <c r="D281" s="193"/>
      <c r="E281" s="193"/>
      <c r="F281" s="194"/>
      <c r="G281" s="193"/>
      <c r="H281" s="195"/>
      <c r="I281" s="197"/>
      <c r="J281" s="187"/>
      <c r="K281" s="187"/>
      <c r="L281" s="187"/>
      <c r="M281" s="187"/>
      <c r="N281" s="198"/>
      <c r="O281" s="187"/>
      <c r="P281" s="187"/>
      <c r="Q281" s="187"/>
      <c r="R281" s="187"/>
      <c r="S281" s="187"/>
      <c r="T281" s="187"/>
      <c r="U281" s="187"/>
    </row>
    <row r="282">
      <c r="A282" s="187"/>
      <c r="B282" s="188"/>
      <c r="C282" s="192"/>
      <c r="D282" s="193"/>
      <c r="E282" s="193"/>
      <c r="F282" s="194"/>
      <c r="G282" s="193"/>
      <c r="H282" s="195"/>
      <c r="I282" s="197"/>
      <c r="J282" s="187"/>
      <c r="K282" s="187"/>
      <c r="L282" s="187"/>
      <c r="M282" s="187"/>
      <c r="N282" s="198"/>
      <c r="O282" s="187"/>
      <c r="P282" s="187"/>
      <c r="Q282" s="187"/>
      <c r="R282" s="187"/>
      <c r="S282" s="187"/>
      <c r="T282" s="187"/>
      <c r="U282" s="187"/>
    </row>
    <row r="283">
      <c r="A283" s="187"/>
      <c r="B283" s="188"/>
      <c r="C283" s="192"/>
      <c r="D283" s="193"/>
      <c r="E283" s="193"/>
      <c r="F283" s="194"/>
      <c r="G283" s="193"/>
      <c r="H283" s="195"/>
      <c r="I283" s="197"/>
      <c r="J283" s="187"/>
      <c r="K283" s="187"/>
      <c r="L283" s="187"/>
      <c r="M283" s="187"/>
      <c r="N283" s="198"/>
      <c r="O283" s="187"/>
      <c r="P283" s="187"/>
      <c r="Q283" s="187"/>
      <c r="R283" s="187"/>
      <c r="S283" s="187"/>
      <c r="T283" s="187"/>
      <c r="U283" s="187"/>
    </row>
    <row r="284">
      <c r="A284" s="187"/>
      <c r="B284" s="188"/>
      <c r="C284" s="192"/>
      <c r="D284" s="193"/>
      <c r="E284" s="193"/>
      <c r="F284" s="194"/>
      <c r="G284" s="193"/>
      <c r="H284" s="195"/>
      <c r="I284" s="197"/>
      <c r="J284" s="187"/>
      <c r="K284" s="187"/>
      <c r="L284" s="187"/>
      <c r="M284" s="187"/>
      <c r="N284" s="198"/>
      <c r="O284" s="187"/>
      <c r="P284" s="187"/>
      <c r="Q284" s="187"/>
      <c r="R284" s="187"/>
      <c r="S284" s="187"/>
      <c r="T284" s="187"/>
      <c r="U284" s="187"/>
    </row>
    <row r="285">
      <c r="A285" s="187"/>
      <c r="B285" s="188"/>
      <c r="C285" s="192"/>
      <c r="D285" s="193"/>
      <c r="E285" s="193"/>
      <c r="F285" s="194"/>
      <c r="G285" s="193"/>
      <c r="H285" s="195"/>
      <c r="I285" s="197"/>
      <c r="J285" s="187"/>
      <c r="K285" s="187"/>
      <c r="L285" s="187"/>
      <c r="M285" s="187"/>
      <c r="N285" s="198"/>
      <c r="O285" s="187"/>
      <c r="P285" s="187"/>
      <c r="Q285" s="187"/>
      <c r="R285" s="187"/>
      <c r="S285" s="187"/>
      <c r="T285" s="187"/>
      <c r="U285" s="187"/>
    </row>
    <row r="286">
      <c r="A286" s="187"/>
      <c r="B286" s="188"/>
      <c r="C286" s="192"/>
      <c r="D286" s="193"/>
      <c r="E286" s="193"/>
      <c r="F286" s="194"/>
      <c r="G286" s="193"/>
      <c r="H286" s="195"/>
      <c r="I286" s="197"/>
      <c r="J286" s="187"/>
      <c r="K286" s="187"/>
      <c r="L286" s="187"/>
      <c r="M286" s="187"/>
      <c r="N286" s="198"/>
      <c r="O286" s="187"/>
      <c r="P286" s="187"/>
      <c r="Q286" s="187"/>
      <c r="R286" s="187"/>
      <c r="S286" s="187"/>
      <c r="T286" s="187"/>
      <c r="U286" s="187"/>
    </row>
    <row r="287">
      <c r="A287" s="187"/>
      <c r="B287" s="188"/>
      <c r="C287" s="192"/>
      <c r="D287" s="193"/>
      <c r="E287" s="193"/>
      <c r="F287" s="194"/>
      <c r="G287" s="193"/>
      <c r="H287" s="195"/>
      <c r="I287" s="197"/>
      <c r="J287" s="187"/>
      <c r="K287" s="187"/>
      <c r="L287" s="187"/>
      <c r="M287" s="187"/>
      <c r="N287" s="198"/>
      <c r="O287" s="187"/>
      <c r="P287" s="187"/>
      <c r="Q287" s="187"/>
      <c r="R287" s="187"/>
      <c r="S287" s="187"/>
      <c r="T287" s="187"/>
      <c r="U287" s="187"/>
    </row>
    <row r="288">
      <c r="A288" s="187"/>
      <c r="B288" s="188"/>
      <c r="C288" s="192"/>
      <c r="D288" s="193"/>
      <c r="E288" s="193"/>
      <c r="F288" s="194"/>
      <c r="G288" s="193"/>
      <c r="H288" s="195"/>
      <c r="I288" s="197"/>
      <c r="J288" s="187"/>
      <c r="K288" s="187"/>
      <c r="L288" s="187"/>
      <c r="M288" s="187"/>
      <c r="N288" s="198"/>
      <c r="O288" s="187"/>
      <c r="P288" s="187"/>
      <c r="Q288" s="187"/>
      <c r="R288" s="187"/>
      <c r="S288" s="187"/>
      <c r="T288" s="187"/>
      <c r="U288" s="187"/>
    </row>
    <row r="289">
      <c r="A289" s="187"/>
      <c r="B289" s="188"/>
      <c r="C289" s="192"/>
      <c r="D289" s="193"/>
      <c r="E289" s="193"/>
      <c r="F289" s="194"/>
      <c r="G289" s="193"/>
      <c r="H289" s="195"/>
      <c r="I289" s="197"/>
      <c r="J289" s="187"/>
      <c r="K289" s="187"/>
      <c r="L289" s="187"/>
      <c r="M289" s="187"/>
      <c r="N289" s="198"/>
      <c r="O289" s="187"/>
      <c r="P289" s="187"/>
      <c r="Q289" s="187"/>
      <c r="R289" s="187"/>
      <c r="S289" s="187"/>
      <c r="T289" s="187"/>
      <c r="U289" s="187"/>
    </row>
    <row r="290">
      <c r="A290" s="187"/>
      <c r="B290" s="188"/>
      <c r="C290" s="192"/>
      <c r="D290" s="193"/>
      <c r="E290" s="193"/>
      <c r="F290" s="194"/>
      <c r="G290" s="193"/>
      <c r="H290" s="195"/>
      <c r="I290" s="197"/>
      <c r="J290" s="187"/>
      <c r="K290" s="187"/>
      <c r="L290" s="187"/>
      <c r="M290" s="187"/>
      <c r="N290" s="198"/>
      <c r="O290" s="187"/>
      <c r="P290" s="187"/>
      <c r="Q290" s="187"/>
      <c r="R290" s="187"/>
      <c r="S290" s="187"/>
      <c r="T290" s="187"/>
      <c r="U290" s="187"/>
    </row>
    <row r="291">
      <c r="A291" s="187"/>
      <c r="B291" s="188"/>
      <c r="C291" s="192"/>
      <c r="D291" s="193"/>
      <c r="E291" s="193"/>
      <c r="F291" s="194"/>
      <c r="G291" s="193"/>
      <c r="H291" s="195"/>
      <c r="I291" s="197"/>
      <c r="J291" s="187"/>
      <c r="K291" s="187"/>
      <c r="L291" s="187"/>
      <c r="M291" s="187"/>
      <c r="N291" s="198"/>
      <c r="O291" s="187"/>
      <c r="P291" s="187"/>
      <c r="Q291" s="187"/>
      <c r="R291" s="187"/>
      <c r="S291" s="187"/>
      <c r="T291" s="187"/>
      <c r="U291" s="187"/>
    </row>
    <row r="292">
      <c r="A292" s="187"/>
      <c r="B292" s="188"/>
      <c r="C292" s="192"/>
      <c r="D292" s="193"/>
      <c r="E292" s="193"/>
      <c r="F292" s="194"/>
      <c r="G292" s="193"/>
      <c r="H292" s="195"/>
      <c r="I292" s="197"/>
      <c r="J292" s="187"/>
      <c r="K292" s="187"/>
      <c r="L292" s="187"/>
      <c r="M292" s="187"/>
      <c r="N292" s="198"/>
      <c r="O292" s="187"/>
      <c r="P292" s="187"/>
      <c r="Q292" s="187"/>
      <c r="R292" s="187"/>
      <c r="S292" s="187"/>
      <c r="T292" s="187"/>
      <c r="U292" s="187"/>
    </row>
    <row r="293">
      <c r="A293" s="187"/>
      <c r="B293" s="188"/>
      <c r="C293" s="192"/>
      <c r="D293" s="193"/>
      <c r="E293" s="193"/>
      <c r="F293" s="194"/>
      <c r="G293" s="193"/>
      <c r="H293" s="195"/>
      <c r="I293" s="197"/>
      <c r="J293" s="187"/>
      <c r="K293" s="187"/>
      <c r="L293" s="187"/>
      <c r="M293" s="187"/>
      <c r="N293" s="198"/>
      <c r="O293" s="187"/>
      <c r="P293" s="187"/>
      <c r="Q293" s="187"/>
      <c r="R293" s="187"/>
      <c r="S293" s="187"/>
      <c r="T293" s="187"/>
      <c r="U293" s="187"/>
    </row>
    <row r="294">
      <c r="A294" s="187"/>
      <c r="B294" s="188"/>
      <c r="C294" s="192"/>
      <c r="D294" s="193"/>
      <c r="E294" s="193"/>
      <c r="F294" s="194"/>
      <c r="G294" s="193"/>
      <c r="H294" s="195"/>
      <c r="I294" s="197"/>
      <c r="J294" s="187"/>
      <c r="K294" s="187"/>
      <c r="L294" s="187"/>
      <c r="M294" s="187"/>
      <c r="N294" s="198"/>
      <c r="O294" s="187"/>
      <c r="P294" s="187"/>
      <c r="Q294" s="187"/>
      <c r="R294" s="187"/>
      <c r="S294" s="187"/>
      <c r="T294" s="187"/>
      <c r="U294" s="187"/>
    </row>
    <row r="295">
      <c r="A295" s="187"/>
      <c r="B295" s="188"/>
      <c r="C295" s="192"/>
      <c r="D295" s="193"/>
      <c r="E295" s="193"/>
      <c r="F295" s="194"/>
      <c r="G295" s="193"/>
      <c r="H295" s="195"/>
      <c r="I295" s="197"/>
      <c r="J295" s="187"/>
      <c r="K295" s="187"/>
      <c r="L295" s="187"/>
      <c r="M295" s="187"/>
      <c r="N295" s="198"/>
      <c r="O295" s="187"/>
      <c r="P295" s="187"/>
      <c r="Q295" s="187"/>
      <c r="R295" s="187"/>
      <c r="S295" s="187"/>
      <c r="T295" s="187"/>
      <c r="U295" s="187"/>
    </row>
    <row r="296">
      <c r="A296" s="187"/>
      <c r="B296" s="188"/>
      <c r="C296" s="192"/>
      <c r="D296" s="193"/>
      <c r="E296" s="193"/>
      <c r="F296" s="194"/>
      <c r="G296" s="193"/>
      <c r="H296" s="195"/>
      <c r="I296" s="197"/>
      <c r="J296" s="187"/>
      <c r="K296" s="187"/>
      <c r="L296" s="187"/>
      <c r="M296" s="187"/>
      <c r="N296" s="198"/>
      <c r="O296" s="187"/>
      <c r="P296" s="187"/>
      <c r="Q296" s="187"/>
      <c r="R296" s="187"/>
      <c r="S296" s="187"/>
      <c r="T296" s="187"/>
      <c r="U296" s="187"/>
    </row>
    <row r="297">
      <c r="A297" s="187"/>
      <c r="B297" s="188"/>
      <c r="C297" s="192"/>
      <c r="D297" s="193"/>
      <c r="E297" s="193"/>
      <c r="F297" s="194"/>
      <c r="G297" s="193"/>
      <c r="H297" s="195"/>
      <c r="I297" s="197"/>
      <c r="J297" s="187"/>
      <c r="K297" s="187"/>
      <c r="L297" s="187"/>
      <c r="M297" s="187"/>
      <c r="N297" s="198"/>
      <c r="O297" s="187"/>
      <c r="P297" s="187"/>
      <c r="Q297" s="187"/>
      <c r="R297" s="187"/>
      <c r="S297" s="187"/>
      <c r="T297" s="187"/>
      <c r="U297" s="187"/>
    </row>
    <row r="298">
      <c r="A298" s="187"/>
      <c r="B298" s="188"/>
      <c r="C298" s="192"/>
      <c r="D298" s="193"/>
      <c r="E298" s="193"/>
      <c r="F298" s="194"/>
      <c r="G298" s="193"/>
      <c r="H298" s="195"/>
      <c r="I298" s="197"/>
      <c r="J298" s="187"/>
      <c r="K298" s="187"/>
      <c r="L298" s="187"/>
      <c r="M298" s="187"/>
      <c r="N298" s="198"/>
      <c r="O298" s="187"/>
      <c r="P298" s="187"/>
      <c r="Q298" s="187"/>
      <c r="R298" s="187"/>
      <c r="S298" s="187"/>
      <c r="T298" s="187"/>
      <c r="U298" s="187"/>
    </row>
    <row r="299">
      <c r="A299" s="187"/>
      <c r="B299" s="188"/>
      <c r="C299" s="192"/>
      <c r="D299" s="193"/>
      <c r="E299" s="193"/>
      <c r="F299" s="194"/>
      <c r="G299" s="193"/>
      <c r="H299" s="195"/>
      <c r="I299" s="197"/>
      <c r="J299" s="187"/>
      <c r="K299" s="187"/>
      <c r="L299" s="187"/>
      <c r="M299" s="187"/>
      <c r="N299" s="198"/>
      <c r="O299" s="187"/>
      <c r="P299" s="187"/>
      <c r="Q299" s="187"/>
      <c r="R299" s="187"/>
      <c r="S299" s="187"/>
      <c r="T299" s="187"/>
      <c r="U299" s="187"/>
    </row>
    <row r="300">
      <c r="A300" s="187"/>
      <c r="B300" s="188"/>
      <c r="C300" s="192"/>
      <c r="D300" s="193"/>
      <c r="E300" s="193"/>
      <c r="F300" s="194"/>
      <c r="G300" s="193"/>
      <c r="H300" s="195"/>
      <c r="I300" s="197"/>
      <c r="J300" s="187"/>
      <c r="K300" s="187"/>
      <c r="L300" s="187"/>
      <c r="M300" s="187"/>
      <c r="N300" s="198"/>
      <c r="O300" s="187"/>
      <c r="P300" s="187"/>
      <c r="Q300" s="187"/>
      <c r="R300" s="187"/>
      <c r="S300" s="187"/>
      <c r="T300" s="187"/>
      <c r="U300" s="187"/>
    </row>
    <row r="301">
      <c r="A301" s="187"/>
      <c r="B301" s="188"/>
      <c r="C301" s="192"/>
      <c r="D301" s="193"/>
      <c r="E301" s="193"/>
      <c r="F301" s="194"/>
      <c r="G301" s="193"/>
      <c r="H301" s="195"/>
      <c r="I301" s="197"/>
      <c r="J301" s="187"/>
      <c r="K301" s="187"/>
      <c r="L301" s="187"/>
      <c r="M301" s="187"/>
      <c r="N301" s="198"/>
      <c r="O301" s="187"/>
      <c r="P301" s="187"/>
      <c r="Q301" s="187"/>
      <c r="R301" s="187"/>
      <c r="S301" s="187"/>
      <c r="T301" s="187"/>
      <c r="U301" s="187"/>
    </row>
    <row r="302">
      <c r="A302" s="187"/>
      <c r="B302" s="188"/>
      <c r="C302" s="192"/>
      <c r="D302" s="193"/>
      <c r="E302" s="193"/>
      <c r="F302" s="194"/>
      <c r="G302" s="193"/>
      <c r="H302" s="195"/>
      <c r="I302" s="197"/>
      <c r="J302" s="187"/>
      <c r="K302" s="187"/>
      <c r="L302" s="187"/>
      <c r="M302" s="187"/>
      <c r="N302" s="198"/>
      <c r="O302" s="187"/>
      <c r="P302" s="187"/>
      <c r="Q302" s="187"/>
      <c r="R302" s="187"/>
      <c r="S302" s="187"/>
      <c r="T302" s="187"/>
      <c r="U302" s="187"/>
    </row>
    <row r="303">
      <c r="A303" s="187"/>
      <c r="B303" s="188"/>
      <c r="C303" s="192"/>
      <c r="D303" s="193"/>
      <c r="E303" s="193"/>
      <c r="F303" s="194"/>
      <c r="G303" s="193"/>
      <c r="H303" s="195"/>
      <c r="I303" s="197"/>
      <c r="J303" s="187"/>
      <c r="K303" s="187"/>
      <c r="L303" s="187"/>
      <c r="M303" s="187"/>
      <c r="N303" s="198"/>
      <c r="O303" s="187"/>
      <c r="P303" s="187"/>
      <c r="Q303" s="187"/>
      <c r="R303" s="187"/>
      <c r="S303" s="187"/>
      <c r="T303" s="187"/>
      <c r="U303" s="187"/>
    </row>
    <row r="304">
      <c r="A304" s="187"/>
      <c r="B304" s="188"/>
      <c r="C304" s="192"/>
      <c r="D304" s="193"/>
      <c r="E304" s="193"/>
      <c r="F304" s="194"/>
      <c r="G304" s="193"/>
      <c r="H304" s="195"/>
      <c r="I304" s="197"/>
      <c r="J304" s="187"/>
      <c r="K304" s="187"/>
      <c r="L304" s="187"/>
      <c r="M304" s="187"/>
      <c r="N304" s="198"/>
      <c r="O304" s="187"/>
      <c r="P304" s="187"/>
      <c r="Q304" s="187"/>
      <c r="R304" s="187"/>
      <c r="S304" s="187"/>
      <c r="T304" s="187"/>
      <c r="U304" s="187"/>
    </row>
    <row r="305">
      <c r="A305" s="187"/>
      <c r="B305" s="188"/>
      <c r="C305" s="192"/>
      <c r="D305" s="193"/>
      <c r="E305" s="193"/>
      <c r="F305" s="194"/>
      <c r="G305" s="193"/>
      <c r="H305" s="195"/>
      <c r="I305" s="197"/>
      <c r="J305" s="187"/>
      <c r="K305" s="187"/>
      <c r="L305" s="187"/>
      <c r="M305" s="187"/>
      <c r="N305" s="198"/>
      <c r="O305" s="187"/>
      <c r="P305" s="187"/>
      <c r="Q305" s="187"/>
      <c r="R305" s="187"/>
      <c r="S305" s="187"/>
      <c r="T305" s="187"/>
      <c r="U305" s="187"/>
    </row>
    <row r="306">
      <c r="A306" s="187"/>
      <c r="B306" s="188"/>
      <c r="C306" s="192"/>
      <c r="D306" s="193"/>
      <c r="E306" s="193"/>
      <c r="F306" s="194"/>
      <c r="G306" s="193"/>
      <c r="H306" s="195"/>
      <c r="I306" s="197"/>
      <c r="J306" s="187"/>
      <c r="K306" s="187"/>
      <c r="L306" s="187"/>
      <c r="M306" s="187"/>
      <c r="N306" s="198"/>
      <c r="O306" s="187"/>
      <c r="P306" s="187"/>
      <c r="Q306" s="187"/>
      <c r="R306" s="187"/>
      <c r="S306" s="187"/>
      <c r="T306" s="187"/>
      <c r="U306" s="187"/>
    </row>
    <row r="307">
      <c r="A307" s="187"/>
      <c r="B307" s="188"/>
      <c r="C307" s="192"/>
      <c r="D307" s="193"/>
      <c r="E307" s="193"/>
      <c r="F307" s="194"/>
      <c r="G307" s="193"/>
      <c r="H307" s="195"/>
      <c r="I307" s="197"/>
      <c r="J307" s="187"/>
      <c r="K307" s="187"/>
      <c r="L307" s="187"/>
      <c r="M307" s="187"/>
      <c r="N307" s="198"/>
      <c r="O307" s="187"/>
      <c r="P307" s="187"/>
      <c r="Q307" s="187"/>
      <c r="R307" s="187"/>
      <c r="S307" s="187"/>
      <c r="T307" s="187"/>
      <c r="U307" s="187"/>
    </row>
    <row r="308">
      <c r="A308" s="187"/>
      <c r="B308" s="188"/>
      <c r="C308" s="192"/>
      <c r="D308" s="193"/>
      <c r="E308" s="193"/>
      <c r="F308" s="194"/>
      <c r="G308" s="193"/>
      <c r="H308" s="195"/>
      <c r="I308" s="197"/>
      <c r="J308" s="187"/>
      <c r="K308" s="187"/>
      <c r="L308" s="187"/>
      <c r="M308" s="187"/>
      <c r="N308" s="198"/>
      <c r="O308" s="187"/>
      <c r="P308" s="187"/>
      <c r="Q308" s="187"/>
      <c r="R308" s="187"/>
      <c r="S308" s="187"/>
      <c r="T308" s="187"/>
      <c r="U308" s="187"/>
    </row>
    <row r="309">
      <c r="A309" s="187"/>
      <c r="B309" s="188"/>
      <c r="C309" s="192"/>
      <c r="D309" s="193"/>
      <c r="E309" s="193"/>
      <c r="F309" s="194"/>
      <c r="G309" s="193"/>
      <c r="H309" s="195"/>
      <c r="I309" s="197"/>
      <c r="J309" s="187"/>
      <c r="K309" s="187"/>
      <c r="L309" s="187"/>
      <c r="M309" s="187"/>
      <c r="N309" s="198"/>
      <c r="O309" s="187"/>
      <c r="P309" s="187"/>
      <c r="Q309" s="187"/>
      <c r="R309" s="187"/>
      <c r="S309" s="187"/>
      <c r="T309" s="187"/>
      <c r="U309" s="187"/>
    </row>
    <row r="310">
      <c r="A310" s="187"/>
      <c r="B310" s="188"/>
      <c r="C310" s="192"/>
      <c r="D310" s="193"/>
      <c r="E310" s="193"/>
      <c r="F310" s="194"/>
      <c r="G310" s="193"/>
      <c r="H310" s="195"/>
      <c r="I310" s="197"/>
      <c r="J310" s="187"/>
      <c r="K310" s="187"/>
      <c r="L310" s="187"/>
      <c r="M310" s="187"/>
      <c r="N310" s="198"/>
      <c r="O310" s="187"/>
      <c r="P310" s="187"/>
      <c r="Q310" s="187"/>
      <c r="R310" s="187"/>
      <c r="S310" s="187"/>
      <c r="T310" s="187"/>
      <c r="U310" s="187"/>
    </row>
    <row r="311">
      <c r="A311" s="187"/>
      <c r="B311" s="188"/>
      <c r="C311" s="192"/>
      <c r="D311" s="193"/>
      <c r="E311" s="193"/>
      <c r="F311" s="194"/>
      <c r="G311" s="193"/>
      <c r="H311" s="195"/>
      <c r="I311" s="197"/>
      <c r="J311" s="187"/>
      <c r="K311" s="187"/>
      <c r="L311" s="187"/>
      <c r="M311" s="187"/>
      <c r="N311" s="198"/>
      <c r="O311" s="187"/>
      <c r="P311" s="187"/>
      <c r="Q311" s="187"/>
      <c r="R311" s="187"/>
      <c r="S311" s="187"/>
      <c r="T311" s="187"/>
      <c r="U311" s="187"/>
    </row>
    <row r="312">
      <c r="A312" s="187"/>
      <c r="B312" s="188"/>
      <c r="C312" s="192"/>
      <c r="D312" s="193"/>
      <c r="E312" s="193"/>
      <c r="F312" s="194"/>
      <c r="G312" s="193"/>
      <c r="H312" s="195"/>
      <c r="I312" s="197"/>
      <c r="J312" s="187"/>
      <c r="K312" s="187"/>
      <c r="L312" s="187"/>
      <c r="M312" s="187"/>
      <c r="N312" s="198"/>
      <c r="O312" s="187"/>
      <c r="P312" s="187"/>
      <c r="Q312" s="187"/>
      <c r="R312" s="187"/>
      <c r="S312" s="187"/>
      <c r="T312" s="187"/>
      <c r="U312" s="187"/>
    </row>
    <row r="313">
      <c r="A313" s="187"/>
      <c r="B313" s="188"/>
      <c r="C313" s="192"/>
      <c r="D313" s="193"/>
      <c r="E313" s="193"/>
      <c r="F313" s="194"/>
      <c r="G313" s="193"/>
      <c r="H313" s="195"/>
      <c r="I313" s="197"/>
      <c r="J313" s="187"/>
      <c r="K313" s="187"/>
      <c r="L313" s="187"/>
      <c r="M313" s="187"/>
      <c r="N313" s="198"/>
      <c r="O313" s="187"/>
      <c r="P313" s="187"/>
      <c r="Q313" s="187"/>
      <c r="R313" s="187"/>
      <c r="S313" s="187"/>
      <c r="T313" s="187"/>
      <c r="U313" s="187"/>
    </row>
  </sheetData>
  <autoFilter ref="$A$10:$U$313"/>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9.0" ySplit="1.0" topLeftCell="T2" activePane="bottomRight" state="frozen"/>
      <selection activeCell="T1" sqref="T1" pane="topRight"/>
      <selection activeCell="A2" sqref="A2" pane="bottomLeft"/>
      <selection activeCell="T2" sqref="T2" pane="bottomRight"/>
    </sheetView>
  </sheetViews>
  <sheetFormatPr customHeight="1" defaultColWidth="12.63" defaultRowHeight="15.75" outlineLevelRow="1"/>
  <cols>
    <col customWidth="1" min="1" max="1" width="5.63"/>
    <col customWidth="1" min="2" max="2" width="3.25"/>
    <col customWidth="1" min="3" max="3" width="3.38"/>
    <col collapsed="1" customWidth="1" min="4" max="4" width="23.0"/>
    <col customWidth="1" hidden="1" min="5" max="5" width="40.0" outlineLevel="1"/>
    <col customWidth="1" min="6" max="6" width="5.88"/>
    <col collapsed="1" customWidth="1" min="7" max="7" width="4.13"/>
    <col customWidth="1" hidden="1" min="8" max="8" width="7.38" outlineLevel="1"/>
    <col customWidth="1" hidden="1" min="9" max="9" width="7.25" outlineLevel="1"/>
    <col customWidth="1" hidden="1" min="10" max="10" width="6.13" outlineLevel="1"/>
    <col customWidth="1" hidden="1" min="11" max="11" width="6.88" outlineLevel="1"/>
    <col customWidth="1" hidden="1" min="12" max="12" width="11.75" outlineLevel="1"/>
    <col customWidth="1" hidden="1" min="13" max="13" width="10.63" outlineLevel="1"/>
    <col customWidth="1" min="14" max="14" width="7.0"/>
    <col collapsed="1" customWidth="1" min="15" max="15" width="6.63"/>
    <col customWidth="1" hidden="1" min="16" max="18" width="11.0" outlineLevel="1"/>
    <col collapsed="1" customWidth="1" min="19" max="19" width="1.75"/>
    <col customWidth="1" hidden="1" min="20" max="20" width="4.88" outlineLevel="1"/>
    <col customWidth="1" hidden="1" min="21" max="21" width="12.0" outlineLevel="1"/>
    <col customWidth="1" hidden="1" min="22" max="22" width="4.13" outlineLevel="1"/>
    <col customWidth="1" hidden="1" min="23" max="23" width="12.0" outlineLevel="1"/>
    <col customWidth="1" hidden="1" min="24" max="24" width="4.13" outlineLevel="1"/>
    <col customWidth="1" hidden="1" min="25" max="25" width="12.0" outlineLevel="1"/>
    <col customWidth="1" hidden="1" min="26" max="26" width="4.13" outlineLevel="1"/>
    <col customWidth="1" min="27" max="27" width="11.88"/>
    <col customWidth="1" min="28" max="28" width="4.75"/>
    <col customWidth="1" min="29" max="29" width="10.13"/>
    <col customWidth="1" min="30" max="30" width="11.88"/>
    <col customWidth="1" min="31" max="31" width="4.75"/>
    <col customWidth="1" min="32" max="32" width="10.13"/>
    <col customWidth="1" min="33" max="33" width="11.88"/>
    <col customWidth="1" min="34" max="34" width="4.75"/>
    <col customWidth="1" min="35" max="35" width="10.13"/>
    <col customWidth="1" min="36" max="36" width="11.88"/>
    <col customWidth="1" min="37" max="37" width="4.75"/>
    <col customWidth="1" min="38" max="38" width="10.13"/>
    <col customWidth="1" min="39" max="39" width="11.88"/>
    <col customWidth="1" min="40" max="40" width="4.75"/>
    <col customWidth="1" min="41" max="41" width="10.13"/>
    <col customWidth="1" min="42" max="42" width="11.88"/>
    <col customWidth="1" min="43" max="43" width="4.75"/>
    <col customWidth="1" min="44" max="44" width="10.13"/>
    <col customWidth="1" min="45" max="45" width="11.88"/>
    <col customWidth="1" min="46" max="46" width="4.75"/>
    <col customWidth="1" min="47" max="47" width="10.13"/>
    <col customWidth="1" min="48" max="48" width="11.88"/>
    <col customWidth="1" min="49" max="49" width="4.75"/>
    <col customWidth="1" min="50" max="50" width="10.13"/>
    <col customWidth="1" min="51" max="51" width="11.88"/>
    <col customWidth="1" min="52" max="52" width="4.75"/>
    <col customWidth="1" min="53" max="53" width="10.13"/>
    <col customWidth="1" min="54" max="54" width="11.88"/>
    <col customWidth="1" min="55" max="55" width="4.75"/>
    <col customWidth="1" min="56" max="56" width="10.13"/>
    <col customWidth="1" min="57" max="57" width="11.88"/>
    <col customWidth="1" min="58" max="58" width="4.75"/>
    <col customWidth="1" min="59" max="59" width="10.13"/>
    <col customWidth="1" min="60" max="60" width="11.88"/>
    <col customWidth="1" min="61" max="61" width="4.75"/>
    <col customWidth="1" min="62" max="62" width="10.13"/>
    <col customWidth="1" min="63" max="63" width="11.88"/>
    <col customWidth="1" min="64" max="64" width="4.75"/>
    <col customWidth="1" min="65" max="65" width="10.13"/>
    <col customWidth="1" min="66" max="66" width="11.88"/>
    <col customWidth="1" min="67" max="67" width="4.75"/>
    <col customWidth="1" min="68" max="68" width="10.13"/>
    <col customWidth="1" min="69" max="69" width="11.88"/>
    <col customWidth="1" min="70" max="70" width="4.75"/>
    <col customWidth="1" min="71" max="71" width="10.13"/>
    <col customWidth="1" min="72" max="72" width="11.88"/>
    <col customWidth="1" min="73" max="73" width="4.75"/>
    <col customWidth="1" min="74" max="74" width="10.13"/>
    <col customWidth="1" min="75" max="75" width="11.88"/>
    <col customWidth="1" min="76" max="76" width="4.75"/>
    <col customWidth="1" min="77" max="77" width="10.13"/>
    <col customWidth="1" min="78" max="78" width="11.88"/>
    <col customWidth="1" min="79" max="79" width="4.75"/>
    <col customWidth="1" min="80" max="80" width="10.13"/>
    <col customWidth="1" min="81" max="81" width="11.88"/>
    <col customWidth="1" min="82" max="82" width="4.75"/>
    <col customWidth="1" min="83" max="83" width="10.13"/>
    <col customWidth="1" min="84" max="84" width="11.88"/>
    <col customWidth="1" min="85" max="85" width="4.75"/>
    <col customWidth="1" min="86" max="86" width="10.13"/>
    <col customWidth="1" min="87" max="87" width="11.88"/>
    <col customWidth="1" min="88" max="88" width="4.75"/>
    <col customWidth="1" min="89" max="89" width="10.13"/>
    <col customWidth="1" min="90" max="90" width="11.88"/>
    <col customWidth="1" min="91" max="91" width="4.75"/>
    <col customWidth="1" min="92" max="92" width="10.13"/>
    <col customWidth="1" min="93" max="93" width="11.88"/>
    <col customWidth="1" min="94" max="94" width="4.75"/>
    <col customWidth="1" min="95" max="95" width="10.13"/>
    <col customWidth="1" min="96" max="96" width="11.88"/>
    <col customWidth="1" min="97" max="97" width="4.75"/>
    <col customWidth="1" min="98" max="98" width="10.13"/>
    <col customWidth="1" min="99" max="99" width="11.88"/>
    <col customWidth="1" min="100" max="100" width="4.75"/>
    <col customWidth="1" min="101" max="101" width="10.13"/>
    <col customWidth="1" min="102" max="102" width="11.88"/>
    <col customWidth="1" min="103" max="103" width="4.75"/>
    <col customWidth="1" min="104" max="104" width="10.13"/>
    <col customWidth="1" min="105" max="105" width="11.88"/>
    <col customWidth="1" min="106" max="106" width="4.75"/>
    <col customWidth="1" min="107" max="107" width="10.13"/>
    <col customWidth="1" min="108" max="108" width="11.88"/>
    <col customWidth="1" min="109" max="109" width="4.75"/>
    <col customWidth="1" min="110" max="110" width="10.13"/>
    <col customWidth="1" min="111" max="111" width="11.88"/>
    <col customWidth="1" min="112" max="112" width="4.75"/>
    <col customWidth="1" min="113" max="113" width="10.13"/>
    <col customWidth="1" min="114" max="114" width="11.88"/>
    <col customWidth="1" min="115" max="115" width="4.75"/>
    <col customWidth="1" min="116" max="116" width="10.13"/>
    <col customWidth="1" min="117" max="117" width="11.88"/>
    <col customWidth="1" min="118" max="118" width="4.75"/>
    <col customWidth="1" min="119" max="119" width="10.13"/>
    <col customWidth="1" min="120" max="120" width="11.88"/>
    <col customWidth="1" min="121" max="121" width="4.75"/>
    <col customWidth="1" min="122" max="122" width="10.13"/>
    <col customWidth="1" min="123" max="123" width="11.88"/>
    <col customWidth="1" min="124" max="124" width="4.75"/>
    <col customWidth="1" min="125" max="125" width="10.13"/>
    <col customWidth="1" min="126" max="126" width="11.88"/>
    <col customWidth="1" min="127" max="127" width="4.75"/>
    <col customWidth="1" min="128" max="128" width="10.13"/>
    <col customWidth="1" min="129" max="129" width="11.88"/>
    <col customWidth="1" min="130" max="130" width="4.75"/>
    <col customWidth="1" min="131" max="131" width="10.13"/>
    <col customWidth="1" min="132" max="132" width="11.88"/>
    <col customWidth="1" min="133" max="133" width="4.75"/>
    <col customWidth="1" min="134" max="134" width="10.13"/>
    <col customWidth="1" min="135" max="135" width="11.88"/>
    <col customWidth="1" min="136" max="136" width="4.75"/>
    <col customWidth="1" min="137" max="137" width="10.13"/>
    <col customWidth="1" min="138" max="138" width="11.88"/>
    <col customWidth="1" min="139" max="139" width="4.75"/>
    <col customWidth="1" min="140" max="140" width="10.13"/>
    <col customWidth="1" min="141" max="141" width="11.88"/>
    <col customWidth="1" min="142" max="142" width="4.75"/>
    <col customWidth="1" min="143" max="143" width="10.13"/>
    <col customWidth="1" min="144" max="144" width="11.88"/>
    <col customWidth="1" min="145" max="145" width="4.75"/>
    <col customWidth="1" min="146" max="146" width="10.13"/>
    <col customWidth="1" min="147" max="147" width="11.88"/>
    <col customWidth="1" min="148" max="148" width="4.75"/>
    <col customWidth="1" min="149" max="149" width="10.13"/>
    <col customWidth="1" min="150" max="150" width="11.88"/>
    <col customWidth="1" min="151" max="151" width="4.75"/>
    <col customWidth="1" min="152" max="152" width="10.13"/>
    <col customWidth="1" min="153" max="153" width="11.88"/>
    <col customWidth="1" min="154" max="154" width="4.75"/>
    <col customWidth="1" min="155" max="155" width="10.13"/>
    <col customWidth="1" min="156" max="156" width="11.88"/>
    <col customWidth="1" min="157" max="157" width="4.75"/>
    <col customWidth="1" min="158" max="158" width="10.13"/>
    <col customWidth="1" min="159" max="159" width="11.88"/>
    <col customWidth="1" min="160" max="160" width="4.75"/>
    <col customWidth="1" min="161" max="161" width="10.13"/>
    <col customWidth="1" min="162" max="162" width="11.88"/>
    <col customWidth="1" min="163" max="163" width="4.75"/>
    <col customWidth="1" min="164" max="164" width="10.13"/>
    <col customWidth="1" min="165" max="165" width="11.88"/>
    <col customWidth="1" min="166" max="166" width="4.75"/>
    <col customWidth="1" min="167" max="167" width="10.13"/>
    <col customWidth="1" min="168" max="168" width="11.88"/>
    <col customWidth="1" min="169" max="169" width="4.75"/>
    <col customWidth="1" min="170" max="170" width="10.13"/>
    <col customWidth="1" min="171" max="171" width="11.88"/>
    <col customWidth="1" min="172" max="172" width="4.75"/>
    <col customWidth="1" min="173" max="173" width="10.13"/>
    <col customWidth="1" min="174" max="174" width="11.88"/>
    <col customWidth="1" min="175" max="175" width="4.75"/>
    <col customWidth="1" min="176" max="176" width="10.13"/>
    <col customWidth="1" min="177" max="177" width="11.88"/>
    <col customWidth="1" min="178" max="178" width="4.75"/>
    <col customWidth="1" min="179" max="179" width="10.13"/>
    <col customWidth="1" min="180" max="180" width="11.88"/>
    <col customWidth="1" min="181" max="181" width="4.75"/>
    <col customWidth="1" min="182" max="182" width="10.13"/>
    <col customWidth="1" min="183" max="183" width="11.88"/>
    <col customWidth="1" min="184" max="184" width="4.75"/>
    <col customWidth="1" min="185" max="185" width="10.13"/>
    <col customWidth="1" min="186" max="186" width="11.88"/>
    <col customWidth="1" min="187" max="187" width="4.75"/>
    <col customWidth="1" min="188" max="188" width="10.13"/>
    <col customWidth="1" min="189" max="189" width="11.88"/>
    <col customWidth="1" min="190" max="190" width="4.75"/>
    <col customWidth="1" min="191" max="191" width="10.13"/>
    <col customWidth="1" min="192" max="192" width="11.88"/>
    <col customWidth="1" min="193" max="193" width="4.75"/>
    <col customWidth="1" min="194" max="194" width="10.13"/>
    <col customWidth="1" min="195" max="195" width="11.88"/>
    <col customWidth="1" min="196" max="196" width="4.75"/>
    <col customWidth="1" min="197" max="197" width="10.13"/>
    <col customWidth="1" min="198" max="198" width="11.88"/>
    <col customWidth="1" min="199" max="199" width="4.75"/>
    <col customWidth="1" min="200" max="200" width="10.13"/>
    <col customWidth="1" min="201" max="201" width="11.88"/>
    <col customWidth="1" min="202" max="202" width="4.75"/>
    <col customWidth="1" min="203" max="203" width="10.13"/>
    <col customWidth="1" min="204" max="204" width="11.88"/>
    <col customWidth="1" min="205" max="205" width="4.75"/>
    <col customWidth="1" min="206" max="206" width="10.13"/>
    <col customWidth="1" min="207" max="207" width="11.88"/>
    <col customWidth="1" min="208" max="208" width="4.75"/>
    <col customWidth="1" min="209" max="209" width="10.13"/>
    <col customWidth="1" min="210" max="210" width="11.88"/>
    <col customWidth="1" min="211" max="211" width="4.75"/>
    <col customWidth="1" min="212" max="212" width="10.13"/>
    <col customWidth="1" min="213" max="213" width="11.88"/>
    <col customWidth="1" min="214" max="214" width="4.75"/>
    <col customWidth="1" min="215" max="215" width="10.13"/>
    <col customWidth="1" min="216" max="216" width="11.88"/>
    <col customWidth="1" min="217" max="217" width="4.75"/>
    <col customWidth="1" min="218" max="218" width="10.13"/>
    <col customWidth="1" min="219" max="219" width="11.88"/>
    <col customWidth="1" min="220" max="220" width="4.75"/>
    <col customWidth="1" min="221" max="221" width="10.13"/>
    <col customWidth="1" min="222" max="222" width="11.88"/>
    <col customWidth="1" min="223" max="223" width="4.75"/>
    <col customWidth="1" min="224" max="224" width="10.13"/>
    <col customWidth="1" min="225" max="225" width="11.88"/>
    <col customWidth="1" min="226" max="226" width="4.75"/>
    <col customWidth="1" min="227" max="227" width="10.13"/>
    <col customWidth="1" min="228" max="228" width="11.88"/>
    <col customWidth="1" min="229" max="229" width="4.75"/>
    <col customWidth="1" min="230" max="230" width="10.13"/>
    <col customWidth="1" min="231" max="231" width="11.88"/>
    <col customWidth="1" min="232" max="232" width="4.75"/>
    <col customWidth="1" min="233" max="233" width="10.13"/>
    <col customWidth="1" hidden="1" min="234" max="234" width="11.88"/>
    <col customWidth="1" hidden="1" min="235" max="237" width="5.38"/>
    <col customWidth="1" hidden="1" min="238" max="238" width="36.5"/>
    <col customWidth="1" hidden="1" min="239" max="246" width="16.38"/>
    <col customWidth="1" hidden="1" min="247" max="250" width="6.13"/>
    <col customWidth="1" hidden="1" min="251" max="269" width="16.38"/>
  </cols>
  <sheetData>
    <row r="1">
      <c r="A1" s="43"/>
      <c r="B1" s="45"/>
      <c r="C1" s="48" t="s">
        <v>41</v>
      </c>
      <c r="D1" s="51" t="s">
        <v>8</v>
      </c>
      <c r="E1" s="48" t="s">
        <v>10</v>
      </c>
      <c r="F1" s="48" t="s">
        <v>54</v>
      </c>
      <c r="G1" s="53" t="s">
        <v>55</v>
      </c>
      <c r="H1" s="48" t="s">
        <v>56</v>
      </c>
      <c r="I1" s="48" t="s">
        <v>57</v>
      </c>
      <c r="J1" s="48" t="s">
        <v>58</v>
      </c>
      <c r="K1" s="48" t="s">
        <v>16</v>
      </c>
      <c r="L1" s="55" t="s">
        <v>59</v>
      </c>
      <c r="M1" s="56" t="s">
        <v>60</v>
      </c>
      <c r="N1" s="58" t="s">
        <v>61</v>
      </c>
      <c r="O1" s="48" t="str">
        <f t="array" ref="O1:O21">{"Группа";LAMBDA(theNames,theData,BYROW(theNames,LAMBDA(tn,IFERROR(VLOOKUP(tn,theData,2,0),))))(C2:C21,{'1-2 Запросы по товарным группам'!D:D,'1-2 Запросы по товарным группам'!O:O})}</f>
        <v>Группа</v>
      </c>
      <c r="P1" s="45" t="str">
        <f>IFERROR(__xludf.DUMMYFUNCTION("{{""Доля ответов"",""Предложение"",""Писем""};let(
_t_em_map , let(
   _t_gr, '1-2 Запросы по товарным группам'!$O11:$O311,
   _t_nm, '1-2 Запросы по товарным группам'!$P11:$P311,
   _t_em, '1-2 Запросы по товарным группам'!$AA11:JI$311,
    do_sm, LAMBDA"&amp;"(em_mp, BYROW(em_mp,LAMBDA(e_ar,COUNTA(e_ar)))), 
    QUERY( {{""Группа"" , ""Кол-во""};{Map(_t_gr,_t_nm,do_sm(_t_em),LAMBDA(g,n,s,IF(n=2,{g,s},{"""",""""})) )}},""Select * Where Col1 is not null"")
),
_t_ot_mp , BYROW('1-1 Сбор КП'!$AA2:$HS30,  LAMBDA(r,"&amp;" IFERROR(COUNTA( FILTER(r,MOD( COLUMN(r),3)=0 ) ),) )),
_t_mp_stat_tov, MAP('1-1 Сбор КП'!$Z2:$Z30,'1-1 Сбор КП'!$D2:$D30,_t_ot_mp,'1-1 Сбор КП'!$O2:$O30, LAMBDA(z,t,r,g, {z,IF(t&lt;&gt;"""",IFERROR( r/VLOOKUP(g,_t_em_map,2,FALSE) ,),),IF(t&lt;&gt;"""",r,),IFERROR( V"&amp;"LOOKUP(g,_t_em_map,2,FALSE) ,)})),
_t_mp_stat_itog, LAMBDA(_t, let ( _t_dolya, LAMBDA(_a,SUM(_a)/COUNT(_a))(INDEX( _t,,2)) ,_t_predl, LAMBDA(_a,SUM(_a))(INDEX( _t,,3)) , {""@"",_t_dolya , _t_predl , "" ""}))(_t_mp_stat_tov),
_t_raw_rez,{_t_mp_stat_tov;_t_"&amp;"mp_stat_itog},
_t_ord, LET(   _t_nrs, '1-1 Сбор КП'!$C$1:$C30,   _t_ids, '1-1 Сбор КП'!$Z$1:$Z30,   _t_fr, MATCH(""№"", _t_nrs, 0) + 1,   _t_to, MATCH(""@"", _t_nrs, 0) - 1,   {INDEX(_t_ids, _t_fr,1):INDEX(_t_ids, _t_to,1);  ""@""}),
rez,Byrow(_t_ord,LAMB"&amp;"DA(o,  ARRAYFORMULA( IFERROR(VLOOKUP(o,_t_raw_rez,{2,3,4},FALSE) , )  ))),
rez
)}"),"Доля ответов")</f>
        <v>Доля ответов</v>
      </c>
      <c r="Q1" s="45" t="str">
        <f>IFERROR(__xludf.DUMMYFUNCTION("""COMPUTED_VALUE"""),"Предложение")</f>
        <v>Предложение</v>
      </c>
      <c r="R1" s="45" t="str">
        <f>IFERROR(__xludf.DUMMYFUNCTION("""COMPUTED_VALUE"""),"Писем")</f>
        <v>Писем</v>
      </c>
      <c r="S1" s="45" t="s">
        <v>239</v>
      </c>
      <c r="T1" s="45" t="s">
        <v>239</v>
      </c>
      <c r="U1" s="45" t="s">
        <v>239</v>
      </c>
      <c r="V1" s="45" t="s">
        <v>239</v>
      </c>
      <c r="W1" s="45" t="s">
        <v>239</v>
      </c>
      <c r="X1" s="45" t="s">
        <v>239</v>
      </c>
      <c r="Y1" s="45" t="s">
        <v>239</v>
      </c>
      <c r="Z1" s="162" t="s">
        <v>240</v>
      </c>
      <c r="AA1" s="163" t="s">
        <v>241</v>
      </c>
      <c r="AB1" s="165"/>
      <c r="AC1" s="166"/>
      <c r="AD1" s="165" t="s">
        <v>242</v>
      </c>
      <c r="AE1" s="165"/>
      <c r="AF1" s="166"/>
      <c r="AG1" s="165" t="s">
        <v>243</v>
      </c>
      <c r="AH1" s="165"/>
      <c r="AI1" s="166"/>
      <c r="AJ1" s="165" t="s">
        <v>244</v>
      </c>
      <c r="AK1" s="165"/>
      <c r="AL1" s="166"/>
      <c r="AM1" s="168" t="s">
        <v>245</v>
      </c>
      <c r="AN1" s="165"/>
      <c r="AO1" s="166"/>
      <c r="AP1" s="165" t="s">
        <v>246</v>
      </c>
      <c r="AQ1" s="165"/>
      <c r="AR1" s="166"/>
      <c r="AS1" s="165" t="s">
        <v>247</v>
      </c>
      <c r="AT1" s="165"/>
      <c r="AU1" s="166"/>
      <c r="AV1" s="165" t="s">
        <v>248</v>
      </c>
      <c r="AW1" s="165"/>
      <c r="AX1" s="166"/>
      <c r="AY1" s="165" t="s">
        <v>249</v>
      </c>
      <c r="AZ1" s="165"/>
      <c r="BA1" s="166"/>
      <c r="BB1" s="165" t="s">
        <v>250</v>
      </c>
      <c r="BC1" s="165"/>
      <c r="BD1" s="170"/>
      <c r="BE1" s="171" t="s">
        <v>251</v>
      </c>
      <c r="BF1" s="165"/>
      <c r="BG1" s="166"/>
      <c r="BH1" s="165" t="s">
        <v>252</v>
      </c>
      <c r="BI1" s="173"/>
      <c r="BJ1" s="173"/>
      <c r="BK1" s="168" t="s">
        <v>253</v>
      </c>
      <c r="BL1" s="173"/>
      <c r="BM1" s="173"/>
      <c r="BN1" s="165" t="s">
        <v>254</v>
      </c>
      <c r="BO1" s="173"/>
      <c r="BP1" s="173"/>
      <c r="BQ1" s="168" t="s">
        <v>255</v>
      </c>
      <c r="BR1" s="173"/>
      <c r="BS1" s="173"/>
      <c r="BT1" s="165" t="s">
        <v>256</v>
      </c>
      <c r="BU1" s="173"/>
      <c r="BV1" s="173"/>
      <c r="BW1" s="165" t="s">
        <v>257</v>
      </c>
      <c r="BX1" s="173"/>
      <c r="BY1" s="173"/>
      <c r="BZ1" s="165" t="s">
        <v>258</v>
      </c>
      <c r="CA1" s="173"/>
      <c r="CB1" s="173"/>
      <c r="CC1" s="165" t="s">
        <v>259</v>
      </c>
      <c r="CD1" s="173"/>
      <c r="CE1" s="173"/>
      <c r="CF1" s="165" t="s">
        <v>260</v>
      </c>
      <c r="CG1" s="173"/>
      <c r="CH1" s="173"/>
      <c r="CI1" s="168" t="s">
        <v>261</v>
      </c>
      <c r="CJ1" s="173"/>
      <c r="CK1" s="173"/>
      <c r="CL1" s="173"/>
      <c r="CM1" s="173"/>
      <c r="CN1" s="173"/>
      <c r="CO1" s="173"/>
      <c r="CP1" s="173"/>
      <c r="CQ1" s="173"/>
      <c r="CR1" s="173"/>
      <c r="CS1" s="173"/>
      <c r="CT1" s="173"/>
      <c r="CU1" s="173"/>
      <c r="CV1" s="173"/>
      <c r="CW1" s="173"/>
      <c r="CX1" s="173"/>
      <c r="CY1" s="173"/>
      <c r="CZ1" s="173"/>
      <c r="DA1" s="173"/>
      <c r="DB1" s="173"/>
      <c r="DC1" s="173"/>
      <c r="DD1" s="173"/>
      <c r="DE1" s="173"/>
      <c r="DF1" s="173"/>
      <c r="DG1" s="173"/>
      <c r="DH1" s="173"/>
      <c r="DI1" s="173"/>
      <c r="DJ1" s="173"/>
      <c r="DK1" s="173"/>
      <c r="DL1" s="173"/>
      <c r="DM1" s="173"/>
      <c r="DN1" s="173"/>
      <c r="DO1" s="173"/>
      <c r="DP1" s="173"/>
      <c r="DQ1" s="173"/>
      <c r="DR1" s="173"/>
      <c r="DS1" s="173"/>
      <c r="DT1" s="173"/>
      <c r="DU1" s="173"/>
      <c r="DV1" s="173"/>
      <c r="DW1" s="173"/>
      <c r="DX1" s="173"/>
      <c r="DY1" s="173"/>
      <c r="DZ1" s="173"/>
      <c r="EA1" s="173"/>
      <c r="EB1" s="173"/>
      <c r="EC1" s="173"/>
      <c r="ED1" s="173"/>
      <c r="EE1" s="173"/>
      <c r="EF1" s="173"/>
      <c r="EG1" s="173"/>
      <c r="EH1" s="173"/>
      <c r="EI1" s="173"/>
      <c r="EJ1" s="173"/>
      <c r="EK1" s="173"/>
      <c r="EL1" s="173"/>
      <c r="EM1" s="173"/>
      <c r="EN1" s="173"/>
      <c r="EO1" s="173"/>
      <c r="EP1" s="173"/>
      <c r="EQ1" s="173"/>
      <c r="ER1" s="173"/>
      <c r="ES1" s="173"/>
      <c r="ET1" s="173"/>
      <c r="EU1" s="173"/>
      <c r="EV1" s="173"/>
      <c r="EW1" s="173"/>
      <c r="EX1" s="173"/>
      <c r="EY1" s="173"/>
      <c r="EZ1" s="173"/>
      <c r="FA1" s="173"/>
      <c r="FB1" s="173"/>
      <c r="FC1" s="173"/>
      <c r="FD1" s="173"/>
      <c r="FE1" s="173"/>
      <c r="FF1" s="173"/>
      <c r="FG1" s="173"/>
      <c r="FH1" s="173"/>
      <c r="FI1" s="173"/>
      <c r="FJ1" s="173"/>
      <c r="FK1" s="173"/>
      <c r="FL1" s="173"/>
      <c r="FM1" s="173"/>
      <c r="FN1" s="173"/>
      <c r="FO1" s="173"/>
      <c r="FP1" s="173"/>
      <c r="FQ1" s="173"/>
      <c r="FR1" s="173"/>
      <c r="FS1" s="173"/>
      <c r="FT1" s="173"/>
      <c r="FU1" s="173"/>
      <c r="FV1" s="173"/>
      <c r="FW1" s="173"/>
      <c r="FX1" s="173"/>
      <c r="FY1" s="173"/>
      <c r="FZ1" s="173"/>
      <c r="GA1" s="173"/>
      <c r="GB1" s="173"/>
      <c r="GC1" s="173"/>
      <c r="GD1" s="173"/>
      <c r="GE1" s="173"/>
      <c r="GF1" s="173"/>
      <c r="GG1" s="173"/>
      <c r="GH1" s="173"/>
      <c r="GI1" s="173"/>
      <c r="GJ1" s="173"/>
      <c r="GK1" s="173"/>
      <c r="GL1" s="173"/>
      <c r="GM1" s="173"/>
      <c r="GN1" s="173"/>
      <c r="GO1" s="173"/>
      <c r="GP1" s="173"/>
      <c r="GQ1" s="173"/>
      <c r="GR1" s="173"/>
      <c r="GS1" s="173"/>
      <c r="GT1" s="173"/>
      <c r="GU1" s="173"/>
      <c r="GV1" s="173"/>
      <c r="GW1" s="173"/>
      <c r="GX1" s="173"/>
      <c r="GY1" s="173"/>
      <c r="GZ1" s="173"/>
      <c r="HA1" s="165"/>
      <c r="HB1" s="166"/>
      <c r="HC1" s="173"/>
      <c r="HD1" s="173"/>
      <c r="HE1" s="173"/>
      <c r="HF1" s="173"/>
      <c r="HG1" s="166"/>
      <c r="HH1" s="173"/>
      <c r="HI1" s="165"/>
      <c r="HJ1" s="173"/>
      <c r="HK1" s="165"/>
      <c r="HL1" s="173"/>
      <c r="HM1" s="165"/>
      <c r="HN1" s="173"/>
      <c r="HO1" s="165"/>
      <c r="HP1" s="173"/>
      <c r="HQ1" s="165"/>
      <c r="HR1" s="165"/>
      <c r="HS1" s="202" t="s">
        <v>262</v>
      </c>
      <c r="HT1" s="204" t="s">
        <v>263</v>
      </c>
      <c r="HU1" s="205" t="s">
        <v>264</v>
      </c>
      <c r="HV1" s="205" t="s">
        <v>265</v>
      </c>
      <c r="HW1" s="205" t="s">
        <v>264</v>
      </c>
      <c r="HX1" s="205" t="s">
        <v>266</v>
      </c>
      <c r="HY1" s="205" t="s">
        <v>264</v>
      </c>
      <c r="HZ1" s="208"/>
      <c r="IA1" s="208"/>
      <c r="IB1" s="208"/>
      <c r="IC1" s="208"/>
      <c r="ID1" s="209" t="s">
        <v>212</v>
      </c>
      <c r="IE1" s="210" t="s">
        <v>267</v>
      </c>
      <c r="IF1" s="211" t="s">
        <v>268</v>
      </c>
      <c r="IG1" s="212"/>
      <c r="IH1" s="212"/>
      <c r="II1" s="212"/>
      <c r="IJ1" s="212"/>
      <c r="IK1" s="212"/>
      <c r="IL1" s="213" t="s">
        <v>269</v>
      </c>
      <c r="IM1" s="214"/>
      <c r="IN1" s="214"/>
      <c r="IO1" s="214"/>
      <c r="IP1" s="214"/>
      <c r="IQ1" s="215" t="s">
        <v>270</v>
      </c>
      <c r="IR1" s="215" t="s">
        <v>271</v>
      </c>
      <c r="IS1" s="216" t="s">
        <v>272</v>
      </c>
      <c r="IT1" s="216"/>
      <c r="IU1" s="216"/>
      <c r="IV1" s="216"/>
      <c r="IW1" s="216"/>
      <c r="IX1" s="216"/>
      <c r="IY1" s="216"/>
      <c r="IZ1" s="216"/>
      <c r="JA1" s="216"/>
      <c r="JB1" s="216"/>
      <c r="JC1" s="216"/>
      <c r="JD1" s="216"/>
      <c r="JE1" s="216"/>
      <c r="JF1" s="217" t="s">
        <v>273</v>
      </c>
      <c r="JG1" s="214"/>
      <c r="JH1" s="214"/>
      <c r="JI1" s="218"/>
    </row>
    <row r="2">
      <c r="A2" s="219" t="s">
        <v>274</v>
      </c>
      <c r="B2" s="220" t="str">
        <f t="shared" ref="B2:B4" si="1">'4-1 Расчет рентабельности КП'!AJ43</f>
        <v>#REF!</v>
      </c>
      <c r="C2" s="221" t="s">
        <v>275</v>
      </c>
      <c r="D2" s="222" t="s">
        <v>276</v>
      </c>
      <c r="E2" s="222" t="s">
        <v>277</v>
      </c>
      <c r="F2" s="222" t="s">
        <v>278</v>
      </c>
      <c r="G2" s="223">
        <v>3.0</v>
      </c>
      <c r="H2" s="222" t="s">
        <v>279</v>
      </c>
      <c r="I2" s="222" t="s">
        <v>280</v>
      </c>
      <c r="J2" s="224" t="s">
        <v>281</v>
      </c>
      <c r="K2" s="225"/>
      <c r="L2" s="227"/>
      <c r="M2" s="228"/>
      <c r="N2" s="228"/>
      <c r="O2" s="227"/>
      <c r="P2" s="229"/>
      <c r="Q2" s="227">
        <f>IFERROR(__xludf.DUMMYFUNCTION("""COMPUTED_VALUE"""),7.0)</f>
        <v>7</v>
      </c>
      <c r="R2" s="230"/>
      <c r="S2" s="67"/>
      <c r="T2" s="67"/>
      <c r="U2" s="151"/>
      <c r="V2" s="151"/>
      <c r="W2" s="151"/>
      <c r="X2" s="151"/>
      <c r="Y2" s="151"/>
      <c r="Z2" s="231" t="s">
        <v>282</v>
      </c>
      <c r="AA2" s="232"/>
      <c r="AB2" s="232"/>
      <c r="AC2" s="232"/>
      <c r="AD2" s="232"/>
      <c r="AE2" s="232"/>
      <c r="AF2" s="232"/>
      <c r="AG2" s="232"/>
      <c r="AH2" s="232"/>
      <c r="AI2" s="232"/>
      <c r="AJ2" s="232"/>
      <c r="AK2" s="232"/>
      <c r="AL2" s="232"/>
      <c r="AM2" s="234"/>
      <c r="AN2" s="232"/>
      <c r="AO2" s="232"/>
      <c r="AP2" s="232"/>
      <c r="AQ2" s="232"/>
      <c r="AR2" s="232"/>
      <c r="AS2" s="232"/>
      <c r="AT2" s="232"/>
      <c r="AU2" s="232"/>
      <c r="AV2" s="232"/>
      <c r="AW2" s="232"/>
      <c r="AX2" s="232"/>
      <c r="AY2" s="235"/>
      <c r="AZ2" s="232"/>
      <c r="BA2" s="232"/>
      <c r="BB2" s="232"/>
      <c r="BC2" s="232"/>
      <c r="BD2" s="232"/>
      <c r="BE2" s="234">
        <v>6900.0</v>
      </c>
      <c r="BF2" s="232" t="s">
        <v>283</v>
      </c>
      <c r="BG2" s="232" t="s">
        <v>284</v>
      </c>
      <c r="BH2" s="232">
        <v>19500.0</v>
      </c>
      <c r="BI2" s="232" t="s">
        <v>285</v>
      </c>
      <c r="BJ2" s="232" t="s">
        <v>286</v>
      </c>
      <c r="BK2" s="234">
        <v>8600.0</v>
      </c>
      <c r="BL2" s="232" t="s">
        <v>287</v>
      </c>
      <c r="BM2" s="232" t="s">
        <v>288</v>
      </c>
      <c r="BN2" s="232"/>
      <c r="BO2" s="232"/>
      <c r="BP2" s="232"/>
      <c r="BQ2" s="234">
        <v>6250.0</v>
      </c>
      <c r="BR2" s="232" t="s">
        <v>289</v>
      </c>
      <c r="BS2" s="232" t="s">
        <v>290</v>
      </c>
      <c r="BT2" s="232"/>
      <c r="BU2" s="232"/>
      <c r="BV2" s="232"/>
      <c r="BW2" s="232"/>
      <c r="BX2" s="232"/>
      <c r="BY2" s="232"/>
      <c r="BZ2" s="235">
        <v>6433.68</v>
      </c>
      <c r="CA2" s="232" t="s">
        <v>287</v>
      </c>
      <c r="CB2" s="232" t="s">
        <v>291</v>
      </c>
      <c r="CC2" s="232"/>
      <c r="CD2" s="232"/>
      <c r="CE2" s="232"/>
      <c r="CF2" s="232" t="str">
        <f>814.69*B3</f>
        <v>#REF!</v>
      </c>
      <c r="CG2" s="232" t="s">
        <v>292</v>
      </c>
      <c r="CH2" s="232" t="s">
        <v>293</v>
      </c>
      <c r="CI2" s="234">
        <v>5450.0</v>
      </c>
      <c r="CJ2" s="232" t="s">
        <v>283</v>
      </c>
      <c r="CK2" s="232" t="s">
        <v>294</v>
      </c>
      <c r="CL2" s="232"/>
      <c r="CM2" s="232"/>
      <c r="CN2" s="232"/>
      <c r="CO2" s="235"/>
      <c r="CP2" s="232"/>
      <c r="CQ2" s="232"/>
      <c r="CR2" s="232"/>
      <c r="CS2" s="232"/>
      <c r="CT2" s="232"/>
      <c r="CU2" s="232"/>
      <c r="CV2" s="232"/>
      <c r="CW2" s="232"/>
      <c r="CX2" s="232"/>
      <c r="CY2" s="232"/>
      <c r="CZ2" s="232"/>
      <c r="DA2" s="232"/>
      <c r="DB2" s="232"/>
      <c r="DC2" s="232"/>
      <c r="DD2" s="232"/>
      <c r="DE2" s="232"/>
      <c r="DF2" s="232"/>
      <c r="DG2" s="232"/>
      <c r="DH2" s="232"/>
      <c r="DI2" s="232"/>
      <c r="DJ2" s="232"/>
      <c r="DK2" s="232"/>
      <c r="DL2" s="232"/>
      <c r="DM2" s="232"/>
      <c r="DN2" s="232"/>
      <c r="DO2" s="232"/>
      <c r="DP2" s="232"/>
      <c r="DQ2" s="232"/>
      <c r="DR2" s="232"/>
      <c r="DS2" s="232"/>
      <c r="DT2" s="232"/>
      <c r="DU2" s="232"/>
      <c r="DV2" s="232"/>
      <c r="DW2" s="232"/>
      <c r="DX2" s="232"/>
      <c r="DY2" s="232"/>
      <c r="DZ2" s="232"/>
      <c r="EA2" s="232"/>
      <c r="EB2" s="232"/>
      <c r="EC2" s="232"/>
      <c r="ED2" s="232"/>
      <c r="EE2" s="232"/>
      <c r="EF2" s="232"/>
      <c r="EG2" s="232"/>
      <c r="EH2" s="232"/>
      <c r="EI2" s="232"/>
      <c r="EJ2" s="232"/>
      <c r="EK2" s="232"/>
      <c r="EL2" s="232"/>
      <c r="EM2" s="232"/>
      <c r="EN2" s="232"/>
      <c r="EO2" s="232"/>
      <c r="EP2" s="232"/>
      <c r="EQ2" s="232"/>
      <c r="ER2" s="232"/>
      <c r="ES2" s="232"/>
      <c r="ET2" s="232"/>
      <c r="EU2" s="232"/>
      <c r="EV2" s="232"/>
      <c r="EW2" s="232"/>
      <c r="EX2" s="232"/>
      <c r="EY2" s="232"/>
      <c r="EZ2" s="232"/>
      <c r="FA2" s="232"/>
      <c r="FB2" s="232"/>
      <c r="FC2" s="232"/>
      <c r="FD2" s="232"/>
      <c r="FE2" s="232"/>
      <c r="FF2" s="232"/>
      <c r="FG2" s="232"/>
      <c r="FH2" s="232"/>
      <c r="FI2" s="232"/>
      <c r="FJ2" s="232"/>
      <c r="FK2" s="232"/>
      <c r="FL2" s="232"/>
      <c r="FM2" s="232"/>
      <c r="FN2" s="232"/>
      <c r="FO2" s="232"/>
      <c r="FP2" s="232"/>
      <c r="FQ2" s="232"/>
      <c r="FR2" s="232"/>
      <c r="FS2" s="232"/>
      <c r="FT2" s="232"/>
      <c r="FU2" s="232"/>
      <c r="FV2" s="232"/>
      <c r="FW2" s="232"/>
      <c r="FX2" s="232"/>
      <c r="FY2" s="232"/>
      <c r="FZ2" s="232"/>
      <c r="GA2" s="232"/>
      <c r="GB2" s="232"/>
      <c r="GC2" s="232"/>
      <c r="GD2" s="232"/>
      <c r="GE2" s="232"/>
      <c r="GF2" s="232"/>
      <c r="GG2" s="151"/>
      <c r="GH2" s="151"/>
      <c r="GI2" s="151"/>
      <c r="GJ2" s="151"/>
      <c r="GK2" s="151"/>
      <c r="GL2" s="151"/>
      <c r="GM2" s="151"/>
      <c r="GN2" s="151"/>
      <c r="GO2" s="151"/>
      <c r="GP2" s="151"/>
      <c r="GQ2" s="151"/>
      <c r="GR2" s="151"/>
      <c r="GS2" s="151"/>
      <c r="GT2" s="151"/>
      <c r="GU2" s="151"/>
      <c r="GV2" s="151"/>
      <c r="GW2" s="151"/>
      <c r="GX2" s="151"/>
      <c r="GY2" s="151"/>
      <c r="GZ2" s="151"/>
      <c r="HA2" s="151"/>
      <c r="HB2" s="151"/>
      <c r="HC2" s="151"/>
      <c r="HD2" s="151"/>
      <c r="HE2" s="151"/>
      <c r="HF2" s="151"/>
      <c r="HG2" s="151"/>
      <c r="HH2" s="151"/>
      <c r="HI2" s="151"/>
      <c r="HJ2" s="151"/>
      <c r="HK2" s="151"/>
      <c r="HL2" s="151"/>
      <c r="HM2" s="151"/>
      <c r="HN2" s="151"/>
      <c r="HO2" s="151"/>
      <c r="HP2" s="151"/>
      <c r="HQ2" s="151"/>
      <c r="HR2" s="151"/>
      <c r="HS2" s="151"/>
      <c r="HT2" s="238" t="str">
        <f t="shared" ref="HT2:HT21" si="2">IFERROR(SMALL($R2:$HS2,VALUE(LEFT(HT$1,1))),"")</f>
        <v/>
      </c>
      <c r="HU2" s="240" t="str">
        <f t="shared" ref="HU2:HU21" si="3">IFERROR(OFFSET($AA$1,0,MATCH(HT2,$AA2:$HS2,0)),"")</f>
        <v/>
      </c>
      <c r="HV2" s="238" t="str">
        <f t="shared" ref="HV2:HV21" si="4">IFERROR(SMALL($AA2:$HS2,VALUE(LEFT(HV$1,1))),"")</f>
        <v/>
      </c>
      <c r="HW2" s="240" t="str">
        <f t="shared" ref="HW2:HW21" si="5">IFERROR(OFFSET($A$1,0,MATCH(HV2,$AA2:$HS2,0)),"")</f>
        <v/>
      </c>
      <c r="HX2" s="238" t="str">
        <f t="shared" ref="HX2:HX21" si="6">IFERROR(SMALL($AA2:$HS2,VALUE(LEFT(HX$1,1))),"")</f>
        <v/>
      </c>
      <c r="HY2" s="240" t="str">
        <f t="shared" ref="HY2:HY21" si="7">IFERROR(OFFSET($AA$1,0,MATCH(HX2,$AA2:$HS2,0)),"")</f>
        <v/>
      </c>
      <c r="HZ2" s="242"/>
      <c r="IA2" s="242"/>
      <c r="IB2" s="242"/>
      <c r="IC2" s="242"/>
      <c r="ID2" s="243" t="str">
        <f>IFERROR(__xludf.DUMMYFUNCTION("
    IFERROR(  
      TEXTJOIN(""|||"",FALSE , 
        ARRAY_CONSTRAIN( SORT( ARRAYFORMULA(Split(TRANSPOSE 
          (Split(TEXTJOIN(""|||"",TRUE,'1-1 Сбор КП'!$IF2:$IL2),""|||"",FALSE,FALSE)
        ),""|"",FALSE,FALSE)),3,FALSE ),100,2)
      )
    ,)"),"")</f>
        <v/>
      </c>
      <c r="IE2"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КП'!$AA2),
'1-1 Сбор КП'!$A"&amp;"A2:$HS2,
'1-1 Сбор КП'!$ID2,
BYROW( TRANSPOSE(Split('1-1 Сбор КП'!$IQ2,""|||"",FALSE)),LAMBDA(rc,Split(rc,""📎"",FALSE,FALSE))),
  {'3-3 Выбор поставщиков'!$AB$24:$AB$28 , '3-3 Выбор поставщиков'!$AF$24:$AF$28},
  {'3-3 Выбор поставщиков'!$AB$24:$AB$28 ,"&amp;" '3-3 Выбор поставщиков'!$AD$24:$AD$28}
)"),"$CI$2|||$CI$1||||||$CJ$2|||Подходит: Осн поставщик, Масляный фильтр 89781969 = SH8186  |||$BQ$2|||$BQ$1||||||$BR$2|||Подходит: Да, Фильтр масляный 89781969 аналог  |||$BZ$2|||$BZ$1||||||$CA$2|||Подходит: -?, Масляный фильтр - Артикул 89781969 ESG-315 —
 "&amp;"Аналог  |||$BE$2|||$BE$1||||||$BF$2|||Подходит: Да, Масляный фильтр 89781969 [ Аналог SH/O8186 ]   |||$BK$2|||$BK$1||||||$BL$2|||Подходит: -?, Масляный фильтр - Артикул 89781969 (аналог)  |||$BH$2|||$BH$1||||||$BI$2|||Подходит: -?, Масляный фильтр - Артик"&amp;"ул 89781969 (оригинал)   ")</f>
        <v>$CI$2|||$CI$1||||||$CJ$2|||Подходит: Осн поставщик, Масляный фильтр 89781969 = SH8186  |||$BQ$2|||$BQ$1||||||$BR$2|||Подходит: Да, Фильтр масляный 89781969 аналог  |||$BZ$2|||$BZ$1||||||$CA$2|||Подходит: -?, Масляный фильтр - Артикул 89781969 ESG-315 —
 Аналог  |||$BE$2|||$BE$1||||||$BF$2|||Подходит: Да, Масляный фильтр 89781969 [ Аналог SH/O8186 ]   |||$BK$2|||$BK$1||||||$BL$2|||Подходит: -?, Масляный фильтр - Артикул 89781969 (аналог)  |||$BH$2|||$BH$1||||||$BI$2|||Подходит: -?, Масляный фильтр - Артикул 89781969 (оригинал)   </v>
      </c>
      <c r="IF2" s="246"/>
      <c r="IG2" s="242"/>
      <c r="IH2" s="242"/>
      <c r="II2" s="242"/>
      <c r="IJ2" s="242"/>
      <c r="IK2" s="242"/>
      <c r="IL2" s="242"/>
      <c r="IM2" s="242"/>
      <c r="IN2" s="242"/>
      <c r="IO2" s="242"/>
      <c r="IP2" s="242"/>
      <c r="IQ2" s="242" t="str">
        <f>IFERROR(__xludf.DUMMYFUNCTION("
    IFERROR(  
      TEXTJOIN(""|||"",true , 
        BYROW(
        ARRAY_CONSTRAIN( SORT( ARRAYFORMULA(
          Split( TRANSPOSE (
            Split(TEXTJOIN(""|||"", TRUE, '1-1 Сбор КП'!$IS2:$JF2) ,""|||"",FALSE,FALSE)
          ),""📎"",FALSE,FALSE"&amp;")),5,FALSE ),100,4)
        ,LAMBDA(r,TEXTJOIN(""📎"",FALSE ,r))
      )
    ,))"),"$BQ$1📎📎📎Да|||$CI$1📎📎📎Осн поставщик|||$CI$1📎📎📎Осн поставщик|||$BE$1📎📎📎Да|||$BE$1📎📎📎Да|||$BQ$1📎📎📎Осн поставщик")</f>
        <v>$BQ$1📎📎📎Да|||$CI$1📎📎📎Осн поставщик|||$CI$1📎📎📎Осн поставщик|||$BE$1📎📎📎Да|||$BE$1📎📎📎Да|||$BQ$1📎📎📎Осн поставщик</v>
      </c>
      <c r="IR2"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КП'!$AA2),
 '1-1 Сбор КП'!$AA2:$HS2,
 '1-1 Сбор КП'!$ID2,
 BYROW( TRANSPOSE(Split('1-1 Сбор КП'!$IQ2,""|||"",FALSE)),LAMBDA(rc,Sp"&amp;"lit(rc,""📎"",FALSE,FALSE)))
)
"),"$CI$2|||$CI$1|||$CJ$2|||$CK$2|||||||||Осн поставщик||||||$BQ$2|||$BQ$1|||$BR$2|||$BS$2|||||||||Да||||||$BZ$2|||$BZ$1|||$CA$2|||$CB$2|||||||||||||||$BE$2|||$BE$1|||$BF$2|||$BG$2|||||||||Да||||||$BK$2|||$BK$1|||$BL$2|||$BM$2|||||||||||||||$BH$2|||$BH$1|||$B"&amp;"I$2|||$BJ$2||||||||||||")</f>
        <v>$CI$2|||$CI$1|||$CJ$2|||$CK$2|||||||||Осн поставщик||||||$BQ$2|||$BQ$1|||$BR$2|||$BS$2|||||||||Да||||||$BZ$2|||$BZ$1|||$CA$2|||$CB$2|||||||||||||||$BE$2|||$BE$1|||$BF$2|||$BG$2|||||||||Да||||||$BK$2|||$BK$1|||$BL$2|||$BM$2|||||||||||||||$BH$2|||$BH$1|||$BI$2|||$BJ$2||||||||||||</v>
      </c>
      <c r="IS2" s="246" t="s">
        <v>295</v>
      </c>
      <c r="IT2" s="246" t="s">
        <v>296</v>
      </c>
      <c r="IU2" s="242"/>
      <c r="IV2" s="242"/>
      <c r="IW2" s="242"/>
      <c r="IX2" s="242"/>
      <c r="IY2" s="242"/>
      <c r="IZ2" s="242"/>
      <c r="JA2" s="242"/>
      <c r="JB2" s="242"/>
      <c r="JC2" s="242"/>
      <c r="JD2" s="242"/>
      <c r="JE2" s="242"/>
      <c r="JF2" s="242"/>
      <c r="JG2" s="242"/>
      <c r="JH2" s="242"/>
      <c r="JI2" s="242"/>
    </row>
    <row r="3">
      <c r="A3" s="247" t="s">
        <v>297</v>
      </c>
      <c r="B3" s="220" t="str">
        <f t="shared" si="1"/>
        <v>#REF!</v>
      </c>
      <c r="C3" s="221" t="s">
        <v>298</v>
      </c>
      <c r="D3" s="222" t="s">
        <v>299</v>
      </c>
      <c r="E3" s="222" t="s">
        <v>300</v>
      </c>
      <c r="F3" s="222" t="s">
        <v>278</v>
      </c>
      <c r="G3" s="223">
        <v>6.0</v>
      </c>
      <c r="H3" s="222" t="s">
        <v>301</v>
      </c>
      <c r="I3" s="222" t="s">
        <v>302</v>
      </c>
      <c r="J3" s="224" t="s">
        <v>281</v>
      </c>
      <c r="K3" s="248"/>
      <c r="L3" s="227"/>
      <c r="M3" s="250"/>
      <c r="N3" s="250"/>
      <c r="O3" s="227"/>
      <c r="P3" s="251"/>
      <c r="Q3" s="252">
        <f>IFERROR(__xludf.DUMMYFUNCTION("""COMPUTED_VALUE"""),7.0)</f>
        <v>7</v>
      </c>
      <c r="R3" s="230"/>
      <c r="S3" s="67"/>
      <c r="T3" s="67"/>
      <c r="U3" s="151"/>
      <c r="V3" s="151"/>
      <c r="W3" s="151"/>
      <c r="X3" s="151"/>
      <c r="Y3" s="151"/>
      <c r="Z3" s="231" t="s">
        <v>303</v>
      </c>
      <c r="AA3" s="232"/>
      <c r="AB3" s="232"/>
      <c r="AC3" s="232"/>
      <c r="AD3" s="232"/>
      <c r="AE3" s="232"/>
      <c r="AF3" s="232"/>
      <c r="AG3" s="232"/>
      <c r="AH3" s="232"/>
      <c r="AI3" s="232"/>
      <c r="AJ3" s="232"/>
      <c r="AK3" s="232"/>
      <c r="AL3" s="232"/>
      <c r="AM3" s="234"/>
      <c r="AN3" s="232"/>
      <c r="AO3" s="232"/>
      <c r="AP3" s="232"/>
      <c r="AQ3" s="232"/>
      <c r="AR3" s="232"/>
      <c r="AS3" s="232"/>
      <c r="AT3" s="232"/>
      <c r="AU3" s="232"/>
      <c r="AV3" s="232"/>
      <c r="AW3" s="232"/>
      <c r="AX3" s="232"/>
      <c r="AY3" s="235"/>
      <c r="AZ3" s="232"/>
      <c r="BA3" s="232"/>
      <c r="BB3" s="232"/>
      <c r="BC3" s="232"/>
      <c r="BD3" s="232"/>
      <c r="BE3" s="234">
        <v>6900.0</v>
      </c>
      <c r="BF3" s="232" t="s">
        <v>283</v>
      </c>
      <c r="BG3" s="232" t="s">
        <v>304</v>
      </c>
      <c r="BH3" s="232">
        <v>17700.0</v>
      </c>
      <c r="BI3" s="232" t="s">
        <v>285</v>
      </c>
      <c r="BJ3" s="232" t="s">
        <v>305</v>
      </c>
      <c r="BK3" s="234">
        <v>8600.0</v>
      </c>
      <c r="BL3" s="232" t="s">
        <v>287</v>
      </c>
      <c r="BM3" s="232" t="s">
        <v>306</v>
      </c>
      <c r="BN3" s="232"/>
      <c r="BO3" s="232"/>
      <c r="BP3" s="232"/>
      <c r="BQ3" s="234">
        <v>6400.0</v>
      </c>
      <c r="BR3" s="232" t="s">
        <v>289</v>
      </c>
      <c r="BS3" s="232" t="s">
        <v>307</v>
      </c>
      <c r="BT3" s="232" t="str">
        <f>528.14*1.22*B3</f>
        <v>#REF!</v>
      </c>
      <c r="BU3" s="232" t="s">
        <v>287</v>
      </c>
      <c r="BV3" s="232" t="s">
        <v>308</v>
      </c>
      <c r="BW3" s="232"/>
      <c r="BX3" s="232"/>
      <c r="BY3" s="232"/>
      <c r="BZ3" s="235">
        <v>11956.0</v>
      </c>
      <c r="CA3" s="232" t="s">
        <v>287</v>
      </c>
      <c r="CB3" s="232" t="s">
        <v>299</v>
      </c>
      <c r="CC3" s="232"/>
      <c r="CD3" s="232"/>
      <c r="CE3" s="232"/>
      <c r="CF3" s="232"/>
      <c r="CG3" s="232"/>
      <c r="CH3" s="232"/>
      <c r="CI3" s="234">
        <v>5450.0</v>
      </c>
      <c r="CJ3" s="232" t="s">
        <v>283</v>
      </c>
      <c r="CK3" s="232" t="s">
        <v>309</v>
      </c>
      <c r="CL3" s="232"/>
      <c r="CM3" s="232"/>
      <c r="CN3" s="232"/>
      <c r="CO3" s="235"/>
      <c r="CP3" s="232"/>
      <c r="CQ3" s="232"/>
      <c r="CR3" s="232"/>
      <c r="CS3" s="232"/>
      <c r="CT3" s="232"/>
      <c r="CU3" s="232"/>
      <c r="CV3" s="232"/>
      <c r="CW3" s="232"/>
      <c r="CX3" s="232"/>
      <c r="CY3" s="232"/>
      <c r="CZ3" s="232"/>
      <c r="DA3" s="232"/>
      <c r="DB3" s="232"/>
      <c r="DC3" s="232"/>
      <c r="DD3" s="232"/>
      <c r="DE3" s="232"/>
      <c r="DF3" s="232"/>
      <c r="DG3" s="232"/>
      <c r="DH3" s="232"/>
      <c r="DI3" s="232"/>
      <c r="DJ3" s="232"/>
      <c r="DK3" s="232"/>
      <c r="DL3" s="232"/>
      <c r="DM3" s="232"/>
      <c r="DN3" s="232"/>
      <c r="DO3" s="232"/>
      <c r="DP3" s="232"/>
      <c r="DQ3" s="232"/>
      <c r="DR3" s="232"/>
      <c r="DS3" s="232"/>
      <c r="DT3" s="232"/>
      <c r="DU3" s="232"/>
      <c r="DV3" s="232"/>
      <c r="DW3" s="232"/>
      <c r="DX3" s="232"/>
      <c r="DY3" s="232"/>
      <c r="DZ3" s="232"/>
      <c r="EA3" s="232"/>
      <c r="EB3" s="232"/>
      <c r="EC3" s="232"/>
      <c r="ED3" s="232"/>
      <c r="EE3" s="232"/>
      <c r="EF3" s="232"/>
      <c r="EG3" s="232"/>
      <c r="EH3" s="232"/>
      <c r="EI3" s="232"/>
      <c r="EJ3" s="232"/>
      <c r="EK3" s="232"/>
      <c r="EL3" s="232"/>
      <c r="EM3" s="232"/>
      <c r="EN3" s="232"/>
      <c r="EO3" s="232"/>
      <c r="EP3" s="232"/>
      <c r="EQ3" s="232"/>
      <c r="ER3" s="232"/>
      <c r="ES3" s="232"/>
      <c r="ET3" s="232"/>
      <c r="EU3" s="232"/>
      <c r="EV3" s="232"/>
      <c r="EW3" s="232"/>
      <c r="EX3" s="232"/>
      <c r="EY3" s="232"/>
      <c r="EZ3" s="232"/>
      <c r="FA3" s="232"/>
      <c r="FB3" s="232"/>
      <c r="FC3" s="232"/>
      <c r="FD3" s="232"/>
      <c r="FE3" s="232"/>
      <c r="FF3" s="232"/>
      <c r="FG3" s="232"/>
      <c r="FH3" s="232"/>
      <c r="FI3" s="232"/>
      <c r="FJ3" s="232"/>
      <c r="FK3" s="232"/>
      <c r="FL3" s="232"/>
      <c r="FM3" s="232"/>
      <c r="FN3" s="232"/>
      <c r="FO3" s="232"/>
      <c r="FP3" s="232"/>
      <c r="FQ3" s="232"/>
      <c r="FR3" s="232"/>
      <c r="FS3" s="232"/>
      <c r="FT3" s="232"/>
      <c r="FU3" s="232"/>
      <c r="FV3" s="232"/>
      <c r="FW3" s="232"/>
      <c r="FX3" s="232"/>
      <c r="FY3" s="232"/>
      <c r="FZ3" s="232"/>
      <c r="GA3" s="232"/>
      <c r="GB3" s="232"/>
      <c r="GC3" s="232"/>
      <c r="GD3" s="232"/>
      <c r="GE3" s="232"/>
      <c r="GF3" s="232"/>
      <c r="GG3" s="151"/>
      <c r="GH3" s="151"/>
      <c r="GI3" s="151"/>
      <c r="GJ3" s="151"/>
      <c r="GK3" s="151"/>
      <c r="GL3" s="151"/>
      <c r="GM3" s="151"/>
      <c r="GN3" s="151"/>
      <c r="GO3" s="151"/>
      <c r="GP3" s="151"/>
      <c r="GQ3" s="151"/>
      <c r="GR3" s="151"/>
      <c r="GS3" s="151"/>
      <c r="GT3" s="151"/>
      <c r="GU3" s="151"/>
      <c r="GV3" s="151"/>
      <c r="GW3" s="151"/>
      <c r="GX3" s="151"/>
      <c r="GY3" s="151"/>
      <c r="GZ3" s="151"/>
      <c r="HA3" s="151"/>
      <c r="HB3" s="151"/>
      <c r="HC3" s="151"/>
      <c r="HD3" s="151"/>
      <c r="HE3" s="151"/>
      <c r="HF3" s="151"/>
      <c r="HG3" s="151"/>
      <c r="HH3" s="151"/>
      <c r="HI3" s="151"/>
      <c r="HJ3" s="151"/>
      <c r="HK3" s="151"/>
      <c r="HL3" s="151"/>
      <c r="HM3" s="151"/>
      <c r="HN3" s="151"/>
      <c r="HO3" s="151"/>
      <c r="HP3" s="151"/>
      <c r="HQ3" s="151"/>
      <c r="HR3" s="151"/>
      <c r="HS3" s="151"/>
      <c r="HT3" s="238" t="str">
        <f t="shared" si="2"/>
        <v/>
      </c>
      <c r="HU3" s="240" t="str">
        <f t="shared" si="3"/>
        <v/>
      </c>
      <c r="HV3" s="238" t="str">
        <f t="shared" si="4"/>
        <v/>
      </c>
      <c r="HW3" s="240" t="str">
        <f t="shared" si="5"/>
        <v/>
      </c>
      <c r="HX3" s="238" t="str">
        <f t="shared" si="6"/>
        <v/>
      </c>
      <c r="HY3" s="240" t="str">
        <f t="shared" si="7"/>
        <v/>
      </c>
      <c r="HZ3" s="242"/>
      <c r="IA3" s="242"/>
      <c r="IB3" s="242"/>
      <c r="IC3" s="242"/>
      <c r="ID3" s="243" t="str">
        <f>IFERROR(__xludf.DUMMYFUNCTION("
    IFERROR(  
      TEXTJOIN(""|||"",FALSE , 
        ARRAY_CONSTRAIN( SORT( ARRAYFORMULA(Split(TRANSPOSE 
          (Split(TEXTJOIN(""|||"",TRUE,'1-1 Сбор КП'!$IF3:$IL3),""|||"",FALSE,FALSE)
        ),""|"",FALSE,FALSE)),3,FALSE ),100,2)
      )
    ,)"),"")</f>
        <v/>
      </c>
      <c r="IE3"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КП'!$AA3),
'1-1 Сбор КП'!$A"&amp;"A3:$HS3,
'1-1 Сбор КП'!$ID3,
BYROW( TRANSPOSE(Split('1-1 Сбор КП'!$IQ3,""|||"",FALSE)),LAMBDA(rc,Split(rc,""📎"",FALSE,FALSE))),
  {'3-3 Выбор поставщиков'!$AB$24:$AB$28 , '3-3 Выбор поставщиков'!$AF$24:$AF$28},
  {'3-3 Выбор поставщиков'!$AB$24:$AB$28 ,"&amp;" '3-3 Выбор поставщиков'!$AD$24:$AD$28}
)"),"$CI$3|||$CI$1||||||$CJ$3|||Подходит: Осн поставщик, Масляный фильтр 85062259 = SH8186  |||$BQ$3|||$BQ$1||||||$BR$3|||Подходит: Да, Фильтр масляный 85062259 аналог  |||$BE$3|||$BE$1||||||$BF$3|||Подходит: Да, Масляный фильтр 85062259 [ Аналог SH/O8186 ]   "&amp;"|||$BK$3|||$BK$1||||||$BL$3|||Подходит: -?, Масляный фильтр - Артикул 85062259 (аналог)   |||$BZ$3|||$BZ$1||||||$CA$3|||Подходит: -?, Масляный фильтр - Артикул 85062259  |||$BH$3|||$BH$1||||||$BI$3|||Подходит: -?, Масляный фильтр - Артикул 85062259 (ориги"&amp;"нал)  ")</f>
        <v>$CI$3|||$CI$1||||||$CJ$3|||Подходит: Осн поставщик, Масляный фильтр 85062259 = SH8186  |||$BQ$3|||$BQ$1||||||$BR$3|||Подходит: Да, Фильтр масляный 85062259 аналог  |||$BE$3|||$BE$1||||||$BF$3|||Подходит: Да, Масляный фильтр 85062259 [ Аналог SH/O8186 ]   |||$BK$3|||$BK$1||||||$BL$3|||Подходит: -?, Масляный фильтр - Артикул 85062259 (аналог)   |||$BZ$3|||$BZ$1||||||$CA$3|||Подходит: -?, Масляный фильтр - Артикул 85062259  |||$BH$3|||$BH$1||||||$BI$3|||Подходит: -?, Масляный фильтр - Артикул 85062259 (оригинал)  </v>
      </c>
      <c r="IF3" s="246"/>
      <c r="IG3" s="242"/>
      <c r="IH3" s="242"/>
      <c r="II3" s="242"/>
      <c r="IJ3" s="242"/>
      <c r="IK3" s="242"/>
      <c r="IL3" s="242"/>
      <c r="IM3" s="242"/>
      <c r="IN3" s="242"/>
      <c r="IO3" s="242"/>
      <c r="IP3" s="242"/>
      <c r="IQ3" s="242" t="str">
        <f>IFERROR(__xludf.DUMMYFUNCTION("
    IFERROR(  
      TEXTJOIN(""|||"",true , 
        BYROW(
        ARRAY_CONSTRAIN( SORT( ARRAYFORMULA(
          Split( TRANSPOSE (
            Split(TEXTJOIN(""|||"", TRUE, '1-1 Сбор КП'!$IS3:$JF3) ,""|||"",FALSE,FALSE)
          ),""📎"",FALSE,FALSE"&amp;")),5,FALSE ),100,4)
        ,LAMBDA(r,TEXTJOIN(""📎"",FALSE ,r))
      )
    ,))"),"$BQ$1📎📎📎Да|||$CI$1📎📎📎Осн поставщик|||$CI$1📎📎📎Осн поставщик|||$BE$1📎📎📎Да|||$BE$1📎📎📎Да|||$BQ$1📎📎📎Осн поставщик")</f>
        <v>$BQ$1📎📎📎Да|||$CI$1📎📎📎Осн поставщик|||$CI$1📎📎📎Осн поставщик|||$BE$1📎📎📎Да|||$BE$1📎📎📎Да|||$BQ$1📎📎📎Осн поставщик</v>
      </c>
      <c r="IR3"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КП'!$AA3),
 '1-1 Сбор КП'!$AA3:$HS3,
 '1-1 Сбор КП'!$ID3,
 BYROW( TRANSPOSE(Split('1-1 Сбор КП'!$IQ3,""|||"",FALSE)),LAMBDA(rc,Sp"&amp;"lit(rc,""📎"",FALSE,FALSE)))
)
"),"$CI$3|||$CI$1|||$CJ$3|||$CK$3|||||||||Осн поставщик||||||$BQ$3|||$BQ$1|||$BR$3|||$BS$3|||||||||Да||||||$BE$3|||$BE$1|||$BF$3|||$BG$3|||||||||Да||||||$BK$3|||$BK$1|||$BL$3|||$BM$3|||||||||||||||$BZ$3|||$BZ$1|||$CA$3|||$CB$3|||||||||||||||$BH$3|||$BH$1|||$B"&amp;"I$3|||$BJ$3||||||||||||")</f>
        <v>$CI$3|||$CI$1|||$CJ$3|||$CK$3|||||||||Осн поставщик||||||$BQ$3|||$BQ$1|||$BR$3|||$BS$3|||||||||Да||||||$BE$3|||$BE$1|||$BF$3|||$BG$3|||||||||Да||||||$BK$3|||$BK$1|||$BL$3|||$BM$3|||||||||||||||$BZ$3|||$BZ$1|||$CA$3|||$CB$3|||||||||||||||$BH$3|||$BH$1|||$BI$3|||$BJ$3||||||||||||</v>
      </c>
      <c r="IS3" s="246" t="s">
        <v>310</v>
      </c>
      <c r="IT3" s="246" t="s">
        <v>311</v>
      </c>
      <c r="IU3" s="242"/>
      <c r="IV3" s="242"/>
      <c r="IW3" s="242"/>
      <c r="IX3" s="242"/>
      <c r="IY3" s="242"/>
      <c r="IZ3" s="242"/>
      <c r="JA3" s="242"/>
      <c r="JB3" s="242"/>
      <c r="JC3" s="242"/>
      <c r="JD3" s="242"/>
      <c r="JE3" s="242"/>
      <c r="JF3" s="242"/>
      <c r="JG3" s="242"/>
      <c r="JH3" s="242"/>
      <c r="JI3" s="242"/>
    </row>
    <row r="4">
      <c r="A4" s="253" t="s">
        <v>312</v>
      </c>
      <c r="B4" s="220" t="str">
        <f t="shared" si="1"/>
        <v>#REF!</v>
      </c>
      <c r="C4" s="221" t="s">
        <v>313</v>
      </c>
      <c r="D4" s="222" t="s">
        <v>314</v>
      </c>
      <c r="E4" s="222" t="s">
        <v>315</v>
      </c>
      <c r="F4" s="222" t="s">
        <v>278</v>
      </c>
      <c r="G4" s="223">
        <v>16.0</v>
      </c>
      <c r="H4" s="222" t="s">
        <v>316</v>
      </c>
      <c r="I4" s="222" t="s">
        <v>317</v>
      </c>
      <c r="J4" s="224" t="s">
        <v>318</v>
      </c>
      <c r="K4" s="248"/>
      <c r="L4" s="254"/>
      <c r="M4" s="250"/>
      <c r="N4" s="250"/>
      <c r="O4" s="227"/>
      <c r="P4" s="251"/>
      <c r="Q4" s="252">
        <f>IFERROR(__xludf.DUMMYFUNCTION("""COMPUTED_VALUE"""),8.0)</f>
        <v>8</v>
      </c>
      <c r="R4" s="230"/>
      <c r="S4" s="67"/>
      <c r="T4" s="67"/>
      <c r="U4" s="151"/>
      <c r="V4" s="151"/>
      <c r="W4" s="151"/>
      <c r="X4" s="151"/>
      <c r="Y4" s="151"/>
      <c r="Z4" s="231" t="s">
        <v>319</v>
      </c>
      <c r="AA4" s="232"/>
      <c r="AB4" s="232"/>
      <c r="AC4" s="232"/>
      <c r="AD4" s="232"/>
      <c r="AE4" s="232"/>
      <c r="AF4" s="232"/>
      <c r="AG4" s="232"/>
      <c r="AH4" s="232"/>
      <c r="AI4" s="232"/>
      <c r="AJ4" s="232"/>
      <c r="AK4" s="232"/>
      <c r="AL4" s="232"/>
      <c r="AM4" s="234"/>
      <c r="AN4" s="232"/>
      <c r="AO4" s="232"/>
      <c r="AP4" s="232"/>
      <c r="AQ4" s="232"/>
      <c r="AR4" s="232"/>
      <c r="AS4" s="232"/>
      <c r="AT4" s="232"/>
      <c r="AU4" s="232"/>
      <c r="AV4" s="232"/>
      <c r="AW4" s="232"/>
      <c r="AX4" s="232"/>
      <c r="AY4" s="235"/>
      <c r="AZ4" s="232"/>
      <c r="BA4" s="232"/>
      <c r="BB4" s="232"/>
      <c r="BC4" s="232"/>
      <c r="BD4" s="232"/>
      <c r="BE4" s="234">
        <v>6400.0</v>
      </c>
      <c r="BF4" s="232" t="s">
        <v>283</v>
      </c>
      <c r="BG4" s="232" t="s">
        <v>320</v>
      </c>
      <c r="BH4" s="232">
        <v>19800.0</v>
      </c>
      <c r="BI4" s="232" t="s">
        <v>285</v>
      </c>
      <c r="BJ4" s="232" t="s">
        <v>321</v>
      </c>
      <c r="BK4" s="234">
        <v>6500.0</v>
      </c>
      <c r="BL4" s="232" t="s">
        <v>287</v>
      </c>
      <c r="BM4" s="232" t="s">
        <v>322</v>
      </c>
      <c r="BN4" s="232"/>
      <c r="BO4" s="232"/>
      <c r="BP4" s="232"/>
      <c r="BQ4" s="234">
        <v>4700.0</v>
      </c>
      <c r="BR4" s="232" t="s">
        <v>289</v>
      </c>
      <c r="BS4" s="232" t="s">
        <v>323</v>
      </c>
      <c r="BT4" s="232" t="str">
        <f>415.05*1.22*B3</f>
        <v>#REF!</v>
      </c>
      <c r="BU4" s="232" t="s">
        <v>287</v>
      </c>
      <c r="BV4" s="232" t="s">
        <v>324</v>
      </c>
      <c r="BW4" s="232"/>
      <c r="BX4" s="232"/>
      <c r="BY4" s="232"/>
      <c r="BZ4" s="235">
        <v>4902.0</v>
      </c>
      <c r="CA4" s="232" t="s">
        <v>287</v>
      </c>
      <c r="CB4" s="232" t="s">
        <v>325</v>
      </c>
      <c r="CC4" s="232"/>
      <c r="CD4" s="232"/>
      <c r="CE4" s="232"/>
      <c r="CF4" s="232" t="str">
        <f>639.82*B3</f>
        <v>#REF!</v>
      </c>
      <c r="CG4" s="232" t="s">
        <v>292</v>
      </c>
      <c r="CH4" s="232" t="s">
        <v>326</v>
      </c>
      <c r="CI4" s="234">
        <v>5000.0</v>
      </c>
      <c r="CJ4" s="232" t="s">
        <v>283</v>
      </c>
      <c r="CK4" s="232" t="s">
        <v>327</v>
      </c>
      <c r="CL4" s="232"/>
      <c r="CM4" s="232"/>
      <c r="CN4" s="232"/>
      <c r="CO4" s="235"/>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151"/>
      <c r="GH4" s="151"/>
      <c r="GI4" s="151"/>
      <c r="GJ4" s="151"/>
      <c r="GK4" s="151"/>
      <c r="GL4" s="151"/>
      <c r="GM4" s="151"/>
      <c r="GN4" s="151"/>
      <c r="GO4" s="151"/>
      <c r="GP4" s="151"/>
      <c r="GQ4" s="151"/>
      <c r="GR4" s="151"/>
      <c r="GS4" s="151"/>
      <c r="GT4" s="151"/>
      <c r="GU4" s="151"/>
      <c r="GV4" s="151"/>
      <c r="GW4" s="151"/>
      <c r="GX4" s="151"/>
      <c r="GY4" s="151"/>
      <c r="GZ4" s="151"/>
      <c r="HA4" s="151"/>
      <c r="HB4" s="151"/>
      <c r="HC4" s="151"/>
      <c r="HD4" s="151"/>
      <c r="HE4" s="151"/>
      <c r="HF4" s="151"/>
      <c r="HG4" s="151"/>
      <c r="HH4" s="151"/>
      <c r="HI4" s="151"/>
      <c r="HJ4" s="151"/>
      <c r="HK4" s="151"/>
      <c r="HL4" s="151"/>
      <c r="HM4" s="151"/>
      <c r="HN4" s="151"/>
      <c r="HO4" s="151"/>
      <c r="HP4" s="151"/>
      <c r="HQ4" s="151"/>
      <c r="HR4" s="151"/>
      <c r="HS4" s="151"/>
      <c r="HT4" s="238" t="str">
        <f t="shared" si="2"/>
        <v/>
      </c>
      <c r="HU4" s="240" t="str">
        <f t="shared" si="3"/>
        <v/>
      </c>
      <c r="HV4" s="238" t="str">
        <f t="shared" si="4"/>
        <v/>
      </c>
      <c r="HW4" s="240" t="str">
        <f t="shared" si="5"/>
        <v/>
      </c>
      <c r="HX4" s="238" t="str">
        <f t="shared" si="6"/>
        <v/>
      </c>
      <c r="HY4" s="240" t="str">
        <f t="shared" si="7"/>
        <v/>
      </c>
      <c r="HZ4" s="242"/>
      <c r="IA4" s="242"/>
      <c r="IB4" s="242"/>
      <c r="IC4" s="242"/>
      <c r="ID4" s="243" t="str">
        <f>IFERROR(__xludf.DUMMYFUNCTION("
    IFERROR(  
      TEXTJOIN(""|||"",FALSE , 
        ARRAY_CONSTRAIN( SORT( ARRAYFORMULA(Split(TRANSPOSE 
          (Split(TEXTJOIN(""|||"",TRUE,'1-1 Сбор КП'!$IF4:$IL4),""|||"",FALSE,FALSE)
        ),""|"",FALSE,FALSE)),3,FALSE ),100,2)
      )
    ,)"),"")</f>
        <v/>
      </c>
      <c r="IE4"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КП'!$AA4),
'1-1 Сбор КП'!$A"&amp;"A4:$HS4,
'1-1 Сбор КП'!$ID4,
BYROW( TRANSPOSE(Split('1-1 Сбор КП'!$IQ4,""|||"",FALSE)),LAMBDA(rc,Split(rc,""📎"",FALSE,FALSE))),
  {'3-3 Выбор поставщиков'!$AB$24:$AB$28 , '3-3 Выбор поставщиков'!$AF$24:$AF$28},
  {'3-3 Выбор поставщиков'!$AB$24:$AB$28 ,"&amp;" '3-3 Выбор поставщиков'!$AD$24:$AD$28}
)"),"$BQ$4|||$BQ$1||||||$BR$4|||Подходит: Осн поставщик, Фильтр воздушный 85067179 аналог  |||$BZ$4|||$BZ$1||||||$CA$4|||Подходит: -?, Воздушный фильтр - Артикул 85067179 
Аналог  |||$CI$4|||$CI$1||||||$CJ$4|||Подходит: -?, Воздушный фильтр 85067179 = AG0378 "&amp;" |||$BE$4|||$BE$1||||||$BF$4|||Подходит: Да, Воздушный фильтр 85067179 [ Аналог A0584/AG0378 ]  |||$BK$4|||$BK$1||||||$BL$4|||Подходит: -?, Воздушный фильтр - Артикул 85067179 (аналог)  |||$BH$4|||$BH$1||||||$BI$4|||Подходит: -?, Воздушный фильтр - Артику"&amp;"л 85067179 (оригинал)  ")</f>
        <v>$BQ$4|||$BQ$1||||||$BR$4|||Подходит: Осн поставщик, Фильтр воздушный 85067179 аналог  |||$BZ$4|||$BZ$1||||||$CA$4|||Подходит: -?, Воздушный фильтр - Артикул 85067179 
Аналог  |||$CI$4|||$CI$1||||||$CJ$4|||Подходит: -?, Воздушный фильтр 85067179 = AG0378  |||$BE$4|||$BE$1||||||$BF$4|||Подходит: Да, Воздушный фильтр 85067179 [ Аналог A0584/AG0378 ]  |||$BK$4|||$BK$1||||||$BL$4|||Подходит: -?, Воздушный фильтр - Артикул 85067179 (аналог)  |||$BH$4|||$BH$1||||||$BI$4|||Подходит: -?, Воздушный фильтр - Артикул 85067179 (оригинал)  </v>
      </c>
      <c r="IF4" s="246"/>
      <c r="IG4" s="242"/>
      <c r="IH4" s="242"/>
      <c r="II4" s="242"/>
      <c r="IJ4" s="242"/>
      <c r="IK4" s="242"/>
      <c r="IL4" s="242"/>
      <c r="IM4" s="242"/>
      <c r="IN4" s="242"/>
      <c r="IO4" s="242"/>
      <c r="IP4" s="242"/>
      <c r="IQ4" s="242" t="str">
        <f>IFERROR(__xludf.DUMMYFUNCTION("
    IFERROR(  
      TEXTJOIN(""|||"",true , 
        BYROW(
        ARRAY_CONSTRAIN( SORT( ARRAYFORMULA(
          Split( TRANSPOSE (
            Split(TEXTJOIN(""|||"", TRUE, '1-1 Сбор КП'!$IS4:$JF4) ,""|||"",FALSE,FALSE)
          ),""📎"",FALSE,FALSE"&amp;")),5,FALSE ),100,4)
        ,LAMBDA(r,TEXTJOIN(""📎"",FALSE ,r))
      )
    ,))"),"$BE$1📎📎📎Да|||$BQ$1📎📎📎Осн поставщик|||$BQ$1📎📎📎Осн поставщик")</f>
        <v>$BE$1📎📎📎Да|||$BQ$1📎📎📎Осн поставщик|||$BQ$1📎📎📎Осн поставщик</v>
      </c>
      <c r="IR4"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КП'!$AA4),
 '1-1 Сбор КП'!$AA4:$HS4,
 '1-1 Сбор КП'!$ID4,
 BYROW( TRANSPOSE(Split('1-1 Сбор КП'!$IQ4,""|||"",FALSE)),LAMBDA(rc,Sp"&amp;"lit(rc,""📎"",FALSE,FALSE)))
)
"),"$BQ$4|||$BQ$1|||$BR$4|||$BS$4|||||||||Осн поставщик||||||$BZ$4|||$BZ$1|||$CA$4|||$CB$4|||||||||||||||$CI$4|||$CI$1|||$CJ$4|||$CK$4|||||||||||||||$BE$4|||$BE$1|||$BF$4|||$BG$4|||||||||Да||||||$BK$4|||$BK$1|||$BL$4|||$BM$4|||||||||||||||$BH$4|||$BH$1|||$BI$"&amp;"4|||$BJ$4||||||||||||")</f>
        <v>$BQ$4|||$BQ$1|||$BR$4|||$BS$4|||||||||Осн поставщик||||||$BZ$4|||$BZ$1|||$CA$4|||$CB$4|||||||||||||||$CI$4|||$CI$1|||$CJ$4|||$CK$4|||||||||||||||$BE$4|||$BE$1|||$BF$4|||$BG$4|||||||||Да||||||$BK$4|||$BK$1|||$BL$4|||$BM$4|||||||||||||||$BH$4|||$BH$1|||$BI$4|||$BJ$4||||||||||||</v>
      </c>
      <c r="IS4" s="246" t="s">
        <v>328</v>
      </c>
      <c r="IT4" s="246" t="s">
        <v>329</v>
      </c>
      <c r="IU4" s="242"/>
      <c r="IV4" s="242"/>
      <c r="IW4" s="242"/>
      <c r="IX4" s="242"/>
      <c r="IY4" s="242"/>
      <c r="IZ4" s="242"/>
      <c r="JA4" s="242"/>
      <c r="JB4" s="242"/>
      <c r="JC4" s="242"/>
      <c r="JD4" s="242"/>
      <c r="JE4" s="242"/>
      <c r="JF4" s="242"/>
      <c r="JG4" s="242"/>
      <c r="JH4" s="242"/>
      <c r="JI4" s="242"/>
    </row>
    <row r="5">
      <c r="A5" s="8"/>
      <c r="B5" s="255"/>
      <c r="C5" s="221" t="s">
        <v>330</v>
      </c>
      <c r="D5" s="222" t="s">
        <v>331</v>
      </c>
      <c r="E5" s="222" t="s">
        <v>332</v>
      </c>
      <c r="F5" s="222" t="s">
        <v>278</v>
      </c>
      <c r="G5" s="223">
        <v>2.0</v>
      </c>
      <c r="H5" s="222" t="s">
        <v>333</v>
      </c>
      <c r="I5" s="222" t="s">
        <v>333</v>
      </c>
      <c r="J5" s="224" t="s">
        <v>334</v>
      </c>
      <c r="K5" s="248"/>
      <c r="L5" s="254"/>
      <c r="M5" s="250"/>
      <c r="N5" s="250"/>
      <c r="O5" s="227"/>
      <c r="P5" s="251"/>
      <c r="Q5" s="252">
        <f>IFERROR(__xludf.DUMMYFUNCTION("""COMPUTED_VALUE"""),0.0)</f>
        <v>0</v>
      </c>
      <c r="R5" s="230"/>
      <c r="S5" s="67"/>
      <c r="T5" s="67"/>
      <c r="U5" s="151"/>
      <c r="V5" s="151"/>
      <c r="W5" s="151"/>
      <c r="X5" s="151"/>
      <c r="Y5" s="151"/>
      <c r="Z5" s="231" t="s">
        <v>335</v>
      </c>
      <c r="AA5" s="232"/>
      <c r="AB5" s="232"/>
      <c r="AC5" s="232"/>
      <c r="AD5" s="232"/>
      <c r="AE5" s="232"/>
      <c r="AF5" s="232"/>
      <c r="AG5" s="232"/>
      <c r="AH5" s="232"/>
      <c r="AI5" s="232"/>
      <c r="AJ5" s="232"/>
      <c r="AK5" s="232"/>
      <c r="AL5" s="232"/>
      <c r="AM5" s="234"/>
      <c r="AN5" s="232"/>
      <c r="AO5" s="232"/>
      <c r="AP5" s="232"/>
      <c r="AQ5" s="232"/>
      <c r="AR5" s="232"/>
      <c r="AS5" s="232"/>
      <c r="AT5" s="232"/>
      <c r="AU5" s="232"/>
      <c r="AV5" s="232"/>
      <c r="AW5" s="232"/>
      <c r="AX5" s="232"/>
      <c r="AY5" s="235"/>
      <c r="AZ5" s="232"/>
      <c r="BA5" s="232"/>
      <c r="BB5" s="232"/>
      <c r="BC5" s="232"/>
      <c r="BD5" s="232"/>
      <c r="BE5" s="234"/>
      <c r="BF5" s="232"/>
      <c r="BG5" s="232"/>
      <c r="BH5" s="232"/>
      <c r="BI5" s="232"/>
      <c r="BJ5" s="232"/>
      <c r="BK5" s="234"/>
      <c r="BL5" s="232"/>
      <c r="BM5" s="232"/>
      <c r="BN5" s="232"/>
      <c r="BO5" s="232"/>
      <c r="BP5" s="232"/>
      <c r="BQ5" s="234"/>
      <c r="BR5" s="232"/>
      <c r="BS5" s="232"/>
      <c r="BT5" s="232"/>
      <c r="BU5" s="232"/>
      <c r="BV5" s="232"/>
      <c r="BW5" s="232"/>
      <c r="BX5" s="232"/>
      <c r="BY5" s="232"/>
      <c r="BZ5" s="235"/>
      <c r="CA5" s="232"/>
      <c r="CB5" s="232"/>
      <c r="CC5" s="232"/>
      <c r="CD5" s="232"/>
      <c r="CE5" s="232"/>
      <c r="CF5" s="232"/>
      <c r="CG5" s="232"/>
      <c r="CH5" s="232"/>
      <c r="CI5" s="234"/>
      <c r="CJ5" s="232"/>
      <c r="CK5" s="232"/>
      <c r="CL5" s="232"/>
      <c r="CM5" s="232"/>
      <c r="CN5" s="232"/>
      <c r="CO5" s="235"/>
      <c r="CP5" s="232"/>
      <c r="CQ5" s="232"/>
      <c r="CR5" s="232"/>
      <c r="CS5" s="232"/>
      <c r="CT5" s="232"/>
      <c r="CU5" s="232"/>
      <c r="CV5" s="232"/>
      <c r="CW5" s="232"/>
      <c r="CX5" s="232"/>
      <c r="CY5" s="232"/>
      <c r="CZ5" s="232"/>
      <c r="DA5" s="232"/>
      <c r="DB5" s="232"/>
      <c r="DC5" s="232"/>
      <c r="DD5" s="232"/>
      <c r="DE5" s="232"/>
      <c r="DF5" s="232"/>
      <c r="DG5" s="232"/>
      <c r="DH5" s="232"/>
      <c r="DI5" s="232"/>
      <c r="DJ5" s="232"/>
      <c r="DK5" s="232"/>
      <c r="DL5" s="232"/>
      <c r="DM5" s="232"/>
      <c r="DN5" s="232"/>
      <c r="DO5" s="232"/>
      <c r="DP5" s="232"/>
      <c r="DQ5" s="232"/>
      <c r="DR5" s="232"/>
      <c r="DS5" s="232"/>
      <c r="DT5" s="232"/>
      <c r="DU5" s="232"/>
      <c r="DV5" s="232"/>
      <c r="DW5" s="232"/>
      <c r="DX5" s="232"/>
      <c r="DY5" s="232"/>
      <c r="DZ5" s="232"/>
      <c r="EA5" s="232"/>
      <c r="EB5" s="232"/>
      <c r="EC5" s="232"/>
      <c r="ED5" s="232"/>
      <c r="EE5" s="232"/>
      <c r="EF5" s="232"/>
      <c r="EG5" s="232"/>
      <c r="EH5" s="232"/>
      <c r="EI5" s="232"/>
      <c r="EJ5" s="232"/>
      <c r="EK5" s="232"/>
      <c r="EL5" s="232"/>
      <c r="EM5" s="232"/>
      <c r="EN5" s="232"/>
      <c r="EO5" s="232"/>
      <c r="EP5" s="232"/>
      <c r="EQ5" s="232"/>
      <c r="ER5" s="232"/>
      <c r="ES5" s="232"/>
      <c r="ET5" s="232"/>
      <c r="EU5" s="232"/>
      <c r="EV5" s="232"/>
      <c r="EW5" s="232"/>
      <c r="EX5" s="232"/>
      <c r="EY5" s="232"/>
      <c r="EZ5" s="232"/>
      <c r="FA5" s="232"/>
      <c r="FB5" s="232"/>
      <c r="FC5" s="232"/>
      <c r="FD5" s="232"/>
      <c r="FE5" s="232"/>
      <c r="FF5" s="232"/>
      <c r="FG5" s="232"/>
      <c r="FH5" s="232"/>
      <c r="FI5" s="232"/>
      <c r="FJ5" s="232"/>
      <c r="FK5" s="232"/>
      <c r="FL5" s="232"/>
      <c r="FM5" s="232"/>
      <c r="FN5" s="232"/>
      <c r="FO5" s="232"/>
      <c r="FP5" s="232"/>
      <c r="FQ5" s="232"/>
      <c r="FR5" s="232"/>
      <c r="FS5" s="232"/>
      <c r="FT5" s="232"/>
      <c r="FU5" s="232"/>
      <c r="FV5" s="232"/>
      <c r="FW5" s="232"/>
      <c r="FX5" s="232"/>
      <c r="FY5" s="232"/>
      <c r="FZ5" s="232"/>
      <c r="GA5" s="232"/>
      <c r="GB5" s="232"/>
      <c r="GC5" s="232"/>
      <c r="GD5" s="232"/>
      <c r="GE5" s="232"/>
      <c r="GF5" s="232"/>
      <c r="GG5" s="151"/>
      <c r="GH5" s="151"/>
      <c r="GI5" s="151"/>
      <c r="GJ5" s="151"/>
      <c r="GK5" s="151"/>
      <c r="GL5" s="151"/>
      <c r="GM5" s="151"/>
      <c r="GN5" s="151"/>
      <c r="GO5" s="151"/>
      <c r="GP5" s="151"/>
      <c r="GQ5" s="151"/>
      <c r="GR5" s="151"/>
      <c r="GS5" s="151"/>
      <c r="GT5" s="151"/>
      <c r="GU5" s="151"/>
      <c r="GV5" s="151"/>
      <c r="GW5" s="151"/>
      <c r="GX5" s="151"/>
      <c r="GY5" s="151"/>
      <c r="GZ5" s="151"/>
      <c r="HA5" s="151"/>
      <c r="HB5" s="151"/>
      <c r="HC5" s="151"/>
      <c r="HD5" s="151"/>
      <c r="HE5" s="151"/>
      <c r="HF5" s="151"/>
      <c r="HG5" s="151"/>
      <c r="HH5" s="151"/>
      <c r="HI5" s="151"/>
      <c r="HJ5" s="151"/>
      <c r="HK5" s="151"/>
      <c r="HL5" s="151"/>
      <c r="HM5" s="151"/>
      <c r="HN5" s="151"/>
      <c r="HO5" s="151"/>
      <c r="HP5" s="151"/>
      <c r="HQ5" s="151"/>
      <c r="HR5" s="151"/>
      <c r="HS5" s="151"/>
      <c r="HT5" s="238" t="str">
        <f t="shared" si="2"/>
        <v/>
      </c>
      <c r="HU5" s="240" t="str">
        <f t="shared" si="3"/>
        <v/>
      </c>
      <c r="HV5" s="238" t="str">
        <f t="shared" si="4"/>
        <v/>
      </c>
      <c r="HW5" s="240" t="str">
        <f t="shared" si="5"/>
        <v/>
      </c>
      <c r="HX5" s="238" t="str">
        <f t="shared" si="6"/>
        <v/>
      </c>
      <c r="HY5" s="240" t="str">
        <f t="shared" si="7"/>
        <v/>
      </c>
      <c r="HZ5" s="242"/>
      <c r="IA5" s="242"/>
      <c r="IB5" s="242"/>
      <c r="IC5" s="242"/>
      <c r="ID5" s="243" t="str">
        <f>IFERROR(__xludf.DUMMYFUNCTION("
    IFERROR(  
      TEXTJOIN(""|||"",FALSE , 
        ARRAY_CONSTRAIN( SORT( ARRAYFORMULA(Split(TRANSPOSE 
          (Split(TEXTJOIN(""|||"",TRUE,'1-1 Сбор КП'!$IF5:$IL5),""|||"",FALSE,FALSE)
        ),""|"",FALSE,FALSE)),3,FALSE ),100,2)
      )
    ,)"),"")</f>
        <v/>
      </c>
      <c r="IE5"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КП'!$AA5),
'1-1 Сбор КП'!$A"&amp;"A5:$HS5,
'1-1 Сбор КП'!$ID5,
BYROW( TRANSPOSE(Split('1-1 Сбор КП'!$IQ5,""|||"",FALSE)),LAMBDA(rc,Split(rc,""📎"",FALSE,FALSE))),
  {'3-3 Выбор поставщиков'!$AB$24:$AB$28 , '3-3 Выбор поставщиков'!$AF$24:$AF$28},
  {'3-3 Выбор поставщиков'!$AB$24:$AB$28 ,"&amp;" '3-3 Выбор поставщиков'!$AD$24:$AD$28}
)"),"#N/A")</f>
        <v>#N/A</v>
      </c>
      <c r="IF5" s="246"/>
      <c r="IG5" s="242"/>
      <c r="IH5" s="242"/>
      <c r="II5" s="242"/>
      <c r="IJ5" s="242"/>
      <c r="IK5" s="242"/>
      <c r="IL5" s="242"/>
      <c r="IM5" s="242"/>
      <c r="IN5" s="242"/>
      <c r="IO5" s="242"/>
      <c r="IP5" s="242"/>
      <c r="IQ5" s="242" t="str">
        <f>IFERROR(__xludf.DUMMYFUNCTION("
    IFERROR(  
      TEXTJOIN(""|||"",true , 
        BYROW(
        ARRAY_CONSTRAIN( SORT( ARRAYFORMULA(
          Split( TRANSPOSE (
            Split(TEXTJOIN(""|||"", TRUE, '1-1 Сбор КП'!$IS5:$JF5) ,""|||"",FALSE,FALSE)
          ),""📎"",FALSE,FALSE"&amp;")),5,FALSE ),100,4)
        ,LAMBDA(r,TEXTJOIN(""📎"",FALSE ,r))
      )
    ,))"),"")</f>
        <v/>
      </c>
      <c r="IR5"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КП'!$AA5),
 '1-1 Сбор КП'!$AA5:$HS5,
 '1-1 Сбор КП'!$ID5,
 BYROW( TRANSPOSE(Split('1-1 Сбор КП'!$IQ5,""|||"",FALSE)),LAMBDA(rc,Sp"&amp;"lit(rc,""📎"",FALSE,FALSE)))
)
"),"#N/A")</f>
        <v>#N/A</v>
      </c>
      <c r="IS5" s="242"/>
      <c r="IT5" s="242"/>
      <c r="IU5" s="242"/>
      <c r="IV5" s="242"/>
      <c r="IW5" s="242"/>
      <c r="IX5" s="242"/>
      <c r="IY5" s="242"/>
      <c r="IZ5" s="242"/>
      <c r="JA5" s="242"/>
      <c r="JB5" s="242"/>
      <c r="JC5" s="242"/>
      <c r="JD5" s="242"/>
      <c r="JE5" s="242"/>
      <c r="JF5" s="242"/>
      <c r="JG5" s="242"/>
      <c r="JH5" s="242"/>
      <c r="JI5" s="242"/>
    </row>
    <row r="6">
      <c r="A6" s="256" t="s">
        <v>336</v>
      </c>
      <c r="B6" s="257">
        <v>0.5</v>
      </c>
      <c r="C6" s="221" t="s">
        <v>337</v>
      </c>
      <c r="D6" s="222" t="s">
        <v>338</v>
      </c>
      <c r="E6" s="222" t="s">
        <v>339</v>
      </c>
      <c r="F6" s="222" t="s">
        <v>278</v>
      </c>
      <c r="G6" s="223">
        <v>3.0</v>
      </c>
      <c r="H6" s="222" t="s">
        <v>340</v>
      </c>
      <c r="I6" s="222" t="s">
        <v>341</v>
      </c>
      <c r="J6" s="224" t="s">
        <v>318</v>
      </c>
      <c r="K6" s="248"/>
      <c r="L6" s="227"/>
      <c r="M6" s="250"/>
      <c r="N6" s="250"/>
      <c r="O6" s="227"/>
      <c r="P6" s="251"/>
      <c r="Q6" s="252">
        <f>IFERROR(__xludf.DUMMYFUNCTION("""COMPUTED_VALUE"""),8.0)</f>
        <v>8</v>
      </c>
      <c r="R6" s="230"/>
      <c r="S6" s="67"/>
      <c r="T6" s="67"/>
      <c r="U6" s="151"/>
      <c r="V6" s="151"/>
      <c r="W6" s="151"/>
      <c r="X6" s="151"/>
      <c r="Y6" s="151"/>
      <c r="Z6" s="231" t="s">
        <v>342</v>
      </c>
      <c r="AA6" s="232"/>
      <c r="AB6" s="232"/>
      <c r="AC6" s="232"/>
      <c r="AD6" s="232"/>
      <c r="AE6" s="232"/>
      <c r="AF6" s="232"/>
      <c r="AG6" s="232"/>
      <c r="AH6" s="232"/>
      <c r="AI6" s="232"/>
      <c r="AJ6" s="232"/>
      <c r="AK6" s="232"/>
      <c r="AL6" s="232"/>
      <c r="AM6" s="234"/>
      <c r="AN6" s="232"/>
      <c r="AO6" s="232"/>
      <c r="AP6" s="232"/>
      <c r="AQ6" s="232"/>
      <c r="AR6" s="232"/>
      <c r="AS6" s="232"/>
      <c r="AT6" s="232"/>
      <c r="AU6" s="232"/>
      <c r="AV6" s="232"/>
      <c r="AW6" s="232"/>
      <c r="AX6" s="232"/>
      <c r="AY6" s="235"/>
      <c r="AZ6" s="232"/>
      <c r="BA6" s="232"/>
      <c r="BB6" s="232"/>
      <c r="BC6" s="232"/>
      <c r="BD6" s="232"/>
      <c r="BE6" s="234">
        <v>12800.0</v>
      </c>
      <c r="BF6" s="232" t="s">
        <v>283</v>
      </c>
      <c r="BG6" s="232" t="s">
        <v>343</v>
      </c>
      <c r="BH6" s="232">
        <v>16600.0</v>
      </c>
      <c r="BI6" s="232" t="s">
        <v>285</v>
      </c>
      <c r="BJ6" s="232" t="s">
        <v>344</v>
      </c>
      <c r="BK6" s="234">
        <v>12900.0</v>
      </c>
      <c r="BL6" s="232" t="s">
        <v>287</v>
      </c>
      <c r="BM6" s="232" t="s">
        <v>345</v>
      </c>
      <c r="BN6" s="232"/>
      <c r="BO6" s="232"/>
      <c r="BP6" s="232"/>
      <c r="BQ6" s="234">
        <v>12000.0</v>
      </c>
      <c r="BR6" s="232" t="s">
        <v>289</v>
      </c>
      <c r="BS6" s="232" t="s">
        <v>346</v>
      </c>
      <c r="BT6" s="232" t="str">
        <f>564.63*1.22*B3</f>
        <v>#REF!</v>
      </c>
      <c r="BU6" s="232" t="s">
        <v>347</v>
      </c>
      <c r="BV6" s="232" t="s">
        <v>348</v>
      </c>
      <c r="BW6" s="232"/>
      <c r="BX6" s="232"/>
      <c r="BY6" s="232"/>
      <c r="BZ6" s="235">
        <v>11956.0</v>
      </c>
      <c r="CA6" s="232" t="s">
        <v>349</v>
      </c>
      <c r="CB6" s="232" t="s">
        <v>338</v>
      </c>
      <c r="CC6" s="232"/>
      <c r="CD6" s="232"/>
      <c r="CE6" s="232"/>
      <c r="CF6" s="232" t="str">
        <f>871.29*B3</f>
        <v>#REF!</v>
      </c>
      <c r="CG6" s="232" t="s">
        <v>292</v>
      </c>
      <c r="CH6" s="232" t="s">
        <v>350</v>
      </c>
      <c r="CI6" s="234">
        <v>9900.0</v>
      </c>
      <c r="CJ6" s="232" t="s">
        <v>283</v>
      </c>
      <c r="CK6" s="232" t="s">
        <v>351</v>
      </c>
      <c r="CL6" s="232"/>
      <c r="CM6" s="232"/>
      <c r="CN6" s="232"/>
      <c r="CO6" s="235"/>
      <c r="CP6" s="232"/>
      <c r="CQ6" s="232"/>
      <c r="CR6" s="232"/>
      <c r="CS6" s="232"/>
      <c r="CT6" s="232"/>
      <c r="CU6" s="232"/>
      <c r="CV6" s="232"/>
      <c r="CW6" s="232"/>
      <c r="CX6" s="232"/>
      <c r="CY6" s="232"/>
      <c r="CZ6" s="232"/>
      <c r="DA6" s="232"/>
      <c r="DB6" s="232"/>
      <c r="DC6" s="232"/>
      <c r="DD6" s="232"/>
      <c r="DE6" s="232"/>
      <c r="DF6" s="232"/>
      <c r="DG6" s="232"/>
      <c r="DH6" s="232"/>
      <c r="DI6" s="232"/>
      <c r="DJ6" s="232"/>
      <c r="DK6" s="232"/>
      <c r="DL6" s="232"/>
      <c r="DM6" s="232"/>
      <c r="DN6" s="232"/>
      <c r="DO6" s="232"/>
      <c r="DP6" s="232"/>
      <c r="DQ6" s="232"/>
      <c r="DR6" s="232"/>
      <c r="DS6" s="232"/>
      <c r="DT6" s="232"/>
      <c r="DU6" s="232"/>
      <c r="DV6" s="232"/>
      <c r="DW6" s="232"/>
      <c r="DX6" s="232"/>
      <c r="DY6" s="232"/>
      <c r="DZ6" s="232"/>
      <c r="EA6" s="232"/>
      <c r="EB6" s="232"/>
      <c r="EC6" s="232"/>
      <c r="ED6" s="232"/>
      <c r="EE6" s="232"/>
      <c r="EF6" s="232"/>
      <c r="EG6" s="232"/>
      <c r="EH6" s="232"/>
      <c r="EI6" s="232"/>
      <c r="EJ6" s="232"/>
      <c r="EK6" s="232"/>
      <c r="EL6" s="232"/>
      <c r="EM6" s="232"/>
      <c r="EN6" s="232"/>
      <c r="EO6" s="232"/>
      <c r="EP6" s="232"/>
      <c r="EQ6" s="232"/>
      <c r="ER6" s="232"/>
      <c r="ES6" s="232"/>
      <c r="ET6" s="232"/>
      <c r="EU6" s="232"/>
      <c r="EV6" s="232"/>
      <c r="EW6" s="232"/>
      <c r="EX6" s="232"/>
      <c r="EY6" s="232"/>
      <c r="EZ6" s="232"/>
      <c r="FA6" s="232"/>
      <c r="FB6" s="232"/>
      <c r="FC6" s="232"/>
      <c r="FD6" s="232"/>
      <c r="FE6" s="232"/>
      <c r="FF6" s="232"/>
      <c r="FG6" s="232"/>
      <c r="FH6" s="232"/>
      <c r="FI6" s="232"/>
      <c r="FJ6" s="232"/>
      <c r="FK6" s="232"/>
      <c r="FL6" s="232"/>
      <c r="FM6" s="232"/>
      <c r="FN6" s="232"/>
      <c r="FO6" s="232"/>
      <c r="FP6" s="232"/>
      <c r="FQ6" s="232"/>
      <c r="FR6" s="232"/>
      <c r="FS6" s="232"/>
      <c r="FT6" s="232"/>
      <c r="FU6" s="232"/>
      <c r="FV6" s="232"/>
      <c r="FW6" s="232"/>
      <c r="FX6" s="232"/>
      <c r="FY6" s="232"/>
      <c r="FZ6" s="232"/>
      <c r="GA6" s="232"/>
      <c r="GB6" s="232"/>
      <c r="GC6" s="232"/>
      <c r="GD6" s="232"/>
      <c r="GE6" s="232"/>
      <c r="GF6" s="232"/>
      <c r="GG6" s="151"/>
      <c r="GH6" s="151"/>
      <c r="GI6" s="151"/>
      <c r="GJ6" s="151"/>
      <c r="GK6" s="151"/>
      <c r="GL6" s="151"/>
      <c r="GM6" s="151"/>
      <c r="GN6" s="151"/>
      <c r="GO6" s="151"/>
      <c r="GP6" s="151"/>
      <c r="GQ6" s="151"/>
      <c r="GR6" s="151"/>
      <c r="GS6" s="151"/>
      <c r="GT6" s="151"/>
      <c r="GU6" s="151"/>
      <c r="GV6" s="151"/>
      <c r="GW6" s="151"/>
      <c r="GX6" s="151"/>
      <c r="GY6" s="151"/>
      <c r="GZ6" s="151"/>
      <c r="HA6" s="151"/>
      <c r="HB6" s="151"/>
      <c r="HC6" s="151"/>
      <c r="HD6" s="151"/>
      <c r="HE6" s="151"/>
      <c r="HF6" s="151"/>
      <c r="HG6" s="151"/>
      <c r="HH6" s="151"/>
      <c r="HI6" s="151"/>
      <c r="HJ6" s="151"/>
      <c r="HK6" s="151"/>
      <c r="HL6" s="151"/>
      <c r="HM6" s="151"/>
      <c r="HN6" s="151"/>
      <c r="HO6" s="151"/>
      <c r="HP6" s="151"/>
      <c r="HQ6" s="151"/>
      <c r="HR6" s="151"/>
      <c r="HS6" s="151"/>
      <c r="HT6" s="238" t="str">
        <f t="shared" si="2"/>
        <v/>
      </c>
      <c r="HU6" s="240" t="str">
        <f t="shared" si="3"/>
        <v/>
      </c>
      <c r="HV6" s="238" t="str">
        <f t="shared" si="4"/>
        <v/>
      </c>
      <c r="HW6" s="240" t="str">
        <f t="shared" si="5"/>
        <v/>
      </c>
      <c r="HX6" s="238" t="str">
        <f t="shared" si="6"/>
        <v/>
      </c>
      <c r="HY6" s="240" t="str">
        <f t="shared" si="7"/>
        <v/>
      </c>
      <c r="HZ6" s="242"/>
      <c r="IA6" s="242"/>
      <c r="IB6" s="242"/>
      <c r="IC6" s="242"/>
      <c r="ID6" s="243" t="str">
        <f>IFERROR(__xludf.DUMMYFUNCTION("
    IFERROR(  
      TEXTJOIN(""|||"",FALSE , 
        ARRAY_CONSTRAIN( SORT( ARRAYFORMULA(Split(TRANSPOSE 
          (Split(TEXTJOIN(""|||"",TRUE,'1-1 Сбор КП'!$IF6:$IL6),""|||"",FALSE,FALSE)
        ),""|"",FALSE,FALSE)),3,FALSE ),100,2)
      )
    ,)"),"")</f>
        <v/>
      </c>
      <c r="IE6"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КП'!$AA6),
'1-1 Сбор КП'!$A"&amp;"A6:$HS6,
'1-1 Сбор КП'!$ID6,
BYROW( TRANSPOSE(Split('1-1 Сбор КП'!$IQ6,""|||"",FALSE)),LAMBDA(rc,Split(rc,""📎"",FALSE,FALSE))),
  {'3-3 Выбор поставщиков'!$AB$24:$AB$28 , '3-3 Выбор поставщиков'!$AF$24:$AF$28},
  {'3-3 Выбор поставщиков'!$AB$24:$AB$28 ,"&amp;" '3-3 Выбор поставщиков'!$AD$24:$AD$28}
)"),"$CI$6|||$CI$1||||||$CJ$6|||Подходит: Осн поставщик, Масляный сепаратор 03498328 = DA1118  |||$BZ$6|||$BZ$1||||||$CA$6|||Подходит: Да, Масляный сепаратор Артикул 03498328  |||$BQ$6|||$BQ$1||||||$BR$6|||Подходит: Да, Сепаратор 03498328 аналог  |||$BE$6|||$B"&amp;"E$1||||||$BF$6|||Подходит: Да, Cепаратор 03498328 [ Аналог DA1118 ]   |||$BK$6|||$BK$1||||||$BL$6|||Подходит: -?, Масляный сепаратор Артикул 03498328 (аналог)  |||$BH$6|||$BH$1||||||$BI$6|||Подходит: -?, Масляный сепаратор Артикул 03498328 (оригинал)   ")</f>
        <v>$CI$6|||$CI$1||||||$CJ$6|||Подходит: Осн поставщик, Масляный сепаратор 03498328 = DA1118  |||$BZ$6|||$BZ$1||||||$CA$6|||Подходит: Да, Масляный сепаратор Артикул 03498328  |||$BQ$6|||$BQ$1||||||$BR$6|||Подходит: Да, Сепаратор 03498328 аналог  |||$BE$6|||$BE$1||||||$BF$6|||Подходит: Да, Cепаратор 03498328 [ Аналог DA1118 ]   |||$BK$6|||$BK$1||||||$BL$6|||Подходит: -?, Масляный сепаратор Артикул 03498328 (аналог)  |||$BH$6|||$BH$1||||||$BI$6|||Подходит: -?, Масляный сепаратор Артикул 03498328 (оригинал)   </v>
      </c>
      <c r="IF6" s="246"/>
      <c r="IG6" s="242"/>
      <c r="IH6" s="242"/>
      <c r="II6" s="242"/>
      <c r="IJ6" s="242"/>
      <c r="IK6" s="242"/>
      <c r="IL6" s="242"/>
      <c r="IM6" s="242"/>
      <c r="IN6" s="242"/>
      <c r="IO6" s="242"/>
      <c r="IP6" s="242"/>
      <c r="IQ6" s="242" t="str">
        <f>IFERROR(__xludf.DUMMYFUNCTION("
    IFERROR(  
      TEXTJOIN(""|||"",true , 
        BYROW(
        ARRAY_CONSTRAIN( SORT( ARRAYFORMULA(
          Split( TRANSPOSE (
            Split(TEXTJOIN(""|||"", TRUE, '1-1 Сбор КП'!$IS6:$JF6) ,""|||"",FALSE,FALSE)
          ),""📎"",FALSE,FALSE"&amp;")),5,FALSE ),100,4)
        ,LAMBDA(r,TEXTJOIN(""📎"",FALSE ,r))
      )
    ,))"),"$BZ$1📎📎📎Да|||$BQ$1📎📎📎Да|||$BQ$1📎📎📎Да|||$CI$1📎📎📎Осн поставщик|||$CI$1📎📎📎Осн поставщик|||$CI$1📎📎📎Осн поставщик|||$BE$1📎📎📎Да|||$BE$1📎📎📎Да|||$BE$1📎📎📎Да|||$BQ$1📎📎📎Осн поставщик")</f>
        <v>$BZ$1📎📎📎Да|||$BQ$1📎📎📎Да|||$BQ$1📎📎📎Да|||$CI$1📎📎📎Осн поставщик|||$CI$1📎📎📎Осн поставщик|||$CI$1📎📎📎Осн поставщик|||$BE$1📎📎📎Да|||$BE$1📎📎📎Да|||$BE$1📎📎📎Да|||$BQ$1📎📎📎Осн поставщик</v>
      </c>
      <c r="IR6"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КП'!$AA6),
 '1-1 Сбор КП'!$AA6:$HS6,
 '1-1 Сбор КП'!$ID6,
 BYROW( TRANSPOSE(Split('1-1 Сбор КП'!$IQ6,""|||"",FALSE)),LAMBDA(rc,Sp"&amp;"lit(rc,""📎"",FALSE,FALSE)))
)
"),"$CI$6|||$CI$1|||$CJ$6|||$CK$6|||||||||Осн поставщик||||||$BZ$6|||$BZ$1|||$CA$6|||$CB$6|||||||||Да||||||$BQ$6|||$BQ$1|||$BR$6|||$BS$6|||||||||Да||||||$BE$6|||$BE$1|||$BF$6|||$BG$6|||||||||Да||||||$BK$6|||$BK$1|||$BL$6|||$BM$6|||||||||||||||$BH$6|||$BH$1|||"&amp;"$BI$6|||$BJ$6||||||||||||")</f>
        <v>$CI$6|||$CI$1|||$CJ$6|||$CK$6|||||||||Осн поставщик||||||$BZ$6|||$BZ$1|||$CA$6|||$CB$6|||||||||Да||||||$BQ$6|||$BQ$1|||$BR$6|||$BS$6|||||||||Да||||||$BE$6|||$BE$1|||$BF$6|||$BG$6|||||||||Да||||||$BK$6|||$BK$1|||$BL$6|||$BM$6|||||||||||||||$BH$6|||$BH$1|||$BI$6|||$BJ$6||||||||||||</v>
      </c>
      <c r="IS6" s="246" t="s">
        <v>352</v>
      </c>
      <c r="IT6" s="246" t="s">
        <v>353</v>
      </c>
      <c r="IU6" s="246" t="s">
        <v>354</v>
      </c>
      <c r="IV6" s="242"/>
      <c r="IW6" s="242"/>
      <c r="IX6" s="242"/>
      <c r="IY6" s="242"/>
      <c r="IZ6" s="242"/>
      <c r="JA6" s="242"/>
      <c r="JB6" s="242"/>
      <c r="JC6" s="242"/>
      <c r="JD6" s="242"/>
      <c r="JE6" s="242"/>
      <c r="JF6" s="242"/>
      <c r="JG6" s="242"/>
      <c r="JH6" s="242"/>
      <c r="JI6" s="242"/>
    </row>
    <row r="7">
      <c r="A7" s="258" t="s">
        <v>355</v>
      </c>
      <c r="B7" s="259"/>
      <c r="C7" s="221" t="s">
        <v>356</v>
      </c>
      <c r="D7" s="222" t="s">
        <v>357</v>
      </c>
      <c r="E7" s="222" t="s">
        <v>339</v>
      </c>
      <c r="F7" s="222" t="s">
        <v>278</v>
      </c>
      <c r="G7" s="223">
        <v>3.0</v>
      </c>
      <c r="H7" s="222" t="s">
        <v>358</v>
      </c>
      <c r="I7" s="222" t="s">
        <v>359</v>
      </c>
      <c r="J7" s="224" t="s">
        <v>318</v>
      </c>
      <c r="K7" s="248"/>
      <c r="L7" s="227"/>
      <c r="M7" s="250"/>
      <c r="N7" s="250"/>
      <c r="O7" s="227"/>
      <c r="P7" s="251"/>
      <c r="Q7" s="252">
        <f>IFERROR(__xludf.DUMMYFUNCTION("""COMPUTED_VALUE"""),8.0)</f>
        <v>8</v>
      </c>
      <c r="R7" s="230"/>
      <c r="S7" s="67"/>
      <c r="T7" s="67"/>
      <c r="U7" s="151"/>
      <c r="V7" s="151"/>
      <c r="W7" s="151"/>
      <c r="X7" s="151"/>
      <c r="Y7" s="151"/>
      <c r="Z7" s="231" t="s">
        <v>360</v>
      </c>
      <c r="AA7" s="232"/>
      <c r="AB7" s="232"/>
      <c r="AC7" s="232"/>
      <c r="AD7" s="232"/>
      <c r="AE7" s="232"/>
      <c r="AF7" s="232"/>
      <c r="AG7" s="232"/>
      <c r="AH7" s="232"/>
      <c r="AI7" s="232"/>
      <c r="AJ7" s="232"/>
      <c r="AK7" s="232"/>
      <c r="AL7" s="232"/>
      <c r="AM7" s="234"/>
      <c r="AN7" s="232"/>
      <c r="AO7" s="232"/>
      <c r="AP7" s="232"/>
      <c r="AQ7" s="232"/>
      <c r="AR7" s="232"/>
      <c r="AS7" s="232"/>
      <c r="AT7" s="232"/>
      <c r="AU7" s="232"/>
      <c r="AV7" s="232"/>
      <c r="AW7" s="232"/>
      <c r="AX7" s="232"/>
      <c r="AY7" s="235"/>
      <c r="AZ7" s="232"/>
      <c r="BA7" s="232"/>
      <c r="BB7" s="232"/>
      <c r="BC7" s="232"/>
      <c r="BD7" s="232"/>
      <c r="BE7" s="234">
        <v>2750.0</v>
      </c>
      <c r="BF7" s="232" t="s">
        <v>283</v>
      </c>
      <c r="BG7" s="232" t="s">
        <v>361</v>
      </c>
      <c r="BH7" s="232">
        <v>9800.0</v>
      </c>
      <c r="BI7" s="232" t="s">
        <v>285</v>
      </c>
      <c r="BJ7" s="232" t="s">
        <v>362</v>
      </c>
      <c r="BK7" s="234">
        <v>3900.0</v>
      </c>
      <c r="BL7" s="232" t="s">
        <v>287</v>
      </c>
      <c r="BM7" s="232" t="s">
        <v>363</v>
      </c>
      <c r="BN7" s="232"/>
      <c r="BO7" s="232"/>
      <c r="BP7" s="232"/>
      <c r="BQ7" s="234">
        <v>950.0</v>
      </c>
      <c r="BR7" s="232" t="s">
        <v>289</v>
      </c>
      <c r="BS7" s="232" t="s">
        <v>364</v>
      </c>
      <c r="BT7" s="232" t="str">
        <f>109.68*1.22*B3</f>
        <v>#REF!</v>
      </c>
      <c r="BU7" s="232" t="s">
        <v>365</v>
      </c>
      <c r="BV7" s="232" t="s">
        <v>366</v>
      </c>
      <c r="BW7" s="232"/>
      <c r="BX7" s="232"/>
      <c r="BY7" s="232"/>
      <c r="BZ7" s="235">
        <v>2547.36</v>
      </c>
      <c r="CA7" s="232" t="s">
        <v>349</v>
      </c>
      <c r="CB7" s="232" t="s">
        <v>357</v>
      </c>
      <c r="CC7" s="232"/>
      <c r="CD7" s="232"/>
      <c r="CE7" s="232"/>
      <c r="CF7" s="232" t="str">
        <f>169.81*B3</f>
        <v>#REF!</v>
      </c>
      <c r="CG7" s="232" t="s">
        <v>292</v>
      </c>
      <c r="CH7" s="232" t="s">
        <v>367</v>
      </c>
      <c r="CI7" s="234">
        <v>3650.0</v>
      </c>
      <c r="CJ7" s="232" t="s">
        <v>283</v>
      </c>
      <c r="CK7" s="232" t="s">
        <v>368</v>
      </c>
      <c r="CL7" s="232"/>
      <c r="CM7" s="232"/>
      <c r="CN7" s="232"/>
      <c r="CO7" s="235"/>
      <c r="CP7" s="232"/>
      <c r="CQ7" s="232"/>
      <c r="CR7" s="232"/>
      <c r="CS7" s="232"/>
      <c r="CT7" s="232"/>
      <c r="CU7" s="232"/>
      <c r="CV7" s="232"/>
      <c r="CW7" s="232"/>
      <c r="CX7" s="232"/>
      <c r="CY7" s="232"/>
      <c r="CZ7" s="232"/>
      <c r="DA7" s="232"/>
      <c r="DB7" s="232"/>
      <c r="DC7" s="232"/>
      <c r="DD7" s="232"/>
      <c r="DE7" s="232"/>
      <c r="DF7" s="232"/>
      <c r="DG7" s="232"/>
      <c r="DH7" s="232"/>
      <c r="DI7" s="232"/>
      <c r="DJ7" s="232"/>
      <c r="DK7" s="232"/>
      <c r="DL7" s="232"/>
      <c r="DM7" s="232"/>
      <c r="DN7" s="232"/>
      <c r="DO7" s="232"/>
      <c r="DP7" s="232"/>
      <c r="DQ7" s="232"/>
      <c r="DR7" s="232"/>
      <c r="DS7" s="232"/>
      <c r="DT7" s="232"/>
      <c r="DU7" s="232"/>
      <c r="DV7" s="232"/>
      <c r="DW7" s="232"/>
      <c r="DX7" s="232"/>
      <c r="DY7" s="232"/>
      <c r="DZ7" s="232"/>
      <c r="EA7" s="232"/>
      <c r="EB7" s="232"/>
      <c r="EC7" s="232"/>
      <c r="ED7" s="232"/>
      <c r="EE7" s="232"/>
      <c r="EF7" s="232"/>
      <c r="EG7" s="232"/>
      <c r="EH7" s="232"/>
      <c r="EI7" s="232"/>
      <c r="EJ7" s="232"/>
      <c r="EK7" s="232"/>
      <c r="EL7" s="232"/>
      <c r="EM7" s="232"/>
      <c r="EN7" s="232"/>
      <c r="EO7" s="232"/>
      <c r="EP7" s="232"/>
      <c r="EQ7" s="232"/>
      <c r="ER7" s="232"/>
      <c r="ES7" s="232"/>
      <c r="ET7" s="232"/>
      <c r="EU7" s="232"/>
      <c r="EV7" s="232"/>
      <c r="EW7" s="232"/>
      <c r="EX7" s="232"/>
      <c r="EY7" s="232"/>
      <c r="EZ7" s="232"/>
      <c r="FA7" s="232"/>
      <c r="FB7" s="232"/>
      <c r="FC7" s="232"/>
      <c r="FD7" s="232"/>
      <c r="FE7" s="232"/>
      <c r="FF7" s="232"/>
      <c r="FG7" s="232"/>
      <c r="FH7" s="232"/>
      <c r="FI7" s="232"/>
      <c r="FJ7" s="232"/>
      <c r="FK7" s="232"/>
      <c r="FL7" s="232"/>
      <c r="FM7" s="232"/>
      <c r="FN7" s="232"/>
      <c r="FO7" s="232"/>
      <c r="FP7" s="232"/>
      <c r="FQ7" s="232"/>
      <c r="FR7" s="232"/>
      <c r="FS7" s="232"/>
      <c r="FT7" s="232"/>
      <c r="FU7" s="232"/>
      <c r="FV7" s="232"/>
      <c r="FW7" s="232"/>
      <c r="FX7" s="232"/>
      <c r="FY7" s="232"/>
      <c r="FZ7" s="232"/>
      <c r="GA7" s="232"/>
      <c r="GB7" s="232"/>
      <c r="GC7" s="232"/>
      <c r="GD7" s="232"/>
      <c r="GE7" s="232"/>
      <c r="GF7" s="232"/>
      <c r="GG7" s="151"/>
      <c r="GH7" s="151"/>
      <c r="GI7" s="151"/>
      <c r="GJ7" s="151"/>
      <c r="GK7" s="151"/>
      <c r="GL7" s="151"/>
      <c r="GM7" s="151"/>
      <c r="GN7" s="151"/>
      <c r="GO7" s="151"/>
      <c r="GP7" s="151"/>
      <c r="GQ7" s="151"/>
      <c r="GR7" s="151"/>
      <c r="GS7" s="151"/>
      <c r="GT7" s="151"/>
      <c r="GU7" s="151"/>
      <c r="GV7" s="151"/>
      <c r="GW7" s="151"/>
      <c r="GX7" s="151"/>
      <c r="GY7" s="151"/>
      <c r="GZ7" s="151"/>
      <c r="HA7" s="151"/>
      <c r="HB7" s="151"/>
      <c r="HC7" s="151"/>
      <c r="HD7" s="151"/>
      <c r="HE7" s="151"/>
      <c r="HF7" s="151"/>
      <c r="HG7" s="151"/>
      <c r="HH7" s="151"/>
      <c r="HI7" s="151"/>
      <c r="HJ7" s="151"/>
      <c r="HK7" s="151"/>
      <c r="HL7" s="151"/>
      <c r="HM7" s="151"/>
      <c r="HN7" s="151"/>
      <c r="HO7" s="151"/>
      <c r="HP7" s="151"/>
      <c r="HQ7" s="151"/>
      <c r="HR7" s="151"/>
      <c r="HS7" s="151"/>
      <c r="HT7" s="238" t="str">
        <f t="shared" si="2"/>
        <v/>
      </c>
      <c r="HU7" s="240" t="str">
        <f t="shared" si="3"/>
        <v/>
      </c>
      <c r="HV7" s="238" t="str">
        <f t="shared" si="4"/>
        <v/>
      </c>
      <c r="HW7" s="240" t="str">
        <f t="shared" si="5"/>
        <v/>
      </c>
      <c r="HX7" s="238" t="str">
        <f t="shared" si="6"/>
        <v/>
      </c>
      <c r="HY7" s="240" t="str">
        <f t="shared" si="7"/>
        <v/>
      </c>
      <c r="HZ7" s="242"/>
      <c r="IA7" s="242"/>
      <c r="IB7" s="242"/>
      <c r="IC7" s="242"/>
      <c r="ID7" s="243" t="str">
        <f>IFERROR(__xludf.DUMMYFUNCTION("
    IFERROR(  
      TEXTJOIN(""|||"",FALSE , 
        ARRAY_CONSTRAIN( SORT( ARRAYFORMULA(Split(TRANSPOSE 
          (Split(TEXTJOIN(""|||"",TRUE,'1-1 Сбор КП'!$IF7:$IL7),""|||"",FALSE,FALSE)
        ),""|"",FALSE,FALSE)),3,FALSE ),100,2)
      )
    ,)"),"")</f>
        <v/>
      </c>
      <c r="IE7"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КП'!$AA7),
'1-1 Сбор КП'!$A"&amp;"A7:$HS7,
'1-1 Сбор КП'!$ID7,
BYROW( TRANSPOSE(Split('1-1 Сбор КП'!$IQ7,""|||"",FALSE)),LAMBDA(rc,Split(rc,""📎"",FALSE,FALSE))),
  {'3-3 Выбор поставщиков'!$AB$24:$AB$28 , '3-3 Выбор поставщиков'!$AF$24:$AF$28},
  {'3-3 Выбор поставщиков'!$AB$24:$AB$28 ,"&amp;" '3-3 Выбор поставщиков'!$AD$24:$AD$28}
)"),"$BQ$7|||$BQ$1||||||$BR$7|||Подходит: Осн поставщик, Фильтр масляный 89675429 аналог  |||$BZ$7|||$BZ$1||||||$CA$7|||Подходит: Да, Масляный фильтр Артикул 89675429  |||$BE$7|||$BE$1||||||$BF$7|||Подходит: Да, Масляный фильтр 89675429 [ Аналог SH8130 ]   |||"&amp;"$CI$7|||$CI$1||||||$CJ$7|||Подходит: -?, Масляный фильтр 89675429 = SH8229  |||$BK$7|||$BK$1||||||$BL$7|||Подходит: -?, Масляный фильтр Артикул 89675429 (аналог)  |||$BH$7|||$BH$1||||||$BI$7|||Подходит: -?, Масляный фильтр Артикул 89675429 (оригинал)   ")</f>
        <v>$BQ$7|||$BQ$1||||||$BR$7|||Подходит: Осн поставщик, Фильтр масляный 89675429 аналог  |||$BZ$7|||$BZ$1||||||$CA$7|||Подходит: Да, Масляный фильтр Артикул 89675429  |||$BE$7|||$BE$1||||||$BF$7|||Подходит: Да, Масляный фильтр 89675429 [ Аналог SH8130 ]   |||$CI$7|||$CI$1||||||$CJ$7|||Подходит: -?, Масляный фильтр 89675429 = SH8229  |||$BK$7|||$BK$1||||||$BL$7|||Подходит: -?, Масляный фильтр Артикул 89675429 (аналог)  |||$BH$7|||$BH$1||||||$BI$7|||Подходит: -?, Масляный фильтр Артикул 89675429 (оригинал)   </v>
      </c>
      <c r="IF7" s="246"/>
      <c r="IG7" s="242"/>
      <c r="IH7" s="242"/>
      <c r="II7" s="242"/>
      <c r="IJ7" s="242"/>
      <c r="IK7" s="242"/>
      <c r="IL7" s="242"/>
      <c r="IM7" s="242"/>
      <c r="IN7" s="242"/>
      <c r="IO7" s="242"/>
      <c r="IP7" s="242"/>
      <c r="IQ7" s="242" t="str">
        <f>IFERROR(__xludf.DUMMYFUNCTION("
    IFERROR(  
      TEXTJOIN(""|||"",true , 
        BYROW(
        ARRAY_CONSTRAIN( SORT( ARRAYFORMULA(
          Split( TRANSPOSE (
            Split(TEXTJOIN(""|||"", TRUE, '1-1 Сбор КП'!$IS7:$JF7) ,""|||"",FALSE,FALSE)
          ),""📎"",FALSE,FALSE"&amp;")),5,FALSE ),100,4)
        ,LAMBDA(r,TEXTJOIN(""📎"",FALSE ,r))
      )
    ,))"),"$BZ$1📎📎📎Да|||$BE$1📎📎📎Да|||$BQ$1📎📎📎Осн поставщик|||$BQ$1📎📎📎Осн поставщик")</f>
        <v>$BZ$1📎📎📎Да|||$BE$1📎📎📎Да|||$BQ$1📎📎📎Осн поставщик|||$BQ$1📎📎📎Осн поставщик</v>
      </c>
      <c r="IR7"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КП'!$AA7),
 '1-1 Сбор КП'!$AA7:$HS7,
 '1-1 Сбор КП'!$ID7,
 BYROW( TRANSPOSE(Split('1-1 Сбор КП'!$IQ7,""|||"",FALSE)),LAMBDA(rc,Sp"&amp;"lit(rc,""📎"",FALSE,FALSE)))
)
"),"$BQ$7|||$BQ$1|||$BR$7|||$BS$7|||||||||Осн поставщик||||||$BZ$7|||$BZ$1|||$CA$7|||$CB$7|||||||||Да||||||$BE$7|||$BE$1|||$BF$7|||$BG$7|||||||||Да||||||$CI$7|||$CI$1|||$CJ$7|||$CK$7|||||||||||||||$BK$7|||$BK$1|||$BL$7|||$BM$7|||||||||||||||$BH$7|||$BH$1|||$B"&amp;"I$7|||$BJ$7||||||||||||")</f>
        <v>$BQ$7|||$BQ$1|||$BR$7|||$BS$7|||||||||Осн поставщик||||||$BZ$7|||$BZ$1|||$CA$7|||$CB$7|||||||||Да||||||$BE$7|||$BE$1|||$BF$7|||$BG$7|||||||||Да||||||$CI$7|||$CI$1|||$CJ$7|||$CK$7|||||||||||||||$BK$7|||$BK$1|||$BL$7|||$BM$7|||||||||||||||$BH$7|||$BH$1|||$BI$7|||$BJ$7||||||||||||</v>
      </c>
      <c r="IS7" s="246" t="s">
        <v>369</v>
      </c>
      <c r="IT7" s="246" t="s">
        <v>370</v>
      </c>
      <c r="IU7" s="242"/>
      <c r="IV7" s="242"/>
      <c r="IW7" s="242"/>
      <c r="IX7" s="242"/>
      <c r="IY7" s="242"/>
      <c r="IZ7" s="242"/>
      <c r="JA7" s="242"/>
      <c r="JB7" s="242"/>
      <c r="JC7" s="242"/>
      <c r="JD7" s="242"/>
      <c r="JE7" s="242"/>
      <c r="JF7" s="242"/>
      <c r="JG7" s="242"/>
      <c r="JH7" s="242"/>
      <c r="JI7" s="242"/>
    </row>
    <row r="8">
      <c r="A8" s="272" t="s">
        <v>371</v>
      </c>
      <c r="B8" s="273">
        <v>3.0</v>
      </c>
      <c r="C8" s="221" t="s">
        <v>372</v>
      </c>
      <c r="D8" s="222" t="s">
        <v>373</v>
      </c>
      <c r="E8" s="222" t="s">
        <v>339</v>
      </c>
      <c r="F8" s="222" t="s">
        <v>278</v>
      </c>
      <c r="G8" s="223">
        <v>3.0</v>
      </c>
      <c r="H8" s="222" t="s">
        <v>374</v>
      </c>
      <c r="I8" s="222" t="s">
        <v>375</v>
      </c>
      <c r="J8" s="224" t="s">
        <v>318</v>
      </c>
      <c r="K8" s="248"/>
      <c r="L8" s="227"/>
      <c r="M8" s="250"/>
      <c r="N8" s="250"/>
      <c r="O8" s="227"/>
      <c r="P8" s="251"/>
      <c r="Q8" s="252">
        <f>IFERROR(__xludf.DUMMYFUNCTION("""COMPUTED_VALUE"""),8.0)</f>
        <v>8</v>
      </c>
      <c r="R8" s="230"/>
      <c r="S8" s="67"/>
      <c r="T8" s="67"/>
      <c r="U8" s="151"/>
      <c r="V8" s="151"/>
      <c r="W8" s="151"/>
      <c r="X8" s="151"/>
      <c r="Y8" s="151"/>
      <c r="Z8" s="231" t="s">
        <v>376</v>
      </c>
      <c r="AA8" s="232"/>
      <c r="AB8" s="232"/>
      <c r="AC8" s="232"/>
      <c r="AD8" s="232"/>
      <c r="AE8" s="232"/>
      <c r="AF8" s="232"/>
      <c r="AG8" s="232"/>
      <c r="AH8" s="232"/>
      <c r="AI8" s="232"/>
      <c r="AJ8" s="232"/>
      <c r="AK8" s="232"/>
      <c r="AL8" s="232"/>
      <c r="AM8" s="234"/>
      <c r="AN8" s="232"/>
      <c r="AO8" s="232"/>
      <c r="AP8" s="232"/>
      <c r="AQ8" s="232"/>
      <c r="AR8" s="232"/>
      <c r="AS8" s="232"/>
      <c r="AT8" s="232"/>
      <c r="AU8" s="232"/>
      <c r="AV8" s="232"/>
      <c r="AW8" s="232"/>
      <c r="AX8" s="232"/>
      <c r="AY8" s="235"/>
      <c r="AZ8" s="232"/>
      <c r="BA8" s="232"/>
      <c r="BB8" s="232"/>
      <c r="BC8" s="232"/>
      <c r="BD8" s="232"/>
      <c r="BE8" s="234">
        <v>1850.0</v>
      </c>
      <c r="BF8" s="232" t="s">
        <v>283</v>
      </c>
      <c r="BG8" s="232" t="s">
        <v>377</v>
      </c>
      <c r="BH8" s="232">
        <v>9500.0</v>
      </c>
      <c r="BI8" s="232" t="s">
        <v>285</v>
      </c>
      <c r="BJ8" s="232" t="s">
        <v>378</v>
      </c>
      <c r="BK8" s="234">
        <v>4400.0</v>
      </c>
      <c r="BL8" s="232" t="s">
        <v>287</v>
      </c>
      <c r="BM8" s="232" t="s">
        <v>379</v>
      </c>
      <c r="BN8" s="232"/>
      <c r="BO8" s="232"/>
      <c r="BP8" s="232"/>
      <c r="BQ8" s="234">
        <v>1900.0</v>
      </c>
      <c r="BR8" s="232" t="s">
        <v>289</v>
      </c>
      <c r="BS8" s="232" t="s">
        <v>380</v>
      </c>
      <c r="BT8" s="232" t="str">
        <f>64.59*1.22*B3</f>
        <v>#REF!</v>
      </c>
      <c r="BU8" s="232" t="s">
        <v>287</v>
      </c>
      <c r="BV8" s="232" t="s">
        <v>381</v>
      </c>
      <c r="BW8" s="232"/>
      <c r="BX8" s="232"/>
      <c r="BY8" s="232"/>
      <c r="BZ8" s="235">
        <v>2275.0</v>
      </c>
      <c r="CA8" s="232" t="s">
        <v>349</v>
      </c>
      <c r="CB8" s="232" t="s">
        <v>373</v>
      </c>
      <c r="CC8" s="232"/>
      <c r="CD8" s="232"/>
      <c r="CE8" s="232"/>
      <c r="CF8" s="232" t="str">
        <f>100.07*B3</f>
        <v>#REF!</v>
      </c>
      <c r="CG8" s="232" t="s">
        <v>292</v>
      </c>
      <c r="CH8" s="232" t="s">
        <v>382</v>
      </c>
      <c r="CI8" s="234">
        <v>1600.0</v>
      </c>
      <c r="CJ8" s="232" t="s">
        <v>283</v>
      </c>
      <c r="CK8" s="232" t="s">
        <v>383</v>
      </c>
      <c r="CL8" s="232"/>
      <c r="CM8" s="232"/>
      <c r="CN8" s="232"/>
      <c r="CO8" s="235"/>
      <c r="CP8" s="232"/>
      <c r="CQ8" s="232"/>
      <c r="CR8" s="232"/>
      <c r="CS8" s="232"/>
      <c r="CT8" s="232"/>
      <c r="CU8" s="232"/>
      <c r="CV8" s="232"/>
      <c r="CW8" s="232"/>
      <c r="CX8" s="232"/>
      <c r="CY8" s="232"/>
      <c r="CZ8" s="232"/>
      <c r="DA8" s="232"/>
      <c r="DB8" s="232"/>
      <c r="DC8" s="232"/>
      <c r="DD8" s="232"/>
      <c r="DE8" s="232"/>
      <c r="DF8" s="232"/>
      <c r="DG8" s="232"/>
      <c r="DH8" s="232"/>
      <c r="DI8" s="232"/>
      <c r="DJ8" s="232"/>
      <c r="DK8" s="232"/>
      <c r="DL8" s="232"/>
      <c r="DM8" s="232"/>
      <c r="DN8" s="232"/>
      <c r="DO8" s="232"/>
      <c r="DP8" s="232"/>
      <c r="DQ8" s="232"/>
      <c r="DR8" s="232"/>
      <c r="DS8" s="232"/>
      <c r="DT8" s="232"/>
      <c r="DU8" s="232"/>
      <c r="DV8" s="232"/>
      <c r="DW8" s="232"/>
      <c r="DX8" s="232"/>
      <c r="DY8" s="232"/>
      <c r="DZ8" s="232"/>
      <c r="EA8" s="232"/>
      <c r="EB8" s="232"/>
      <c r="EC8" s="232"/>
      <c r="ED8" s="232"/>
      <c r="EE8" s="232"/>
      <c r="EF8" s="232"/>
      <c r="EG8" s="232"/>
      <c r="EH8" s="232"/>
      <c r="EI8" s="232"/>
      <c r="EJ8" s="232"/>
      <c r="EK8" s="232"/>
      <c r="EL8" s="232"/>
      <c r="EM8" s="232"/>
      <c r="EN8" s="232"/>
      <c r="EO8" s="232"/>
      <c r="EP8" s="232"/>
      <c r="EQ8" s="232"/>
      <c r="ER8" s="232"/>
      <c r="ES8" s="232"/>
      <c r="ET8" s="232"/>
      <c r="EU8" s="232"/>
      <c r="EV8" s="232"/>
      <c r="EW8" s="232"/>
      <c r="EX8" s="232"/>
      <c r="EY8" s="232"/>
      <c r="EZ8" s="232"/>
      <c r="FA8" s="232"/>
      <c r="FB8" s="232"/>
      <c r="FC8" s="232"/>
      <c r="FD8" s="232"/>
      <c r="FE8" s="232"/>
      <c r="FF8" s="232"/>
      <c r="FG8" s="232"/>
      <c r="FH8" s="232"/>
      <c r="FI8" s="232"/>
      <c r="FJ8" s="232"/>
      <c r="FK8" s="232"/>
      <c r="FL8" s="232"/>
      <c r="FM8" s="232"/>
      <c r="FN8" s="232"/>
      <c r="FO8" s="232"/>
      <c r="FP8" s="232"/>
      <c r="FQ8" s="232"/>
      <c r="FR8" s="232"/>
      <c r="FS8" s="232"/>
      <c r="FT8" s="232"/>
      <c r="FU8" s="232"/>
      <c r="FV8" s="232"/>
      <c r="FW8" s="232"/>
      <c r="FX8" s="232"/>
      <c r="FY8" s="232"/>
      <c r="FZ8" s="232"/>
      <c r="GA8" s="232"/>
      <c r="GB8" s="232"/>
      <c r="GC8" s="232"/>
      <c r="GD8" s="232"/>
      <c r="GE8" s="232"/>
      <c r="GF8" s="232"/>
      <c r="GG8" s="151"/>
      <c r="GH8" s="151"/>
      <c r="GI8" s="151"/>
      <c r="GJ8" s="151"/>
      <c r="GK8" s="151"/>
      <c r="GL8" s="151"/>
      <c r="GM8" s="151"/>
      <c r="GN8" s="151"/>
      <c r="GO8" s="151"/>
      <c r="GP8" s="151"/>
      <c r="GQ8" s="151"/>
      <c r="GR8" s="151"/>
      <c r="GS8" s="151"/>
      <c r="GT8" s="151"/>
      <c r="GU8" s="151"/>
      <c r="GV8" s="151"/>
      <c r="GW8" s="151"/>
      <c r="GX8" s="151"/>
      <c r="GY8" s="151"/>
      <c r="GZ8" s="151"/>
      <c r="HA8" s="151"/>
      <c r="HB8" s="151"/>
      <c r="HC8" s="151"/>
      <c r="HD8" s="151"/>
      <c r="HE8" s="151"/>
      <c r="HF8" s="151"/>
      <c r="HG8" s="151"/>
      <c r="HH8" s="151"/>
      <c r="HI8" s="151"/>
      <c r="HJ8" s="151"/>
      <c r="HK8" s="151"/>
      <c r="HL8" s="151"/>
      <c r="HM8" s="151"/>
      <c r="HN8" s="151"/>
      <c r="HO8" s="151"/>
      <c r="HP8" s="151"/>
      <c r="HQ8" s="151"/>
      <c r="HR8" s="151"/>
      <c r="HS8" s="151"/>
      <c r="HT8" s="238" t="str">
        <f t="shared" si="2"/>
        <v/>
      </c>
      <c r="HU8" s="240" t="str">
        <f t="shared" si="3"/>
        <v/>
      </c>
      <c r="HV8" s="238" t="str">
        <f t="shared" si="4"/>
        <v/>
      </c>
      <c r="HW8" s="240" t="str">
        <f t="shared" si="5"/>
        <v/>
      </c>
      <c r="HX8" s="238" t="str">
        <f t="shared" si="6"/>
        <v/>
      </c>
      <c r="HY8" s="240" t="str">
        <f t="shared" si="7"/>
        <v/>
      </c>
      <c r="HZ8" s="242"/>
      <c r="IA8" s="242"/>
      <c r="IB8" s="242"/>
      <c r="IC8" s="242"/>
      <c r="ID8" s="243" t="str">
        <f>IFERROR(__xludf.DUMMYFUNCTION("
    IFERROR(  
      TEXTJOIN(""|||"",FALSE , 
        ARRAY_CONSTRAIN( SORT( ARRAYFORMULA(Split(TRANSPOSE 
          (Split(TEXTJOIN(""|||"",TRUE,'1-1 Сбор КП'!$IF8:$IL8),""|||"",FALSE,FALSE)
        ),""|"",FALSE,FALSE)),3,FALSE ),100,2)
      )
    ,)"),"")</f>
        <v/>
      </c>
      <c r="IE8"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КП'!$AA8),
'1-1 Сбор КП'!$A"&amp;"A8:$HS8,
'1-1 Сбор КП'!$ID8,
BYROW( TRANSPOSE(Split('1-1 Сбор КП'!$IQ8,""|||"",FALSE)),LAMBDA(rc,Split(rc,""📎"",FALSE,FALSE))),
  {'3-3 Выбор поставщиков'!$AB$24:$AB$28 , '3-3 Выбор поставщиков'!$AF$24:$AF$28},
  {'3-3 Выбор поставщиков'!$AB$24:$AB$28 ,"&amp;" '3-3 Выбор поставщиков'!$AD$24:$AD$28}
)"),"$CI$8|||$CI$1||||||$CJ$8|||Подходит: Осн поставщик, Воздушный фильтр 81166609 = SA6007  |||$BE$8|||$BE$1||||||$BF$8|||Подходит: Да, Воздушный фильтр 81166609 [ Аналог SA6007 ]  |||$BQ$8|||$BQ$1||||||$BR$8|||Подходит: Да, Фильтр воздушный 81166609 аналог  "&amp;"|||$BZ$8|||$BZ$1||||||$CA$8|||Подходит: -?, Воздушный фильтр - Артикул 81166609  |||$BK$8|||$BK$1||||||$BL$8|||Подходит: -?, Воздушный фильтр - Артикул 81166609 (аналог)   |||$BH$8|||$BH$1||||||$BI$8|||Подходит: -?, Воздушный фильтр - Артикул 81166609 (ор"&amp;"игинал)   ")</f>
        <v>$CI$8|||$CI$1||||||$CJ$8|||Подходит: Осн поставщик, Воздушный фильтр 81166609 = SA6007  |||$BE$8|||$BE$1||||||$BF$8|||Подходит: Да, Воздушный фильтр 81166609 [ Аналог SA6007 ]  |||$BQ$8|||$BQ$1||||||$BR$8|||Подходит: Да, Фильтр воздушный 81166609 аналог  |||$BZ$8|||$BZ$1||||||$CA$8|||Подходит: -?, Воздушный фильтр - Артикул 81166609  |||$BK$8|||$BK$1||||||$BL$8|||Подходит: -?, Воздушный фильтр - Артикул 81166609 (аналог)   |||$BH$8|||$BH$1||||||$BI$8|||Подходит: -?, Воздушный фильтр - Артикул 81166609 (оригинал)   </v>
      </c>
      <c r="IF8" s="246"/>
      <c r="IG8" s="242"/>
      <c r="IH8" s="242"/>
      <c r="II8" s="242"/>
      <c r="IJ8" s="242"/>
      <c r="IK8" s="242"/>
      <c r="IL8" s="242"/>
      <c r="IM8" s="242"/>
      <c r="IN8" s="242"/>
      <c r="IO8" s="242"/>
      <c r="IP8" s="242"/>
      <c r="IQ8" s="242" t="str">
        <f>IFERROR(__xludf.DUMMYFUNCTION("
    IFERROR(  
      TEXTJOIN(""|||"",true , 
        BYROW(
        ARRAY_CONSTRAIN( SORT( ARRAYFORMULA(
          Split( TRANSPOSE (
            Split(TEXTJOIN(""|||"", TRUE, '1-1 Сбор КП'!$IS8:$JF8) ,""|||"",FALSE,FALSE)
          ),""📎"",FALSE,FALSE"&amp;")),5,FALSE ),100,4)
        ,LAMBDA(r,TEXTJOIN(""📎"",FALSE ,r))
      )
    ,))"),"$BQ$1📎📎📎Да|||$CI$1📎📎📎Осн поставщик|||$CI$1📎📎📎Осн поставщик|||$BQ$1📎📎📎Осн поставщик|||$BQ$1📎📎📎Осн поставщик|||$BE$1📎📎📎Да|||$BE$1📎📎📎Да|||$BE$1📎📎📎Да")</f>
        <v>$BQ$1📎📎📎Да|||$CI$1📎📎📎Осн поставщик|||$CI$1📎📎📎Осн поставщик|||$BQ$1📎📎📎Осн поставщик|||$BQ$1📎📎📎Осн поставщик|||$BE$1📎📎📎Да|||$BE$1📎📎📎Да|||$BE$1📎📎📎Да</v>
      </c>
      <c r="IR8"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КП'!$AA8),
 '1-1 Сбор КП'!$AA8:$HS8,
 '1-1 Сбор КП'!$ID8,
 BYROW( TRANSPOSE(Split('1-1 Сбор КП'!$IQ8,""|||"",FALSE)),LAMBDA(rc,Sp"&amp;"lit(rc,""📎"",FALSE,FALSE)))
)
"),"$CI$8|||$CI$1|||$CJ$8|||$CK$8|||||||||Осн поставщик||||||$BE$8|||$BE$1|||$BF$8|||$BG$8|||||||||Да||||||$BQ$8|||$BQ$1|||$BR$8|||$BS$8|||||||||Да||||||$BZ$8|||$BZ$1|||$CA$8|||$CB$8|||||||||||||||$BK$8|||$BK$1|||$BL$8|||$BM$8|||||||||||||||$BH$8|||$BH$1|||$B"&amp;"I$8|||$BJ$8||||||||||||")</f>
        <v>$CI$8|||$CI$1|||$CJ$8|||$CK$8|||||||||Осн поставщик||||||$BE$8|||$BE$1|||$BF$8|||$BG$8|||||||||Да||||||$BQ$8|||$BQ$1|||$BR$8|||$BS$8|||||||||Да||||||$BZ$8|||$BZ$1|||$CA$8|||$CB$8|||||||||||||||$BK$8|||$BK$1|||$BL$8|||$BM$8|||||||||||||||$BH$8|||$BH$1|||$BI$8|||$BJ$8||||||||||||</v>
      </c>
      <c r="IS8" s="246" t="s">
        <v>418</v>
      </c>
      <c r="IT8" s="246" t="s">
        <v>419</v>
      </c>
      <c r="IU8" s="246" t="s">
        <v>420</v>
      </c>
      <c r="IV8" s="242"/>
      <c r="IW8" s="242"/>
      <c r="IX8" s="242"/>
      <c r="IY8" s="242"/>
      <c r="IZ8" s="242"/>
      <c r="JA8" s="242"/>
      <c r="JB8" s="242"/>
      <c r="JC8" s="242"/>
      <c r="JD8" s="242"/>
      <c r="JE8" s="242"/>
      <c r="JF8" s="242"/>
      <c r="JG8" s="242"/>
      <c r="JH8" s="242"/>
      <c r="JI8" s="242"/>
    </row>
    <row r="9">
      <c r="A9" s="8" t="s">
        <v>421</v>
      </c>
      <c r="B9" s="278"/>
      <c r="C9" s="221" t="s">
        <v>385</v>
      </c>
      <c r="D9" s="222" t="s">
        <v>386</v>
      </c>
      <c r="E9" s="222" t="s">
        <v>422</v>
      </c>
      <c r="F9" s="222" t="s">
        <v>278</v>
      </c>
      <c r="G9" s="223">
        <v>3.0</v>
      </c>
      <c r="H9" s="222" t="s">
        <v>423</v>
      </c>
      <c r="I9" s="222" t="s">
        <v>424</v>
      </c>
      <c r="J9" s="224" t="s">
        <v>425</v>
      </c>
      <c r="K9" s="248"/>
      <c r="L9" s="227"/>
      <c r="M9" s="250"/>
      <c r="N9" s="250"/>
      <c r="O9" s="227"/>
      <c r="P9" s="251"/>
      <c r="Q9" s="252">
        <f>IFERROR(__xludf.DUMMYFUNCTION("""COMPUTED_VALUE"""),5.0)</f>
        <v>5</v>
      </c>
      <c r="R9" s="230"/>
      <c r="S9" s="67"/>
      <c r="T9" s="67"/>
      <c r="U9" s="151"/>
      <c r="V9" s="151"/>
      <c r="W9" s="151"/>
      <c r="X9" s="151"/>
      <c r="Y9" s="151"/>
      <c r="Z9" s="231" t="s">
        <v>384</v>
      </c>
      <c r="AA9" s="232"/>
      <c r="AB9" s="232"/>
      <c r="AC9" s="232"/>
      <c r="AD9" s="232"/>
      <c r="AE9" s="232"/>
      <c r="AF9" s="232"/>
      <c r="AG9" s="232"/>
      <c r="AH9" s="232"/>
      <c r="AI9" s="232"/>
      <c r="AJ9" s="232"/>
      <c r="AK9" s="232"/>
      <c r="AL9" s="232"/>
      <c r="AM9" s="234">
        <v>156500.0</v>
      </c>
      <c r="AN9" s="232" t="s">
        <v>349</v>
      </c>
      <c r="AO9" s="232" t="s">
        <v>427</v>
      </c>
      <c r="AP9" s="232">
        <v>104000.0</v>
      </c>
      <c r="AQ9" s="232" t="s">
        <v>349</v>
      </c>
      <c r="AR9" s="232" t="s">
        <v>428</v>
      </c>
      <c r="AS9" s="232"/>
      <c r="AT9" s="232"/>
      <c r="AU9" s="232"/>
      <c r="AV9" s="232"/>
      <c r="AW9" s="232"/>
      <c r="AX9" s="232"/>
      <c r="AY9" s="235"/>
      <c r="AZ9" s="232"/>
      <c r="BA9" s="232"/>
      <c r="BB9" s="232">
        <v>417300.0</v>
      </c>
      <c r="BC9" s="232" t="s">
        <v>429</v>
      </c>
      <c r="BD9" s="232" t="s">
        <v>430</v>
      </c>
      <c r="BE9" s="232"/>
      <c r="BF9" s="232"/>
      <c r="BG9" s="232"/>
      <c r="BH9" s="232"/>
      <c r="BI9" s="232"/>
      <c r="BJ9" s="232"/>
      <c r="BK9" s="232"/>
      <c r="BL9" s="232"/>
      <c r="BM9" s="232"/>
      <c r="BN9" s="232"/>
      <c r="BO9" s="232"/>
      <c r="BP9" s="232"/>
      <c r="BQ9" s="232"/>
      <c r="BR9" s="232"/>
      <c r="BS9" s="232"/>
      <c r="BT9" s="232"/>
      <c r="BU9" s="232"/>
      <c r="BV9" s="232"/>
      <c r="BW9" s="232" t="str">
        <f>1153.18*1.22*B3</f>
        <v>#REF!</v>
      </c>
      <c r="BX9" s="232" t="s">
        <v>431</v>
      </c>
      <c r="BY9" s="232" t="s">
        <v>432</v>
      </c>
      <c r="BZ9" s="235"/>
      <c r="CA9" s="232"/>
      <c r="CB9" s="232"/>
      <c r="CC9" s="232">
        <f>35150*1.22</f>
        <v>42883</v>
      </c>
      <c r="CD9" s="232" t="s">
        <v>433</v>
      </c>
      <c r="CE9" s="232" t="s">
        <v>434</v>
      </c>
      <c r="CF9" s="232"/>
      <c r="CG9" s="232"/>
      <c r="CH9" s="232"/>
      <c r="CI9" s="232"/>
      <c r="CJ9" s="232"/>
      <c r="CK9" s="232"/>
      <c r="CL9" s="232"/>
      <c r="CM9" s="232"/>
      <c r="CN9" s="232"/>
      <c r="CO9" s="235"/>
      <c r="CP9" s="232"/>
      <c r="CQ9" s="232"/>
      <c r="CR9" s="232"/>
      <c r="CS9" s="232"/>
      <c r="CT9" s="232"/>
      <c r="CU9" s="232"/>
      <c r="CV9" s="232"/>
      <c r="CW9" s="232"/>
      <c r="CX9" s="232"/>
      <c r="CY9" s="232"/>
      <c r="CZ9" s="232"/>
      <c r="DA9" s="232"/>
      <c r="DB9" s="232"/>
      <c r="DC9" s="232"/>
      <c r="DD9" s="232"/>
      <c r="DE9" s="232"/>
      <c r="DF9" s="232"/>
      <c r="DG9" s="232"/>
      <c r="DH9" s="232"/>
      <c r="DI9" s="232"/>
      <c r="DJ9" s="232"/>
      <c r="DK9" s="232"/>
      <c r="DL9" s="232"/>
      <c r="DM9" s="232"/>
      <c r="DN9" s="232"/>
      <c r="DO9" s="232"/>
      <c r="DP9" s="232"/>
      <c r="DQ9" s="232"/>
      <c r="DR9" s="232"/>
      <c r="DS9" s="232"/>
      <c r="DT9" s="232"/>
      <c r="DU9" s="232"/>
      <c r="DV9" s="232"/>
      <c r="DW9" s="232"/>
      <c r="DX9" s="232"/>
      <c r="DY9" s="232"/>
      <c r="DZ9" s="232"/>
      <c r="EA9" s="232"/>
      <c r="EB9" s="232"/>
      <c r="EC9" s="232"/>
      <c r="ED9" s="232"/>
      <c r="EE9" s="232"/>
      <c r="EF9" s="232"/>
      <c r="EG9" s="232"/>
      <c r="EH9" s="232"/>
      <c r="EI9" s="232"/>
      <c r="EJ9" s="232"/>
      <c r="EK9" s="232"/>
      <c r="EL9" s="232"/>
      <c r="EM9" s="232"/>
      <c r="EN9" s="232"/>
      <c r="EO9" s="232"/>
      <c r="EP9" s="232"/>
      <c r="EQ9" s="232"/>
      <c r="ER9" s="232"/>
      <c r="ES9" s="232"/>
      <c r="ET9" s="232"/>
      <c r="EU9" s="232"/>
      <c r="EV9" s="232"/>
      <c r="EW9" s="232"/>
      <c r="EX9" s="232"/>
      <c r="EY9" s="232"/>
      <c r="EZ9" s="232"/>
      <c r="FA9" s="232"/>
      <c r="FB9" s="232"/>
      <c r="FC9" s="232"/>
      <c r="FD9" s="232"/>
      <c r="FE9" s="232"/>
      <c r="FF9" s="232"/>
      <c r="FG9" s="232"/>
      <c r="FH9" s="232"/>
      <c r="FI9" s="232"/>
      <c r="FJ9" s="232"/>
      <c r="FK9" s="232"/>
      <c r="FL9" s="232"/>
      <c r="FM9" s="232"/>
      <c r="FN9" s="232"/>
      <c r="FO9" s="232"/>
      <c r="FP9" s="232"/>
      <c r="FQ9" s="232"/>
      <c r="FR9" s="232"/>
      <c r="FS9" s="232"/>
      <c r="FT9" s="232"/>
      <c r="FU9" s="232"/>
      <c r="FV9" s="232"/>
      <c r="FW9" s="232"/>
      <c r="FX9" s="232"/>
      <c r="FY9" s="232"/>
      <c r="FZ9" s="232"/>
      <c r="GA9" s="232"/>
      <c r="GB9" s="232"/>
      <c r="GC9" s="232"/>
      <c r="GD9" s="232"/>
      <c r="GE9" s="232"/>
      <c r="GF9" s="232"/>
      <c r="GG9" s="151"/>
      <c r="GH9" s="151"/>
      <c r="GI9" s="151"/>
      <c r="GJ9" s="151"/>
      <c r="GK9" s="151"/>
      <c r="GL9" s="151"/>
      <c r="GM9" s="151"/>
      <c r="GN9" s="151"/>
      <c r="GO9" s="151"/>
      <c r="GP9" s="151"/>
      <c r="GQ9" s="151"/>
      <c r="GR9" s="151"/>
      <c r="GS9" s="151"/>
      <c r="GT9" s="151"/>
      <c r="GU9" s="151"/>
      <c r="GV9" s="151"/>
      <c r="GW9" s="151"/>
      <c r="GX9" s="151"/>
      <c r="GY9" s="151"/>
      <c r="GZ9" s="151"/>
      <c r="HA9" s="151"/>
      <c r="HB9" s="151"/>
      <c r="HC9" s="151"/>
      <c r="HD9" s="151"/>
      <c r="HE9" s="151"/>
      <c r="HF9" s="151"/>
      <c r="HG9" s="151"/>
      <c r="HH9" s="151"/>
      <c r="HI9" s="151"/>
      <c r="HJ9" s="151"/>
      <c r="HK9" s="151"/>
      <c r="HL9" s="151"/>
      <c r="HM9" s="151"/>
      <c r="HN9" s="151"/>
      <c r="HO9" s="151"/>
      <c r="HP9" s="151"/>
      <c r="HQ9" s="151"/>
      <c r="HR9" s="151"/>
      <c r="HS9" s="151"/>
      <c r="HT9" s="238" t="str">
        <f t="shared" si="2"/>
        <v/>
      </c>
      <c r="HU9" s="240" t="str">
        <f t="shared" si="3"/>
        <v/>
      </c>
      <c r="HV9" s="238" t="str">
        <f t="shared" si="4"/>
        <v/>
      </c>
      <c r="HW9" s="240" t="str">
        <f t="shared" si="5"/>
        <v/>
      </c>
      <c r="HX9" s="238" t="str">
        <f t="shared" si="6"/>
        <v/>
      </c>
      <c r="HY9" s="240" t="str">
        <f t="shared" si="7"/>
        <v/>
      </c>
      <c r="HZ9" s="242"/>
      <c r="IA9" s="242"/>
      <c r="IB9" s="242"/>
      <c r="IC9" s="242"/>
      <c r="ID9" s="243" t="str">
        <f>IFERROR(__xludf.DUMMYFUNCTION("
    IFERROR(  
      TEXTJOIN(""|||"",FALSE , 
        ARRAY_CONSTRAIN( SORT( ARRAYFORMULA(Split(TRANSPOSE 
          (Split(TEXTJOIN(""|||"",TRUE,'1-1 Сбор КП'!$IF9:$IL9),""|||"",FALSE,FALSE)
        ),""|"",FALSE,FALSE)),3,FALSE ),100,2)
      )
    ,)"),"")</f>
        <v/>
      </c>
      <c r="IE9"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КП'!$AA9),
'1-1 Сбор КП'!$A"&amp;"A9:$HS9,
'1-1 Сбор КП'!$ID9,
BYROW( TRANSPOSE(Split('1-1 Сбор КП'!$IQ9,""|||"",FALSE)),LAMBDA(rc,Split(rc,""📎"",FALSE,FALSE))),
  {'3-3 Выбор поставщиков'!$AB$24:$AB$28 , '3-3 Выбор поставщиков'!$AF$24:$AF$28},
  {'3-3 Выбор поставщиков'!$AB$24:$AB$28 ,"&amp;" '3-3 Выбор поставщиков'!$AD$24:$AD$28}
)"),"$CC$9|||$CC$1||||||$CD$9|||Подходит: Осн поставщик, Сервисный набор Atlas Copco
2906020000  |||$AP$9|||$AP$1||||||$AQ$9|||Подходит: Да, 2906020000 AIR/OIL FILTER KIT  |||$AM$9|||$AM$1||||||$AN$9|||Подходит: Уточнить параметры, Сервисный набор арт. 290602"&amp;"0000 GA 200 1 шт  непонятный аналог, 1 шт|||$BB$9|||$BB$1||||||$BC$9|||Подходит: -?, 2906020000.  ")</f>
        <v>$CC$9|||$CC$1||||||$CD$9|||Подходит: Осн поставщик, Сервисный набор Atlas Copco
2906020000  |||$AP$9|||$AP$1||||||$AQ$9|||Подходит: Да, 2906020000 AIR/OIL FILTER KIT  |||$AM$9|||$AM$1||||||$AN$9|||Подходит: Уточнить параметры, Сервисный набор арт. 2906020000 GA 200 1 шт  непонятный аналог, 1 шт|||$BB$9|||$BB$1||||||$BC$9|||Подходит: -?, 2906020000.  </v>
      </c>
      <c r="IF9" s="246"/>
      <c r="IG9" s="242"/>
      <c r="IH9" s="242"/>
      <c r="II9" s="242"/>
      <c r="IJ9" s="242"/>
      <c r="IK9" s="242"/>
      <c r="IL9" s="242"/>
      <c r="IM9" s="242"/>
      <c r="IN9" s="242"/>
      <c r="IO9" s="242"/>
      <c r="IP9" s="242"/>
      <c r="IQ9" s="242" t="str">
        <f>IFERROR(__xludf.DUMMYFUNCTION("
    IFERROR(  
      TEXTJOIN(""|||"",true , 
        BYROW(
        ARRAY_CONSTRAIN( SORT( ARRAYFORMULA(
          Split( TRANSPOSE (
            Split(TEXTJOIN(""|||"", TRUE, '1-1 Сбор КП'!$IS9:$JF9) ,""|||"",FALSE,FALSE)
          ),""📎"",FALSE,FALSE"&amp;")),5,FALSE ),100,4)
        ,LAMBDA(r,TEXTJOIN(""📎"",FALSE ,r))
      )
    ,))"),"$AP$1📎📎📎Да|||$CC$1📎📎📎Осн поставщик|||$CC$1📎📎📎Осн поставщик|||$AM$1📎📎непонятный аналог, 1 шт📎Уточнить параметры|||$AM$1📎📎непонятный аналог, 1 шт📎Уточнить параметры|||$AP$1📎📎📎Осн поставщик")</f>
        <v>$AP$1📎📎📎Да|||$CC$1📎📎📎Осн поставщик|||$CC$1📎📎📎Осн поставщик|||$AM$1📎📎непонятный аналог, 1 шт📎Уточнить параметры|||$AM$1📎📎непонятный аналог, 1 шт📎Уточнить параметры|||$AP$1📎📎📎Осн поставщик</v>
      </c>
      <c r="IR9"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КП'!$AA9),
 '1-1 Сбор КП'!$AA9:$HS9,
 '1-1 Сбор КП'!$ID9,
 BYROW( TRANSPOSE(Split('1-1 Сбор КП'!$IQ9,""|||"",FALSE)),LAMBDA(rc,Sp"&amp;"lit(rc,""📎"",FALSE,FALSE)))
)
"),"$CC$9|||$CC$1|||$CD$9|||$CE$9|||||||||Осн поставщик||||||$AP$9|||$AP$1|||$AQ$9|||$AR$9|||||||||Да||||||$AM$9|||$AM$1|||$AN$9|||$AO$9||||||непонятный аналог, 1 шт|||Уточнить параметры||||||$BB$9|||$BB$1|||$BC$9|||$BD$9||||||||||||")</f>
        <v>$CC$9|||$CC$1|||$CD$9|||$CE$9|||||||||Осн поставщик||||||$AP$9|||$AP$1|||$AQ$9|||$AR$9|||||||||Да||||||$AM$9|||$AM$1|||$AN$9|||$AO$9||||||непонятный аналог, 1 шт|||Уточнить параметры||||||$BB$9|||$BB$1|||$BC$9|||$BD$9||||||||||||</v>
      </c>
      <c r="IS9" s="246" t="s">
        <v>443</v>
      </c>
      <c r="IT9" s="246" t="s">
        <v>444</v>
      </c>
      <c r="IU9" s="242"/>
      <c r="IV9" s="242"/>
      <c r="IW9" s="242"/>
      <c r="IX9" s="242"/>
      <c r="IY9" s="242"/>
      <c r="IZ9" s="242"/>
      <c r="JA9" s="242"/>
      <c r="JB9" s="242"/>
      <c r="JC9" s="242"/>
      <c r="JD9" s="242"/>
      <c r="JE9" s="242"/>
      <c r="JF9" s="242"/>
      <c r="JG9" s="242"/>
      <c r="JH9" s="242"/>
      <c r="JI9" s="242"/>
    </row>
    <row r="10">
      <c r="A10" s="151"/>
      <c r="B10" s="304"/>
      <c r="C10" s="221" t="s">
        <v>388</v>
      </c>
      <c r="D10" s="222" t="s">
        <v>389</v>
      </c>
      <c r="E10" s="222" t="s">
        <v>422</v>
      </c>
      <c r="F10" s="222" t="s">
        <v>278</v>
      </c>
      <c r="G10" s="223">
        <v>3.0</v>
      </c>
      <c r="H10" s="222" t="s">
        <v>445</v>
      </c>
      <c r="I10" s="222" t="s">
        <v>446</v>
      </c>
      <c r="J10" s="224" t="s">
        <v>425</v>
      </c>
      <c r="K10" s="248"/>
      <c r="L10" s="227"/>
      <c r="M10" s="250"/>
      <c r="N10" s="250"/>
      <c r="O10" s="227"/>
      <c r="P10" s="251"/>
      <c r="Q10" s="252">
        <f>IFERROR(__xludf.DUMMYFUNCTION("""COMPUTED_VALUE"""),5.0)</f>
        <v>5</v>
      </c>
      <c r="R10" s="227"/>
      <c r="S10" s="305"/>
      <c r="T10" s="305"/>
      <c r="U10" s="151"/>
      <c r="V10" s="151"/>
      <c r="W10" s="151"/>
      <c r="X10" s="151"/>
      <c r="Y10" s="151"/>
      <c r="Z10" s="231" t="s">
        <v>387</v>
      </c>
      <c r="AA10" s="232"/>
      <c r="AB10" s="232"/>
      <c r="AC10" s="232"/>
      <c r="AD10" s="232"/>
      <c r="AE10" s="232"/>
      <c r="AF10" s="232"/>
      <c r="AG10" s="232"/>
      <c r="AH10" s="232"/>
      <c r="AI10" s="232"/>
      <c r="AJ10" s="232"/>
      <c r="AK10" s="232"/>
      <c r="AL10" s="232"/>
      <c r="AM10" s="234">
        <v>599500.0</v>
      </c>
      <c r="AN10" s="232" t="s">
        <v>349</v>
      </c>
      <c r="AO10" s="232" t="s">
        <v>447</v>
      </c>
      <c r="AP10" s="232">
        <v>1057940.0</v>
      </c>
      <c r="AQ10" s="232" t="s">
        <v>349</v>
      </c>
      <c r="AR10" s="232" t="s">
        <v>448</v>
      </c>
      <c r="AS10" s="232"/>
      <c r="AT10" s="232"/>
      <c r="AU10" s="232"/>
      <c r="AV10" s="232"/>
      <c r="AW10" s="232"/>
      <c r="AX10" s="232"/>
      <c r="AY10" s="235"/>
      <c r="AZ10" s="232"/>
      <c r="BA10" s="232"/>
      <c r="BB10" s="232">
        <v>1615440.0</v>
      </c>
      <c r="BC10" s="232" t="s">
        <v>429</v>
      </c>
      <c r="BD10" s="232" t="s">
        <v>449</v>
      </c>
      <c r="BE10" s="232"/>
      <c r="BF10" s="232"/>
      <c r="BG10" s="232"/>
      <c r="BH10" s="232"/>
      <c r="BI10" s="232"/>
      <c r="BJ10" s="232"/>
      <c r="BK10" s="232"/>
      <c r="BL10" s="232"/>
      <c r="BM10" s="232"/>
      <c r="BN10" s="232"/>
      <c r="BO10" s="232"/>
      <c r="BP10" s="232"/>
      <c r="BQ10" s="232"/>
      <c r="BR10" s="232"/>
      <c r="BS10" s="232"/>
      <c r="BT10" s="232"/>
      <c r="BU10" s="232"/>
      <c r="BV10" s="232"/>
      <c r="BW10" s="232" t="str">
        <f>11064.9*1.22*B3</f>
        <v>#REF!</v>
      </c>
      <c r="BX10" s="232" t="s">
        <v>431</v>
      </c>
      <c r="BY10" s="232" t="s">
        <v>450</v>
      </c>
      <c r="BZ10" s="235"/>
      <c r="CA10" s="232"/>
      <c r="CB10" s="232"/>
      <c r="CC10" s="232">
        <f>150800*1.22</f>
        <v>183976</v>
      </c>
      <c r="CD10" s="232" t="s">
        <v>433</v>
      </c>
      <c r="CE10" s="232" t="s">
        <v>451</v>
      </c>
      <c r="CF10" s="232"/>
      <c r="CG10" s="232"/>
      <c r="CH10" s="232"/>
      <c r="CI10" s="232"/>
      <c r="CJ10" s="232"/>
      <c r="CK10" s="232"/>
      <c r="CL10" s="232"/>
      <c r="CM10" s="232"/>
      <c r="CN10" s="232"/>
      <c r="CO10" s="235"/>
      <c r="CP10" s="232"/>
      <c r="CQ10" s="232"/>
      <c r="CR10" s="232"/>
      <c r="CS10" s="232"/>
      <c r="CT10" s="232"/>
      <c r="CU10" s="232"/>
      <c r="CV10" s="232"/>
      <c r="CW10" s="232"/>
      <c r="CX10" s="232"/>
      <c r="CY10" s="232"/>
      <c r="CZ10" s="232"/>
      <c r="DA10" s="232"/>
      <c r="DB10" s="232"/>
      <c r="DC10" s="232"/>
      <c r="DD10" s="232"/>
      <c r="DE10" s="232"/>
      <c r="DF10" s="232"/>
      <c r="DG10" s="232"/>
      <c r="DH10" s="232"/>
      <c r="DI10" s="232"/>
      <c r="DJ10" s="232"/>
      <c r="DK10" s="232"/>
      <c r="DL10" s="232"/>
      <c r="DM10" s="232"/>
      <c r="DN10" s="232"/>
      <c r="DO10" s="232"/>
      <c r="DP10" s="232"/>
      <c r="DQ10" s="232"/>
      <c r="DR10" s="232"/>
      <c r="DS10" s="232"/>
      <c r="DT10" s="232"/>
      <c r="DU10" s="232"/>
      <c r="DV10" s="232"/>
      <c r="DW10" s="232"/>
      <c r="DX10" s="232"/>
      <c r="DY10" s="232"/>
      <c r="DZ10" s="232"/>
      <c r="EA10" s="232"/>
      <c r="EB10" s="232"/>
      <c r="EC10" s="232"/>
      <c r="ED10" s="232"/>
      <c r="EE10" s="232"/>
      <c r="EF10" s="232"/>
      <c r="EG10" s="232"/>
      <c r="EH10" s="232"/>
      <c r="EI10" s="232"/>
      <c r="EJ10" s="232"/>
      <c r="EK10" s="232"/>
      <c r="EL10" s="232"/>
      <c r="EM10" s="232"/>
      <c r="EN10" s="232"/>
      <c r="EO10" s="232"/>
      <c r="EP10" s="232"/>
      <c r="EQ10" s="232"/>
      <c r="ER10" s="232"/>
      <c r="ES10" s="232"/>
      <c r="ET10" s="232"/>
      <c r="EU10" s="232"/>
      <c r="EV10" s="232"/>
      <c r="EW10" s="232"/>
      <c r="EX10" s="232"/>
      <c r="EY10" s="232"/>
      <c r="EZ10" s="232"/>
      <c r="FA10" s="232"/>
      <c r="FB10" s="232"/>
      <c r="FC10" s="232"/>
      <c r="FD10" s="232"/>
      <c r="FE10" s="232"/>
      <c r="FF10" s="232"/>
      <c r="FG10" s="232"/>
      <c r="FH10" s="232"/>
      <c r="FI10" s="232"/>
      <c r="FJ10" s="232"/>
      <c r="FK10" s="232"/>
      <c r="FL10" s="232"/>
      <c r="FM10" s="232"/>
      <c r="FN10" s="232"/>
      <c r="FO10" s="232"/>
      <c r="FP10" s="232"/>
      <c r="FQ10" s="232"/>
      <c r="FR10" s="232"/>
      <c r="FS10" s="232"/>
      <c r="FT10" s="232"/>
      <c r="FU10" s="232"/>
      <c r="FV10" s="232"/>
      <c r="FW10" s="232"/>
      <c r="FX10" s="232"/>
      <c r="FY10" s="232"/>
      <c r="FZ10" s="232"/>
      <c r="GA10" s="232"/>
      <c r="GB10" s="232"/>
      <c r="GC10" s="232"/>
      <c r="GD10" s="232"/>
      <c r="GE10" s="232"/>
      <c r="GF10" s="232"/>
      <c r="GG10" s="151"/>
      <c r="GH10" s="151"/>
      <c r="GI10" s="151"/>
      <c r="GJ10" s="151"/>
      <c r="GK10" s="151"/>
      <c r="GL10" s="151"/>
      <c r="GM10" s="151"/>
      <c r="GN10" s="151"/>
      <c r="GO10" s="151"/>
      <c r="GP10" s="151"/>
      <c r="GQ10" s="151"/>
      <c r="GR10" s="151"/>
      <c r="GS10" s="151"/>
      <c r="GT10" s="151"/>
      <c r="GU10" s="151"/>
      <c r="GV10" s="151"/>
      <c r="GW10" s="151"/>
      <c r="GX10" s="151"/>
      <c r="GY10" s="151"/>
      <c r="GZ10" s="151"/>
      <c r="HA10" s="151"/>
      <c r="HB10" s="151"/>
      <c r="HC10" s="151"/>
      <c r="HD10" s="151"/>
      <c r="HE10" s="151"/>
      <c r="HF10" s="151"/>
      <c r="HG10" s="151"/>
      <c r="HH10" s="151"/>
      <c r="HI10" s="151"/>
      <c r="HJ10" s="151"/>
      <c r="HK10" s="151"/>
      <c r="HL10" s="151"/>
      <c r="HM10" s="151"/>
      <c r="HN10" s="151"/>
      <c r="HO10" s="151"/>
      <c r="HP10" s="151"/>
      <c r="HQ10" s="151"/>
      <c r="HR10" s="151"/>
      <c r="HS10" s="151"/>
      <c r="HT10" s="238" t="str">
        <f t="shared" si="2"/>
        <v/>
      </c>
      <c r="HU10" s="240" t="str">
        <f t="shared" si="3"/>
        <v/>
      </c>
      <c r="HV10" s="238" t="str">
        <f t="shared" si="4"/>
        <v/>
      </c>
      <c r="HW10" s="240" t="str">
        <f t="shared" si="5"/>
        <v/>
      </c>
      <c r="HX10" s="238" t="str">
        <f t="shared" si="6"/>
        <v/>
      </c>
      <c r="HY10" s="240" t="str">
        <f t="shared" si="7"/>
        <v/>
      </c>
      <c r="HZ10" s="242"/>
      <c r="IA10" s="242"/>
      <c r="IB10" s="242"/>
      <c r="IC10" s="242"/>
      <c r="ID10" s="243" t="str">
        <f>IFERROR(__xludf.DUMMYFUNCTION("
    IFERROR(  
      TEXTJOIN(""|||"",FALSE , 
        ARRAY_CONSTRAIN( SORT( ARRAYFORMULA(Split(TRANSPOSE 
          (Split(TEXTJOIN(""|||"",TRUE,'1-1 Сбор КП'!$IF10:$IL10),""|||"",FALSE,FALSE)
        ),""|"",FALSE,FALSE)),3,FALSE ),100,2)
      )
    "&amp;",)"),"")</f>
        <v/>
      </c>
      <c r="IE10"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КП'!$AA10),
'1-1 Сбор КП'!$"&amp;"AA10:$HS10,
'1-1 Сбор КП'!$ID10,
BYROW( TRANSPOSE(Split('1-1 Сбор КП'!$IQ10,""|||"",FALSE)),LAMBDA(rc,Split(rc,""📎"",FALSE,FALSE))),
  {'3-3 Выбор поставщиков'!$AB$24:$AB$28 , '3-3 Выбор поставщиков'!$AF$24:$AF$28},
  {'3-3 Выбор поставщиков'!$AB$24:$AB"&amp;"$28 , '3-3 Выбор поставщиков'!$AD$24:$AD$28}
)"),"$CC$10|||$CC$1||||||$CD$10|||Подходит: Осн поставщик, Сервисный набор Atlas Copco
2906075700  |||$AM$10|||$AM$1||||||$AN$10|||Подходит: Уточнить параметры, Сервисный набор 8000 1 шт  непонятный аналог, 1 шт|||$AP$10|||$AP$1||||||$AQ$10|||Подходит: Да, 29"&amp;"06075700 8000H MAINT KIT  |||$BB$10|||$BB$1||||||$BC$10|||Подходит: -?, 2906075700 .  ")</f>
        <v>$CC$10|||$CC$1||||||$CD$10|||Подходит: Осн поставщик, Сервисный набор Atlas Copco
2906075700  |||$AM$10|||$AM$1||||||$AN$10|||Подходит: Уточнить параметры, Сервисный набор 8000 1 шт  непонятный аналог, 1 шт|||$AP$10|||$AP$1||||||$AQ$10|||Подходит: Да, 2906075700 8000H MAINT KIT  |||$BB$10|||$BB$1||||||$BC$10|||Подходит: -?, 2906075700 .  </v>
      </c>
      <c r="IF10" s="246"/>
      <c r="IG10" s="242"/>
      <c r="IH10" s="242"/>
      <c r="II10" s="242"/>
      <c r="IJ10" s="242"/>
      <c r="IK10" s="242"/>
      <c r="IL10" s="242"/>
      <c r="IM10" s="242"/>
      <c r="IN10" s="242"/>
      <c r="IO10" s="242"/>
      <c r="IP10" s="242"/>
      <c r="IQ10" s="242" t="str">
        <f>IFERROR(__xludf.DUMMYFUNCTION("
    IFERROR(  
      TEXTJOIN(""|||"",true , 
        BYROW(
        ARRAY_CONSTRAIN( SORT( ARRAYFORMULA(
          Split( TRANSPOSE (
            Split(TEXTJOIN(""|||"", TRUE, '1-1 Сбор КП'!$IS10:$JF10) ,""|||"",FALSE,FALSE)
          ),""📎"",FALSE,FAL"&amp;"SE)),5,FALSE ),100,4)
        ,LAMBDA(r,TEXTJOIN(""📎"",FALSE ,r))
      )
    ,))"),"$AP$1📎📎📎Да|||$CC$1📎📎📎Осн поставщик|||$CC$1📎📎📎Осн поставщик|||$AP$1📎📎📎Осн поставщик|||$AP$1📎📎📎Осн поставщик|||$AM$1📎📎непонятный аналог, 1 шт📎Уточнить параметры|||$AM$1📎📎непонятный аналог, 1 шт📎Уточнить параметры|||$AM$1📎📎непонятный а"&amp;"налог, 1 шт📎Уточнить параметры")</f>
        <v>$AP$1📎📎📎Да|||$CC$1📎📎📎Осн поставщик|||$CC$1📎📎📎Осн поставщик|||$AP$1📎📎📎Осн поставщик|||$AP$1📎📎📎Осн поставщик|||$AM$1📎📎непонятный аналог, 1 шт📎Уточнить параметры|||$AM$1📎📎непонятный аналог, 1 шт📎Уточнить параметры|||$AM$1📎📎непонятный аналог, 1 шт📎Уточнить параметры</v>
      </c>
      <c r="IR10"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КП'!$AA10),
 '1-1 Сбор КП'!$AA10:$HS10,
 '1-1 Сбор КП'!$ID10,
 BYROW( TRANSPOSE(Split('1-1 Сбор КП'!$IQ10,""|||"",FALSE)),LAMBDA("&amp;"rc,Split(rc,""📎"",FALSE,FALSE)))
)
"),"$CC$10|||$CC$1|||$CD$10|||$CE$10|||||||||Осн поставщик||||||$AM$10|||$AM$1|||$AN$10|||$AO$10||||||непонятный аналог, 1 шт|||Уточнить параметры||||||$AP$10|||$AP$1|||$AQ$10|||$AR$10|||||||||Да||||||$BB$10|||$BB$1|||$BC$10|||$BD$10||||||||||||")</f>
        <v>$CC$10|||$CC$1|||$CD$10|||$CE$10|||||||||Осн поставщик||||||$AM$10|||$AM$1|||$AN$10|||$AO$10||||||непонятный аналог, 1 шт|||Уточнить параметры||||||$AP$10|||$AP$1|||$AQ$10|||$AR$10|||||||||Да||||||$BB$10|||$BB$1|||$BC$10|||$BD$10||||||||||||</v>
      </c>
      <c r="IS10" s="246" t="s">
        <v>457</v>
      </c>
      <c r="IT10" s="246" t="s">
        <v>458</v>
      </c>
      <c r="IU10" s="246" t="s">
        <v>459</v>
      </c>
      <c r="IV10" s="242"/>
      <c r="IW10" s="242"/>
      <c r="IX10" s="242"/>
      <c r="IY10" s="242"/>
      <c r="IZ10" s="242"/>
      <c r="JA10" s="242"/>
      <c r="JB10" s="242"/>
      <c r="JC10" s="242"/>
      <c r="JD10" s="242"/>
      <c r="JE10" s="242"/>
      <c r="JF10" s="242"/>
      <c r="JG10" s="242"/>
      <c r="JH10" s="242"/>
      <c r="JI10" s="242"/>
    </row>
    <row r="11">
      <c r="A11" s="8"/>
      <c r="B11" s="255"/>
      <c r="C11" s="221" t="s">
        <v>391</v>
      </c>
      <c r="D11" s="222" t="s">
        <v>392</v>
      </c>
      <c r="E11" s="222" t="s">
        <v>460</v>
      </c>
      <c r="F11" s="222" t="s">
        <v>278</v>
      </c>
      <c r="G11" s="223">
        <v>3.0</v>
      </c>
      <c r="H11" s="222" t="s">
        <v>461</v>
      </c>
      <c r="I11" s="222" t="s">
        <v>462</v>
      </c>
      <c r="J11" s="224" t="s">
        <v>463</v>
      </c>
      <c r="K11" s="248"/>
      <c r="L11" s="227"/>
      <c r="M11" s="250"/>
      <c r="N11" s="250"/>
      <c r="O11" s="227"/>
      <c r="P11" s="251"/>
      <c r="Q11" s="252">
        <f>IFERROR(__xludf.DUMMYFUNCTION("""COMPUTED_VALUE"""),1.0)</f>
        <v>1</v>
      </c>
      <c r="R11" s="227"/>
      <c r="S11" s="305"/>
      <c r="T11" s="305"/>
      <c r="U11" s="151"/>
      <c r="V11" s="151"/>
      <c r="W11" s="151"/>
      <c r="X11" s="151"/>
      <c r="Y11" s="151"/>
      <c r="Z11" s="231" t="s">
        <v>390</v>
      </c>
      <c r="AA11" s="232"/>
      <c r="AB11" s="232"/>
      <c r="AC11" s="232"/>
      <c r="AD11" s="232"/>
      <c r="AE11" s="232"/>
      <c r="AF11" s="232"/>
      <c r="AG11" s="232"/>
      <c r="AH11" s="232"/>
      <c r="AI11" s="232"/>
      <c r="AJ11" s="232">
        <v>59800.0</v>
      </c>
      <c r="AK11" s="232" t="s">
        <v>283</v>
      </c>
      <c r="AL11" s="232" t="s">
        <v>464</v>
      </c>
      <c r="AM11" s="234"/>
      <c r="AN11" s="232"/>
      <c r="AO11" s="232"/>
      <c r="AP11" s="232"/>
      <c r="AQ11" s="232"/>
      <c r="AR11" s="232"/>
      <c r="AS11" s="232"/>
      <c r="AT11" s="232"/>
      <c r="AU11" s="232"/>
      <c r="AV11" s="232"/>
      <c r="AW11" s="232"/>
      <c r="AX11" s="232"/>
      <c r="AY11" s="235"/>
      <c r="AZ11" s="232"/>
      <c r="BA11" s="232"/>
      <c r="BB11" s="232"/>
      <c r="BC11" s="232"/>
      <c r="BD11" s="232"/>
      <c r="BE11" s="232"/>
      <c r="BF11" s="232"/>
      <c r="BG11" s="232"/>
      <c r="BH11" s="232"/>
      <c r="BI11" s="232"/>
      <c r="BJ11" s="232"/>
      <c r="BK11" s="232"/>
      <c r="BL11" s="232"/>
      <c r="BM11" s="232"/>
      <c r="BN11" s="232"/>
      <c r="BO11" s="232"/>
      <c r="BP11" s="232"/>
      <c r="BQ11" s="232"/>
      <c r="BR11" s="232"/>
      <c r="BS11" s="232"/>
      <c r="BT11" s="232"/>
      <c r="BU11" s="232"/>
      <c r="BV11" s="232"/>
      <c r="BW11" s="232"/>
      <c r="BX11" s="232"/>
      <c r="BY11" s="232"/>
      <c r="BZ11" s="235"/>
      <c r="CA11" s="232"/>
      <c r="CB11" s="232"/>
      <c r="CC11" s="232"/>
      <c r="CD11" s="232"/>
      <c r="CE11" s="232"/>
      <c r="CF11" s="232"/>
      <c r="CG11" s="232"/>
      <c r="CH11" s="232"/>
      <c r="CI11" s="232"/>
      <c r="CJ11" s="232"/>
      <c r="CK11" s="232"/>
      <c r="CL11" s="232"/>
      <c r="CM11" s="232"/>
      <c r="CN11" s="232"/>
      <c r="CO11" s="235"/>
      <c r="CP11" s="232"/>
      <c r="CQ11" s="232"/>
      <c r="CR11" s="232"/>
      <c r="CS11" s="232"/>
      <c r="CT11" s="232"/>
      <c r="CU11" s="232"/>
      <c r="CV11" s="232"/>
      <c r="CW11" s="232"/>
      <c r="CX11" s="232"/>
      <c r="CY11" s="232"/>
      <c r="CZ11" s="232"/>
      <c r="DA11" s="232"/>
      <c r="DB11" s="232"/>
      <c r="DC11" s="232"/>
      <c r="DD11" s="232"/>
      <c r="DE11" s="232"/>
      <c r="DF11" s="232"/>
      <c r="DG11" s="232"/>
      <c r="DH11" s="232"/>
      <c r="DI11" s="232"/>
      <c r="DJ11" s="232"/>
      <c r="DK11" s="232"/>
      <c r="DL11" s="232"/>
      <c r="DM11" s="232"/>
      <c r="DN11" s="232"/>
      <c r="DO11" s="232"/>
      <c r="DP11" s="232"/>
      <c r="DQ11" s="232"/>
      <c r="DR11" s="232"/>
      <c r="DS11" s="232"/>
      <c r="DT11" s="232"/>
      <c r="DU11" s="232"/>
      <c r="DV11" s="232"/>
      <c r="DW11" s="232"/>
      <c r="DX11" s="232"/>
      <c r="DY11" s="232"/>
      <c r="DZ11" s="232"/>
      <c r="EA11" s="232"/>
      <c r="EB11" s="232"/>
      <c r="EC11" s="232"/>
      <c r="ED11" s="232"/>
      <c r="EE11" s="232"/>
      <c r="EF11" s="232"/>
      <c r="EG11" s="232"/>
      <c r="EH11" s="232"/>
      <c r="EI11" s="232"/>
      <c r="EJ11" s="232"/>
      <c r="EK11" s="232"/>
      <c r="EL11" s="232"/>
      <c r="EM11" s="232"/>
      <c r="EN11" s="232"/>
      <c r="EO11" s="232"/>
      <c r="EP11" s="232"/>
      <c r="EQ11" s="232"/>
      <c r="ER11" s="232"/>
      <c r="ES11" s="232"/>
      <c r="ET11" s="232"/>
      <c r="EU11" s="232"/>
      <c r="EV11" s="232"/>
      <c r="EW11" s="232"/>
      <c r="EX11" s="232"/>
      <c r="EY11" s="232"/>
      <c r="EZ11" s="232"/>
      <c r="FA11" s="232"/>
      <c r="FB11" s="232"/>
      <c r="FC11" s="232"/>
      <c r="FD11" s="232"/>
      <c r="FE11" s="232"/>
      <c r="FF11" s="232"/>
      <c r="FG11" s="232"/>
      <c r="FH11" s="232"/>
      <c r="FI11" s="232"/>
      <c r="FJ11" s="232"/>
      <c r="FK11" s="232"/>
      <c r="FL11" s="232"/>
      <c r="FM11" s="232"/>
      <c r="FN11" s="232"/>
      <c r="FO11" s="232"/>
      <c r="FP11" s="232"/>
      <c r="FQ11" s="232"/>
      <c r="FR11" s="232"/>
      <c r="FS11" s="232"/>
      <c r="FT11" s="232"/>
      <c r="FU11" s="232"/>
      <c r="FV11" s="232"/>
      <c r="FW11" s="232"/>
      <c r="FX11" s="232"/>
      <c r="FY11" s="232"/>
      <c r="FZ11" s="232"/>
      <c r="GA11" s="232"/>
      <c r="GB11" s="232"/>
      <c r="GC11" s="232"/>
      <c r="GD11" s="232"/>
      <c r="GE11" s="232"/>
      <c r="GF11" s="232"/>
      <c r="GG11" s="151"/>
      <c r="GH11" s="151"/>
      <c r="GI11" s="151"/>
      <c r="GJ11" s="151"/>
      <c r="GK11" s="151"/>
      <c r="GL11" s="151"/>
      <c r="GM11" s="151"/>
      <c r="GN11" s="151"/>
      <c r="GO11" s="151"/>
      <c r="GP11" s="151"/>
      <c r="GQ11" s="151"/>
      <c r="GR11" s="151"/>
      <c r="GS11" s="151"/>
      <c r="GT11" s="151"/>
      <c r="GU11" s="151"/>
      <c r="GV11" s="151"/>
      <c r="GW11" s="151"/>
      <c r="GX11" s="151"/>
      <c r="GY11" s="151"/>
      <c r="GZ11" s="151"/>
      <c r="HA11" s="151"/>
      <c r="HB11" s="151"/>
      <c r="HC11" s="151"/>
      <c r="HD11" s="151"/>
      <c r="HE11" s="151"/>
      <c r="HF11" s="151"/>
      <c r="HG11" s="151"/>
      <c r="HH11" s="151"/>
      <c r="HI11" s="151"/>
      <c r="HJ11" s="151"/>
      <c r="HK11" s="151"/>
      <c r="HL11" s="151"/>
      <c r="HM11" s="151"/>
      <c r="HN11" s="151"/>
      <c r="HO11" s="151"/>
      <c r="HP11" s="151"/>
      <c r="HQ11" s="151"/>
      <c r="HR11" s="151"/>
      <c r="HS11" s="151"/>
      <c r="HT11" s="238">
        <f t="shared" si="2"/>
        <v>59800</v>
      </c>
      <c r="HU11" s="240" t="str">
        <f t="shared" si="3"/>
        <v/>
      </c>
      <c r="HV11" s="238" t="str">
        <f t="shared" si="4"/>
        <v/>
      </c>
      <c r="HW11" s="240" t="str">
        <f t="shared" si="5"/>
        <v/>
      </c>
      <c r="HX11" s="238" t="str">
        <f t="shared" si="6"/>
        <v/>
      </c>
      <c r="HY11" s="240" t="str">
        <f t="shared" si="7"/>
        <v/>
      </c>
      <c r="HZ11" s="242"/>
      <c r="IA11" s="242"/>
      <c r="IB11" s="242"/>
      <c r="IC11" s="242"/>
      <c r="ID11" s="243" t="str">
        <f>IFERROR(__xludf.DUMMYFUNCTION("
    IFERROR(  
      TEXTJOIN(""|||"",FALSE , 
        ARRAY_CONSTRAIN( SORT( ARRAYFORMULA(Split(TRANSPOSE 
          (Split(TEXTJOIN(""|||"",TRUE,'1-1 Сбор КП'!$IF11:$IL11),""|||"",FALSE,FALSE)
        ),""|"",FALSE,FALSE)),3,FALSE ),100,2)
      )
    "&amp;",)"),"")</f>
        <v/>
      </c>
      <c r="IE11"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КП'!$AA11),
'1-1 Сбор КП'!$"&amp;"AA11:$HS11,
'1-1 Сбор КП'!$ID11,
BYROW( TRANSPOSE(Split('1-1 Сбор КП'!$IQ11,""|||"",FALSE)),LAMBDA(rc,Split(rc,""📎"",FALSE,FALSE))),
  {'3-3 Выбор поставщиков'!$AB$24:$AB$28 , '3-3 Выбор поставщиков'!$AF$24:$AF$28},
  {'3-3 Выбор поставщиков'!$AB$24:$AB"&amp;"$28 , '3-3 Выбор поставщиков'!$AD$24:$AD$28}
)"),"$AJ$11|||$AJ$1||||||$AK$11|||Подходит: Осн поставщик, Масляный сепаратор  ")</f>
        <v>$AJ$11|||$AJ$1||||||$AK$11|||Подходит: Осн поставщик, Масляный сепаратор  </v>
      </c>
      <c r="IF11" s="246"/>
      <c r="IG11" s="242"/>
      <c r="IH11" s="242"/>
      <c r="II11" s="242"/>
      <c r="IJ11" s="242"/>
      <c r="IK11" s="242"/>
      <c r="IL11" s="242"/>
      <c r="IM11" s="242"/>
      <c r="IN11" s="242"/>
      <c r="IO11" s="242"/>
      <c r="IP11" s="242"/>
      <c r="IQ11" s="242" t="str">
        <f>IFERROR(__xludf.DUMMYFUNCTION("
    IFERROR(  
      TEXTJOIN(""|||"",true , 
        BYROW(
        ARRAY_CONSTRAIN( SORT( ARRAYFORMULA(
          Split( TRANSPOSE (
            Split(TEXTJOIN(""|||"", TRUE, '1-1 Сбор КП'!$IS11:$JF11) ,""|||"",FALSE,FALSE)
          ),""📎"",FALSE,FAL"&amp;"SE)),5,FALSE ),100,4)
        ,LAMBDA(r,TEXTJOIN(""📎"",FALSE ,r))
      )
    ,))"),"$AJ$1📎📎📎Осн поставщик")</f>
        <v>$AJ$1📎📎📎Осн поставщик</v>
      </c>
      <c r="IR11"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КП'!$AA11),
 '1-1 Сбор КП'!$AA11:$HS11,
 '1-1 Сбор КП'!$ID11,
 BYROW( TRANSPOSE(Split('1-1 Сбор КП'!$IQ11,""|||"",FALSE)),LAMBDA("&amp;"rc,Split(rc,""📎"",FALSE,FALSE)))
)
"),"$AJ$11|||$AJ$1|||$AK$11|||$AL$11|||||||||Осн поставщик|||")</f>
        <v>$AJ$11|||$AJ$1|||$AK$11|||$AL$11|||||||||Осн поставщик|||</v>
      </c>
      <c r="IS11" s="246" t="s">
        <v>465</v>
      </c>
      <c r="IT11" s="242"/>
      <c r="IU11" s="242"/>
      <c r="IV11" s="242"/>
      <c r="IW11" s="242"/>
      <c r="IX11" s="242"/>
      <c r="IY11" s="242"/>
      <c r="IZ11" s="242"/>
      <c r="JA11" s="242"/>
      <c r="JB11" s="242"/>
      <c r="JC11" s="242"/>
      <c r="JD11" s="242"/>
      <c r="JE11" s="242"/>
      <c r="JF11" s="242"/>
      <c r="JG11" s="242"/>
      <c r="JH11" s="242"/>
      <c r="JI11" s="242"/>
    </row>
    <row r="12">
      <c r="A12" s="8"/>
      <c r="B12" s="255"/>
      <c r="C12" s="221" t="s">
        <v>394</v>
      </c>
      <c r="D12" s="222" t="s">
        <v>395</v>
      </c>
      <c r="E12" s="222" t="s">
        <v>460</v>
      </c>
      <c r="F12" s="222" t="s">
        <v>278</v>
      </c>
      <c r="G12" s="223">
        <v>6.0</v>
      </c>
      <c r="H12" s="222" t="s">
        <v>466</v>
      </c>
      <c r="I12" s="222" t="s">
        <v>467</v>
      </c>
      <c r="J12" s="224" t="s">
        <v>463</v>
      </c>
      <c r="K12" s="248"/>
      <c r="L12" s="227"/>
      <c r="M12" s="250"/>
      <c r="N12" s="250"/>
      <c r="O12" s="227"/>
      <c r="P12" s="251"/>
      <c r="Q12" s="252">
        <f>IFERROR(__xludf.DUMMYFUNCTION("""COMPUTED_VALUE"""),1.0)</f>
        <v>1</v>
      </c>
      <c r="R12" s="227"/>
      <c r="S12" s="227"/>
      <c r="T12" s="305"/>
      <c r="U12" s="151"/>
      <c r="V12" s="151"/>
      <c r="W12" s="151"/>
      <c r="X12" s="151"/>
      <c r="Y12" s="151"/>
      <c r="Z12" s="231" t="s">
        <v>393</v>
      </c>
      <c r="AA12" s="232"/>
      <c r="AB12" s="232"/>
      <c r="AC12" s="232"/>
      <c r="AD12" s="232"/>
      <c r="AE12" s="232"/>
      <c r="AF12" s="232"/>
      <c r="AG12" s="232"/>
      <c r="AH12" s="232"/>
      <c r="AI12" s="232"/>
      <c r="AJ12" s="232">
        <v>5100.0</v>
      </c>
      <c r="AK12" s="232" t="s">
        <v>283</v>
      </c>
      <c r="AL12" s="232" t="s">
        <v>395</v>
      </c>
      <c r="AM12" s="234"/>
      <c r="AN12" s="232"/>
      <c r="AO12" s="232"/>
      <c r="AP12" s="232"/>
      <c r="AQ12" s="232"/>
      <c r="AR12" s="232"/>
      <c r="AS12" s="232"/>
      <c r="AT12" s="232"/>
      <c r="AU12" s="232"/>
      <c r="AV12" s="232"/>
      <c r="AW12" s="232"/>
      <c r="AX12" s="232"/>
      <c r="AY12" s="235"/>
      <c r="AZ12" s="232"/>
      <c r="BA12" s="232"/>
      <c r="BB12" s="232"/>
      <c r="BC12" s="232"/>
      <c r="BD12" s="232"/>
      <c r="BE12" s="232"/>
      <c r="BF12" s="232"/>
      <c r="BG12" s="232"/>
      <c r="BH12" s="232"/>
      <c r="BI12" s="232"/>
      <c r="BJ12" s="232"/>
      <c r="BK12" s="232"/>
      <c r="BL12" s="232"/>
      <c r="BM12" s="232"/>
      <c r="BN12" s="232"/>
      <c r="BO12" s="232"/>
      <c r="BP12" s="232"/>
      <c r="BQ12" s="232"/>
      <c r="BR12" s="232"/>
      <c r="BS12" s="232"/>
      <c r="BT12" s="232"/>
      <c r="BU12" s="232"/>
      <c r="BV12" s="232"/>
      <c r="BW12" s="232"/>
      <c r="BX12" s="232"/>
      <c r="BY12" s="232"/>
      <c r="BZ12" s="235"/>
      <c r="CA12" s="232"/>
      <c r="CB12" s="232"/>
      <c r="CC12" s="232"/>
      <c r="CD12" s="232"/>
      <c r="CE12" s="232"/>
      <c r="CF12" s="232"/>
      <c r="CG12" s="232"/>
      <c r="CH12" s="232"/>
      <c r="CI12" s="232"/>
      <c r="CJ12" s="232"/>
      <c r="CK12" s="232"/>
      <c r="CL12" s="232"/>
      <c r="CM12" s="232"/>
      <c r="CN12" s="232"/>
      <c r="CO12" s="235"/>
      <c r="CP12" s="232"/>
      <c r="CQ12" s="232"/>
      <c r="CR12" s="232"/>
      <c r="CS12" s="232"/>
      <c r="CT12" s="232"/>
      <c r="CU12" s="232"/>
      <c r="CV12" s="232"/>
      <c r="CW12" s="232"/>
      <c r="CX12" s="232"/>
      <c r="CY12" s="232"/>
      <c r="CZ12" s="232"/>
      <c r="DA12" s="232"/>
      <c r="DB12" s="232"/>
      <c r="DC12" s="232"/>
      <c r="DD12" s="232"/>
      <c r="DE12" s="232"/>
      <c r="DF12" s="232"/>
      <c r="DG12" s="232"/>
      <c r="DH12" s="232"/>
      <c r="DI12" s="232"/>
      <c r="DJ12" s="232"/>
      <c r="DK12" s="232"/>
      <c r="DL12" s="232"/>
      <c r="DM12" s="232"/>
      <c r="DN12" s="232"/>
      <c r="DO12" s="232"/>
      <c r="DP12" s="232"/>
      <c r="DQ12" s="232"/>
      <c r="DR12" s="232"/>
      <c r="DS12" s="232"/>
      <c r="DT12" s="232"/>
      <c r="DU12" s="232"/>
      <c r="DV12" s="232"/>
      <c r="DW12" s="232"/>
      <c r="DX12" s="232"/>
      <c r="DY12" s="232"/>
      <c r="DZ12" s="232"/>
      <c r="EA12" s="232"/>
      <c r="EB12" s="232"/>
      <c r="EC12" s="232"/>
      <c r="ED12" s="232"/>
      <c r="EE12" s="232"/>
      <c r="EF12" s="232"/>
      <c r="EG12" s="232"/>
      <c r="EH12" s="232"/>
      <c r="EI12" s="232"/>
      <c r="EJ12" s="232"/>
      <c r="EK12" s="232"/>
      <c r="EL12" s="232"/>
      <c r="EM12" s="232"/>
      <c r="EN12" s="232"/>
      <c r="EO12" s="232"/>
      <c r="EP12" s="232"/>
      <c r="EQ12" s="232"/>
      <c r="ER12" s="232"/>
      <c r="ES12" s="232"/>
      <c r="ET12" s="232"/>
      <c r="EU12" s="232"/>
      <c r="EV12" s="232"/>
      <c r="EW12" s="232"/>
      <c r="EX12" s="232"/>
      <c r="EY12" s="232"/>
      <c r="EZ12" s="232"/>
      <c r="FA12" s="232"/>
      <c r="FB12" s="232"/>
      <c r="FC12" s="232"/>
      <c r="FD12" s="232"/>
      <c r="FE12" s="232"/>
      <c r="FF12" s="232"/>
      <c r="FG12" s="232"/>
      <c r="FH12" s="232"/>
      <c r="FI12" s="232"/>
      <c r="FJ12" s="232"/>
      <c r="FK12" s="232"/>
      <c r="FL12" s="232"/>
      <c r="FM12" s="232"/>
      <c r="FN12" s="232"/>
      <c r="FO12" s="232"/>
      <c r="FP12" s="232"/>
      <c r="FQ12" s="232"/>
      <c r="FR12" s="232"/>
      <c r="FS12" s="232"/>
      <c r="FT12" s="232"/>
      <c r="FU12" s="232"/>
      <c r="FV12" s="232"/>
      <c r="FW12" s="232"/>
      <c r="FX12" s="232"/>
      <c r="FY12" s="232"/>
      <c r="FZ12" s="232"/>
      <c r="GA12" s="232"/>
      <c r="GB12" s="232"/>
      <c r="GC12" s="232"/>
      <c r="GD12" s="232"/>
      <c r="GE12" s="232"/>
      <c r="GF12" s="232"/>
      <c r="GG12" s="151"/>
      <c r="GH12" s="151"/>
      <c r="GI12" s="151"/>
      <c r="GJ12" s="151"/>
      <c r="GK12" s="151"/>
      <c r="GL12" s="151"/>
      <c r="GM12" s="151"/>
      <c r="GN12" s="151"/>
      <c r="GO12" s="151"/>
      <c r="GP12" s="151"/>
      <c r="GQ12" s="151"/>
      <c r="GR12" s="151"/>
      <c r="GS12" s="151"/>
      <c r="GT12" s="151"/>
      <c r="GU12" s="151"/>
      <c r="GV12" s="151"/>
      <c r="GW12" s="151"/>
      <c r="GX12" s="151"/>
      <c r="GY12" s="151"/>
      <c r="GZ12" s="151"/>
      <c r="HA12" s="151"/>
      <c r="HB12" s="151"/>
      <c r="HC12" s="151"/>
      <c r="HD12" s="151"/>
      <c r="HE12" s="151"/>
      <c r="HF12" s="151"/>
      <c r="HG12" s="151"/>
      <c r="HH12" s="151"/>
      <c r="HI12" s="151"/>
      <c r="HJ12" s="151"/>
      <c r="HK12" s="151"/>
      <c r="HL12" s="151"/>
      <c r="HM12" s="151"/>
      <c r="HN12" s="151"/>
      <c r="HO12" s="151"/>
      <c r="HP12" s="151"/>
      <c r="HQ12" s="151"/>
      <c r="HR12" s="151"/>
      <c r="HS12" s="151"/>
      <c r="HT12" s="238">
        <f t="shared" si="2"/>
        <v>5100</v>
      </c>
      <c r="HU12" s="240" t="str">
        <f t="shared" si="3"/>
        <v/>
      </c>
      <c r="HV12" s="238" t="str">
        <f t="shared" si="4"/>
        <v/>
      </c>
      <c r="HW12" s="240" t="str">
        <f t="shared" si="5"/>
        <v/>
      </c>
      <c r="HX12" s="238" t="str">
        <f t="shared" si="6"/>
        <v/>
      </c>
      <c r="HY12" s="240" t="str">
        <f t="shared" si="7"/>
        <v/>
      </c>
      <c r="HZ12" s="242"/>
      <c r="IA12" s="242"/>
      <c r="IB12" s="242"/>
      <c r="IC12" s="242"/>
      <c r="ID12" s="243" t="str">
        <f>IFERROR(__xludf.DUMMYFUNCTION("
    IFERROR(  
      TEXTJOIN(""|||"",FALSE , 
        ARRAY_CONSTRAIN( SORT( ARRAYFORMULA(Split(TRANSPOSE 
          (Split(TEXTJOIN(""|||"",TRUE,'1-1 Сбор КП'!$IF12:$IL12),""|||"",FALSE,FALSE)
        ),""|"",FALSE,FALSE)),3,FALSE ),100,2)
      )
    "&amp;",)"),"")</f>
        <v/>
      </c>
      <c r="IE12"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КП'!$AA12),
'1-1 Сбор КП'!$"&amp;"AA12:$HS12,
'1-1 Сбор КП'!$ID12,
BYROW( TRANSPOSE(Split('1-1 Сбор КП'!$IQ12,""|||"",FALSE)),LAMBDA(rc,Split(rc,""📎"",FALSE,FALSE))),
  {'3-3 Выбор поставщиков'!$AB$24:$AB$28 , '3-3 Выбор поставщиков'!$AF$24:$AF$28},
  {'3-3 Выбор поставщиков'!$AB$24:$AB"&amp;"$28 , '3-3 Выбор поставщиков'!$AD$24:$AD$28}
)"),"$AJ$12|||$AJ$1||||||$AK$12|||Подходит: Осн поставщик, Воздушный фильтр  ")</f>
        <v>$AJ$12|||$AJ$1||||||$AK$12|||Подходит: Осн поставщик, Воздушный фильтр  </v>
      </c>
      <c r="IF12" s="246"/>
      <c r="IG12" s="242"/>
      <c r="IH12" s="242"/>
      <c r="II12" s="242"/>
      <c r="IJ12" s="242"/>
      <c r="IK12" s="242"/>
      <c r="IL12" s="242"/>
      <c r="IM12" s="242"/>
      <c r="IN12" s="242"/>
      <c r="IO12" s="242"/>
      <c r="IP12" s="242"/>
      <c r="IQ12" s="242" t="str">
        <f>IFERROR(__xludf.DUMMYFUNCTION("
    IFERROR(  
      TEXTJOIN(""|||"",true , 
        BYROW(
        ARRAY_CONSTRAIN( SORT( ARRAYFORMULA(
          Split( TRANSPOSE (
            Split(TEXTJOIN(""|||"", TRUE, '1-1 Сбор КП'!$IS12:$JF12) ,""|||"",FALSE,FALSE)
          ),""📎"",FALSE,FAL"&amp;"SE)),5,FALSE ),100,4)
        ,LAMBDA(r,TEXTJOIN(""📎"",FALSE ,r))
      )
    ,))"),"$AJ$1📎📎📎Осн поставщик")</f>
        <v>$AJ$1📎📎📎Осн поставщик</v>
      </c>
      <c r="IR12"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КП'!$AA12),
 '1-1 Сбор КП'!$AA12:$HS12,
 '1-1 Сбор КП'!$ID12,
 BYROW( TRANSPOSE(Split('1-1 Сбор КП'!$IQ12,""|||"",FALSE)),LAMBDA("&amp;"rc,Split(rc,""📎"",FALSE,FALSE)))
)
"),"$AJ$12|||$AJ$1|||$AK$12|||$AL$12|||||||||Осн поставщик|||")</f>
        <v>$AJ$12|||$AJ$1|||$AK$12|||$AL$12|||||||||Осн поставщик|||</v>
      </c>
      <c r="IS12" s="246" t="s">
        <v>468</v>
      </c>
      <c r="IT12" s="242"/>
      <c r="IU12" s="242"/>
      <c r="IV12" s="242"/>
      <c r="IW12" s="242"/>
      <c r="IX12" s="242"/>
      <c r="IY12" s="242"/>
      <c r="IZ12" s="242"/>
      <c r="JA12" s="242"/>
      <c r="JB12" s="242"/>
      <c r="JC12" s="242"/>
      <c r="JD12" s="242"/>
      <c r="JE12" s="242"/>
      <c r="JF12" s="242"/>
      <c r="JG12" s="242"/>
      <c r="JH12" s="242"/>
      <c r="JI12" s="242"/>
    </row>
    <row r="13">
      <c r="A13" s="8"/>
      <c r="B13" s="255"/>
      <c r="C13" s="221" t="s">
        <v>397</v>
      </c>
      <c r="D13" s="222" t="s">
        <v>398</v>
      </c>
      <c r="E13" s="222" t="s">
        <v>460</v>
      </c>
      <c r="F13" s="222" t="s">
        <v>278</v>
      </c>
      <c r="G13" s="223">
        <v>6.0</v>
      </c>
      <c r="H13" s="222" t="s">
        <v>469</v>
      </c>
      <c r="I13" s="222" t="s">
        <v>470</v>
      </c>
      <c r="J13" s="224" t="s">
        <v>471</v>
      </c>
      <c r="K13" s="248"/>
      <c r="L13" s="227"/>
      <c r="M13" s="250"/>
      <c r="N13" s="250"/>
      <c r="O13" s="227"/>
      <c r="P13" s="251"/>
      <c r="Q13" s="252">
        <f>IFERROR(__xludf.DUMMYFUNCTION("""COMPUTED_VALUE"""),2.0)</f>
        <v>2</v>
      </c>
      <c r="R13" s="227"/>
      <c r="S13" s="227"/>
      <c r="T13" s="305"/>
      <c r="U13" s="151"/>
      <c r="V13" s="151"/>
      <c r="W13" s="151"/>
      <c r="X13" s="151"/>
      <c r="Y13" s="151"/>
      <c r="Z13" s="231" t="s">
        <v>396</v>
      </c>
      <c r="AA13" s="232"/>
      <c r="AB13" s="232"/>
      <c r="AC13" s="232"/>
      <c r="AD13" s="232">
        <f>6536.89*1.22</f>
        <v>7975.0058</v>
      </c>
      <c r="AE13" s="232"/>
      <c r="AF13" s="232" t="s">
        <v>472</v>
      </c>
      <c r="AG13" s="232"/>
      <c r="AH13" s="232"/>
      <c r="AI13" s="232"/>
      <c r="AJ13" s="232">
        <v>3900.0</v>
      </c>
      <c r="AK13" s="232" t="s">
        <v>283</v>
      </c>
      <c r="AL13" s="232" t="s">
        <v>398</v>
      </c>
      <c r="AM13" s="234"/>
      <c r="AN13" s="232"/>
      <c r="AO13" s="232"/>
      <c r="AP13" s="232"/>
      <c r="AQ13" s="232"/>
      <c r="AR13" s="232"/>
      <c r="AS13" s="232"/>
      <c r="AT13" s="232"/>
      <c r="AU13" s="232"/>
      <c r="AV13" s="232"/>
      <c r="AW13" s="232"/>
      <c r="AX13" s="232"/>
      <c r="AY13" s="235"/>
      <c r="AZ13" s="232"/>
      <c r="BA13" s="232"/>
      <c r="BB13" s="232"/>
      <c r="BC13" s="232"/>
      <c r="BD13" s="232"/>
      <c r="BE13" s="232"/>
      <c r="BF13" s="232"/>
      <c r="BG13" s="232"/>
      <c r="BH13" s="232"/>
      <c r="BI13" s="232"/>
      <c r="BJ13" s="232"/>
      <c r="BK13" s="232"/>
      <c r="BL13" s="232"/>
      <c r="BM13" s="232"/>
      <c r="BN13" s="232"/>
      <c r="BO13" s="232"/>
      <c r="BP13" s="232"/>
      <c r="BQ13" s="232"/>
      <c r="BR13" s="232"/>
      <c r="BS13" s="232"/>
      <c r="BT13" s="232"/>
      <c r="BU13" s="232"/>
      <c r="BV13" s="232"/>
      <c r="BW13" s="232"/>
      <c r="BX13" s="232"/>
      <c r="BY13" s="232"/>
      <c r="BZ13" s="235"/>
      <c r="CA13" s="232"/>
      <c r="CB13" s="232"/>
      <c r="CC13" s="232"/>
      <c r="CD13" s="232"/>
      <c r="CE13" s="232"/>
      <c r="CF13" s="232"/>
      <c r="CG13" s="232"/>
      <c r="CH13" s="232"/>
      <c r="CI13" s="232"/>
      <c r="CJ13" s="232"/>
      <c r="CK13" s="232"/>
      <c r="CL13" s="232"/>
      <c r="CM13" s="232"/>
      <c r="CN13" s="232"/>
      <c r="CO13" s="235"/>
      <c r="CP13" s="232"/>
      <c r="CQ13" s="232"/>
      <c r="CR13" s="232"/>
      <c r="CS13" s="232"/>
      <c r="CT13" s="232"/>
      <c r="CU13" s="232"/>
      <c r="CV13" s="232"/>
      <c r="CW13" s="232"/>
      <c r="CX13" s="232"/>
      <c r="CY13" s="232"/>
      <c r="CZ13" s="232"/>
      <c r="DA13" s="232"/>
      <c r="DB13" s="232"/>
      <c r="DC13" s="232"/>
      <c r="DD13" s="232"/>
      <c r="DE13" s="232"/>
      <c r="DF13" s="232"/>
      <c r="DG13" s="232"/>
      <c r="DH13" s="232"/>
      <c r="DI13" s="232"/>
      <c r="DJ13" s="232"/>
      <c r="DK13" s="232"/>
      <c r="DL13" s="232"/>
      <c r="DM13" s="232"/>
      <c r="DN13" s="232"/>
      <c r="DO13" s="232"/>
      <c r="DP13" s="232"/>
      <c r="DQ13" s="232"/>
      <c r="DR13" s="232"/>
      <c r="DS13" s="232"/>
      <c r="DT13" s="232"/>
      <c r="DU13" s="232"/>
      <c r="DV13" s="232"/>
      <c r="DW13" s="232"/>
      <c r="DX13" s="232"/>
      <c r="DY13" s="232"/>
      <c r="DZ13" s="232"/>
      <c r="EA13" s="232"/>
      <c r="EB13" s="232"/>
      <c r="EC13" s="232"/>
      <c r="ED13" s="232"/>
      <c r="EE13" s="232"/>
      <c r="EF13" s="232"/>
      <c r="EG13" s="232"/>
      <c r="EH13" s="232"/>
      <c r="EI13" s="232"/>
      <c r="EJ13" s="232"/>
      <c r="EK13" s="232"/>
      <c r="EL13" s="232"/>
      <c r="EM13" s="232"/>
      <c r="EN13" s="232"/>
      <c r="EO13" s="232"/>
      <c r="EP13" s="232"/>
      <c r="EQ13" s="232"/>
      <c r="ER13" s="232"/>
      <c r="ES13" s="232"/>
      <c r="ET13" s="232"/>
      <c r="EU13" s="232"/>
      <c r="EV13" s="232"/>
      <c r="EW13" s="232"/>
      <c r="EX13" s="232"/>
      <c r="EY13" s="232"/>
      <c r="EZ13" s="232"/>
      <c r="FA13" s="232"/>
      <c r="FB13" s="232"/>
      <c r="FC13" s="232"/>
      <c r="FD13" s="232"/>
      <c r="FE13" s="232"/>
      <c r="FF13" s="232"/>
      <c r="FG13" s="232"/>
      <c r="FH13" s="232"/>
      <c r="FI13" s="232"/>
      <c r="FJ13" s="232"/>
      <c r="FK13" s="232"/>
      <c r="FL13" s="232"/>
      <c r="FM13" s="232"/>
      <c r="FN13" s="232"/>
      <c r="FO13" s="232"/>
      <c r="FP13" s="232"/>
      <c r="FQ13" s="232"/>
      <c r="FR13" s="232"/>
      <c r="FS13" s="232"/>
      <c r="FT13" s="232"/>
      <c r="FU13" s="232"/>
      <c r="FV13" s="232"/>
      <c r="FW13" s="232"/>
      <c r="FX13" s="232"/>
      <c r="FY13" s="232"/>
      <c r="FZ13" s="232"/>
      <c r="GA13" s="232"/>
      <c r="GB13" s="232"/>
      <c r="GC13" s="232"/>
      <c r="GD13" s="232"/>
      <c r="GE13" s="232"/>
      <c r="GF13" s="232"/>
      <c r="GG13" s="151"/>
      <c r="GH13" s="151"/>
      <c r="GI13" s="151"/>
      <c r="GJ13" s="151"/>
      <c r="GK13" s="151"/>
      <c r="GL13" s="151"/>
      <c r="GM13" s="151"/>
      <c r="GN13" s="151"/>
      <c r="GO13" s="151"/>
      <c r="GP13" s="151"/>
      <c r="GQ13" s="151"/>
      <c r="GR13" s="151"/>
      <c r="GS13" s="151"/>
      <c r="GT13" s="151"/>
      <c r="GU13" s="151"/>
      <c r="GV13" s="151"/>
      <c r="GW13" s="151"/>
      <c r="GX13" s="151"/>
      <c r="GY13" s="151"/>
      <c r="GZ13" s="151"/>
      <c r="HA13" s="151"/>
      <c r="HB13" s="151"/>
      <c r="HC13" s="151"/>
      <c r="HD13" s="151"/>
      <c r="HE13" s="151"/>
      <c r="HF13" s="151"/>
      <c r="HG13" s="151"/>
      <c r="HH13" s="151"/>
      <c r="HI13" s="151"/>
      <c r="HJ13" s="151"/>
      <c r="HK13" s="151"/>
      <c r="HL13" s="151"/>
      <c r="HM13" s="151"/>
      <c r="HN13" s="151"/>
      <c r="HO13" s="151"/>
      <c r="HP13" s="151"/>
      <c r="HQ13" s="151"/>
      <c r="HR13" s="151"/>
      <c r="HS13" s="151"/>
      <c r="HT13" s="238">
        <f t="shared" si="2"/>
        <v>3900</v>
      </c>
      <c r="HU13" s="240" t="str">
        <f t="shared" si="3"/>
        <v/>
      </c>
      <c r="HV13" s="238">
        <f t="shared" si="4"/>
        <v>7975.0058</v>
      </c>
      <c r="HW13" s="240" t="str">
        <f t="shared" si="5"/>
        <v>Характеристики</v>
      </c>
      <c r="HX13" s="238" t="str">
        <f t="shared" si="6"/>
        <v/>
      </c>
      <c r="HY13" s="240" t="str">
        <f t="shared" si="7"/>
        <v/>
      </c>
      <c r="HZ13" s="242"/>
      <c r="IA13" s="242"/>
      <c r="IB13" s="242"/>
      <c r="IC13" s="242"/>
      <c r="ID13" s="243" t="str">
        <f>IFERROR(__xludf.DUMMYFUNCTION("
    IFERROR(  
      TEXTJOIN(""|||"",FALSE , 
        ARRAY_CONSTRAIN( SORT( ARRAYFORMULA(Split(TRANSPOSE 
          (Split(TEXTJOIN(""|||"",TRUE,'1-1 Сбор КП'!$IF13:$IL13),""|||"",FALSE,FALSE)
        ),""|"",FALSE,FALSE)),3,FALSE ),100,2)
      )
    "&amp;",)"),"")</f>
        <v/>
      </c>
      <c r="IE13"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КП'!$AA13),
'1-1 Сбор КП'!$"&amp;"AA13:$HS13,
'1-1 Сбор КП'!$ID13,
BYROW( TRANSPOSE(Split('1-1 Сбор КП'!$IQ13,""|||"",FALSE)),LAMBDA(rc,Split(rc,""📎"",FALSE,FALSE))),
  {'3-3 Выбор поставщиков'!$AB$24:$AB$28 , '3-3 Выбор поставщиков'!$AF$24:$AF$28},
  {'3-3 Выбор поставщиков'!$AB$24:$AB"&amp;"$28 , '3-3 Выбор поставщиков'!$AD$24:$AD$28}
)"),"$AJ$13|||$AJ$1||||||$AK$13|||Подходит: Осн поставщик, Масляный фильтр  |||$AD$13|||$AD$1||||||$AE$13|||Подходит: Да, Масляный фильтр для
компрессора Dalgakiran Inversys
315+  ")</f>
        <v>$AJ$13|||$AJ$1||||||$AK$13|||Подходит: Осн поставщик, Масляный фильтр  |||$AD$13|||$AD$1||||||$AE$13|||Подходит: Да, Масляный фильтр для
компрессора Dalgakiran Inversys
315+  </v>
      </c>
      <c r="IF13" s="246"/>
      <c r="IG13" s="242"/>
      <c r="IH13" s="242"/>
      <c r="II13" s="242"/>
      <c r="IJ13" s="242"/>
      <c r="IK13" s="242"/>
      <c r="IL13" s="242"/>
      <c r="IM13" s="242"/>
      <c r="IN13" s="242"/>
      <c r="IO13" s="242"/>
      <c r="IP13" s="242"/>
      <c r="IQ13" s="242" t="str">
        <f>IFERROR(__xludf.DUMMYFUNCTION("
    IFERROR(  
      TEXTJOIN(""|||"",true , 
        BYROW(
        ARRAY_CONSTRAIN( SORT( ARRAYFORMULA(
          Split( TRANSPOSE (
            Split(TEXTJOIN(""|||"", TRUE, '1-1 Сбор КП'!$IS13:$JF13) ,""|||"",FALSE,FALSE)
          ),""📎"",FALSE,FAL"&amp;"SE)),5,FALSE ),100,4)
        ,LAMBDA(r,TEXTJOIN(""📎"",FALSE ,r))
      )
    ,))"),"$AD$1📎📎📎Да|||$AJ$1📎📎📎Осн поставщик|||$AJ$1📎📎📎Осн поставщик")</f>
        <v>$AD$1📎📎📎Да|||$AJ$1📎📎📎Осн поставщик|||$AJ$1📎📎📎Осн поставщик</v>
      </c>
      <c r="IR13"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КП'!$AA13),
 '1-1 Сбор КП'!$AA13:$HS13,
 '1-1 Сбор КП'!$ID13,
 BYROW( TRANSPOSE(Split('1-1 Сбор КП'!$IQ13,""|||"",FALSE)),LAMBDA("&amp;"rc,Split(rc,""📎"",FALSE,FALSE)))
)
"),"$AJ$13|||$AJ$1|||$AK$13|||$AL$13|||||||||Осн поставщик||||||$AD$13|||$AD$1|||$AE$13|||$AF$13|||||||||Да|||")</f>
        <v>$AJ$13|||$AJ$1|||$AK$13|||$AL$13|||||||||Осн поставщик||||||$AD$13|||$AD$1|||$AE$13|||$AF$13|||||||||Да|||</v>
      </c>
      <c r="IS13" s="246" t="s">
        <v>487</v>
      </c>
      <c r="IT13" s="246" t="s">
        <v>488</v>
      </c>
      <c r="IU13" s="242"/>
      <c r="IV13" s="242"/>
      <c r="IW13" s="242"/>
      <c r="IX13" s="242"/>
      <c r="IY13" s="242"/>
      <c r="IZ13" s="242"/>
      <c r="JA13" s="242"/>
      <c r="JB13" s="242"/>
      <c r="JC13" s="242"/>
      <c r="JD13" s="242"/>
      <c r="JE13" s="242"/>
      <c r="JF13" s="242"/>
      <c r="JG13" s="242"/>
      <c r="JH13" s="242"/>
      <c r="JI13" s="242"/>
    </row>
    <row r="14">
      <c r="A14" s="8"/>
      <c r="B14" s="255"/>
      <c r="C14" s="221" t="s">
        <v>400</v>
      </c>
      <c r="D14" s="222" t="s">
        <v>401</v>
      </c>
      <c r="E14" s="222" t="s">
        <v>489</v>
      </c>
      <c r="F14" s="222" t="s">
        <v>278</v>
      </c>
      <c r="G14" s="223">
        <v>2.0</v>
      </c>
      <c r="H14" s="222" t="s">
        <v>490</v>
      </c>
      <c r="I14" s="222" t="s">
        <v>491</v>
      </c>
      <c r="J14" s="224" t="s">
        <v>492</v>
      </c>
      <c r="K14" s="248"/>
      <c r="L14" s="227"/>
      <c r="M14" s="250"/>
      <c r="N14" s="250"/>
      <c r="O14" s="227"/>
      <c r="P14" s="251"/>
      <c r="Q14" s="252">
        <f>IFERROR(__xludf.DUMMYFUNCTION("""COMPUTED_VALUE"""),6.0)</f>
        <v>6</v>
      </c>
      <c r="R14" s="227"/>
      <c r="S14" s="227"/>
      <c r="T14" s="305"/>
      <c r="U14" s="151"/>
      <c r="V14" s="151"/>
      <c r="W14" s="151"/>
      <c r="X14" s="151"/>
      <c r="Y14" s="151"/>
      <c r="Z14" s="231" t="s">
        <v>399</v>
      </c>
      <c r="AA14" s="232">
        <v>55000.0</v>
      </c>
      <c r="AB14" s="232" t="s">
        <v>493</v>
      </c>
      <c r="AC14" s="232" t="s">
        <v>494</v>
      </c>
      <c r="AD14" s="232"/>
      <c r="AE14" s="232"/>
      <c r="AF14" s="232"/>
      <c r="AG14" s="232">
        <v>30825.0</v>
      </c>
      <c r="AH14" s="232" t="s">
        <v>287</v>
      </c>
      <c r="AI14" s="232" t="s">
        <v>495</v>
      </c>
      <c r="AJ14" s="232"/>
      <c r="AK14" s="232"/>
      <c r="AL14" s="232"/>
      <c r="AM14" s="234"/>
      <c r="AN14" s="232"/>
      <c r="AO14" s="232"/>
      <c r="AP14" s="232"/>
      <c r="AQ14" s="232"/>
      <c r="AR14" s="232"/>
      <c r="AS14" s="232">
        <v>47250.0</v>
      </c>
      <c r="AT14" s="232" t="s">
        <v>496</v>
      </c>
      <c r="AU14" s="232" t="s">
        <v>495</v>
      </c>
      <c r="AV14" s="232">
        <v>50500.0</v>
      </c>
      <c r="AW14" s="232" t="s">
        <v>497</v>
      </c>
      <c r="AX14" s="232" t="s">
        <v>498</v>
      </c>
      <c r="AY14" s="235"/>
      <c r="AZ14" s="232"/>
      <c r="BA14" s="232"/>
      <c r="BB14" s="232"/>
      <c r="BC14" s="232"/>
      <c r="BD14" s="232"/>
      <c r="BE14" s="234">
        <v>36900.0</v>
      </c>
      <c r="BF14" s="232" t="s">
        <v>283</v>
      </c>
      <c r="BG14" s="232" t="s">
        <v>499</v>
      </c>
      <c r="BH14" s="232"/>
      <c r="BI14" s="232"/>
      <c r="BJ14" s="232"/>
      <c r="BK14" s="234"/>
      <c r="BL14" s="232"/>
      <c r="BM14" s="232"/>
      <c r="BN14" s="232">
        <v>58476.0</v>
      </c>
      <c r="BO14" s="232" t="s">
        <v>493</v>
      </c>
      <c r="BP14" s="232" t="s">
        <v>500</v>
      </c>
      <c r="BQ14" s="234"/>
      <c r="BR14" s="232"/>
      <c r="BS14" s="232"/>
      <c r="BT14" s="232"/>
      <c r="BU14" s="232"/>
      <c r="BV14" s="232"/>
      <c r="BW14" s="232"/>
      <c r="BX14" s="232"/>
      <c r="BY14" s="232"/>
      <c r="BZ14" s="235"/>
      <c r="CA14" s="232"/>
      <c r="CB14" s="232"/>
      <c r="CC14" s="232"/>
      <c r="CD14" s="232"/>
      <c r="CE14" s="232"/>
      <c r="CF14" s="232"/>
      <c r="CG14" s="232"/>
      <c r="CH14" s="232"/>
      <c r="CI14" s="232"/>
      <c r="CJ14" s="232"/>
      <c r="CK14" s="232"/>
      <c r="CL14" s="232"/>
      <c r="CM14" s="232"/>
      <c r="CN14" s="232"/>
      <c r="CO14" s="235"/>
      <c r="CP14" s="232"/>
      <c r="CQ14" s="232"/>
      <c r="CR14" s="232"/>
      <c r="CS14" s="232"/>
      <c r="CT14" s="232"/>
      <c r="CU14" s="232"/>
      <c r="CV14" s="232"/>
      <c r="CW14" s="232"/>
      <c r="CX14" s="232"/>
      <c r="CY14" s="232"/>
      <c r="CZ14" s="232"/>
      <c r="DA14" s="232"/>
      <c r="DB14" s="232"/>
      <c r="DC14" s="232"/>
      <c r="DD14" s="232"/>
      <c r="DE14" s="232"/>
      <c r="DF14" s="232"/>
      <c r="DG14" s="232"/>
      <c r="DH14" s="232"/>
      <c r="DI14" s="232"/>
      <c r="DJ14" s="232"/>
      <c r="DK14" s="232"/>
      <c r="DL14" s="232"/>
      <c r="DM14" s="232"/>
      <c r="DN14" s="232"/>
      <c r="DO14" s="232"/>
      <c r="DP14" s="232"/>
      <c r="DQ14" s="232"/>
      <c r="DR14" s="232"/>
      <c r="DS14" s="232"/>
      <c r="DT14" s="232"/>
      <c r="DU14" s="232"/>
      <c r="DV14" s="232"/>
      <c r="DW14" s="232"/>
      <c r="DX14" s="232"/>
      <c r="DY14" s="232"/>
      <c r="DZ14" s="232"/>
      <c r="EA14" s="232"/>
      <c r="EB14" s="232"/>
      <c r="EC14" s="232"/>
      <c r="ED14" s="232"/>
      <c r="EE14" s="232"/>
      <c r="EF14" s="232"/>
      <c r="EG14" s="232"/>
      <c r="EH14" s="232"/>
      <c r="EI14" s="232"/>
      <c r="EJ14" s="232"/>
      <c r="EK14" s="232"/>
      <c r="EL14" s="232"/>
      <c r="EM14" s="232"/>
      <c r="EN14" s="232"/>
      <c r="EO14" s="232"/>
      <c r="EP14" s="232"/>
      <c r="EQ14" s="232"/>
      <c r="ER14" s="232"/>
      <c r="ES14" s="232"/>
      <c r="ET14" s="232"/>
      <c r="EU14" s="232"/>
      <c r="EV14" s="232"/>
      <c r="EW14" s="232"/>
      <c r="EX14" s="232"/>
      <c r="EY14" s="232"/>
      <c r="EZ14" s="232"/>
      <c r="FA14" s="232"/>
      <c r="FB14" s="232"/>
      <c r="FC14" s="232"/>
      <c r="FD14" s="232"/>
      <c r="FE14" s="232"/>
      <c r="FF14" s="232"/>
      <c r="FG14" s="232"/>
      <c r="FH14" s="232"/>
      <c r="FI14" s="232"/>
      <c r="FJ14" s="232"/>
      <c r="FK14" s="232"/>
      <c r="FL14" s="232"/>
      <c r="FM14" s="232"/>
      <c r="FN14" s="232"/>
      <c r="FO14" s="232"/>
      <c r="FP14" s="232"/>
      <c r="FQ14" s="232"/>
      <c r="FR14" s="232"/>
      <c r="FS14" s="232"/>
      <c r="FT14" s="232"/>
      <c r="FU14" s="232"/>
      <c r="FV14" s="232"/>
      <c r="FW14" s="232"/>
      <c r="FX14" s="232"/>
      <c r="FY14" s="232"/>
      <c r="FZ14" s="232"/>
      <c r="GA14" s="232"/>
      <c r="GB14" s="232"/>
      <c r="GC14" s="232"/>
      <c r="GD14" s="232"/>
      <c r="GE14" s="232"/>
      <c r="GF14" s="232"/>
      <c r="GG14" s="151"/>
      <c r="GH14" s="151"/>
      <c r="GI14" s="151"/>
      <c r="GJ14" s="151"/>
      <c r="GK14" s="151"/>
      <c r="GL14" s="151"/>
      <c r="GM14" s="151"/>
      <c r="GN14" s="151"/>
      <c r="GO14" s="151"/>
      <c r="GP14" s="151"/>
      <c r="GQ14" s="151"/>
      <c r="GR14" s="151"/>
      <c r="GS14" s="151"/>
      <c r="GT14" s="151"/>
      <c r="GU14" s="151"/>
      <c r="GV14" s="151"/>
      <c r="GW14" s="151"/>
      <c r="GX14" s="151"/>
      <c r="GY14" s="151"/>
      <c r="GZ14" s="151"/>
      <c r="HA14" s="151"/>
      <c r="HB14" s="151"/>
      <c r="HC14" s="151"/>
      <c r="HD14" s="151"/>
      <c r="HE14" s="151"/>
      <c r="HF14" s="151"/>
      <c r="HG14" s="151"/>
      <c r="HH14" s="151"/>
      <c r="HI14" s="151"/>
      <c r="HJ14" s="151"/>
      <c r="HK14" s="151"/>
      <c r="HL14" s="151"/>
      <c r="HM14" s="151"/>
      <c r="HN14" s="151"/>
      <c r="HO14" s="151"/>
      <c r="HP14" s="151"/>
      <c r="HQ14" s="151"/>
      <c r="HR14" s="151"/>
      <c r="HS14" s="151"/>
      <c r="HT14" s="238">
        <f t="shared" si="2"/>
        <v>30825</v>
      </c>
      <c r="HU14" s="240" t="str">
        <f t="shared" si="3"/>
        <v/>
      </c>
      <c r="HV14" s="238">
        <f t="shared" si="4"/>
        <v>36900</v>
      </c>
      <c r="HW14" s="240" t="str">
        <f t="shared" si="5"/>
        <v/>
      </c>
      <c r="HX14" s="238">
        <f t="shared" si="6"/>
        <v>47250</v>
      </c>
      <c r="HY14" s="240" t="str">
        <f t="shared" si="7"/>
        <v/>
      </c>
      <c r="HZ14" s="242"/>
      <c r="IA14" s="242"/>
      <c r="IB14" s="242"/>
      <c r="IC14" s="242"/>
      <c r="ID14" s="243" t="str">
        <f>IFERROR(__xludf.DUMMYFUNCTION("
    IFERROR(  
      TEXTJOIN(""|||"",FALSE , 
        ARRAY_CONSTRAIN( SORT( ARRAYFORMULA(Split(TRANSPOSE 
          (Split(TEXTJOIN(""|||"",TRUE,'1-1 Сбор КП'!$IF14:$IL14),""|||"",FALSE,FALSE)
        ),""|"",FALSE,FALSE)),3,FALSE ),100,2)
      )
    "&amp;",)"),"")</f>
        <v/>
      </c>
      <c r="IE14"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КП'!$AA14),
'1-1 Сбор КП'!$"&amp;"AA14:$HS14,
'1-1 Сбор КП'!$ID14,
BYROW( TRANSPOSE(Split('1-1 Сбор КП'!$IQ14,""|||"",FALSE)),LAMBDA(rc,Split(rc,""📎"",FALSE,FALSE))),
  {'3-3 Выбор поставщиков'!$AB$24:$AB$28 , '3-3 Выбор поставщиков'!$AF$24:$AF$28},
  {'3-3 Выбор поставщиков'!$AB$24:$AB"&amp;"$28 , '3-3 Выбор поставщиков'!$AD$24:$AD$28}
)"),"$AG$14|||$AG$1||||||$AH$14|||Подходит: Осн поставщик, Масляный сепаратор DS 3084  |||$BE$14|||$BE$1||||||$BF$14|||Подходит: Да, Cепаратор DS 3084 [ Аналог DC/S3084 ]   |||$AS$14|||$AS$1||||||$AT$14|||Подходит: -?, Масляный сепаратор DS 3084  |||$AV$14|||$"&amp;"AV$1||||||$AW$14|||Подходит: -?, DS 3084  |||$AA$14|||$AA$1||||||$AB$14|||Подходит: -?, Масляный сепаратор DS 3084 = NS 008430  |||$BN$14|||$BN$1||||||$BO$14|||Подходит: -?, Фильтр сепаратор SOTRAS DC 3084  ")</f>
        <v>$AG$14|||$AG$1||||||$AH$14|||Подходит: Осн поставщик, Масляный сепаратор DS 3084  |||$BE$14|||$BE$1||||||$BF$14|||Подходит: Да, Cепаратор DS 3084 [ Аналог DC/S3084 ]   |||$AS$14|||$AS$1||||||$AT$14|||Подходит: -?, Масляный сепаратор DS 3084  |||$AV$14|||$AV$1||||||$AW$14|||Подходит: -?, DS 3084  |||$AA$14|||$AA$1||||||$AB$14|||Подходит: -?, Масляный сепаратор DS 3084 = NS 008430  |||$BN$14|||$BN$1||||||$BO$14|||Подходит: -?, Фильтр сепаратор SOTRAS DC 3084  </v>
      </c>
      <c r="IF14" s="246"/>
      <c r="IG14" s="242"/>
      <c r="IH14" s="242"/>
      <c r="II14" s="242"/>
      <c r="IJ14" s="242"/>
      <c r="IK14" s="242"/>
      <c r="IL14" s="242"/>
      <c r="IM14" s="242"/>
      <c r="IN14" s="242"/>
      <c r="IO14" s="242"/>
      <c r="IP14" s="242"/>
      <c r="IQ14" s="242" t="str">
        <f>IFERROR(__xludf.DUMMYFUNCTION("
    IFERROR(  
      TEXTJOIN(""|||"",true , 
        BYROW(
        ARRAY_CONSTRAIN( SORT( ARRAYFORMULA(
          Split( TRANSPOSE (
            Split(TEXTJOIN(""|||"", TRUE, '1-1 Сбор КП'!$IS14:$JF14) ,""|||"",FALSE,FALSE)
          ),""📎"",FALSE,FAL"&amp;"SE)),5,FALSE ),100,4)
        ,LAMBDA(r,TEXTJOIN(""📎"",FALSE ,r))
      )
    ,))"),"$BE$1📎📎📎Да|||$AG$1📎📎📎Осн поставщик|||$AG$1📎📎📎Осн поставщик")</f>
        <v>$BE$1📎📎📎Да|||$AG$1📎📎📎Осн поставщик|||$AG$1📎📎📎Осн поставщик</v>
      </c>
      <c r="IR14"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КП'!$AA14),
 '1-1 Сбор КП'!$AA14:$HS14,
 '1-1 Сбор КП'!$ID14,
 BYROW( TRANSPOSE(Split('1-1 Сбор КП'!$IQ14,""|||"",FALSE)),LAMBDA("&amp;"rc,Split(rc,""📎"",FALSE,FALSE)))
)
"),"$AG$14|||$AG$1|||$AH$14|||$AI$14|||||||||Осн поставщик||||||$BE$14|||$BE$1|||$BF$14|||$BG$14|||||||||Да||||||$AS$14|||$AS$1|||$AT$14|||$AU$14|||||||||||||||$AV$14|||$AV$1|||$AW$14|||$AX$14|||||||||||||||$AA$14|||$AA$1|||$AB$14|||$AC$14|||||||||||||||$BN$1"&amp;"4|||$BN$1|||$BO$14|||$BP$14||||||||||||")</f>
        <v>$AG$14|||$AG$1|||$AH$14|||$AI$14|||||||||Осн поставщик||||||$BE$14|||$BE$1|||$BF$14|||$BG$14|||||||||Да||||||$AS$14|||$AS$1|||$AT$14|||$AU$14|||||||||||||||$AV$14|||$AV$1|||$AW$14|||$AX$14|||||||||||||||$AA$14|||$AA$1|||$AB$14|||$AC$14|||||||||||||||$BN$14|||$BN$1|||$BO$14|||$BP$14||||||||||||</v>
      </c>
      <c r="IS14" s="246" t="s">
        <v>506</v>
      </c>
      <c r="IT14" s="246" t="s">
        <v>507</v>
      </c>
      <c r="IU14" s="242"/>
      <c r="IV14" s="242"/>
      <c r="IW14" s="242"/>
      <c r="IX14" s="242"/>
      <c r="IY14" s="242"/>
      <c r="IZ14" s="242"/>
      <c r="JA14" s="242"/>
      <c r="JB14" s="242"/>
      <c r="JC14" s="242"/>
      <c r="JD14" s="242"/>
      <c r="JE14" s="242"/>
      <c r="JF14" s="242"/>
      <c r="JG14" s="242"/>
      <c r="JH14" s="242"/>
      <c r="JI14" s="242"/>
    </row>
    <row r="15">
      <c r="A15" s="8"/>
      <c r="B15" s="255"/>
      <c r="C15" s="221" t="s">
        <v>403</v>
      </c>
      <c r="D15" s="222" t="s">
        <v>404</v>
      </c>
      <c r="E15" s="222" t="s">
        <v>489</v>
      </c>
      <c r="F15" s="222" t="s">
        <v>278</v>
      </c>
      <c r="G15" s="223">
        <v>4.0</v>
      </c>
      <c r="H15" s="222" t="s">
        <v>508</v>
      </c>
      <c r="I15" s="222" t="s">
        <v>509</v>
      </c>
      <c r="J15" s="224" t="s">
        <v>356</v>
      </c>
      <c r="K15" s="248"/>
      <c r="L15" s="227"/>
      <c r="M15" s="250"/>
      <c r="N15" s="250"/>
      <c r="O15" s="227"/>
      <c r="P15" s="251"/>
      <c r="Q15" s="252">
        <f>IFERROR(__xludf.DUMMYFUNCTION("""COMPUTED_VALUE"""),6.0)</f>
        <v>6</v>
      </c>
      <c r="R15" s="227"/>
      <c r="S15" s="227"/>
      <c r="T15" s="305"/>
      <c r="U15" s="151"/>
      <c r="V15" s="151"/>
      <c r="W15" s="151"/>
      <c r="X15" s="151"/>
      <c r="Y15" s="151"/>
      <c r="Z15" s="231" t="s">
        <v>402</v>
      </c>
      <c r="AA15" s="232">
        <v>2900.0</v>
      </c>
      <c r="AB15" s="232" t="s">
        <v>497</v>
      </c>
      <c r="AC15" s="232" t="s">
        <v>510</v>
      </c>
      <c r="AD15" s="232"/>
      <c r="AE15" s="232"/>
      <c r="AF15" s="232"/>
      <c r="AG15" s="232">
        <v>1326.0</v>
      </c>
      <c r="AH15" s="232" t="s">
        <v>287</v>
      </c>
      <c r="AI15" s="232" t="s">
        <v>511</v>
      </c>
      <c r="AJ15" s="232"/>
      <c r="AK15" s="232"/>
      <c r="AL15" s="232"/>
      <c r="AM15" s="234"/>
      <c r="AN15" s="232"/>
      <c r="AO15" s="232"/>
      <c r="AP15" s="232"/>
      <c r="AQ15" s="232"/>
      <c r="AR15" s="232"/>
      <c r="AS15" s="232">
        <f>4350+1750</f>
        <v>6100</v>
      </c>
      <c r="AT15" s="232" t="s">
        <v>289</v>
      </c>
      <c r="AU15" s="232" t="s">
        <v>512</v>
      </c>
      <c r="AV15" s="232">
        <v>900.0</v>
      </c>
      <c r="AW15" s="232" t="s">
        <v>287</v>
      </c>
      <c r="AX15" s="232" t="s">
        <v>513</v>
      </c>
      <c r="AY15" s="235">
        <v>1838.86</v>
      </c>
      <c r="AZ15" s="232"/>
      <c r="BA15" s="232" t="s">
        <v>514</v>
      </c>
      <c r="BB15" s="232"/>
      <c r="BC15" s="232"/>
      <c r="BD15" s="232"/>
      <c r="BE15" s="234"/>
      <c r="BF15" s="232"/>
      <c r="BG15" s="232"/>
      <c r="BH15" s="232"/>
      <c r="BI15" s="232"/>
      <c r="BJ15" s="232"/>
      <c r="BK15" s="234"/>
      <c r="BL15" s="232"/>
      <c r="BM15" s="232"/>
      <c r="BN15" s="232">
        <v>1064.0</v>
      </c>
      <c r="BO15" s="232" t="s">
        <v>493</v>
      </c>
      <c r="BP15" s="232" t="s">
        <v>515</v>
      </c>
      <c r="BQ15" s="234"/>
      <c r="BR15" s="232"/>
      <c r="BS15" s="232"/>
      <c r="BT15" s="232"/>
      <c r="BU15" s="232"/>
      <c r="BV15" s="232"/>
      <c r="BW15" s="232"/>
      <c r="BX15" s="232"/>
      <c r="BY15" s="232"/>
      <c r="BZ15" s="235"/>
      <c r="CA15" s="232"/>
      <c r="CB15" s="232"/>
      <c r="CC15" s="232"/>
      <c r="CD15" s="232"/>
      <c r="CE15" s="232"/>
      <c r="CF15" s="232"/>
      <c r="CG15" s="232"/>
      <c r="CH15" s="232"/>
      <c r="CI15" s="232"/>
      <c r="CJ15" s="232"/>
      <c r="CK15" s="232"/>
      <c r="CL15" s="232"/>
      <c r="CM15" s="232"/>
      <c r="CN15" s="232"/>
      <c r="CO15" s="235"/>
      <c r="CP15" s="232"/>
      <c r="CQ15" s="232"/>
      <c r="CR15" s="232"/>
      <c r="CS15" s="232"/>
      <c r="CT15" s="232"/>
      <c r="CU15" s="232"/>
      <c r="CV15" s="232"/>
      <c r="CW15" s="232"/>
      <c r="CX15" s="232"/>
      <c r="CY15" s="232"/>
      <c r="CZ15" s="232"/>
      <c r="DA15" s="232"/>
      <c r="DB15" s="232"/>
      <c r="DC15" s="232"/>
      <c r="DD15" s="232"/>
      <c r="DE15" s="232"/>
      <c r="DF15" s="232"/>
      <c r="DG15" s="232"/>
      <c r="DH15" s="232"/>
      <c r="DI15" s="232"/>
      <c r="DJ15" s="232"/>
      <c r="DK15" s="232"/>
      <c r="DL15" s="232"/>
      <c r="DM15" s="232"/>
      <c r="DN15" s="232"/>
      <c r="DO15" s="232"/>
      <c r="DP15" s="232"/>
      <c r="DQ15" s="232"/>
      <c r="DR15" s="232"/>
      <c r="DS15" s="232"/>
      <c r="DT15" s="232"/>
      <c r="DU15" s="232"/>
      <c r="DV15" s="232"/>
      <c r="DW15" s="232"/>
      <c r="DX15" s="232"/>
      <c r="DY15" s="232"/>
      <c r="DZ15" s="232"/>
      <c r="EA15" s="232"/>
      <c r="EB15" s="232"/>
      <c r="EC15" s="232"/>
      <c r="ED15" s="232"/>
      <c r="EE15" s="232"/>
      <c r="EF15" s="232"/>
      <c r="EG15" s="232"/>
      <c r="EH15" s="232"/>
      <c r="EI15" s="232"/>
      <c r="EJ15" s="232"/>
      <c r="EK15" s="232"/>
      <c r="EL15" s="232"/>
      <c r="EM15" s="232"/>
      <c r="EN15" s="232"/>
      <c r="EO15" s="232"/>
      <c r="EP15" s="232"/>
      <c r="EQ15" s="232"/>
      <c r="ER15" s="232"/>
      <c r="ES15" s="232"/>
      <c r="ET15" s="232"/>
      <c r="EU15" s="232"/>
      <c r="EV15" s="232"/>
      <c r="EW15" s="232"/>
      <c r="EX15" s="232"/>
      <c r="EY15" s="232"/>
      <c r="EZ15" s="232"/>
      <c r="FA15" s="232"/>
      <c r="FB15" s="232"/>
      <c r="FC15" s="232"/>
      <c r="FD15" s="232"/>
      <c r="FE15" s="232"/>
      <c r="FF15" s="232"/>
      <c r="FG15" s="232"/>
      <c r="FH15" s="232"/>
      <c r="FI15" s="232"/>
      <c r="FJ15" s="232"/>
      <c r="FK15" s="232"/>
      <c r="FL15" s="232"/>
      <c r="FM15" s="232"/>
      <c r="FN15" s="232"/>
      <c r="FO15" s="232"/>
      <c r="FP15" s="232"/>
      <c r="FQ15" s="232"/>
      <c r="FR15" s="232"/>
      <c r="FS15" s="232"/>
      <c r="FT15" s="232"/>
      <c r="FU15" s="232"/>
      <c r="FV15" s="232"/>
      <c r="FW15" s="232"/>
      <c r="FX15" s="232"/>
      <c r="FY15" s="232"/>
      <c r="FZ15" s="232"/>
      <c r="GA15" s="232"/>
      <c r="GB15" s="232"/>
      <c r="GC15" s="232"/>
      <c r="GD15" s="232"/>
      <c r="GE15" s="232"/>
      <c r="GF15" s="232"/>
      <c r="GG15" s="151"/>
      <c r="GH15" s="151"/>
      <c r="GI15" s="151"/>
      <c r="GJ15" s="151"/>
      <c r="GK15" s="151"/>
      <c r="GL15" s="151"/>
      <c r="GM15" s="151"/>
      <c r="GN15" s="151"/>
      <c r="GO15" s="151"/>
      <c r="GP15" s="151"/>
      <c r="GQ15" s="151"/>
      <c r="GR15" s="151"/>
      <c r="GS15" s="151"/>
      <c r="GT15" s="151"/>
      <c r="GU15" s="151"/>
      <c r="GV15" s="151"/>
      <c r="GW15" s="151"/>
      <c r="GX15" s="151"/>
      <c r="GY15" s="151"/>
      <c r="GZ15" s="151"/>
      <c r="HA15" s="151"/>
      <c r="HB15" s="151"/>
      <c r="HC15" s="151"/>
      <c r="HD15" s="151"/>
      <c r="HE15" s="151"/>
      <c r="HF15" s="151"/>
      <c r="HG15" s="151"/>
      <c r="HH15" s="151"/>
      <c r="HI15" s="151"/>
      <c r="HJ15" s="151"/>
      <c r="HK15" s="151"/>
      <c r="HL15" s="151"/>
      <c r="HM15" s="151"/>
      <c r="HN15" s="151"/>
      <c r="HO15" s="151"/>
      <c r="HP15" s="151"/>
      <c r="HQ15" s="151"/>
      <c r="HR15" s="151"/>
      <c r="HS15" s="151"/>
      <c r="HT15" s="238">
        <f t="shared" si="2"/>
        <v>900</v>
      </c>
      <c r="HU15" s="240" t="str">
        <f t="shared" si="3"/>
        <v/>
      </c>
      <c r="HV15" s="238">
        <f t="shared" si="4"/>
        <v>1064</v>
      </c>
      <c r="HW15" s="240" t="str">
        <f t="shared" si="5"/>
        <v/>
      </c>
      <c r="HX15" s="238">
        <f t="shared" si="6"/>
        <v>1326</v>
      </c>
      <c r="HY15" s="240" t="str">
        <f t="shared" si="7"/>
        <v/>
      </c>
      <c r="HZ15" s="242"/>
      <c r="IA15" s="242"/>
      <c r="IB15" s="242"/>
      <c r="IC15" s="242"/>
      <c r="ID15" s="243" t="str">
        <f>IFERROR(__xludf.DUMMYFUNCTION("
    IFERROR(  
      TEXTJOIN(""|||"",FALSE , 
        ARRAY_CONSTRAIN( SORT( ARRAYFORMULA(Split(TRANSPOSE 
          (Split(TEXTJOIN(""|||"",TRUE,'1-1 Сбор КП'!$IF15:$IL15),""|||"",FALSE,FALSE)
        ),""|"",FALSE,FALSE)),3,FALSE ),100,2)
      )
    "&amp;",)"),"")</f>
        <v/>
      </c>
      <c r="IE15"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КП'!$AA15),
'1-1 Сбор КП'!$"&amp;"AA15:$HS15,
'1-1 Сбор КП'!$ID15,
BYROW( TRANSPOSE(Split('1-1 Сбор КП'!$IQ15,""|||"",FALSE)),LAMBDA(rc,Split(rc,""📎"",FALSE,FALSE))),
  {'3-3 Выбор поставщиков'!$AB$24:$AB$28 , '3-3 Выбор поставщиков'!$AF$24:$AF$28},
  {'3-3 Выбор поставщиков'!$AB$24:$AB"&amp;"$28 , '3-3 Выбор поставщиков'!$AD$24:$AD$28}
)"),"$AV$15|||$AV$1||||||$AW$15|||Подходит: Осн поставщик, 7405. 1109560  |||$BN$15|||$BN$1||||||$BO$15|||Подходит: Нет, 701.01.059 DOKA Элемент вфильтра  |||$AG$15|||$AG$1||||||$AH$15|||Подходит: Да, Аналог DIFA4319M  |||$AY$15|||$AY$1||||||$AZ$15|||Подходит:"&amp;" Да, NF4502 Фильтрэлемент очистки воздуха (ФП 207.1-04 Optima) КАМАЗ-7405 Евро-1 /
OEM: 7405-1109.560  |||$AA$15|||$AA$1||||||$AB$15|||Подходит: -?, Воздушный фильтр ЛААЗ ЭФВ 721.1109560 (7405. 1109560)   |||$AS$15|||$AS$1||||||$AT$15|||Подходит: -?, 721"&amp;".1109560, Элемент фильтрующий очистки воздуха (основной), 
721.1109560, Элемент фильтрующий очистки воздуха (внутренний)  ")</f>
        <v>$AV$15|||$AV$1||||||$AW$15|||Подходит: Осн поставщик, 7405. 1109560  |||$BN$15|||$BN$1||||||$BO$15|||Подходит: Нет, 701.01.059 DOKA Элемент вфильтра  |||$AG$15|||$AG$1||||||$AH$15|||Подходит: Да, Аналог DIFA4319M  |||$AY$15|||$AY$1||||||$AZ$15|||Подходит: Да, NF4502 Фильтрэлемент очистки воздуха (ФП 207.1-04 Optima) КАМАЗ-7405 Евро-1 /
OEM: 7405-1109.560  |||$AA$15|||$AA$1||||||$AB$15|||Подходит: -?, Воздушный фильтр ЛААЗ ЭФВ 721.1109560 (7405. 1109560)   |||$AS$15|||$AS$1||||||$AT$15|||Подходит: -?, 721.1109560, Элемент фильтрующий очистки воздуха (основной), 
721.1109560, Элемент фильтрующий очистки воздуха (внутренний)  </v>
      </c>
      <c r="IF15" s="246"/>
      <c r="IG15" s="242"/>
      <c r="IH15" s="242"/>
      <c r="II15" s="242"/>
      <c r="IJ15" s="242"/>
      <c r="IK15" s="242"/>
      <c r="IL15" s="242"/>
      <c r="IM15" s="242"/>
      <c r="IN15" s="242"/>
      <c r="IO15" s="242"/>
      <c r="IP15" s="242"/>
      <c r="IQ15" s="242" t="str">
        <f>IFERROR(__xludf.DUMMYFUNCTION("
    IFERROR(  
      TEXTJOIN(""|||"",true , 
        BYROW(
        ARRAY_CONSTRAIN( SORT( ARRAYFORMULA(
          Split( TRANSPOSE (
            Split(TEXTJOIN(""|||"", TRUE, '1-1 Сбор КП'!$IS15:$JF15) ,""|||"",FALSE,FALSE)
          ),""📎"",FALSE,FAL"&amp;"SE)),5,FALSE ),100,4)
        ,LAMBDA(r,TEXTJOIN(""📎"",FALSE ,r))
      )
    ,))"),"$AY$1📎📎📎Да|||$AG$1📎📎📎Да|||$AG$1📎📎📎Да|||$BN$1📎📎📎Нет|||$BN$1📎📎📎Нет|||$BN$1📎📎📎Нет|||$AV$1📎📎📎Осн поставщик|||$AV$1📎📎📎Осн поставщик|||$AV$1📎📎📎Осн поставщик|||$AV$1📎📎📎Осн поставщик")</f>
        <v>$AY$1📎📎📎Да|||$AG$1📎📎📎Да|||$AG$1📎📎📎Да|||$BN$1📎📎📎Нет|||$BN$1📎📎📎Нет|||$BN$1📎📎📎Нет|||$AV$1📎📎📎Осн поставщик|||$AV$1📎📎📎Осн поставщик|||$AV$1📎📎📎Осн поставщик|||$AV$1📎📎📎Осн поставщик</v>
      </c>
      <c r="IR15"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КП'!$AA15),
 '1-1 Сбор КП'!$AA15:$HS15,
 '1-1 Сбор КП'!$ID15,
 BYROW( TRANSPOSE(Split('1-1 Сбор КП'!$IQ15,""|||"",FALSE)),LAMBDA("&amp;"rc,Split(rc,""📎"",FALSE,FALSE)))
)
"),"$AV$15|||$AV$1|||$AW$15|||$AX$15|||||||||Осн поставщик||||||$BN$15|||$BN$1|||$BO$15|||$BP$15|||||||||Нет||||||$AG$15|||$AG$1|||$AH$15|||$AI$15|||||||||Да||||||$AY$15|||$AY$1|||$AZ$15|||$BA$15|||||||||Да||||||$AA$15|||$AA$1|||$AB$15|||$AC$15|||||||||||||||"&amp;"$AS$15|||$AS$1|||$AT$15|||$AU$15||||||||||||")</f>
        <v>$AV$15|||$AV$1|||$AW$15|||$AX$15|||||||||Осн поставщик||||||$BN$15|||$BN$1|||$BO$15|||$BP$15|||||||||Нет||||||$AG$15|||$AG$1|||$AH$15|||$AI$15|||||||||Да||||||$AY$15|||$AY$1|||$AZ$15|||$BA$15|||||||||Да||||||$AA$15|||$AA$1|||$AB$15|||$AC$15|||||||||||||||$AS$15|||$AS$1|||$AT$15|||$AU$15||||||||||||</v>
      </c>
      <c r="IS15" s="246" t="s">
        <v>516</v>
      </c>
      <c r="IT15" s="246" t="s">
        <v>517</v>
      </c>
      <c r="IU15" s="246" t="s">
        <v>518</v>
      </c>
      <c r="IV15" s="246" t="s">
        <v>519</v>
      </c>
      <c r="IW15" s="242"/>
      <c r="IX15" s="242"/>
      <c r="IY15" s="242"/>
      <c r="IZ15" s="242"/>
      <c r="JA15" s="242"/>
      <c r="JB15" s="242"/>
      <c r="JC15" s="242"/>
      <c r="JD15" s="242"/>
      <c r="JE15" s="242"/>
      <c r="JF15" s="242"/>
      <c r="JG15" s="242"/>
      <c r="JH15" s="242"/>
      <c r="JI15" s="242"/>
    </row>
    <row r="16">
      <c r="A16" s="8"/>
      <c r="B16" s="255"/>
      <c r="C16" s="221" t="s">
        <v>406</v>
      </c>
      <c r="D16" s="222" t="s">
        <v>407</v>
      </c>
      <c r="E16" s="222" t="s">
        <v>489</v>
      </c>
      <c r="F16" s="222" t="s">
        <v>278</v>
      </c>
      <c r="G16" s="223">
        <v>4.0</v>
      </c>
      <c r="H16" s="222" t="s">
        <v>520</v>
      </c>
      <c r="I16" s="222" t="s">
        <v>521</v>
      </c>
      <c r="J16" s="224" t="s">
        <v>492</v>
      </c>
      <c r="K16" s="248"/>
      <c r="L16" s="227"/>
      <c r="M16" s="250"/>
      <c r="N16" s="250"/>
      <c r="O16" s="227"/>
      <c r="P16" s="251"/>
      <c r="Q16" s="252">
        <f>IFERROR(__xludf.DUMMYFUNCTION("""COMPUTED_VALUE"""),6.0)</f>
        <v>6</v>
      </c>
      <c r="R16" s="227"/>
      <c r="S16" s="227"/>
      <c r="T16" s="305"/>
      <c r="U16" s="151"/>
      <c r="V16" s="151"/>
      <c r="W16" s="151"/>
      <c r="X16" s="151"/>
      <c r="Y16" s="151"/>
      <c r="Z16" s="231" t="s">
        <v>405</v>
      </c>
      <c r="AA16" s="232">
        <v>3900.0</v>
      </c>
      <c r="AB16" s="232" t="s">
        <v>522</v>
      </c>
      <c r="AC16" s="232" t="s">
        <v>523</v>
      </c>
      <c r="AD16" s="232"/>
      <c r="AE16" s="232"/>
      <c r="AF16" s="232"/>
      <c r="AG16" s="232">
        <v>2855.0</v>
      </c>
      <c r="AH16" s="232" t="s">
        <v>287</v>
      </c>
      <c r="AI16" s="232" t="s">
        <v>524</v>
      </c>
      <c r="AJ16" s="232"/>
      <c r="AK16" s="232"/>
      <c r="AL16" s="232"/>
      <c r="AM16" s="234"/>
      <c r="AN16" s="232"/>
      <c r="AO16" s="232"/>
      <c r="AP16" s="232"/>
      <c r="AQ16" s="232"/>
      <c r="AR16" s="232"/>
      <c r="AS16" s="232">
        <v>4200.0</v>
      </c>
      <c r="AT16" s="232" t="s">
        <v>496</v>
      </c>
      <c r="AU16" s="232" t="s">
        <v>525</v>
      </c>
      <c r="AV16" s="232">
        <v>2200.0</v>
      </c>
      <c r="AW16" s="232" t="s">
        <v>526</v>
      </c>
      <c r="AX16" s="232" t="s">
        <v>527</v>
      </c>
      <c r="AY16" s="235"/>
      <c r="AZ16" s="232"/>
      <c r="BA16" s="232"/>
      <c r="BB16" s="232"/>
      <c r="BC16" s="232"/>
      <c r="BD16" s="232"/>
      <c r="BE16" s="234">
        <v>3600.0</v>
      </c>
      <c r="BF16" s="232" t="s">
        <v>283</v>
      </c>
      <c r="BG16" s="232" t="s">
        <v>528</v>
      </c>
      <c r="BH16" s="232"/>
      <c r="BI16" s="232"/>
      <c r="BJ16" s="232"/>
      <c r="BK16" s="234"/>
      <c r="BL16" s="232"/>
      <c r="BM16" s="232"/>
      <c r="BN16" s="232">
        <v>2781.0</v>
      </c>
      <c r="BO16" s="232" t="s">
        <v>493</v>
      </c>
      <c r="BP16" s="232" t="s">
        <v>529</v>
      </c>
      <c r="BQ16" s="234"/>
      <c r="BR16" s="232"/>
      <c r="BS16" s="232"/>
      <c r="BT16" s="232"/>
      <c r="BU16" s="232"/>
      <c r="BV16" s="232"/>
      <c r="BW16" s="232"/>
      <c r="BX16" s="232"/>
      <c r="BY16" s="232"/>
      <c r="BZ16" s="235"/>
      <c r="CA16" s="232"/>
      <c r="CB16" s="232"/>
      <c r="CC16" s="232"/>
      <c r="CD16" s="232"/>
      <c r="CE16" s="232"/>
      <c r="CF16" s="232"/>
      <c r="CG16" s="232"/>
      <c r="CH16" s="232"/>
      <c r="CI16" s="232"/>
      <c r="CJ16" s="232"/>
      <c r="CK16" s="232"/>
      <c r="CL16" s="232"/>
      <c r="CM16" s="232"/>
      <c r="CN16" s="232"/>
      <c r="CO16" s="235"/>
      <c r="CP16" s="232"/>
      <c r="CQ16" s="232"/>
      <c r="CR16" s="232"/>
      <c r="CS16" s="232"/>
      <c r="CT16" s="232"/>
      <c r="CU16" s="232"/>
      <c r="CV16" s="232"/>
      <c r="CW16" s="232"/>
      <c r="CX16" s="232"/>
      <c r="CY16" s="232"/>
      <c r="CZ16" s="232"/>
      <c r="DA16" s="232"/>
      <c r="DB16" s="232"/>
      <c r="DC16" s="232"/>
      <c r="DD16" s="232"/>
      <c r="DE16" s="232"/>
      <c r="DF16" s="232"/>
      <c r="DG16" s="232"/>
      <c r="DH16" s="232"/>
      <c r="DI16" s="232"/>
      <c r="DJ16" s="232"/>
      <c r="DK16" s="232"/>
      <c r="DL16" s="232"/>
      <c r="DM16" s="232"/>
      <c r="DN16" s="232"/>
      <c r="DO16" s="232"/>
      <c r="DP16" s="232"/>
      <c r="DQ16" s="232"/>
      <c r="DR16" s="232"/>
      <c r="DS16" s="232"/>
      <c r="DT16" s="232"/>
      <c r="DU16" s="232"/>
      <c r="DV16" s="232"/>
      <c r="DW16" s="232"/>
      <c r="DX16" s="232"/>
      <c r="DY16" s="232"/>
      <c r="DZ16" s="232"/>
      <c r="EA16" s="232"/>
      <c r="EB16" s="232"/>
      <c r="EC16" s="232"/>
      <c r="ED16" s="232"/>
      <c r="EE16" s="232"/>
      <c r="EF16" s="232"/>
      <c r="EG16" s="232"/>
      <c r="EH16" s="232"/>
      <c r="EI16" s="232"/>
      <c r="EJ16" s="232"/>
      <c r="EK16" s="232"/>
      <c r="EL16" s="232"/>
      <c r="EM16" s="232"/>
      <c r="EN16" s="232"/>
      <c r="EO16" s="232"/>
      <c r="EP16" s="232"/>
      <c r="EQ16" s="232"/>
      <c r="ER16" s="232"/>
      <c r="ES16" s="232"/>
      <c r="ET16" s="232"/>
      <c r="EU16" s="232"/>
      <c r="EV16" s="232"/>
      <c r="EW16" s="232"/>
      <c r="EX16" s="232"/>
      <c r="EY16" s="232"/>
      <c r="EZ16" s="232"/>
      <c r="FA16" s="232"/>
      <c r="FB16" s="232"/>
      <c r="FC16" s="232"/>
      <c r="FD16" s="232"/>
      <c r="FE16" s="232"/>
      <c r="FF16" s="232"/>
      <c r="FG16" s="232"/>
      <c r="FH16" s="232"/>
      <c r="FI16" s="232"/>
      <c r="FJ16" s="232"/>
      <c r="FK16" s="232"/>
      <c r="FL16" s="232"/>
      <c r="FM16" s="232"/>
      <c r="FN16" s="232"/>
      <c r="FO16" s="232"/>
      <c r="FP16" s="232"/>
      <c r="FQ16" s="232"/>
      <c r="FR16" s="232"/>
      <c r="FS16" s="232"/>
      <c r="FT16" s="232"/>
      <c r="FU16" s="232"/>
      <c r="FV16" s="232"/>
      <c r="FW16" s="232"/>
      <c r="FX16" s="232"/>
      <c r="FY16" s="232"/>
      <c r="FZ16" s="232"/>
      <c r="GA16" s="232"/>
      <c r="GB16" s="232"/>
      <c r="GC16" s="232"/>
      <c r="GD16" s="232"/>
      <c r="GE16" s="232"/>
      <c r="GF16" s="232"/>
      <c r="GG16" s="151"/>
      <c r="GH16" s="151"/>
      <c r="GI16" s="151"/>
      <c r="GJ16" s="151"/>
      <c r="GK16" s="151"/>
      <c r="GL16" s="151"/>
      <c r="GM16" s="151"/>
      <c r="GN16" s="151"/>
      <c r="GO16" s="151"/>
      <c r="GP16" s="151"/>
      <c r="GQ16" s="151"/>
      <c r="GR16" s="151"/>
      <c r="GS16" s="151"/>
      <c r="GT16" s="151"/>
      <c r="GU16" s="151"/>
      <c r="GV16" s="151"/>
      <c r="GW16" s="151"/>
      <c r="GX16" s="151"/>
      <c r="GY16" s="151"/>
      <c r="GZ16" s="151"/>
      <c r="HA16" s="151"/>
      <c r="HB16" s="151"/>
      <c r="HC16" s="151"/>
      <c r="HD16" s="151"/>
      <c r="HE16" s="151"/>
      <c r="HF16" s="151"/>
      <c r="HG16" s="151"/>
      <c r="HH16" s="151"/>
      <c r="HI16" s="151"/>
      <c r="HJ16" s="151"/>
      <c r="HK16" s="151"/>
      <c r="HL16" s="151"/>
      <c r="HM16" s="151"/>
      <c r="HN16" s="151"/>
      <c r="HO16" s="151"/>
      <c r="HP16" s="151"/>
      <c r="HQ16" s="151"/>
      <c r="HR16" s="151"/>
      <c r="HS16" s="151"/>
      <c r="HT16" s="238">
        <f t="shared" si="2"/>
        <v>2200</v>
      </c>
      <c r="HU16" s="240" t="str">
        <f t="shared" si="3"/>
        <v/>
      </c>
      <c r="HV16" s="238">
        <f t="shared" si="4"/>
        <v>2781</v>
      </c>
      <c r="HW16" s="240" t="str">
        <f t="shared" si="5"/>
        <v/>
      </c>
      <c r="HX16" s="238">
        <f t="shared" si="6"/>
        <v>2855</v>
      </c>
      <c r="HY16" s="240" t="str">
        <f t="shared" si="7"/>
        <v/>
      </c>
      <c r="HZ16" s="242"/>
      <c r="IA16" s="242"/>
      <c r="IB16" s="242"/>
      <c r="IC16" s="242"/>
      <c r="ID16" s="243" t="str">
        <f>IFERROR(__xludf.DUMMYFUNCTION("
    IFERROR(  
      TEXTJOIN(""|||"",FALSE , 
        ARRAY_CONSTRAIN( SORT( ARRAYFORMULA(Split(TRANSPOSE 
          (Split(TEXTJOIN(""|||"",TRUE,'1-1 Сбор КП'!$IF16:$IL16),""|||"",FALSE,FALSE)
        ),""|"",FALSE,FALSE)),3,FALSE ),100,2)
      )
    "&amp;",)"),"")</f>
        <v/>
      </c>
      <c r="IE16"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КП'!$AA16),
'1-1 Сбор КП'!$"&amp;"AA16:$HS16,
'1-1 Сбор КП'!$ID16,
BYROW( TRANSPOSE(Split('1-1 Сбор КП'!$IQ16,""|||"",FALSE)),LAMBDA(rc,Split(rc,""📎"",FALSE,FALSE))),
  {'3-3 Выбор поставщиков'!$AB$24:$AB$28 , '3-3 Выбор поставщиков'!$AF$24:$AF$28},
  {'3-3 Выбор поставщиков'!$AB$24:$AB"&amp;"$28 , '3-3 Выбор поставщиков'!$AD$24:$AD$28}
)"),"$AV$16|||$AV$1||||||$AW$16|||Подходит: Осн поставщик, W13145/3  |||$BN$16|||$BN$1||||||$BO$16|||Подходит: -?, P550341 Donaldson Фильтр масляный  |||$AG$16|||$AG$1||||||$AH$16|||Подходит: Да, Аналог SP4146   |||$BE$16|||$BE$1||||||$BF$16|||Подходит: -?, Ма"&amp;"сляный фильтр W13145/3 [ Аналог W13145 ]   |||$AA$16|||$AA$1||||||$AB$16|||Подходит: -?, Масляный фильтр W13145/3 = PO14300  |||$AS$16|||$AS$1||||||$AT$16|||Подходит: -?, Масляный фильтр W13145/3- Аналог  ")</f>
        <v>$AV$16|||$AV$1||||||$AW$16|||Подходит: Осн поставщик, W13145/3  |||$BN$16|||$BN$1||||||$BO$16|||Подходит: -?, P550341 Donaldson Фильтр масляный  |||$AG$16|||$AG$1||||||$AH$16|||Подходит: Да, Аналог SP4146   |||$BE$16|||$BE$1||||||$BF$16|||Подходит: -?, Масляный фильтр W13145/3 [ Аналог W13145 ]   |||$AA$16|||$AA$1||||||$AB$16|||Подходит: -?, Масляный фильтр W13145/3 = PO14300  |||$AS$16|||$AS$1||||||$AT$16|||Подходит: -?, Масляный фильтр W13145/3- Аналог  </v>
      </c>
      <c r="IF16" s="246"/>
      <c r="IG16" s="242"/>
      <c r="IH16" s="242"/>
      <c r="II16" s="242"/>
      <c r="IJ16" s="242"/>
      <c r="IK16" s="242"/>
      <c r="IL16" s="242"/>
      <c r="IM16" s="242"/>
      <c r="IN16" s="242"/>
      <c r="IO16" s="242"/>
      <c r="IP16" s="242"/>
      <c r="IQ16" s="242" t="str">
        <f>IFERROR(__xludf.DUMMYFUNCTION("
    IFERROR(  
      TEXTJOIN(""|||"",true , 
        BYROW(
        ARRAY_CONSTRAIN( SORT( ARRAYFORMULA(
          Split( TRANSPOSE (
            Split(TEXTJOIN(""|||"", TRUE, '1-1 Сбор КП'!$IS16:$JF16) ,""|||"",FALSE,FALSE)
          ),""📎"",FALSE,FAL"&amp;"SE)),5,FALSE ),100,4)
        ,LAMBDA(r,TEXTJOIN(""📎"",FALSE ,r))
      )
    ,))"),"$AG$1📎📎📎Да|||$AV$1📎📎📎Осн поставщик|||$AV$1📎📎📎Осн поставщик")</f>
        <v>$AG$1📎📎📎Да|||$AV$1📎📎📎Осн поставщик|||$AV$1📎📎📎Осн поставщик</v>
      </c>
      <c r="IR16"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КП'!$AA16),
 '1-1 Сбор КП'!$AA16:$HS16,
 '1-1 Сбор КП'!$ID16,
 BYROW( TRANSPOSE(Split('1-1 Сбор КП'!$IQ16,""|||"",FALSE)),LAMBDA("&amp;"rc,Split(rc,""📎"",FALSE,FALSE)))
)
"),"$AV$16|||$AV$1|||$AW$16|||$AX$16|||||||||Осн поставщик||||||$BN$16|||$BN$1|||$BO$16|||$BP$16|||||||||||||||$AG$16|||$AG$1|||$AH$16|||$AI$16|||||||||Да||||||$BE$16|||$BE$1|||$BF$16|||$BG$16|||||||||||||||$AA$16|||$AA$1|||$AB$16|||$AC$16|||||||||||||||$AS$1"&amp;"6|||$AS$1|||$AT$16|||$AU$16||||||||||||")</f>
        <v>$AV$16|||$AV$1|||$AW$16|||$AX$16|||||||||Осн поставщик||||||$BN$16|||$BN$1|||$BO$16|||$BP$16|||||||||||||||$AG$16|||$AG$1|||$AH$16|||$AI$16|||||||||Да||||||$BE$16|||$BE$1|||$BF$16|||$BG$16|||||||||||||||$AA$16|||$AA$1|||$AB$16|||$AC$16|||||||||||||||$AS$16|||$AS$1|||$AT$16|||$AU$16||||||||||||</v>
      </c>
      <c r="IS16" s="246" t="s">
        <v>530</v>
      </c>
      <c r="IT16" s="242"/>
      <c r="IU16" s="246" t="s">
        <v>531</v>
      </c>
      <c r="IV16" s="242"/>
      <c r="IW16" s="242"/>
      <c r="IX16" s="242"/>
      <c r="IY16" s="242"/>
      <c r="IZ16" s="242"/>
      <c r="JA16" s="242"/>
      <c r="JB16" s="242"/>
      <c r="JC16" s="242"/>
      <c r="JD16" s="242"/>
      <c r="JE16" s="242"/>
      <c r="JF16" s="242"/>
      <c r="JG16" s="242"/>
      <c r="JH16" s="242"/>
      <c r="JI16" s="242"/>
    </row>
    <row r="17">
      <c r="A17" s="8"/>
      <c r="B17" s="255"/>
      <c r="C17" s="221" t="s">
        <v>409</v>
      </c>
      <c r="D17" s="221"/>
      <c r="E17" s="221"/>
      <c r="F17" s="221"/>
      <c r="G17" s="393"/>
      <c r="H17" s="222" t="s">
        <v>333</v>
      </c>
      <c r="I17" s="222" t="s">
        <v>333</v>
      </c>
      <c r="J17" s="394"/>
      <c r="K17" s="248"/>
      <c r="L17" s="227"/>
      <c r="M17" s="250"/>
      <c r="N17" s="250"/>
      <c r="O17" s="227"/>
      <c r="P17" s="251"/>
      <c r="Q17" s="252"/>
      <c r="R17" s="227"/>
      <c r="S17" s="227"/>
      <c r="T17" s="305"/>
      <c r="U17" s="151"/>
      <c r="V17" s="151"/>
      <c r="W17" s="151"/>
      <c r="X17" s="151"/>
      <c r="Y17" s="151"/>
      <c r="Z17" s="231" t="s">
        <v>408</v>
      </c>
      <c r="AA17" s="232"/>
      <c r="AB17" s="232"/>
      <c r="AC17" s="232"/>
      <c r="AD17" s="232"/>
      <c r="AE17" s="232"/>
      <c r="AF17" s="232"/>
      <c r="AG17" s="232"/>
      <c r="AH17" s="232"/>
      <c r="AI17" s="232"/>
      <c r="AJ17" s="232"/>
      <c r="AK17" s="232"/>
      <c r="AL17" s="232"/>
      <c r="AM17" s="234"/>
      <c r="AN17" s="232"/>
      <c r="AO17" s="232"/>
      <c r="AP17" s="232"/>
      <c r="AQ17" s="232"/>
      <c r="AR17" s="232"/>
      <c r="AS17" s="232"/>
      <c r="AT17" s="232"/>
      <c r="AU17" s="232"/>
      <c r="AV17" s="232"/>
      <c r="AW17" s="232"/>
      <c r="AX17" s="232"/>
      <c r="AY17" s="235"/>
      <c r="AZ17" s="232"/>
      <c r="BA17" s="232"/>
      <c r="BB17" s="232"/>
      <c r="BC17" s="232"/>
      <c r="BD17" s="232"/>
      <c r="BE17" s="232"/>
      <c r="BF17" s="232"/>
      <c r="BG17" s="232"/>
      <c r="BH17" s="232"/>
      <c r="BI17" s="232"/>
      <c r="BJ17" s="232"/>
      <c r="BK17" s="232"/>
      <c r="BL17" s="232"/>
      <c r="BM17" s="232"/>
      <c r="BN17" s="232"/>
      <c r="BO17" s="232"/>
      <c r="BP17" s="232"/>
      <c r="BQ17" s="232"/>
      <c r="BR17" s="232"/>
      <c r="BS17" s="232"/>
      <c r="BT17" s="232"/>
      <c r="BU17" s="232"/>
      <c r="BV17" s="232"/>
      <c r="BW17" s="232"/>
      <c r="BX17" s="232"/>
      <c r="BY17" s="232"/>
      <c r="BZ17" s="235"/>
      <c r="CA17" s="232"/>
      <c r="CB17" s="232"/>
      <c r="CC17" s="232"/>
      <c r="CD17" s="232"/>
      <c r="CE17" s="232"/>
      <c r="CF17" s="232"/>
      <c r="CG17" s="232"/>
      <c r="CH17" s="232"/>
      <c r="CI17" s="232"/>
      <c r="CJ17" s="232"/>
      <c r="CK17" s="232"/>
      <c r="CL17" s="232"/>
      <c r="CM17" s="232"/>
      <c r="CN17" s="232"/>
      <c r="CO17" s="235"/>
      <c r="CP17" s="232"/>
      <c r="CQ17" s="232"/>
      <c r="CR17" s="232"/>
      <c r="CS17" s="232"/>
      <c r="CT17" s="232"/>
      <c r="CU17" s="232"/>
      <c r="CV17" s="232"/>
      <c r="CW17" s="232"/>
      <c r="CX17" s="232"/>
      <c r="CY17" s="232"/>
      <c r="CZ17" s="232"/>
      <c r="DA17" s="232"/>
      <c r="DB17" s="232"/>
      <c r="DC17" s="232"/>
      <c r="DD17" s="232"/>
      <c r="DE17" s="232"/>
      <c r="DF17" s="232"/>
      <c r="DG17" s="232"/>
      <c r="DH17" s="232"/>
      <c r="DI17" s="232"/>
      <c r="DJ17" s="232"/>
      <c r="DK17" s="232"/>
      <c r="DL17" s="232"/>
      <c r="DM17" s="232"/>
      <c r="DN17" s="232"/>
      <c r="DO17" s="232"/>
      <c r="DP17" s="232"/>
      <c r="DQ17" s="232"/>
      <c r="DR17" s="232"/>
      <c r="DS17" s="232"/>
      <c r="DT17" s="232"/>
      <c r="DU17" s="232"/>
      <c r="DV17" s="232"/>
      <c r="DW17" s="232"/>
      <c r="DX17" s="232"/>
      <c r="DY17" s="232"/>
      <c r="DZ17" s="232"/>
      <c r="EA17" s="232"/>
      <c r="EB17" s="232"/>
      <c r="EC17" s="232"/>
      <c r="ED17" s="232"/>
      <c r="EE17" s="232"/>
      <c r="EF17" s="232"/>
      <c r="EG17" s="232"/>
      <c r="EH17" s="232"/>
      <c r="EI17" s="232"/>
      <c r="EJ17" s="232"/>
      <c r="EK17" s="232"/>
      <c r="EL17" s="232"/>
      <c r="EM17" s="232"/>
      <c r="EN17" s="232"/>
      <c r="EO17" s="232"/>
      <c r="EP17" s="232"/>
      <c r="EQ17" s="232"/>
      <c r="ER17" s="232"/>
      <c r="ES17" s="232"/>
      <c r="ET17" s="232"/>
      <c r="EU17" s="232"/>
      <c r="EV17" s="232"/>
      <c r="EW17" s="232"/>
      <c r="EX17" s="232"/>
      <c r="EY17" s="232"/>
      <c r="EZ17" s="232"/>
      <c r="FA17" s="232"/>
      <c r="FB17" s="232"/>
      <c r="FC17" s="232"/>
      <c r="FD17" s="232"/>
      <c r="FE17" s="232"/>
      <c r="FF17" s="232"/>
      <c r="FG17" s="232"/>
      <c r="FH17" s="232"/>
      <c r="FI17" s="232"/>
      <c r="FJ17" s="232"/>
      <c r="FK17" s="232"/>
      <c r="FL17" s="232"/>
      <c r="FM17" s="232"/>
      <c r="FN17" s="232"/>
      <c r="FO17" s="232"/>
      <c r="FP17" s="232"/>
      <c r="FQ17" s="232"/>
      <c r="FR17" s="232"/>
      <c r="FS17" s="232"/>
      <c r="FT17" s="232"/>
      <c r="FU17" s="232"/>
      <c r="FV17" s="232"/>
      <c r="FW17" s="232"/>
      <c r="FX17" s="232"/>
      <c r="FY17" s="232"/>
      <c r="FZ17" s="232"/>
      <c r="GA17" s="232"/>
      <c r="GB17" s="232"/>
      <c r="GC17" s="232"/>
      <c r="GD17" s="232"/>
      <c r="GE17" s="232"/>
      <c r="GF17" s="232"/>
      <c r="GG17" s="151"/>
      <c r="GH17" s="151"/>
      <c r="GI17" s="151"/>
      <c r="GJ17" s="151"/>
      <c r="GK17" s="151"/>
      <c r="GL17" s="151"/>
      <c r="GM17" s="151"/>
      <c r="GN17" s="151"/>
      <c r="GO17" s="151"/>
      <c r="GP17" s="151"/>
      <c r="GQ17" s="151"/>
      <c r="GR17" s="151"/>
      <c r="GS17" s="151"/>
      <c r="GT17" s="151"/>
      <c r="GU17" s="151"/>
      <c r="GV17" s="151"/>
      <c r="GW17" s="151"/>
      <c r="GX17" s="151"/>
      <c r="GY17" s="151"/>
      <c r="GZ17" s="151"/>
      <c r="HA17" s="151"/>
      <c r="HB17" s="151"/>
      <c r="HC17" s="151"/>
      <c r="HD17" s="151"/>
      <c r="HE17" s="151"/>
      <c r="HF17" s="151"/>
      <c r="HG17" s="151"/>
      <c r="HH17" s="151"/>
      <c r="HI17" s="151"/>
      <c r="HJ17" s="151"/>
      <c r="HK17" s="151"/>
      <c r="HL17" s="151"/>
      <c r="HM17" s="151"/>
      <c r="HN17" s="151"/>
      <c r="HO17" s="151"/>
      <c r="HP17" s="151"/>
      <c r="HQ17" s="151"/>
      <c r="HR17" s="151"/>
      <c r="HS17" s="151"/>
      <c r="HT17" s="238" t="str">
        <f t="shared" si="2"/>
        <v/>
      </c>
      <c r="HU17" s="240" t="str">
        <f t="shared" si="3"/>
        <v/>
      </c>
      <c r="HV17" s="238" t="str">
        <f t="shared" si="4"/>
        <v/>
      </c>
      <c r="HW17" s="240" t="str">
        <f t="shared" si="5"/>
        <v/>
      </c>
      <c r="HX17" s="238" t="str">
        <f t="shared" si="6"/>
        <v/>
      </c>
      <c r="HY17" s="240" t="str">
        <f t="shared" si="7"/>
        <v/>
      </c>
      <c r="HZ17" s="242"/>
      <c r="IA17" s="242"/>
      <c r="IB17" s="242"/>
      <c r="IC17" s="242"/>
      <c r="ID17" s="243" t="str">
        <f>IFERROR(__xludf.DUMMYFUNCTION("
    IFERROR(  
      TEXTJOIN(""|||"",FALSE , 
        ARRAY_CONSTRAIN( SORT( ARRAYFORMULA(Split(TRANSPOSE 
          (Split(TEXTJOIN(""|||"",TRUE,'1-1 Сбор КП'!$IF17:$IL17),""|||"",FALSE,FALSE)
        ),""|"",FALSE,FALSE)),3,FALSE ),100,2)
      )
    "&amp;",)"),"")</f>
        <v/>
      </c>
      <c r="IE17"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КП'!$AA17),
'1-1 Сбор КП'!$"&amp;"AA17:$HS17,
'1-1 Сбор КП'!$ID17,
BYROW( TRANSPOSE(Split('1-1 Сбор КП'!$IQ17,""|||"",FALSE)),LAMBDA(rc,Split(rc,""📎"",FALSE,FALSE))),
  {'3-3 Выбор поставщиков'!$AB$24:$AB$28 , '3-3 Выбор поставщиков'!$AF$24:$AF$28},
  {'3-3 Выбор поставщиков'!$AB$24:$AB"&amp;"$28 , '3-3 Выбор поставщиков'!$AD$24:$AD$28}
)"),"#N/A")</f>
        <v>#N/A</v>
      </c>
      <c r="IF17" s="246"/>
      <c r="IG17" s="242"/>
      <c r="IH17" s="242"/>
      <c r="II17" s="242"/>
      <c r="IJ17" s="242"/>
      <c r="IK17" s="242"/>
      <c r="IL17" s="242"/>
      <c r="IM17" s="242"/>
      <c r="IN17" s="242"/>
      <c r="IO17" s="242"/>
      <c r="IP17" s="242"/>
      <c r="IQ17" s="242" t="str">
        <f>IFERROR(__xludf.DUMMYFUNCTION("
    IFERROR(  
      TEXTJOIN(""|||"",true , 
        BYROW(
        ARRAY_CONSTRAIN( SORT( ARRAYFORMULA(
          Split( TRANSPOSE (
            Split(TEXTJOIN(""|||"", TRUE, '1-1 Сбор КП'!$IS17:$JF17) ,""|||"",FALSE,FALSE)
          ),""📎"",FALSE,FAL"&amp;"SE)),5,FALSE ),100,4)
        ,LAMBDA(r,TEXTJOIN(""📎"",FALSE ,r))
      )
    ,))"),"")</f>
        <v/>
      </c>
      <c r="IR17"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КП'!$AA17),
 '1-1 Сбор КП'!$AA17:$HS17,
 '1-1 Сбор КП'!$ID17,
 BYROW( TRANSPOSE(Split('1-1 Сбор КП'!$IQ17,""|||"",FALSE)),LAMBDA("&amp;"rc,Split(rc,""📎"",FALSE,FALSE)))
)
"),"#N/A")</f>
        <v>#N/A</v>
      </c>
      <c r="IS17" s="242"/>
      <c r="IT17" s="242"/>
      <c r="IU17" s="242"/>
      <c r="IV17" s="242"/>
      <c r="IW17" s="242"/>
      <c r="IX17" s="242"/>
      <c r="IY17" s="242"/>
      <c r="IZ17" s="242"/>
      <c r="JA17" s="242"/>
      <c r="JB17" s="242"/>
      <c r="JC17" s="242"/>
      <c r="JD17" s="242"/>
      <c r="JE17" s="242"/>
      <c r="JF17" s="242"/>
      <c r="JG17" s="242"/>
      <c r="JH17" s="242"/>
      <c r="JI17" s="242"/>
    </row>
    <row r="18">
      <c r="A18" s="8"/>
      <c r="B18" s="255"/>
      <c r="C18" s="221" t="s">
        <v>411</v>
      </c>
      <c r="D18" s="221"/>
      <c r="E18" s="221"/>
      <c r="F18" s="221"/>
      <c r="G18" s="393"/>
      <c r="H18" s="222" t="s">
        <v>333</v>
      </c>
      <c r="I18" s="222" t="s">
        <v>333</v>
      </c>
      <c r="J18" s="394"/>
      <c r="K18" s="248"/>
      <c r="L18" s="227"/>
      <c r="M18" s="250"/>
      <c r="N18" s="250"/>
      <c r="O18" s="227"/>
      <c r="P18" s="251"/>
      <c r="Q18" s="252"/>
      <c r="R18" s="227"/>
      <c r="S18" s="227"/>
      <c r="T18" s="305"/>
      <c r="U18" s="151"/>
      <c r="V18" s="151"/>
      <c r="W18" s="151"/>
      <c r="X18" s="151"/>
      <c r="Y18" s="151"/>
      <c r="Z18" s="231" t="s">
        <v>410</v>
      </c>
      <c r="AA18" s="232"/>
      <c r="AB18" s="232"/>
      <c r="AC18" s="232"/>
      <c r="AD18" s="232"/>
      <c r="AE18" s="232"/>
      <c r="AF18" s="232"/>
      <c r="AG18" s="232"/>
      <c r="AH18" s="232"/>
      <c r="AI18" s="232"/>
      <c r="AJ18" s="232"/>
      <c r="AK18" s="232"/>
      <c r="AL18" s="232"/>
      <c r="AM18" s="234"/>
      <c r="AN18" s="232"/>
      <c r="AO18" s="232"/>
      <c r="AP18" s="232"/>
      <c r="AQ18" s="232"/>
      <c r="AR18" s="232"/>
      <c r="AS18" s="232"/>
      <c r="AT18" s="232"/>
      <c r="AU18" s="232"/>
      <c r="AV18" s="232"/>
      <c r="AW18" s="232"/>
      <c r="AX18" s="232"/>
      <c r="AY18" s="235"/>
      <c r="AZ18" s="232"/>
      <c r="BA18" s="232"/>
      <c r="BB18" s="232"/>
      <c r="BC18" s="232"/>
      <c r="BD18" s="232"/>
      <c r="BE18" s="232"/>
      <c r="BF18" s="232"/>
      <c r="BG18" s="232"/>
      <c r="BH18" s="232"/>
      <c r="BI18" s="232"/>
      <c r="BJ18" s="232"/>
      <c r="BK18" s="232"/>
      <c r="BL18" s="232"/>
      <c r="BM18" s="232"/>
      <c r="BN18" s="232"/>
      <c r="BO18" s="232"/>
      <c r="BP18" s="232"/>
      <c r="BQ18" s="232"/>
      <c r="BR18" s="232"/>
      <c r="BS18" s="232"/>
      <c r="BT18" s="232"/>
      <c r="BU18" s="232"/>
      <c r="BV18" s="232"/>
      <c r="BW18" s="232"/>
      <c r="BX18" s="232"/>
      <c r="BY18" s="232"/>
      <c r="BZ18" s="235"/>
      <c r="CA18" s="232"/>
      <c r="CB18" s="232"/>
      <c r="CC18" s="232"/>
      <c r="CD18" s="232"/>
      <c r="CE18" s="232"/>
      <c r="CF18" s="232"/>
      <c r="CG18" s="232"/>
      <c r="CH18" s="232"/>
      <c r="CI18" s="232"/>
      <c r="CJ18" s="232"/>
      <c r="CK18" s="232"/>
      <c r="CL18" s="232"/>
      <c r="CM18" s="232"/>
      <c r="CN18" s="232"/>
      <c r="CO18" s="235"/>
      <c r="CP18" s="232"/>
      <c r="CQ18" s="232"/>
      <c r="CR18" s="232"/>
      <c r="CS18" s="232"/>
      <c r="CT18" s="232"/>
      <c r="CU18" s="232"/>
      <c r="CV18" s="232"/>
      <c r="CW18" s="232"/>
      <c r="CX18" s="232"/>
      <c r="CY18" s="232"/>
      <c r="CZ18" s="232"/>
      <c r="DA18" s="232"/>
      <c r="DB18" s="232"/>
      <c r="DC18" s="232"/>
      <c r="DD18" s="232"/>
      <c r="DE18" s="232"/>
      <c r="DF18" s="232"/>
      <c r="DG18" s="232"/>
      <c r="DH18" s="232"/>
      <c r="DI18" s="232"/>
      <c r="DJ18" s="232"/>
      <c r="DK18" s="232"/>
      <c r="DL18" s="232"/>
      <c r="DM18" s="232"/>
      <c r="DN18" s="232"/>
      <c r="DO18" s="232"/>
      <c r="DP18" s="232"/>
      <c r="DQ18" s="232"/>
      <c r="DR18" s="232"/>
      <c r="DS18" s="232"/>
      <c r="DT18" s="232"/>
      <c r="DU18" s="232"/>
      <c r="DV18" s="232"/>
      <c r="DW18" s="232"/>
      <c r="DX18" s="232"/>
      <c r="DY18" s="232"/>
      <c r="DZ18" s="232"/>
      <c r="EA18" s="232"/>
      <c r="EB18" s="232"/>
      <c r="EC18" s="232"/>
      <c r="ED18" s="232"/>
      <c r="EE18" s="232"/>
      <c r="EF18" s="232"/>
      <c r="EG18" s="232"/>
      <c r="EH18" s="232"/>
      <c r="EI18" s="232"/>
      <c r="EJ18" s="232"/>
      <c r="EK18" s="232"/>
      <c r="EL18" s="232"/>
      <c r="EM18" s="232"/>
      <c r="EN18" s="232"/>
      <c r="EO18" s="232"/>
      <c r="EP18" s="232"/>
      <c r="EQ18" s="232"/>
      <c r="ER18" s="232"/>
      <c r="ES18" s="232"/>
      <c r="ET18" s="232"/>
      <c r="EU18" s="232"/>
      <c r="EV18" s="232"/>
      <c r="EW18" s="232"/>
      <c r="EX18" s="232"/>
      <c r="EY18" s="232"/>
      <c r="EZ18" s="232"/>
      <c r="FA18" s="232"/>
      <c r="FB18" s="232"/>
      <c r="FC18" s="232"/>
      <c r="FD18" s="232"/>
      <c r="FE18" s="232"/>
      <c r="FF18" s="232"/>
      <c r="FG18" s="232"/>
      <c r="FH18" s="232"/>
      <c r="FI18" s="232"/>
      <c r="FJ18" s="232"/>
      <c r="FK18" s="232"/>
      <c r="FL18" s="232"/>
      <c r="FM18" s="232"/>
      <c r="FN18" s="232"/>
      <c r="FO18" s="232"/>
      <c r="FP18" s="232"/>
      <c r="FQ18" s="232"/>
      <c r="FR18" s="232"/>
      <c r="FS18" s="232"/>
      <c r="FT18" s="232"/>
      <c r="FU18" s="232"/>
      <c r="FV18" s="232"/>
      <c r="FW18" s="232"/>
      <c r="FX18" s="232"/>
      <c r="FY18" s="232"/>
      <c r="FZ18" s="232"/>
      <c r="GA18" s="232"/>
      <c r="GB18" s="232"/>
      <c r="GC18" s="232"/>
      <c r="GD18" s="232"/>
      <c r="GE18" s="232"/>
      <c r="GF18" s="232"/>
      <c r="GG18" s="151"/>
      <c r="GH18" s="151"/>
      <c r="GI18" s="151"/>
      <c r="GJ18" s="151"/>
      <c r="GK18" s="151"/>
      <c r="GL18" s="151"/>
      <c r="GM18" s="151"/>
      <c r="GN18" s="151"/>
      <c r="GO18" s="151"/>
      <c r="GP18" s="151"/>
      <c r="GQ18" s="151"/>
      <c r="GR18" s="151"/>
      <c r="GS18" s="151"/>
      <c r="GT18" s="151"/>
      <c r="GU18" s="151"/>
      <c r="GV18" s="151"/>
      <c r="GW18" s="151"/>
      <c r="GX18" s="151"/>
      <c r="GY18" s="151"/>
      <c r="GZ18" s="151"/>
      <c r="HA18" s="151"/>
      <c r="HB18" s="151"/>
      <c r="HC18" s="151"/>
      <c r="HD18" s="151"/>
      <c r="HE18" s="151"/>
      <c r="HF18" s="151"/>
      <c r="HG18" s="151"/>
      <c r="HH18" s="151"/>
      <c r="HI18" s="151"/>
      <c r="HJ18" s="151"/>
      <c r="HK18" s="151"/>
      <c r="HL18" s="151"/>
      <c r="HM18" s="151"/>
      <c r="HN18" s="151"/>
      <c r="HO18" s="151"/>
      <c r="HP18" s="151"/>
      <c r="HQ18" s="151"/>
      <c r="HR18" s="151"/>
      <c r="HS18" s="151"/>
      <c r="HT18" s="238" t="str">
        <f t="shared" si="2"/>
        <v/>
      </c>
      <c r="HU18" s="240" t="str">
        <f t="shared" si="3"/>
        <v/>
      </c>
      <c r="HV18" s="238" t="str">
        <f t="shared" si="4"/>
        <v/>
      </c>
      <c r="HW18" s="240" t="str">
        <f t="shared" si="5"/>
        <v/>
      </c>
      <c r="HX18" s="238" t="str">
        <f t="shared" si="6"/>
        <v/>
      </c>
      <c r="HY18" s="240" t="str">
        <f t="shared" si="7"/>
        <v/>
      </c>
      <c r="HZ18" s="242"/>
      <c r="IA18" s="242"/>
      <c r="IB18" s="242"/>
      <c r="IC18" s="242"/>
      <c r="ID18" s="243" t="str">
        <f>IFERROR(__xludf.DUMMYFUNCTION("
    IFERROR(  
      TEXTJOIN(""|||"",FALSE , 
        ARRAY_CONSTRAIN( SORT( ARRAYFORMULA(Split(TRANSPOSE 
          (Split(TEXTJOIN(""|||"",TRUE,'1-1 Сбор КП'!$IF18:$IL18),""|||"",FALSE,FALSE)
        ),""|"",FALSE,FALSE)),3,FALSE ),100,2)
      )
    "&amp;",)"),"")</f>
        <v/>
      </c>
      <c r="IE18"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КП'!$AA18),
'1-1 Сбор КП'!$"&amp;"AA18:$HS18,
'1-1 Сбор КП'!$ID18,
BYROW( TRANSPOSE(Split('1-1 Сбор КП'!$IQ18,""|||"",FALSE)),LAMBDA(rc,Split(rc,""📎"",FALSE,FALSE))),
  {'3-3 Выбор поставщиков'!$AB$24:$AB$28 , '3-3 Выбор поставщиков'!$AF$24:$AF$28},
  {'3-3 Выбор поставщиков'!$AB$24:$AB"&amp;"$28 , '3-3 Выбор поставщиков'!$AD$24:$AD$28}
)"),"#N/A")</f>
        <v>#N/A</v>
      </c>
      <c r="IF18" s="246"/>
      <c r="IG18" s="242"/>
      <c r="IH18" s="242"/>
      <c r="II18" s="242"/>
      <c r="IJ18" s="242"/>
      <c r="IK18" s="242"/>
      <c r="IL18" s="242"/>
      <c r="IM18" s="242"/>
      <c r="IN18" s="242"/>
      <c r="IO18" s="242"/>
      <c r="IP18" s="242"/>
      <c r="IQ18" s="242" t="str">
        <f>IFERROR(__xludf.DUMMYFUNCTION("
    IFERROR(  
      TEXTJOIN(""|||"",true , 
        BYROW(
        ARRAY_CONSTRAIN( SORT( ARRAYFORMULA(
          Split( TRANSPOSE (
            Split(TEXTJOIN(""|||"", TRUE, '1-1 Сбор КП'!$IS18:$JF18) ,""|||"",FALSE,FALSE)
          ),""📎"",FALSE,FAL"&amp;"SE)),5,FALSE ),100,4)
        ,LAMBDA(r,TEXTJOIN(""📎"",FALSE ,r))
      )
    ,))"),"")</f>
        <v/>
      </c>
      <c r="IR18"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КП'!$AA18),
 '1-1 Сбор КП'!$AA18:$HS18,
 '1-1 Сбор КП'!$ID18,
 BYROW( TRANSPOSE(Split('1-1 Сбор КП'!$IQ18,""|||"",FALSE)),LAMBDA("&amp;"rc,Split(rc,""📎"",FALSE,FALSE)))
)
"),"#N/A")</f>
        <v>#N/A</v>
      </c>
      <c r="IS18" s="242"/>
      <c r="IT18" s="242"/>
      <c r="IU18" s="242"/>
      <c r="IV18" s="242"/>
      <c r="IW18" s="242"/>
      <c r="IX18" s="242"/>
      <c r="IY18" s="242"/>
      <c r="IZ18" s="242"/>
      <c r="JA18" s="242"/>
      <c r="JB18" s="242"/>
      <c r="JC18" s="242"/>
      <c r="JD18" s="242"/>
      <c r="JE18" s="242"/>
      <c r="JF18" s="242"/>
      <c r="JG18" s="242"/>
      <c r="JH18" s="242"/>
      <c r="JI18" s="242"/>
    </row>
    <row r="19">
      <c r="A19" s="8"/>
      <c r="B19" s="255"/>
      <c r="C19" s="221" t="s">
        <v>413</v>
      </c>
      <c r="D19" s="221"/>
      <c r="E19" s="221"/>
      <c r="F19" s="221"/>
      <c r="G19" s="393"/>
      <c r="H19" s="222" t="s">
        <v>333</v>
      </c>
      <c r="I19" s="222" t="s">
        <v>333</v>
      </c>
      <c r="J19" s="394"/>
      <c r="K19" s="248"/>
      <c r="L19" s="227"/>
      <c r="M19" s="250"/>
      <c r="N19" s="250"/>
      <c r="O19" s="227"/>
      <c r="P19" s="251"/>
      <c r="Q19" s="252"/>
      <c r="R19" s="227"/>
      <c r="S19" s="227"/>
      <c r="T19" s="305"/>
      <c r="U19" s="151"/>
      <c r="V19" s="151"/>
      <c r="W19" s="151"/>
      <c r="X19" s="151"/>
      <c r="Y19" s="151"/>
      <c r="Z19" s="231" t="s">
        <v>412</v>
      </c>
      <c r="AA19" s="232"/>
      <c r="AB19" s="232"/>
      <c r="AC19" s="232"/>
      <c r="AD19" s="232"/>
      <c r="AE19" s="232"/>
      <c r="AF19" s="232"/>
      <c r="AG19" s="232"/>
      <c r="AH19" s="232"/>
      <c r="AI19" s="232"/>
      <c r="AJ19" s="232"/>
      <c r="AK19" s="232"/>
      <c r="AL19" s="232"/>
      <c r="AM19" s="234"/>
      <c r="AN19" s="232"/>
      <c r="AO19" s="232"/>
      <c r="AP19" s="232"/>
      <c r="AQ19" s="232"/>
      <c r="AR19" s="232"/>
      <c r="AS19" s="232"/>
      <c r="AT19" s="232"/>
      <c r="AU19" s="232"/>
      <c r="AV19" s="232"/>
      <c r="AW19" s="232"/>
      <c r="AX19" s="232"/>
      <c r="AY19" s="235"/>
      <c r="AZ19" s="232"/>
      <c r="BA19" s="232"/>
      <c r="BB19" s="232"/>
      <c r="BC19" s="232"/>
      <c r="BD19" s="232"/>
      <c r="BE19" s="232"/>
      <c r="BF19" s="232"/>
      <c r="BG19" s="232"/>
      <c r="BH19" s="232"/>
      <c r="BI19" s="232"/>
      <c r="BJ19" s="232"/>
      <c r="BK19" s="232"/>
      <c r="BL19" s="232"/>
      <c r="BM19" s="232"/>
      <c r="BN19" s="232"/>
      <c r="BO19" s="232"/>
      <c r="BP19" s="232"/>
      <c r="BQ19" s="232"/>
      <c r="BR19" s="232"/>
      <c r="BS19" s="232"/>
      <c r="BT19" s="232"/>
      <c r="BU19" s="232"/>
      <c r="BV19" s="232"/>
      <c r="BW19" s="232"/>
      <c r="BX19" s="232"/>
      <c r="BY19" s="232"/>
      <c r="BZ19" s="235"/>
      <c r="CA19" s="232"/>
      <c r="CB19" s="232"/>
      <c r="CC19" s="232"/>
      <c r="CD19" s="232"/>
      <c r="CE19" s="232"/>
      <c r="CF19" s="232"/>
      <c r="CG19" s="232"/>
      <c r="CH19" s="232"/>
      <c r="CI19" s="232"/>
      <c r="CJ19" s="232"/>
      <c r="CK19" s="232"/>
      <c r="CL19" s="232"/>
      <c r="CM19" s="232"/>
      <c r="CN19" s="232"/>
      <c r="CO19" s="235"/>
      <c r="CP19" s="232"/>
      <c r="CQ19" s="232"/>
      <c r="CR19" s="232"/>
      <c r="CS19" s="232"/>
      <c r="CT19" s="232"/>
      <c r="CU19" s="232"/>
      <c r="CV19" s="232"/>
      <c r="CW19" s="232"/>
      <c r="CX19" s="232"/>
      <c r="CY19" s="232"/>
      <c r="CZ19" s="232"/>
      <c r="DA19" s="232"/>
      <c r="DB19" s="232"/>
      <c r="DC19" s="232"/>
      <c r="DD19" s="232"/>
      <c r="DE19" s="232"/>
      <c r="DF19" s="232"/>
      <c r="DG19" s="232"/>
      <c r="DH19" s="232"/>
      <c r="DI19" s="232"/>
      <c r="DJ19" s="232"/>
      <c r="DK19" s="232"/>
      <c r="DL19" s="232"/>
      <c r="DM19" s="232"/>
      <c r="DN19" s="232"/>
      <c r="DO19" s="232"/>
      <c r="DP19" s="232"/>
      <c r="DQ19" s="232"/>
      <c r="DR19" s="232"/>
      <c r="DS19" s="232"/>
      <c r="DT19" s="232"/>
      <c r="DU19" s="232"/>
      <c r="DV19" s="232"/>
      <c r="DW19" s="232"/>
      <c r="DX19" s="232"/>
      <c r="DY19" s="232"/>
      <c r="DZ19" s="232"/>
      <c r="EA19" s="232"/>
      <c r="EB19" s="232"/>
      <c r="EC19" s="232"/>
      <c r="ED19" s="232"/>
      <c r="EE19" s="232"/>
      <c r="EF19" s="232"/>
      <c r="EG19" s="232"/>
      <c r="EH19" s="232"/>
      <c r="EI19" s="232"/>
      <c r="EJ19" s="232"/>
      <c r="EK19" s="232"/>
      <c r="EL19" s="232"/>
      <c r="EM19" s="232"/>
      <c r="EN19" s="232"/>
      <c r="EO19" s="232"/>
      <c r="EP19" s="232"/>
      <c r="EQ19" s="232"/>
      <c r="ER19" s="232"/>
      <c r="ES19" s="232"/>
      <c r="ET19" s="232"/>
      <c r="EU19" s="232"/>
      <c r="EV19" s="232"/>
      <c r="EW19" s="232"/>
      <c r="EX19" s="232"/>
      <c r="EY19" s="232"/>
      <c r="EZ19" s="232"/>
      <c r="FA19" s="232"/>
      <c r="FB19" s="232"/>
      <c r="FC19" s="232"/>
      <c r="FD19" s="232"/>
      <c r="FE19" s="232"/>
      <c r="FF19" s="232"/>
      <c r="FG19" s="232"/>
      <c r="FH19" s="232"/>
      <c r="FI19" s="232"/>
      <c r="FJ19" s="232"/>
      <c r="FK19" s="232"/>
      <c r="FL19" s="232"/>
      <c r="FM19" s="232"/>
      <c r="FN19" s="232"/>
      <c r="FO19" s="232"/>
      <c r="FP19" s="232"/>
      <c r="FQ19" s="232"/>
      <c r="FR19" s="232"/>
      <c r="FS19" s="232"/>
      <c r="FT19" s="232"/>
      <c r="FU19" s="232"/>
      <c r="FV19" s="232"/>
      <c r="FW19" s="232"/>
      <c r="FX19" s="232"/>
      <c r="FY19" s="232"/>
      <c r="FZ19" s="232"/>
      <c r="GA19" s="232"/>
      <c r="GB19" s="232"/>
      <c r="GC19" s="232"/>
      <c r="GD19" s="232"/>
      <c r="GE19" s="232"/>
      <c r="GF19" s="232"/>
      <c r="GG19" s="151"/>
      <c r="GH19" s="151"/>
      <c r="GI19" s="151"/>
      <c r="GJ19" s="151"/>
      <c r="GK19" s="151"/>
      <c r="GL19" s="151"/>
      <c r="GM19" s="151"/>
      <c r="GN19" s="151"/>
      <c r="GO19" s="151"/>
      <c r="GP19" s="151"/>
      <c r="GQ19" s="151"/>
      <c r="GR19" s="151"/>
      <c r="GS19" s="151"/>
      <c r="GT19" s="151"/>
      <c r="GU19" s="151"/>
      <c r="GV19" s="151"/>
      <c r="GW19" s="151"/>
      <c r="GX19" s="151"/>
      <c r="GY19" s="151"/>
      <c r="GZ19" s="151"/>
      <c r="HA19" s="151"/>
      <c r="HB19" s="151"/>
      <c r="HC19" s="151"/>
      <c r="HD19" s="151"/>
      <c r="HE19" s="151"/>
      <c r="HF19" s="151"/>
      <c r="HG19" s="151"/>
      <c r="HH19" s="151"/>
      <c r="HI19" s="151"/>
      <c r="HJ19" s="151"/>
      <c r="HK19" s="151"/>
      <c r="HL19" s="151"/>
      <c r="HM19" s="151"/>
      <c r="HN19" s="151"/>
      <c r="HO19" s="151"/>
      <c r="HP19" s="151"/>
      <c r="HQ19" s="151"/>
      <c r="HR19" s="151"/>
      <c r="HS19" s="151"/>
      <c r="HT19" s="238" t="str">
        <f t="shared" si="2"/>
        <v/>
      </c>
      <c r="HU19" s="240" t="str">
        <f t="shared" si="3"/>
        <v/>
      </c>
      <c r="HV19" s="238" t="str">
        <f t="shared" si="4"/>
        <v/>
      </c>
      <c r="HW19" s="240" t="str">
        <f t="shared" si="5"/>
        <v/>
      </c>
      <c r="HX19" s="238" t="str">
        <f t="shared" si="6"/>
        <v/>
      </c>
      <c r="HY19" s="240" t="str">
        <f t="shared" si="7"/>
        <v/>
      </c>
      <c r="HZ19" s="242"/>
      <c r="IA19" s="242"/>
      <c r="IB19" s="242"/>
      <c r="IC19" s="242"/>
      <c r="ID19" s="243" t="str">
        <f>IFERROR(__xludf.DUMMYFUNCTION("
    IFERROR(  
      TEXTJOIN(""|||"",FALSE , 
        ARRAY_CONSTRAIN( SORT( ARRAYFORMULA(Split(TRANSPOSE 
          (Split(TEXTJOIN(""|||"",TRUE,'1-1 Сбор КП'!$IF19:$IL19),""|||"",FALSE,FALSE)
        ),""|"",FALSE,FALSE)),3,FALSE ),100,2)
      )
    "&amp;",)"),"")</f>
        <v/>
      </c>
      <c r="IE19"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КП'!$AA19),
'1-1 Сбор КП'!$"&amp;"AA19:$HS19,
'1-1 Сбор КП'!$ID19,
BYROW( TRANSPOSE(Split('1-1 Сбор КП'!$IQ19,""|||"",FALSE)),LAMBDA(rc,Split(rc,""📎"",FALSE,FALSE))),
  {'3-3 Выбор поставщиков'!$AB$24:$AB$28 , '3-3 Выбор поставщиков'!$AF$24:$AF$28},
  {'3-3 Выбор поставщиков'!$AB$24:$AB"&amp;"$28 , '3-3 Выбор поставщиков'!$AD$24:$AD$28}
)"),"#N/A")</f>
        <v>#N/A</v>
      </c>
      <c r="IF19" s="246"/>
      <c r="IG19" s="242"/>
      <c r="IH19" s="242"/>
      <c r="II19" s="242"/>
      <c r="IJ19" s="242"/>
      <c r="IK19" s="242"/>
      <c r="IL19" s="242"/>
      <c r="IM19" s="242"/>
      <c r="IN19" s="242"/>
      <c r="IO19" s="242"/>
      <c r="IP19" s="242"/>
      <c r="IQ19" s="242" t="str">
        <f>IFERROR(__xludf.DUMMYFUNCTION("
    IFERROR(  
      TEXTJOIN(""|||"",true , 
        BYROW(
        ARRAY_CONSTRAIN( SORT( ARRAYFORMULA(
          Split( TRANSPOSE (
            Split(TEXTJOIN(""|||"", TRUE, '1-1 Сбор КП'!$IS19:$JF19) ,""|||"",FALSE,FALSE)
          ),""📎"",FALSE,FAL"&amp;"SE)),5,FALSE ),100,4)
        ,LAMBDA(r,TEXTJOIN(""📎"",FALSE ,r))
      )
    ,))"),"")</f>
        <v/>
      </c>
      <c r="IR19"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КП'!$AA19),
 '1-1 Сбор КП'!$AA19:$HS19,
 '1-1 Сбор КП'!$ID19,
 BYROW( TRANSPOSE(Split('1-1 Сбор КП'!$IQ19,""|||"",FALSE)),LAMBDA("&amp;"rc,Split(rc,""📎"",FALSE,FALSE)))
)
"),"#N/A")</f>
        <v>#N/A</v>
      </c>
      <c r="IS19" s="242"/>
      <c r="IT19" s="242"/>
      <c r="IU19" s="242"/>
      <c r="IV19" s="242"/>
      <c r="IW19" s="242"/>
      <c r="IX19" s="242"/>
      <c r="IY19" s="242"/>
      <c r="IZ19" s="242"/>
      <c r="JA19" s="242"/>
      <c r="JB19" s="242"/>
      <c r="JC19" s="242"/>
      <c r="JD19" s="242"/>
      <c r="JE19" s="242"/>
      <c r="JF19" s="242"/>
      <c r="JG19" s="242"/>
      <c r="JH19" s="242"/>
      <c r="JI19" s="242"/>
    </row>
    <row r="20">
      <c r="A20" s="8"/>
      <c r="B20" s="255"/>
      <c r="C20" s="221" t="s">
        <v>415</v>
      </c>
      <c r="D20" s="221"/>
      <c r="E20" s="221"/>
      <c r="F20" s="221"/>
      <c r="G20" s="393"/>
      <c r="H20" s="222" t="s">
        <v>333</v>
      </c>
      <c r="I20" s="222" t="s">
        <v>333</v>
      </c>
      <c r="J20" s="394"/>
      <c r="K20" s="248"/>
      <c r="L20" s="227"/>
      <c r="M20" s="250"/>
      <c r="N20" s="250"/>
      <c r="O20" s="227"/>
      <c r="P20" s="251"/>
      <c r="Q20" s="252"/>
      <c r="R20" s="227"/>
      <c r="S20" s="227"/>
      <c r="T20" s="305"/>
      <c r="U20" s="151"/>
      <c r="V20" s="151"/>
      <c r="W20" s="151"/>
      <c r="X20" s="151"/>
      <c r="Y20" s="151"/>
      <c r="Z20" s="231" t="s">
        <v>414</v>
      </c>
      <c r="AA20" s="232"/>
      <c r="AB20" s="232"/>
      <c r="AC20" s="232"/>
      <c r="AD20" s="232"/>
      <c r="AE20" s="232"/>
      <c r="AF20" s="232"/>
      <c r="AG20" s="232"/>
      <c r="AH20" s="232"/>
      <c r="AI20" s="232"/>
      <c r="AJ20" s="232"/>
      <c r="AK20" s="232"/>
      <c r="AL20" s="232"/>
      <c r="AM20" s="234"/>
      <c r="AN20" s="232"/>
      <c r="AO20" s="232"/>
      <c r="AP20" s="232"/>
      <c r="AQ20" s="232"/>
      <c r="AR20" s="232"/>
      <c r="AS20" s="232"/>
      <c r="AT20" s="232"/>
      <c r="AU20" s="232"/>
      <c r="AV20" s="232"/>
      <c r="AW20" s="232"/>
      <c r="AX20" s="232"/>
      <c r="AY20" s="235"/>
      <c r="AZ20" s="232"/>
      <c r="BA20" s="232"/>
      <c r="BB20" s="232"/>
      <c r="BC20" s="232"/>
      <c r="BD20" s="232"/>
      <c r="BE20" s="232"/>
      <c r="BF20" s="232"/>
      <c r="BG20" s="232"/>
      <c r="BH20" s="232"/>
      <c r="BI20" s="232"/>
      <c r="BJ20" s="232"/>
      <c r="BK20" s="232"/>
      <c r="BL20" s="232"/>
      <c r="BM20" s="232"/>
      <c r="BN20" s="232"/>
      <c r="BO20" s="232"/>
      <c r="BP20" s="232"/>
      <c r="BQ20" s="232"/>
      <c r="BR20" s="232"/>
      <c r="BS20" s="232"/>
      <c r="BT20" s="232"/>
      <c r="BU20" s="232"/>
      <c r="BV20" s="232"/>
      <c r="BW20" s="232"/>
      <c r="BX20" s="232"/>
      <c r="BY20" s="232"/>
      <c r="BZ20" s="235"/>
      <c r="CA20" s="232"/>
      <c r="CB20" s="232"/>
      <c r="CC20" s="232"/>
      <c r="CD20" s="232"/>
      <c r="CE20" s="232"/>
      <c r="CF20" s="232"/>
      <c r="CG20" s="232"/>
      <c r="CH20" s="232"/>
      <c r="CI20" s="232"/>
      <c r="CJ20" s="232"/>
      <c r="CK20" s="232"/>
      <c r="CL20" s="232"/>
      <c r="CM20" s="232"/>
      <c r="CN20" s="232"/>
      <c r="CO20" s="235"/>
      <c r="CP20" s="232"/>
      <c r="CQ20" s="232"/>
      <c r="CR20" s="232"/>
      <c r="CS20" s="232"/>
      <c r="CT20" s="232"/>
      <c r="CU20" s="232"/>
      <c r="CV20" s="232"/>
      <c r="CW20" s="232"/>
      <c r="CX20" s="232"/>
      <c r="CY20" s="232"/>
      <c r="CZ20" s="232"/>
      <c r="DA20" s="232"/>
      <c r="DB20" s="232"/>
      <c r="DC20" s="232"/>
      <c r="DD20" s="232"/>
      <c r="DE20" s="232"/>
      <c r="DF20" s="232"/>
      <c r="DG20" s="232"/>
      <c r="DH20" s="232"/>
      <c r="DI20" s="232"/>
      <c r="DJ20" s="232"/>
      <c r="DK20" s="232"/>
      <c r="DL20" s="232"/>
      <c r="DM20" s="232"/>
      <c r="DN20" s="232"/>
      <c r="DO20" s="232"/>
      <c r="DP20" s="232"/>
      <c r="DQ20" s="232"/>
      <c r="DR20" s="232"/>
      <c r="DS20" s="232"/>
      <c r="DT20" s="232"/>
      <c r="DU20" s="232"/>
      <c r="DV20" s="232"/>
      <c r="DW20" s="232"/>
      <c r="DX20" s="232"/>
      <c r="DY20" s="232"/>
      <c r="DZ20" s="232"/>
      <c r="EA20" s="232"/>
      <c r="EB20" s="232"/>
      <c r="EC20" s="232"/>
      <c r="ED20" s="232"/>
      <c r="EE20" s="232"/>
      <c r="EF20" s="232"/>
      <c r="EG20" s="232"/>
      <c r="EH20" s="232"/>
      <c r="EI20" s="232"/>
      <c r="EJ20" s="232"/>
      <c r="EK20" s="232"/>
      <c r="EL20" s="232"/>
      <c r="EM20" s="232"/>
      <c r="EN20" s="232"/>
      <c r="EO20" s="232"/>
      <c r="EP20" s="232"/>
      <c r="EQ20" s="232"/>
      <c r="ER20" s="232"/>
      <c r="ES20" s="232"/>
      <c r="ET20" s="232"/>
      <c r="EU20" s="232"/>
      <c r="EV20" s="232"/>
      <c r="EW20" s="232"/>
      <c r="EX20" s="232"/>
      <c r="EY20" s="232"/>
      <c r="EZ20" s="232"/>
      <c r="FA20" s="232"/>
      <c r="FB20" s="232"/>
      <c r="FC20" s="232"/>
      <c r="FD20" s="232"/>
      <c r="FE20" s="232"/>
      <c r="FF20" s="232"/>
      <c r="FG20" s="232"/>
      <c r="FH20" s="232"/>
      <c r="FI20" s="232"/>
      <c r="FJ20" s="232"/>
      <c r="FK20" s="232"/>
      <c r="FL20" s="232"/>
      <c r="FM20" s="232"/>
      <c r="FN20" s="232"/>
      <c r="FO20" s="232"/>
      <c r="FP20" s="232"/>
      <c r="FQ20" s="232"/>
      <c r="FR20" s="232"/>
      <c r="FS20" s="232"/>
      <c r="FT20" s="232"/>
      <c r="FU20" s="232"/>
      <c r="FV20" s="232"/>
      <c r="FW20" s="232"/>
      <c r="FX20" s="232"/>
      <c r="FY20" s="232"/>
      <c r="FZ20" s="232"/>
      <c r="GA20" s="232"/>
      <c r="GB20" s="232"/>
      <c r="GC20" s="232"/>
      <c r="GD20" s="232"/>
      <c r="GE20" s="232"/>
      <c r="GF20" s="232"/>
      <c r="GG20" s="151"/>
      <c r="GH20" s="151"/>
      <c r="GI20" s="151"/>
      <c r="GJ20" s="151"/>
      <c r="GK20" s="151"/>
      <c r="GL20" s="151"/>
      <c r="GM20" s="151"/>
      <c r="GN20" s="151"/>
      <c r="GO20" s="151"/>
      <c r="GP20" s="151"/>
      <c r="GQ20" s="151"/>
      <c r="GR20" s="151"/>
      <c r="GS20" s="151"/>
      <c r="GT20" s="151"/>
      <c r="GU20" s="151"/>
      <c r="GV20" s="151"/>
      <c r="GW20" s="151"/>
      <c r="GX20" s="151"/>
      <c r="GY20" s="151"/>
      <c r="GZ20" s="151"/>
      <c r="HA20" s="151"/>
      <c r="HB20" s="151"/>
      <c r="HC20" s="151"/>
      <c r="HD20" s="151"/>
      <c r="HE20" s="151"/>
      <c r="HF20" s="151"/>
      <c r="HG20" s="151"/>
      <c r="HH20" s="151"/>
      <c r="HI20" s="151"/>
      <c r="HJ20" s="151"/>
      <c r="HK20" s="151"/>
      <c r="HL20" s="151"/>
      <c r="HM20" s="151"/>
      <c r="HN20" s="151"/>
      <c r="HO20" s="151"/>
      <c r="HP20" s="151"/>
      <c r="HQ20" s="151"/>
      <c r="HR20" s="151"/>
      <c r="HS20" s="151"/>
      <c r="HT20" s="238" t="str">
        <f t="shared" si="2"/>
        <v/>
      </c>
      <c r="HU20" s="240" t="str">
        <f t="shared" si="3"/>
        <v/>
      </c>
      <c r="HV20" s="238" t="str">
        <f t="shared" si="4"/>
        <v/>
      </c>
      <c r="HW20" s="240" t="str">
        <f t="shared" si="5"/>
        <v/>
      </c>
      <c r="HX20" s="238" t="str">
        <f t="shared" si="6"/>
        <v/>
      </c>
      <c r="HY20" s="240" t="str">
        <f t="shared" si="7"/>
        <v/>
      </c>
      <c r="HZ20" s="242"/>
      <c r="IA20" s="242"/>
      <c r="IB20" s="242"/>
      <c r="IC20" s="242"/>
      <c r="ID20" s="243" t="str">
        <f>IFERROR(__xludf.DUMMYFUNCTION("
    IFERROR(  
      TEXTJOIN(""|||"",FALSE , 
        ARRAY_CONSTRAIN( SORT( ARRAYFORMULA(Split(TRANSPOSE 
          (Split(TEXTJOIN(""|||"",TRUE,'1-1 Сбор КП'!$IF20:$IL20),""|||"",FALSE,FALSE)
        ),""|"",FALSE,FALSE)),3,FALSE ),100,2)
      )
    "&amp;",)"),"")</f>
        <v/>
      </c>
      <c r="IE20"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КП'!$AA20),
'1-1 Сбор КП'!$"&amp;"AA20:$HS20,
'1-1 Сбор КП'!$ID20,
BYROW( TRANSPOSE(Split('1-1 Сбор КП'!$IQ20,""|||"",FALSE)),LAMBDA(rc,Split(rc,""📎"",FALSE,FALSE))),
  {'3-3 Выбор поставщиков'!$AB$24:$AB$28 , '3-3 Выбор поставщиков'!$AF$24:$AF$28},
  {'3-3 Выбор поставщиков'!$AB$24:$AB"&amp;"$28 , '3-3 Выбор поставщиков'!$AD$24:$AD$28}
)"),"#N/A")</f>
        <v>#N/A</v>
      </c>
      <c r="IF20" s="246"/>
      <c r="IG20" s="242"/>
      <c r="IH20" s="242"/>
      <c r="II20" s="242"/>
      <c r="IJ20" s="242"/>
      <c r="IK20" s="242"/>
      <c r="IL20" s="242"/>
      <c r="IM20" s="242"/>
      <c r="IN20" s="242"/>
      <c r="IO20" s="242"/>
      <c r="IP20" s="242"/>
      <c r="IQ20" s="242" t="str">
        <f>IFERROR(__xludf.DUMMYFUNCTION("
    IFERROR(  
      TEXTJOIN(""|||"",true , 
        BYROW(
        ARRAY_CONSTRAIN( SORT( ARRAYFORMULA(
          Split( TRANSPOSE (
            Split(TEXTJOIN(""|||"", TRUE, '1-1 Сбор КП'!$IS20:$JF20) ,""|||"",FALSE,FALSE)
          ),""📎"",FALSE,FAL"&amp;"SE)),5,FALSE ),100,4)
        ,LAMBDA(r,TEXTJOIN(""📎"",FALSE ,r))
      )
    ,))"),"")</f>
        <v/>
      </c>
      <c r="IR20"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КП'!$AA20),
 '1-1 Сбор КП'!$AA20:$HS20,
 '1-1 Сбор КП'!$ID20,
 BYROW( TRANSPOSE(Split('1-1 Сбор КП'!$IQ20,""|||"",FALSE)),LAMBDA("&amp;"rc,Split(rc,""📎"",FALSE,FALSE)))
)
"),"#N/A")</f>
        <v>#N/A</v>
      </c>
      <c r="IS20" s="242"/>
      <c r="IT20" s="242"/>
      <c r="IU20" s="242"/>
      <c r="IV20" s="242"/>
      <c r="IW20" s="242"/>
      <c r="IX20" s="242"/>
      <c r="IY20" s="242"/>
      <c r="IZ20" s="242"/>
      <c r="JA20" s="242"/>
      <c r="JB20" s="242"/>
      <c r="JC20" s="242"/>
      <c r="JD20" s="242"/>
      <c r="JE20" s="242"/>
      <c r="JF20" s="242"/>
      <c r="JG20" s="242"/>
      <c r="JH20" s="242"/>
      <c r="JI20" s="242"/>
    </row>
    <row r="21">
      <c r="A21" s="8"/>
      <c r="B21" s="255"/>
      <c r="C21" s="221" t="s">
        <v>417</v>
      </c>
      <c r="D21" s="221"/>
      <c r="E21" s="221"/>
      <c r="F21" s="221"/>
      <c r="G21" s="393"/>
      <c r="H21" s="222" t="s">
        <v>333</v>
      </c>
      <c r="I21" s="222" t="s">
        <v>333</v>
      </c>
      <c r="J21" s="394"/>
      <c r="K21" s="248"/>
      <c r="L21" s="227"/>
      <c r="M21" s="250"/>
      <c r="N21" s="250"/>
      <c r="O21" s="227"/>
      <c r="P21" s="251"/>
      <c r="Q21" s="252"/>
      <c r="R21" s="227"/>
      <c r="S21" s="227"/>
      <c r="T21" s="305"/>
      <c r="U21" s="151"/>
      <c r="V21" s="151"/>
      <c r="W21" s="151"/>
      <c r="X21" s="151"/>
      <c r="Y21" s="151"/>
      <c r="Z21" s="231" t="s">
        <v>416</v>
      </c>
      <c r="AA21" s="232"/>
      <c r="AB21" s="232"/>
      <c r="AC21" s="232"/>
      <c r="AD21" s="232"/>
      <c r="AE21" s="232"/>
      <c r="AF21" s="232"/>
      <c r="AG21" s="232"/>
      <c r="AH21" s="232"/>
      <c r="AI21" s="232"/>
      <c r="AJ21" s="232"/>
      <c r="AK21" s="232"/>
      <c r="AL21" s="232"/>
      <c r="AM21" s="234"/>
      <c r="AN21" s="232"/>
      <c r="AO21" s="232"/>
      <c r="AP21" s="232"/>
      <c r="AQ21" s="232"/>
      <c r="AR21" s="232"/>
      <c r="AS21" s="232"/>
      <c r="AT21" s="232"/>
      <c r="AU21" s="232"/>
      <c r="AV21" s="232"/>
      <c r="AW21" s="232"/>
      <c r="AX21" s="232"/>
      <c r="AY21" s="235"/>
      <c r="AZ21" s="232"/>
      <c r="BA21" s="232"/>
      <c r="BB21" s="232"/>
      <c r="BC21" s="232"/>
      <c r="BD21" s="232"/>
      <c r="BE21" s="232"/>
      <c r="BF21" s="232"/>
      <c r="BG21" s="232"/>
      <c r="BH21" s="232"/>
      <c r="BI21" s="232"/>
      <c r="BJ21" s="232"/>
      <c r="BK21" s="232"/>
      <c r="BL21" s="232"/>
      <c r="BM21" s="232"/>
      <c r="BN21" s="232"/>
      <c r="BO21" s="232"/>
      <c r="BP21" s="232"/>
      <c r="BQ21" s="232"/>
      <c r="BR21" s="232"/>
      <c r="BS21" s="232"/>
      <c r="BT21" s="232"/>
      <c r="BU21" s="232"/>
      <c r="BV21" s="232"/>
      <c r="BW21" s="232"/>
      <c r="BX21" s="232"/>
      <c r="BY21" s="232"/>
      <c r="BZ21" s="235"/>
      <c r="CA21" s="232"/>
      <c r="CB21" s="232"/>
      <c r="CC21" s="232"/>
      <c r="CD21" s="232"/>
      <c r="CE21" s="232"/>
      <c r="CF21" s="232"/>
      <c r="CG21" s="232"/>
      <c r="CH21" s="232"/>
      <c r="CI21" s="232"/>
      <c r="CJ21" s="232"/>
      <c r="CK21" s="232"/>
      <c r="CL21" s="232"/>
      <c r="CM21" s="232"/>
      <c r="CN21" s="232"/>
      <c r="CO21" s="235"/>
      <c r="CP21" s="232"/>
      <c r="CQ21" s="232"/>
      <c r="CR21" s="232"/>
      <c r="CS21" s="232"/>
      <c r="CT21" s="232"/>
      <c r="CU21" s="232"/>
      <c r="CV21" s="232"/>
      <c r="CW21" s="232"/>
      <c r="CX21" s="232"/>
      <c r="CY21" s="232"/>
      <c r="CZ21" s="232"/>
      <c r="DA21" s="232"/>
      <c r="DB21" s="232"/>
      <c r="DC21" s="232"/>
      <c r="DD21" s="232"/>
      <c r="DE21" s="232"/>
      <c r="DF21" s="232"/>
      <c r="DG21" s="232"/>
      <c r="DH21" s="232"/>
      <c r="DI21" s="232"/>
      <c r="DJ21" s="232"/>
      <c r="DK21" s="232"/>
      <c r="DL21" s="232"/>
      <c r="DM21" s="232"/>
      <c r="DN21" s="232"/>
      <c r="DO21" s="232"/>
      <c r="DP21" s="232"/>
      <c r="DQ21" s="232"/>
      <c r="DR21" s="232"/>
      <c r="DS21" s="232"/>
      <c r="DT21" s="232"/>
      <c r="DU21" s="232"/>
      <c r="DV21" s="232"/>
      <c r="DW21" s="232"/>
      <c r="DX21" s="232"/>
      <c r="DY21" s="232"/>
      <c r="DZ21" s="232"/>
      <c r="EA21" s="232"/>
      <c r="EB21" s="232"/>
      <c r="EC21" s="232"/>
      <c r="ED21" s="232"/>
      <c r="EE21" s="232"/>
      <c r="EF21" s="232"/>
      <c r="EG21" s="232"/>
      <c r="EH21" s="232"/>
      <c r="EI21" s="232"/>
      <c r="EJ21" s="232"/>
      <c r="EK21" s="232"/>
      <c r="EL21" s="232"/>
      <c r="EM21" s="232"/>
      <c r="EN21" s="232"/>
      <c r="EO21" s="232"/>
      <c r="EP21" s="232"/>
      <c r="EQ21" s="232"/>
      <c r="ER21" s="232"/>
      <c r="ES21" s="232"/>
      <c r="ET21" s="232"/>
      <c r="EU21" s="232"/>
      <c r="EV21" s="232"/>
      <c r="EW21" s="232"/>
      <c r="EX21" s="232"/>
      <c r="EY21" s="232"/>
      <c r="EZ21" s="232"/>
      <c r="FA21" s="232"/>
      <c r="FB21" s="232"/>
      <c r="FC21" s="232"/>
      <c r="FD21" s="232"/>
      <c r="FE21" s="232"/>
      <c r="FF21" s="232"/>
      <c r="FG21" s="232"/>
      <c r="FH21" s="232"/>
      <c r="FI21" s="232"/>
      <c r="FJ21" s="232"/>
      <c r="FK21" s="232"/>
      <c r="FL21" s="232"/>
      <c r="FM21" s="232"/>
      <c r="FN21" s="232"/>
      <c r="FO21" s="232"/>
      <c r="FP21" s="232"/>
      <c r="FQ21" s="232"/>
      <c r="FR21" s="232"/>
      <c r="FS21" s="232"/>
      <c r="FT21" s="232"/>
      <c r="FU21" s="232"/>
      <c r="FV21" s="232"/>
      <c r="FW21" s="232"/>
      <c r="FX21" s="232"/>
      <c r="FY21" s="232"/>
      <c r="FZ21" s="232"/>
      <c r="GA21" s="232"/>
      <c r="GB21" s="232"/>
      <c r="GC21" s="232"/>
      <c r="GD21" s="232"/>
      <c r="GE21" s="232"/>
      <c r="GF21" s="232"/>
      <c r="GG21" s="151"/>
      <c r="GH21" s="151"/>
      <c r="GI21" s="151"/>
      <c r="GJ21" s="151"/>
      <c r="GK21" s="151"/>
      <c r="GL21" s="151"/>
      <c r="GM21" s="151"/>
      <c r="GN21" s="151"/>
      <c r="GO21" s="151"/>
      <c r="GP21" s="151"/>
      <c r="GQ21" s="151"/>
      <c r="GR21" s="151"/>
      <c r="GS21" s="151"/>
      <c r="GT21" s="151"/>
      <c r="GU21" s="151"/>
      <c r="GV21" s="151"/>
      <c r="GW21" s="151"/>
      <c r="GX21" s="151"/>
      <c r="GY21" s="151"/>
      <c r="GZ21" s="151"/>
      <c r="HA21" s="151"/>
      <c r="HB21" s="151"/>
      <c r="HC21" s="151"/>
      <c r="HD21" s="151"/>
      <c r="HE21" s="151"/>
      <c r="HF21" s="151"/>
      <c r="HG21" s="151"/>
      <c r="HH21" s="151"/>
      <c r="HI21" s="151"/>
      <c r="HJ21" s="151"/>
      <c r="HK21" s="151"/>
      <c r="HL21" s="151"/>
      <c r="HM21" s="151"/>
      <c r="HN21" s="151"/>
      <c r="HO21" s="151"/>
      <c r="HP21" s="151"/>
      <c r="HQ21" s="151"/>
      <c r="HR21" s="151"/>
      <c r="HS21" s="151"/>
      <c r="HT21" s="238" t="str">
        <f t="shared" si="2"/>
        <v/>
      </c>
      <c r="HU21" s="240" t="str">
        <f t="shared" si="3"/>
        <v/>
      </c>
      <c r="HV21" s="238" t="str">
        <f t="shared" si="4"/>
        <v/>
      </c>
      <c r="HW21" s="240" t="str">
        <f t="shared" si="5"/>
        <v/>
      </c>
      <c r="HX21" s="238" t="str">
        <f t="shared" si="6"/>
        <v/>
      </c>
      <c r="HY21" s="240" t="str">
        <f t="shared" si="7"/>
        <v/>
      </c>
      <c r="HZ21" s="242"/>
      <c r="IA21" s="242"/>
      <c r="IB21" s="242"/>
      <c r="IC21" s="242"/>
      <c r="ID21" s="243" t="str">
        <f>IFERROR(__xludf.DUMMYFUNCTION("
    IFERROR(  
      TEXTJOIN(""|||"",FALSE , 
        ARRAY_CONSTRAIN( SORT( ARRAYFORMULA(Split(TRANSPOSE 
          (Split(TEXTJOIN(""|||"",TRUE,'1-1 Сбор КП'!$IF21:$IL21),""|||"",FALSE,FALSE)
        ),""|"",FALSE,FALSE)),3,FALSE ),100,2)
      )
    "&amp;",)"),"")</f>
        <v/>
      </c>
      <c r="IE21" s="245" t="str">
        <f>IFERROR(__xludf.DUMMYFUNCTION("LAMBDA(cc,тело,комент, комЭкс, порядок,показ,
BYROW(тело,
LAMBDA(r,
TEXTJOIN(""|||"",FALSE,ARRAY_CONSTRAIN( Query( TRANSPOSE( {
{ARRAYFORMULA( FILTER( ADDRESS(ROW(r), COLUMN(r) ), MOD(COLUMN(r)-cc,3)=0))};
{ARRAYFORMULA( FILTER( ADDRESS(1, COLUMN(r) ), MO"&amp;"D(COLUMN(r)-cc,3)=0))};
{ARRAYFORMULA( IFERROR(VLOOKUP(  FILTER( ADDRESS(1, COLUMN(r) ), MOD(COLUMN(r)-cc,3)=0),
{ 
  TRANSPOSE (FILTER( {SPLIT(INDEX(комент,1,0),""|||"",FALSE,FALSE)}, ARRAYFORMULA( ISODD({SEQUENCE(1, COLUMNS(SPLIT(INDEX(комент,1,0),""|||"&amp;""",FALSE,FALSE) ), 1, 1)}))))  ,  TRANSPOSE (FILTER( {SPLIT(INDEX(комент,1,0),""|||"",FALSE,FALSE)}, ARRAYFORMULA(  ISEVEN({SEQUENCE(1, COLUMNS( SPLIT(INDEX(комент,1,0),""|||"",FALSE,FALSE) ), 1, 1)}))))}
 ,2,0 ),""""))};
{ARRAYFORMULA( FILTER( ADDRESS(RO"&amp;"W(r), COLUMN(r) ), MOD(COLUMN(r)-cc,3)=1))};
{ARRAYFORMULA( Lambda(f,m,""Подходит: ""&amp; IFERROR( VLOOKUP( f, комЭкс, 4,0 ),""-?"")&amp;"", ""&amp;  m&amp;"" ""&amp;IFERROR(VLOOKUP( f, комЭкс, 2,0 ),)&amp;"" ""&amp;IFERROR(VLOOKUP( f, комЭкс, 3,0 ),)  )
(
 FILTER( ADDRESS(1, COLUM"&amp;"N(r) ), MOD(COLUMN(r)-cc,3)=0),
 FILTER( r, MOD(COLUMN(r)-cc,3)=2)
) )   };
{ARRAYFORMULA( FILTER( r, MOD(COLUMN(r)-cc,3)=0))};
BYCOL({ARRAYFORMULA( FILTER(  ""'1-1 Сбор КП'!""&amp;""R1C""&amp;COLUMN(r) , MOD(COLUMN(r)-cc,3)=0))},LAMBDA(aa, 
LAMBDA(a,ifs (
IFERR"&amp;"OR(FIND(""(♠)"",a),0)&lt;&gt;0,IFERROR( VLOOKUP(""♠"",порядок,2,FALSE),5),
IFERROR(FIND(""(♦️)"",a),0)&lt;&gt;0,IFERROR( VLOOKUP(""♦️"",порядок,2,FALSE),5),
IFERROR(FIND(""(♣️)"",a),0)&lt;&gt;0,IFERROR( VLOOKUP(""♣️"",порядок,2,FALSE),5),
IFERROR(FIND(""(♥️)"",a),0)&lt;&gt;0,IFE"&amp;"RROR( VLOOKUP(""♥️"",порядок,2,FALSE),5),
TRUE,IFERROR( VLOOKUP(""-"",порядок,2,FALSE),5)
))(INDIRECT( aa,FALSE)  )
 ));
BYCOL({ARRAYFORMULA( FILTER(  ""'1-1 Сбор КП'!""&amp;""R1C""&amp;COLUMN(r) , MOD(COLUMN(r)-cc,3)=0))},LAMBDA(aa, 
LAMBDA(a,ifs (
IFERROR(FIND"&amp;"(""(♠)"",a),0)&lt;&gt;0,IFERROR( VLOOKUP(""♠"",показ,2,FALSE),TRUE),
IFERROR(FIND(""(♦️)"",a),0)&lt;&gt;0,IFERROR( VLOOKUP(""♦️"",показ,2,FALSE),TRUE),
IFERROR(FIND(""(♣️)"",a),0)&lt;&gt;0,IFERROR( VLOOKUP(""♣️"",показ,2,FALSE),TRUE),
IFERROR(FIND(""(♥️)"",a),0)&lt;&gt;0,IFERROR"&amp;"( VLOOKUP(""♥️"",показ,2,FALSE),TRUE),
TRUE,IFERROR( VLOOKUP(""-"",показ,2,FALSE),TRUE)
))(INDIRECT( aa,FALSE)  )
 ))
}),""Select * Where Col6 is not null and Col8=true Order by Col7, Col6"",0),7,5))
)
)
)
(
COLUMN('1-1 Сбор КП'!$AA21),
'1-1 Сбор КП'!$"&amp;"AA21:$HS21,
'1-1 Сбор КП'!$ID21,
BYROW( TRANSPOSE(Split('1-1 Сбор КП'!$IQ21,""|||"",FALSE)),LAMBDA(rc,Split(rc,""📎"",FALSE,FALSE))),
  {'3-3 Выбор поставщиков'!$AB$24:$AB$28 , '3-3 Выбор поставщиков'!$AF$24:$AF$28},
  {'3-3 Выбор поставщиков'!$AB$24:$AB"&amp;"$28 , '3-3 Выбор поставщиков'!$AD$24:$AD$28}
)"),"#N/A")</f>
        <v>#N/A</v>
      </c>
      <c r="IF21" s="246"/>
      <c r="IG21" s="242"/>
      <c r="IH21" s="242"/>
      <c r="II21" s="242"/>
      <c r="IJ21" s="242"/>
      <c r="IK21" s="242"/>
      <c r="IL21" s="242"/>
      <c r="IM21" s="242"/>
      <c r="IN21" s="242"/>
      <c r="IO21" s="242"/>
      <c r="IP21" s="242"/>
      <c r="IQ21" s="242" t="str">
        <f>IFERROR(__xludf.DUMMYFUNCTION("
    IFERROR(  
      TEXTJOIN(""|||"",true , 
        BYROW(
        ARRAY_CONSTRAIN( SORT( ARRAYFORMULA(
          Split( TRANSPOSE (
            Split(TEXTJOIN(""|||"", TRUE, '1-1 Сбор КП'!$IS21:$JF21) ,""|||"",FALSE,FALSE)
          ),""📎"",FALSE,FAL"&amp;"SE)),5,FALSE ),100,4)
        ,LAMBDA(r,TEXTJOIN(""📎"",FALSE ,r))
      )
    ,))"),"")</f>
        <v/>
      </c>
      <c r="IR21" s="242" t="str">
        <f>IFERROR(__xludf.DUMMYFUNCTION("
LAMBDA(cc,тело,комент,комЭкс,BYROW(тело,LAMBDA(r,
TEXTJOIN(""|||"",FALSE, ARRAY_CONSTRAIN( Query( TRANSPOSE( 
{
{ ARRAYFORMULA( FILTER( ADDRESS(ROW(r), COLUMN(r) ), MOD(COLUMN(r)-cc,3)=0))        };
{ ARRAYFORMULA( FILTER( ADDRESS(1, COLUMN(r) ), MOD(COL"&amp;"UMN(r)-cc,3)=0))        };
{ ARRAYFORMULA( FILTER( ADDRESS(ROW(r), COLUMN(r) ), MOD(COLUMN(r)-cc,3)=1))        };
{ ARRAYFORMULA( FILTER( ADDRESS(ROW(r), COLUMN(r)+1 ), MOD(COLUMN(r)-cc,3)=1))        };
{ ARRAYFORMULA( IFERROR(VLOOKUP(  FILTER( ADDRESS(1,"&amp;" COLUMN(r) ), MOD(COLUMN(r)-cc,3)=0),комЭкс,2,0 ),""""))    };
{ ARRAYFORMULA( IFERROR(VLOOKUP(  FILTER( ADDRESS(1, COLUMN(r) ), MOD(COLUMN(r)-cc,3)=0),комЭкс,3,0 ),""""))    };
{ ARRAYFORMULA( IFERROR(VLOOKUP(  FILTER( ADDRESS(1, COLUMN(r) ), MOD(COLUMN("&amp;"r)-cc,3)=0),комЭкс,4,0 ),""""))    };
{ ARRAYFORMULA( IFERROR(VLOOKUP(  FILTER( ADDRESS(1, COLUMN(r) ), MOD(COLUMN(r)-cc,3)=0),
  { TRANSPOSE (FILTER( {SPLIT(INDEX(комент,1,0),""|||"",FALSE,FALSE)}, ARRAYFORMULA( ISODD({SEQUENCE(1, COLUMNS(SPLIT(INDEX(ком"&amp;"ент,1,0),""|||"",FALSE,FALSE) ), 1, 1)})))) , TRANSPOSE (FILTER( {SPLIT(INDEX(комент,1,0),""|||"",FALSE,FALSE)}, ARRAYFORMULA(  ISEVEN({SEQUENCE(1, COLUMNS( SPLIT(INDEX(комент,1,0),""|||"",FALSE,FALSE) ), 1, 1)}))))}
,2,0 ),"""")) };
{  ARRAYFORMULA( FIL"&amp;"TER( r, MOD(COLUMN(r)-cc,3)=0))  }
}
),""Select * Where Col9 is not null Order by Col9"",0),14,8)))
))
(
 COLUMN('1-1 Сбор КП'!$AA21),
 '1-1 Сбор КП'!$AA21:$HS21,
 '1-1 Сбор КП'!$ID21,
 BYROW( TRANSPOSE(Split('1-1 Сбор КП'!$IQ21,""|||"",FALSE)),LAMBDA("&amp;"rc,Split(rc,""📎"",FALSE,FALSE)))
)
"),"#N/A")</f>
        <v>#N/A</v>
      </c>
      <c r="IS21" s="242"/>
      <c r="IT21" s="242"/>
      <c r="IU21" s="242"/>
      <c r="IV21" s="242"/>
      <c r="IW21" s="242"/>
      <c r="IX21" s="242"/>
      <c r="IY21" s="242"/>
      <c r="IZ21" s="242"/>
      <c r="JA21" s="242"/>
      <c r="JB21" s="242"/>
      <c r="JC21" s="242"/>
      <c r="JD21" s="242"/>
      <c r="JE21" s="242"/>
      <c r="JF21" s="242"/>
      <c r="JG21" s="242"/>
      <c r="JH21" s="242"/>
      <c r="JI21" s="242"/>
    </row>
    <row r="22">
      <c r="A22" s="8"/>
      <c r="B22" s="8"/>
      <c r="C22" s="433" t="s">
        <v>537</v>
      </c>
      <c r="D22" s="433"/>
      <c r="E22" s="434"/>
      <c r="F22" s="434"/>
      <c r="G22" s="298"/>
      <c r="H22" s="147" t="s">
        <v>538</v>
      </c>
      <c r="I22" s="147" t="s">
        <v>539</v>
      </c>
      <c r="J22" s="435"/>
      <c r="K22" s="436">
        <f>SUMPRODUCT(G2:G21,K2:K21)</f>
        <v>0</v>
      </c>
      <c r="L22" s="305"/>
      <c r="M22" s="437"/>
      <c r="N22" s="438"/>
      <c r="O22" s="437"/>
      <c r="P22" s="437"/>
      <c r="Q22" s="437">
        <f>IFERROR(__xludf.DUMMYFUNCTION("""COMPUTED_VALUE"""),78.0)</f>
        <v>78</v>
      </c>
      <c r="R22" s="437" t="str">
        <f>IFERROR(__xludf.DUMMYFUNCTION("""COMPUTED_VALUE""")," ")</f>
        <v> </v>
      </c>
      <c r="S22" s="437"/>
      <c r="T22" s="437"/>
      <c r="U22" s="437"/>
      <c r="V22" s="437"/>
      <c r="W22" s="437"/>
      <c r="X22" s="437"/>
      <c r="Y22" s="437"/>
      <c r="Z22" s="437"/>
      <c r="AA22" s="440">
        <f t="array" ref="AA22:HS22">LAMBDA(vls,pr,fc,  BYCOL(vls,LAMBDA(cl,
 ifs(
    MOD( COLUMN(cl)-COLUMN(fc),3)=0,IF((COUNTA(cl)-COUNT(IF(cl="",,cl*1) ))  =0,LAMBDA(ss,IF(ss&lt;&gt;0,ss,) )(SUMPRODUCT(cl,pr)),"Ошибка: Цена должна быть числом"),
    MOD( COLUMN(cl)-COLUMN(fc),3)=1,IF(SUM(cl)&gt;0,"Ошибка: Срок должен быть текстом или пусто",),
    MOD( COLUMN(cl)-COLUMN(fc),3)=2,IF(SUM(cl)&gt;0,"Ошибка: Модель должена быть текстом или пусто",),
    TRUE,
  )
)))
(
AA2:HS21,
G2:G21,
AA2
)</f>
        <v>137200</v>
      </c>
      <c r="AB22" s="151"/>
      <c r="AC22" s="151"/>
      <c r="AD22" s="151">
        <v>47850.0348</v>
      </c>
      <c r="AE22" s="151"/>
      <c r="AF22" s="151"/>
      <c r="AG22" s="151">
        <v>78374.0</v>
      </c>
      <c r="AH22" s="151"/>
      <c r="AI22" s="151"/>
      <c r="AJ22" s="151">
        <v>233400.0</v>
      </c>
      <c r="AK22" s="151"/>
      <c r="AL22" s="151"/>
      <c r="AM22" s="441">
        <v>2268000.0</v>
      </c>
      <c r="AN22" s="151"/>
      <c r="AO22" s="151"/>
      <c r="AP22" s="151">
        <v>3485820.0</v>
      </c>
      <c r="AQ22" s="151"/>
      <c r="AR22" s="151"/>
      <c r="AS22" s="151">
        <v>135700.0</v>
      </c>
      <c r="AT22" s="151"/>
      <c r="AU22" s="151"/>
      <c r="AV22" s="151">
        <v>113400.0</v>
      </c>
      <c r="AW22" s="151"/>
      <c r="AX22" s="151"/>
      <c r="AY22" s="151">
        <v>7355.44</v>
      </c>
      <c r="AZ22" s="151"/>
      <c r="BA22" s="151"/>
      <c r="BB22" s="151">
        <v>6098220.0</v>
      </c>
      <c r="BC22" s="151"/>
      <c r="BD22" s="151"/>
      <c r="BE22" s="441">
        <v>304900.0</v>
      </c>
      <c r="BF22" s="151"/>
      <c r="BG22" s="151"/>
      <c r="BH22" s="151">
        <v>589200.0</v>
      </c>
      <c r="BI22" s="151"/>
      <c r="BJ22" s="151"/>
      <c r="BK22" s="441">
        <v>245000.0</v>
      </c>
      <c r="BL22" s="151"/>
      <c r="BM22" s="151"/>
      <c r="BN22" s="151">
        <v>132332.0</v>
      </c>
      <c r="BO22" s="151"/>
      <c r="BP22" s="151"/>
      <c r="BQ22" s="441">
        <v>176900.0</v>
      </c>
      <c r="BR22" s="151"/>
      <c r="BS22" s="151"/>
      <c r="BT22" s="151" t="s">
        <v>540</v>
      </c>
      <c r="BU22" s="151"/>
      <c r="BV22" s="151"/>
      <c r="BW22" s="151" t="s">
        <v>540</v>
      </c>
      <c r="BX22" s="151"/>
      <c r="BY22" s="151"/>
      <c r="BZ22" s="151">
        <v>219804.12</v>
      </c>
      <c r="CA22" s="151"/>
      <c r="CB22" s="151"/>
      <c r="CC22" s="151">
        <v>680577.0</v>
      </c>
      <c r="CD22" s="151"/>
      <c r="CE22" s="151"/>
      <c r="CF22" s="151" t="s">
        <v>540</v>
      </c>
      <c r="CG22" s="151"/>
      <c r="CH22" s="151"/>
      <c r="CI22" s="441">
        <v>174500.0</v>
      </c>
      <c r="CJ22" s="151"/>
      <c r="CK22" s="151"/>
      <c r="CL22" s="151"/>
      <c r="CM22" s="151"/>
      <c r="CN22" s="151"/>
      <c r="CO22" s="151"/>
      <c r="CP22" s="151"/>
      <c r="CQ22" s="151"/>
      <c r="CR22" s="151"/>
      <c r="CS22" s="151"/>
      <c r="CT22" s="151"/>
      <c r="CU22" s="151"/>
      <c r="CV22" s="151"/>
      <c r="CW22" s="151"/>
      <c r="CX22" s="151"/>
      <c r="CY22" s="151"/>
      <c r="CZ22" s="151"/>
      <c r="DA22" s="151"/>
      <c r="DB22" s="151"/>
      <c r="DC22" s="151"/>
      <c r="DD22" s="151"/>
      <c r="DE22" s="151"/>
      <c r="DF22" s="151"/>
      <c r="DG22" s="151"/>
      <c r="DH22" s="151"/>
      <c r="DI22" s="151"/>
      <c r="DJ22" s="151"/>
      <c r="DK22" s="151"/>
      <c r="DL22" s="151"/>
      <c r="DM22" s="151"/>
      <c r="DN22" s="151"/>
      <c r="DO22" s="151"/>
      <c r="DP22" s="151"/>
      <c r="DQ22" s="151"/>
      <c r="DR22" s="151"/>
      <c r="DS22" s="151"/>
      <c r="DT22" s="151"/>
      <c r="DU22" s="151"/>
      <c r="DV22" s="151"/>
      <c r="DW22" s="151"/>
      <c r="DX22" s="151"/>
      <c r="DY22" s="151"/>
      <c r="DZ22" s="151"/>
      <c r="EA22" s="151"/>
      <c r="EB22" s="151"/>
      <c r="EC22" s="151"/>
      <c r="ED22" s="151"/>
      <c r="EE22" s="151"/>
      <c r="EF22" s="151"/>
      <c r="EG22" s="151"/>
      <c r="EH22" s="151"/>
      <c r="EI22" s="151"/>
      <c r="EJ22" s="151"/>
      <c r="EK22" s="151"/>
      <c r="EL22" s="151"/>
      <c r="EM22" s="151"/>
      <c r="EN22" s="151"/>
      <c r="EO22" s="151"/>
      <c r="EP22" s="151"/>
      <c r="EQ22" s="151"/>
      <c r="ER22" s="151"/>
      <c r="ES22" s="151"/>
      <c r="ET22" s="151"/>
      <c r="EU22" s="151"/>
      <c r="EV22" s="151"/>
      <c r="EW22" s="151"/>
      <c r="EX22" s="151"/>
      <c r="EY22" s="151"/>
      <c r="EZ22" s="151"/>
      <c r="FA22" s="151"/>
      <c r="FB22" s="151"/>
      <c r="FC22" s="151"/>
      <c r="FD22" s="151"/>
      <c r="FE22" s="151"/>
      <c r="FF22" s="151"/>
      <c r="FG22" s="151"/>
      <c r="FH22" s="151"/>
      <c r="FI22" s="151"/>
      <c r="FJ22" s="151"/>
      <c r="FK22" s="151"/>
      <c r="FL22" s="151"/>
      <c r="FM22" s="151"/>
      <c r="FN22" s="151"/>
      <c r="FO22" s="151"/>
      <c r="FP22" s="151"/>
      <c r="FQ22" s="151"/>
      <c r="FR22" s="151"/>
      <c r="FS22" s="151"/>
      <c r="FT22" s="151"/>
      <c r="FU22" s="151"/>
      <c r="FV22" s="151"/>
      <c r="FW22" s="151"/>
      <c r="FX22" s="151"/>
      <c r="FY22" s="151"/>
      <c r="FZ22" s="151"/>
      <c r="GA22" s="151"/>
      <c r="GB22" s="151"/>
      <c r="GC22" s="151"/>
      <c r="GD22" s="151"/>
      <c r="GE22" s="151"/>
      <c r="GF22" s="151"/>
      <c r="GG22" s="151"/>
      <c r="GH22" s="151"/>
      <c r="GI22" s="151"/>
      <c r="GJ22" s="151"/>
      <c r="GK22" s="151"/>
      <c r="GL22" s="151"/>
      <c r="GM22" s="151"/>
      <c r="GN22" s="151"/>
      <c r="GO22" s="151"/>
      <c r="GP22" s="151"/>
      <c r="GQ22" s="151"/>
      <c r="GR22" s="151"/>
      <c r="GS22" s="151"/>
      <c r="GT22" s="151"/>
      <c r="GU22" s="151"/>
      <c r="GV22" s="151"/>
      <c r="GW22" s="151"/>
      <c r="GX22" s="151"/>
      <c r="GY22" s="151"/>
      <c r="GZ22" s="151"/>
      <c r="HA22" s="151"/>
      <c r="HB22" s="151"/>
      <c r="HC22" s="151"/>
      <c r="HD22" s="151"/>
      <c r="HE22" s="151"/>
      <c r="HF22" s="151"/>
      <c r="HG22" s="151"/>
      <c r="HH22" s="151"/>
      <c r="HI22" s="151"/>
      <c r="HJ22" s="151"/>
      <c r="HK22" s="151"/>
      <c r="HL22" s="151"/>
      <c r="HM22" s="151"/>
      <c r="HN22" s="151"/>
      <c r="HO22" s="151"/>
      <c r="HP22" s="151"/>
      <c r="HQ22" s="151"/>
      <c r="HR22" s="151"/>
      <c r="HS22" s="151"/>
      <c r="HT22" s="151"/>
      <c r="HU22" s="151"/>
      <c r="HV22" s="151"/>
      <c r="HW22" s="151"/>
      <c r="HX22" s="151"/>
      <c r="HY22" s="151"/>
      <c r="HZ22" s="242"/>
      <c r="IA22" s="242"/>
      <c r="IB22" s="242"/>
      <c r="IC22" s="242"/>
      <c r="ID22" s="442"/>
      <c r="IE22" s="214"/>
      <c r="IF22" s="242"/>
      <c r="IG22" s="242"/>
      <c r="IH22" s="242"/>
      <c r="II22" s="242"/>
      <c r="IJ22" s="242"/>
      <c r="IK22" s="242"/>
      <c r="IL22" s="242"/>
      <c r="IM22" s="242"/>
      <c r="IN22" s="242"/>
      <c r="IO22" s="242"/>
      <c r="IP22" s="242"/>
      <c r="IQ22" s="242"/>
      <c r="IR22" s="242"/>
      <c r="IS22" s="242"/>
      <c r="IT22" s="242"/>
      <c r="IU22" s="242"/>
      <c r="IV22" s="242"/>
      <c r="IW22" s="242"/>
      <c r="IX22" s="242"/>
      <c r="IY22" s="242"/>
      <c r="IZ22" s="242"/>
      <c r="JA22" s="242"/>
      <c r="JB22" s="242"/>
      <c r="JC22" s="242"/>
      <c r="JD22" s="242"/>
      <c r="JE22" s="242"/>
      <c r="JF22" s="242"/>
      <c r="JG22" s="242"/>
      <c r="JH22" s="242"/>
      <c r="JI22" s="242"/>
    </row>
    <row r="23">
      <c r="A23" s="8"/>
      <c r="B23" s="8"/>
      <c r="C23" s="434"/>
      <c r="D23" s="433"/>
      <c r="E23" s="434"/>
      <c r="F23" s="434"/>
      <c r="G23" s="298"/>
      <c r="H23" s="443">
        <v>46308.58966528936</v>
      </c>
      <c r="I23" s="147" t="s">
        <v>541</v>
      </c>
      <c r="J23" s="444"/>
      <c r="K23" s="445" t="str">
        <f>IF(K22&lt;&gt;'0-Паспорт проекта'!C40,"Ошибка проверить попозиционное НМЦ","ok")</f>
        <v>ok</v>
      </c>
      <c r="L23" s="305"/>
      <c r="M23" s="151"/>
      <c r="N23" s="286"/>
      <c r="O23" s="305"/>
      <c r="P23" s="151"/>
      <c r="Q23" s="151"/>
      <c r="R23" s="305"/>
      <c r="S23" s="305"/>
      <c r="T23" s="305"/>
      <c r="U23" s="151"/>
      <c r="V23" s="151"/>
      <c r="W23" s="151"/>
      <c r="X23" s="151"/>
      <c r="Y23" s="151"/>
      <c r="Z23" s="151"/>
      <c r="AA23" s="151"/>
      <c r="AB23" s="151"/>
      <c r="AC23" s="151"/>
      <c r="AD23" s="151"/>
      <c r="AE23" s="151"/>
      <c r="AF23" s="151"/>
      <c r="AG23" s="151"/>
      <c r="AH23" s="151"/>
      <c r="AI23" s="151"/>
      <c r="AJ23" s="151"/>
      <c r="AK23" s="151"/>
      <c r="AL23" s="151"/>
      <c r="AM23" s="441"/>
      <c r="AN23" s="151"/>
      <c r="AO23" s="151"/>
      <c r="AP23" s="151"/>
      <c r="AQ23" s="151"/>
      <c r="AR23" s="151"/>
      <c r="AS23" s="151"/>
      <c r="AT23" s="151"/>
      <c r="AU23" s="151"/>
      <c r="AV23" s="151"/>
      <c r="AW23" s="151"/>
      <c r="AX23" s="151"/>
      <c r="AY23" s="151"/>
      <c r="AZ23" s="151"/>
      <c r="BA23" s="151"/>
      <c r="BB23" s="151"/>
      <c r="BC23" s="151"/>
      <c r="BD23" s="151"/>
      <c r="BE23" s="441"/>
      <c r="BF23" s="151"/>
      <c r="BG23" s="151"/>
      <c r="BH23" s="151"/>
      <c r="BI23" s="151"/>
      <c r="BJ23" s="151"/>
      <c r="BK23" s="441"/>
      <c r="BL23" s="151"/>
      <c r="BM23" s="151"/>
      <c r="BN23" s="151"/>
      <c r="BO23" s="151"/>
      <c r="BP23" s="151"/>
      <c r="BQ23" s="441"/>
      <c r="BR23" s="151"/>
      <c r="BS23" s="151"/>
      <c r="BT23" s="151"/>
      <c r="BU23" s="151"/>
      <c r="BV23" s="151"/>
      <c r="BW23" s="151"/>
      <c r="BX23" s="151"/>
      <c r="BY23" s="151"/>
      <c r="BZ23" s="151"/>
      <c r="CA23" s="151"/>
      <c r="CB23" s="151"/>
      <c r="CC23" s="151"/>
      <c r="CD23" s="151"/>
      <c r="CE23" s="151"/>
      <c r="CF23" s="151"/>
      <c r="CG23" s="151"/>
      <c r="CH23" s="151"/>
      <c r="CI23" s="441"/>
      <c r="CJ23" s="151"/>
      <c r="CK23" s="151"/>
      <c r="CL23" s="151"/>
      <c r="CM23" s="151"/>
      <c r="CN23" s="151"/>
      <c r="CO23" s="151"/>
      <c r="CP23" s="151"/>
      <c r="CQ23" s="151"/>
      <c r="CR23" s="151"/>
      <c r="CS23" s="151"/>
      <c r="CT23" s="151"/>
      <c r="CU23" s="151"/>
      <c r="CV23" s="151"/>
      <c r="CW23" s="151"/>
      <c r="CX23" s="151"/>
      <c r="CY23" s="151"/>
      <c r="CZ23" s="151"/>
      <c r="DA23" s="151"/>
      <c r="DB23" s="151"/>
      <c r="DC23" s="151"/>
      <c r="DD23" s="151"/>
      <c r="DE23" s="151"/>
      <c r="DF23" s="151"/>
      <c r="DG23" s="151"/>
      <c r="DH23" s="151"/>
      <c r="DI23" s="151"/>
      <c r="DJ23" s="151"/>
      <c r="DK23" s="151"/>
      <c r="DL23" s="151"/>
      <c r="DM23" s="151"/>
      <c r="DN23" s="151"/>
      <c r="DO23" s="151"/>
      <c r="DP23" s="151"/>
      <c r="DQ23" s="151"/>
      <c r="DR23" s="151"/>
      <c r="DS23" s="151"/>
      <c r="DT23" s="151"/>
      <c r="DU23" s="151"/>
      <c r="DV23" s="151"/>
      <c r="DW23" s="151"/>
      <c r="DX23" s="151"/>
      <c r="DY23" s="151"/>
      <c r="DZ23" s="151"/>
      <c r="EA23" s="151"/>
      <c r="EB23" s="151"/>
      <c r="EC23" s="151"/>
      <c r="ED23" s="151"/>
      <c r="EE23" s="151"/>
      <c r="EF23" s="151"/>
      <c r="EG23" s="151"/>
      <c r="EH23" s="151"/>
      <c r="EI23" s="151"/>
      <c r="EJ23" s="151"/>
      <c r="EK23" s="151"/>
      <c r="EL23" s="151"/>
      <c r="EM23" s="151"/>
      <c r="EN23" s="151"/>
      <c r="EO23" s="151"/>
      <c r="EP23" s="151"/>
      <c r="EQ23" s="151"/>
      <c r="ER23" s="151"/>
      <c r="ES23" s="151"/>
      <c r="ET23" s="151"/>
      <c r="EU23" s="151"/>
      <c r="EV23" s="151"/>
      <c r="EW23" s="151"/>
      <c r="EX23" s="151"/>
      <c r="EY23" s="151"/>
      <c r="EZ23" s="151"/>
      <c r="FA23" s="151"/>
      <c r="FB23" s="151"/>
      <c r="FC23" s="151"/>
      <c r="FD23" s="151"/>
      <c r="FE23" s="151"/>
      <c r="FF23" s="151"/>
      <c r="FG23" s="151"/>
      <c r="FH23" s="151"/>
      <c r="FI23" s="151"/>
      <c r="FJ23" s="151"/>
      <c r="FK23" s="151"/>
      <c r="FL23" s="151"/>
      <c r="FM23" s="151"/>
      <c r="FN23" s="151"/>
      <c r="FO23" s="151"/>
      <c r="FP23" s="151"/>
      <c r="FQ23" s="151"/>
      <c r="FR23" s="151"/>
      <c r="FS23" s="151"/>
      <c r="FT23" s="151"/>
      <c r="FU23" s="151"/>
      <c r="FV23" s="151"/>
      <c r="FW23" s="151"/>
      <c r="FX23" s="151"/>
      <c r="FY23" s="151"/>
      <c r="FZ23" s="151"/>
      <c r="GA23" s="151"/>
      <c r="GB23" s="151"/>
      <c r="GC23" s="151"/>
      <c r="GD23" s="151"/>
      <c r="GE23" s="151"/>
      <c r="GF23" s="151"/>
      <c r="GG23" s="151"/>
      <c r="GH23" s="151"/>
      <c r="GI23" s="151"/>
      <c r="GJ23" s="151"/>
      <c r="GK23" s="151"/>
      <c r="GL23" s="151"/>
      <c r="GM23" s="151"/>
      <c r="GN23" s="151"/>
      <c r="GO23" s="151"/>
      <c r="GP23" s="151"/>
      <c r="GQ23" s="151"/>
      <c r="GR23" s="151"/>
      <c r="GS23" s="151"/>
      <c r="GT23" s="151"/>
      <c r="GU23" s="151"/>
      <c r="GV23" s="151"/>
      <c r="GW23" s="151"/>
      <c r="GX23" s="151"/>
      <c r="GY23" s="151"/>
      <c r="GZ23" s="151"/>
      <c r="HA23" s="151"/>
      <c r="HB23" s="151"/>
      <c r="HC23" s="151"/>
      <c r="HD23" s="151"/>
      <c r="HE23" s="151"/>
      <c r="HF23" s="151"/>
      <c r="HG23" s="151"/>
      <c r="HH23" s="151"/>
      <c r="HI23" s="151"/>
      <c r="HJ23" s="151"/>
      <c r="HK23" s="151"/>
      <c r="HL23" s="151"/>
      <c r="HM23" s="151"/>
      <c r="HN23" s="151"/>
      <c r="HO23" s="151"/>
      <c r="HP23" s="151"/>
      <c r="HQ23" s="151"/>
      <c r="HR23" s="151"/>
      <c r="HS23" s="151"/>
      <c r="HT23" s="151"/>
      <c r="HU23" s="151"/>
      <c r="HV23" s="151"/>
      <c r="HW23" s="151"/>
      <c r="HX23" s="151"/>
      <c r="HY23" s="151"/>
      <c r="HZ23" s="242"/>
      <c r="IA23" s="242"/>
      <c r="IB23" s="242"/>
      <c r="IC23" s="242"/>
      <c r="ID23" s="442"/>
      <c r="IE23" s="214"/>
      <c r="IF23" s="242"/>
      <c r="IG23" s="242"/>
      <c r="IH23" s="242"/>
      <c r="II23" s="242"/>
      <c r="IJ23" s="242"/>
      <c r="IK23" s="242"/>
      <c r="IL23" s="242"/>
      <c r="IM23" s="242"/>
      <c r="IN23" s="242"/>
      <c r="IO23" s="242"/>
      <c r="IP23" s="242"/>
      <c r="IQ23" s="242"/>
      <c r="IR23" s="242"/>
      <c r="IS23" s="242"/>
      <c r="IT23" s="242"/>
      <c r="IU23" s="242"/>
      <c r="IV23" s="242"/>
      <c r="IW23" s="242"/>
      <c r="IX23" s="242"/>
      <c r="IY23" s="242"/>
      <c r="IZ23" s="242"/>
      <c r="JA23" s="242"/>
      <c r="JB23" s="242"/>
      <c r="JC23" s="242"/>
      <c r="JD23" s="242"/>
      <c r="JE23" s="242"/>
      <c r="JF23" s="242"/>
      <c r="JG23" s="242"/>
      <c r="JH23" s="242"/>
      <c r="JI23" s="242"/>
    </row>
    <row r="24">
      <c r="A24" s="8"/>
      <c r="B24" s="8"/>
      <c r="C24" s="434"/>
      <c r="D24" s="433"/>
      <c r="E24" s="434"/>
      <c r="F24" s="434"/>
      <c r="G24" s="298"/>
      <c r="H24" s="151"/>
      <c r="I24" s="151"/>
      <c r="J24" s="444"/>
      <c r="K24" s="151"/>
      <c r="L24" s="305"/>
      <c r="M24" s="151"/>
      <c r="N24" s="286"/>
      <c r="O24" s="305"/>
      <c r="P24" s="151"/>
      <c r="Q24" s="151"/>
      <c r="R24" s="305"/>
      <c r="S24" s="305"/>
      <c r="T24" s="305"/>
      <c r="U24" s="151"/>
      <c r="V24" s="151"/>
      <c r="W24" s="151"/>
      <c r="X24" s="151"/>
      <c r="Y24" s="151"/>
      <c r="Z24" s="151"/>
      <c r="AA24" s="151"/>
      <c r="AB24" s="151"/>
      <c r="AC24" s="151"/>
      <c r="AD24" s="151"/>
      <c r="AE24" s="151"/>
      <c r="AF24" s="151"/>
      <c r="AG24" s="151"/>
      <c r="AH24" s="151"/>
      <c r="AI24" s="151"/>
      <c r="AJ24" s="151"/>
      <c r="AK24" s="151"/>
      <c r="AL24" s="151"/>
      <c r="AM24" s="441"/>
      <c r="AN24" s="151"/>
      <c r="AO24" s="151"/>
      <c r="AP24" s="151"/>
      <c r="AQ24" s="151"/>
      <c r="AR24" s="151"/>
      <c r="AS24" s="151"/>
      <c r="AT24" s="151"/>
      <c r="AU24" s="151"/>
      <c r="AV24" s="151"/>
      <c r="AW24" s="151"/>
      <c r="AX24" s="151"/>
      <c r="AY24" s="151"/>
      <c r="AZ24" s="151"/>
      <c r="BA24" s="151"/>
      <c r="BB24" s="151"/>
      <c r="BC24" s="151"/>
      <c r="BD24" s="151"/>
      <c r="BE24" s="441"/>
      <c r="BF24" s="151"/>
      <c r="BG24" s="151"/>
      <c r="BH24" s="151"/>
      <c r="BI24" s="151"/>
      <c r="BJ24" s="151"/>
      <c r="BK24" s="441"/>
      <c r="BL24" s="151"/>
      <c r="BM24" s="151"/>
      <c r="BN24" s="151"/>
      <c r="BO24" s="151"/>
      <c r="BP24" s="151"/>
      <c r="BQ24" s="441"/>
      <c r="BR24" s="151"/>
      <c r="BS24" s="151"/>
      <c r="BT24" s="151"/>
      <c r="BU24" s="151"/>
      <c r="BV24" s="151"/>
      <c r="BW24" s="151"/>
      <c r="BX24" s="151"/>
      <c r="BY24" s="151"/>
      <c r="BZ24" s="151"/>
      <c r="CA24" s="151"/>
      <c r="CB24" s="151"/>
      <c r="CC24" s="151"/>
      <c r="CD24" s="151"/>
      <c r="CE24" s="151"/>
      <c r="CF24" s="151"/>
      <c r="CG24" s="151"/>
      <c r="CH24" s="151"/>
      <c r="CI24" s="441"/>
      <c r="CJ24" s="151"/>
      <c r="CK24" s="151"/>
      <c r="CL24" s="151"/>
      <c r="CM24" s="151"/>
      <c r="CN24" s="151"/>
      <c r="CO24" s="151"/>
      <c r="CP24" s="151"/>
      <c r="CQ24" s="151"/>
      <c r="CR24" s="151"/>
      <c r="CS24" s="151"/>
      <c r="CT24" s="151"/>
      <c r="CU24" s="151"/>
      <c r="CV24" s="151"/>
      <c r="CW24" s="151"/>
      <c r="CX24" s="151"/>
      <c r="CY24" s="151"/>
      <c r="CZ24" s="151"/>
      <c r="DA24" s="151"/>
      <c r="DB24" s="151"/>
      <c r="DC24" s="151"/>
      <c r="DD24" s="151"/>
      <c r="DE24" s="151"/>
      <c r="DF24" s="151"/>
      <c r="DG24" s="151"/>
      <c r="DH24" s="151"/>
      <c r="DI24" s="151"/>
      <c r="DJ24" s="151"/>
      <c r="DK24" s="151"/>
      <c r="DL24" s="151"/>
      <c r="DM24" s="151"/>
      <c r="DN24" s="151"/>
      <c r="DO24" s="151"/>
      <c r="DP24" s="151"/>
      <c r="DQ24" s="151"/>
      <c r="DR24" s="151"/>
      <c r="DS24" s="151"/>
      <c r="DT24" s="151"/>
      <c r="DU24" s="151"/>
      <c r="DV24" s="151"/>
      <c r="DW24" s="151"/>
      <c r="DX24" s="151"/>
      <c r="DY24" s="151"/>
      <c r="DZ24" s="151"/>
      <c r="EA24" s="151"/>
      <c r="EB24" s="151"/>
      <c r="EC24" s="151"/>
      <c r="ED24" s="151"/>
      <c r="EE24" s="151"/>
      <c r="EF24" s="151"/>
      <c r="EG24" s="151"/>
      <c r="EH24" s="151"/>
      <c r="EI24" s="151"/>
      <c r="EJ24" s="151"/>
      <c r="EK24" s="151"/>
      <c r="EL24" s="151"/>
      <c r="EM24" s="151"/>
      <c r="EN24" s="151"/>
      <c r="EO24" s="151"/>
      <c r="EP24" s="151"/>
      <c r="EQ24" s="151"/>
      <c r="ER24" s="151"/>
      <c r="ES24" s="151"/>
      <c r="ET24" s="151"/>
      <c r="EU24" s="151"/>
      <c r="EV24" s="151"/>
      <c r="EW24" s="151"/>
      <c r="EX24" s="151"/>
      <c r="EY24" s="151"/>
      <c r="EZ24" s="151"/>
      <c r="FA24" s="151"/>
      <c r="FB24" s="151"/>
      <c r="FC24" s="151"/>
      <c r="FD24" s="151"/>
      <c r="FE24" s="151"/>
      <c r="FF24" s="151"/>
      <c r="FG24" s="151"/>
      <c r="FH24" s="151"/>
      <c r="FI24" s="151"/>
      <c r="FJ24" s="151"/>
      <c r="FK24" s="151"/>
      <c r="FL24" s="151"/>
      <c r="FM24" s="151"/>
      <c r="FN24" s="151"/>
      <c r="FO24" s="151"/>
      <c r="FP24" s="151"/>
      <c r="FQ24" s="151"/>
      <c r="FR24" s="151"/>
      <c r="FS24" s="151"/>
      <c r="FT24" s="151"/>
      <c r="FU24" s="151"/>
      <c r="FV24" s="151"/>
      <c r="FW24" s="151"/>
      <c r="FX24" s="151"/>
      <c r="FY24" s="151"/>
      <c r="FZ24" s="151"/>
      <c r="GA24" s="151"/>
      <c r="GB24" s="151"/>
      <c r="GC24" s="151"/>
      <c r="GD24" s="151"/>
      <c r="GE24" s="151"/>
      <c r="GF24" s="151"/>
      <c r="GG24" s="151"/>
      <c r="GH24" s="151"/>
      <c r="GI24" s="151"/>
      <c r="GJ24" s="151"/>
      <c r="GK24" s="151"/>
      <c r="GL24" s="151"/>
      <c r="GM24" s="151"/>
      <c r="GN24" s="151"/>
      <c r="GO24" s="151"/>
      <c r="GP24" s="151"/>
      <c r="GQ24" s="151"/>
      <c r="GR24" s="151"/>
      <c r="GS24" s="151"/>
      <c r="GT24" s="151"/>
      <c r="GU24" s="151"/>
      <c r="GV24" s="151"/>
      <c r="GW24" s="151"/>
      <c r="GX24" s="151"/>
      <c r="GY24" s="151"/>
      <c r="GZ24" s="151"/>
      <c r="HA24" s="151"/>
      <c r="HB24" s="151"/>
      <c r="HC24" s="151"/>
      <c r="HD24" s="151"/>
      <c r="HE24" s="151"/>
      <c r="HF24" s="151"/>
      <c r="HG24" s="151"/>
      <c r="HH24" s="151"/>
      <c r="HI24" s="151"/>
      <c r="HJ24" s="151"/>
      <c r="HK24" s="151"/>
      <c r="HL24" s="151"/>
      <c r="HM24" s="151"/>
      <c r="HN24" s="151"/>
      <c r="HO24" s="151"/>
      <c r="HP24" s="151"/>
      <c r="HQ24" s="151"/>
      <c r="HR24" s="151"/>
      <c r="HS24" s="151"/>
      <c r="HT24" s="151"/>
      <c r="HU24" s="151"/>
      <c r="HV24" s="151"/>
      <c r="HW24" s="151"/>
      <c r="HX24" s="151"/>
      <c r="HY24" s="151"/>
      <c r="HZ24" s="242"/>
      <c r="IA24" s="242"/>
      <c r="IB24" s="242"/>
      <c r="IC24" s="242"/>
      <c r="ID24" s="442"/>
      <c r="IE24" s="214"/>
      <c r="IF24" s="242"/>
      <c r="IG24" s="242"/>
      <c r="IH24" s="242"/>
      <c r="II24" s="242"/>
      <c r="IJ24" s="242"/>
      <c r="IK24" s="242"/>
      <c r="IL24" s="242"/>
      <c r="IM24" s="242"/>
      <c r="IN24" s="242"/>
      <c r="IO24" s="242"/>
      <c r="IP24" s="242"/>
      <c r="IQ24" s="242"/>
      <c r="IR24" s="242"/>
      <c r="IS24" s="242"/>
      <c r="IT24" s="242"/>
      <c r="IU24" s="242"/>
      <c r="IV24" s="242"/>
      <c r="IW24" s="242"/>
      <c r="IX24" s="242"/>
      <c r="IY24" s="242"/>
      <c r="IZ24" s="242"/>
      <c r="JA24" s="242"/>
      <c r="JB24" s="242"/>
      <c r="JC24" s="242"/>
      <c r="JD24" s="242"/>
      <c r="JE24" s="242"/>
      <c r="JF24" s="242"/>
      <c r="JG24" s="242"/>
      <c r="JH24" s="242"/>
      <c r="JI24" s="242"/>
    </row>
    <row r="25">
      <c r="A25" s="8"/>
      <c r="B25" s="8"/>
      <c r="C25" s="434"/>
      <c r="D25" s="433"/>
      <c r="E25" s="434"/>
      <c r="F25" s="434"/>
      <c r="G25" s="298"/>
      <c r="H25" s="151"/>
      <c r="I25" s="151"/>
      <c r="J25" s="444"/>
      <c r="K25" s="151"/>
      <c r="L25" s="305"/>
      <c r="M25" s="151"/>
      <c r="N25" s="286"/>
      <c r="O25" s="305"/>
      <c r="P25" s="151"/>
      <c r="Q25" s="151"/>
      <c r="R25" s="305"/>
      <c r="S25" s="305"/>
      <c r="T25" s="305"/>
      <c r="U25" s="151"/>
      <c r="V25" s="151"/>
      <c r="W25" s="151"/>
      <c r="X25" s="151"/>
      <c r="Y25" s="151"/>
      <c r="Z25" s="151"/>
      <c r="AA25" s="151"/>
      <c r="AB25" s="151"/>
      <c r="AC25" s="151"/>
      <c r="AD25" s="151"/>
      <c r="AE25" s="151"/>
      <c r="AF25" s="151"/>
      <c r="AG25" s="151"/>
      <c r="AH25" s="151"/>
      <c r="AI25" s="151"/>
      <c r="AJ25" s="151"/>
      <c r="AK25" s="151"/>
      <c r="AL25" s="151"/>
      <c r="AM25" s="441"/>
      <c r="AN25" s="151"/>
      <c r="AO25" s="151"/>
      <c r="AP25" s="151"/>
      <c r="AQ25" s="151"/>
      <c r="AR25" s="151"/>
      <c r="AS25" s="151"/>
      <c r="AT25" s="151"/>
      <c r="AU25" s="151"/>
      <c r="AV25" s="151"/>
      <c r="AW25" s="151"/>
      <c r="AX25" s="151"/>
      <c r="AY25" s="151"/>
      <c r="AZ25" s="151"/>
      <c r="BA25" s="151"/>
      <c r="BB25" s="151"/>
      <c r="BC25" s="151"/>
      <c r="BD25" s="151"/>
      <c r="BE25" s="441"/>
      <c r="BF25" s="151"/>
      <c r="BG25" s="151"/>
      <c r="BH25" s="151"/>
      <c r="BI25" s="151"/>
      <c r="BJ25" s="151"/>
      <c r="BK25" s="441"/>
      <c r="BL25" s="151"/>
      <c r="BM25" s="151"/>
      <c r="BN25" s="151"/>
      <c r="BO25" s="151"/>
      <c r="BP25" s="151"/>
      <c r="BQ25" s="441"/>
      <c r="BR25" s="151"/>
      <c r="BS25" s="151"/>
      <c r="BT25" s="151"/>
      <c r="BU25" s="151"/>
      <c r="BV25" s="151"/>
      <c r="BW25" s="151"/>
      <c r="BX25" s="151"/>
      <c r="BY25" s="151"/>
      <c r="BZ25" s="151"/>
      <c r="CA25" s="151"/>
      <c r="CB25" s="151"/>
      <c r="CC25" s="151"/>
      <c r="CD25" s="151"/>
      <c r="CE25" s="151"/>
      <c r="CF25" s="151"/>
      <c r="CG25" s="151"/>
      <c r="CH25" s="151"/>
      <c r="CI25" s="441"/>
      <c r="CJ25" s="151"/>
      <c r="CK25" s="151"/>
      <c r="CL25" s="151"/>
      <c r="CM25" s="151"/>
      <c r="CN25" s="151"/>
      <c r="CO25" s="151"/>
      <c r="CP25" s="151"/>
      <c r="CQ25" s="151"/>
      <c r="CR25" s="151"/>
      <c r="CS25" s="151"/>
      <c r="CT25" s="151"/>
      <c r="CU25" s="151"/>
      <c r="CV25" s="151"/>
      <c r="CW25" s="151"/>
      <c r="CX25" s="151"/>
      <c r="CY25" s="151"/>
      <c r="CZ25" s="151"/>
      <c r="DA25" s="151"/>
      <c r="DB25" s="151"/>
      <c r="DC25" s="151"/>
      <c r="DD25" s="151"/>
      <c r="DE25" s="151"/>
      <c r="DF25" s="151"/>
      <c r="DG25" s="151"/>
      <c r="DH25" s="151"/>
      <c r="DI25" s="151"/>
      <c r="DJ25" s="151"/>
      <c r="DK25" s="151"/>
      <c r="DL25" s="151"/>
      <c r="DM25" s="151"/>
      <c r="DN25" s="151"/>
      <c r="DO25" s="151"/>
      <c r="DP25" s="151"/>
      <c r="DQ25" s="151"/>
      <c r="DR25" s="151"/>
      <c r="DS25" s="151"/>
      <c r="DT25" s="151"/>
      <c r="DU25" s="151"/>
      <c r="DV25" s="151"/>
      <c r="DW25" s="151"/>
      <c r="DX25" s="151"/>
      <c r="DY25" s="151"/>
      <c r="DZ25" s="151"/>
      <c r="EA25" s="151"/>
      <c r="EB25" s="151"/>
      <c r="EC25" s="151"/>
      <c r="ED25" s="151"/>
      <c r="EE25" s="151"/>
      <c r="EF25" s="151"/>
      <c r="EG25" s="151"/>
      <c r="EH25" s="151"/>
      <c r="EI25" s="151"/>
      <c r="EJ25" s="151"/>
      <c r="EK25" s="151"/>
      <c r="EL25" s="151"/>
      <c r="EM25" s="151"/>
      <c r="EN25" s="151"/>
      <c r="EO25" s="151"/>
      <c r="EP25" s="151"/>
      <c r="EQ25" s="151"/>
      <c r="ER25" s="151"/>
      <c r="ES25" s="151"/>
      <c r="ET25" s="151"/>
      <c r="EU25" s="151"/>
      <c r="EV25" s="151"/>
      <c r="EW25" s="151"/>
      <c r="EX25" s="151"/>
      <c r="EY25" s="151"/>
      <c r="EZ25" s="151"/>
      <c r="FA25" s="151"/>
      <c r="FB25" s="151"/>
      <c r="FC25" s="151"/>
      <c r="FD25" s="151"/>
      <c r="FE25" s="151"/>
      <c r="FF25" s="151"/>
      <c r="FG25" s="151"/>
      <c r="FH25" s="151"/>
      <c r="FI25" s="151"/>
      <c r="FJ25" s="151"/>
      <c r="FK25" s="151"/>
      <c r="FL25" s="151"/>
      <c r="FM25" s="151"/>
      <c r="FN25" s="151"/>
      <c r="FO25" s="151"/>
      <c r="FP25" s="151"/>
      <c r="FQ25" s="151"/>
      <c r="FR25" s="151"/>
      <c r="FS25" s="151"/>
      <c r="FT25" s="151"/>
      <c r="FU25" s="151"/>
      <c r="FV25" s="151"/>
      <c r="FW25" s="151"/>
      <c r="FX25" s="151"/>
      <c r="FY25" s="151"/>
      <c r="FZ25" s="151"/>
      <c r="GA25" s="151"/>
      <c r="GB25" s="151"/>
      <c r="GC25" s="151"/>
      <c r="GD25" s="151"/>
      <c r="GE25" s="151"/>
      <c r="GF25" s="151"/>
      <c r="GG25" s="151"/>
      <c r="GH25" s="151"/>
      <c r="GI25" s="151"/>
      <c r="GJ25" s="151"/>
      <c r="GK25" s="151"/>
      <c r="GL25" s="151"/>
      <c r="GM25" s="151"/>
      <c r="GN25" s="151"/>
      <c r="GO25" s="151"/>
      <c r="GP25" s="151"/>
      <c r="GQ25" s="151"/>
      <c r="GR25" s="151"/>
      <c r="GS25" s="151"/>
      <c r="GT25" s="151"/>
      <c r="GU25" s="151"/>
      <c r="GV25" s="151"/>
      <c r="GW25" s="151"/>
      <c r="GX25" s="151"/>
      <c r="GY25" s="151"/>
      <c r="GZ25" s="151"/>
      <c r="HA25" s="151"/>
      <c r="HB25" s="151"/>
      <c r="HC25" s="151"/>
      <c r="HD25" s="151"/>
      <c r="HE25" s="151"/>
      <c r="HF25" s="151"/>
      <c r="HG25" s="151"/>
      <c r="HH25" s="151"/>
      <c r="HI25" s="151"/>
      <c r="HJ25" s="151"/>
      <c r="HK25" s="151"/>
      <c r="HL25" s="151"/>
      <c r="HM25" s="151"/>
      <c r="HN25" s="151"/>
      <c r="HO25" s="151"/>
      <c r="HP25" s="151"/>
      <c r="HQ25" s="151"/>
      <c r="HR25" s="151"/>
      <c r="HS25" s="151"/>
      <c r="HT25" s="151"/>
      <c r="HU25" s="151"/>
      <c r="HV25" s="151"/>
      <c r="HW25" s="151"/>
      <c r="HX25" s="151"/>
      <c r="HY25" s="151"/>
      <c r="HZ25" s="242"/>
      <c r="IA25" s="242"/>
      <c r="IB25" s="242"/>
      <c r="IC25" s="242"/>
      <c r="ID25" s="442"/>
      <c r="IE25" s="214"/>
      <c r="IF25" s="242"/>
      <c r="IG25" s="242"/>
      <c r="IH25" s="242"/>
      <c r="II25" s="242"/>
      <c r="IJ25" s="242"/>
      <c r="IK25" s="242"/>
      <c r="IL25" s="242"/>
      <c r="IM25" s="242"/>
      <c r="IN25" s="242"/>
      <c r="IO25" s="242"/>
      <c r="IP25" s="242"/>
      <c r="IQ25" s="242"/>
      <c r="IR25" s="242"/>
      <c r="IS25" s="242"/>
      <c r="IT25" s="242"/>
      <c r="IU25" s="242"/>
      <c r="IV25" s="242"/>
      <c r="IW25" s="242"/>
      <c r="IX25" s="242"/>
      <c r="IY25" s="242"/>
      <c r="IZ25" s="242"/>
      <c r="JA25" s="242"/>
      <c r="JB25" s="242"/>
      <c r="JC25" s="242"/>
      <c r="JD25" s="242"/>
      <c r="JE25" s="242"/>
      <c r="JF25" s="242"/>
      <c r="JG25" s="242"/>
      <c r="JH25" s="242"/>
      <c r="JI25" s="242"/>
    </row>
    <row r="26">
      <c r="A26" s="8"/>
      <c r="B26" s="8"/>
      <c r="C26" s="434"/>
      <c r="D26" s="433"/>
      <c r="E26" s="434"/>
      <c r="F26" s="434"/>
      <c r="G26" s="298"/>
      <c r="H26" s="151"/>
      <c r="I26" s="151"/>
      <c r="J26" s="444"/>
      <c r="K26" s="151"/>
      <c r="L26" s="305"/>
      <c r="M26" s="151"/>
      <c r="N26" s="286"/>
      <c r="O26" s="305"/>
      <c r="P26" s="151"/>
      <c r="Q26" s="151"/>
      <c r="R26" s="305"/>
      <c r="S26" s="305"/>
      <c r="T26" s="305"/>
      <c r="U26" s="151"/>
      <c r="V26" s="151"/>
      <c r="W26" s="151"/>
      <c r="X26" s="151"/>
      <c r="Y26" s="151"/>
      <c r="Z26" s="151"/>
      <c r="AA26" s="151"/>
      <c r="AB26" s="151"/>
      <c r="AC26" s="151"/>
      <c r="AD26" s="151"/>
      <c r="AE26" s="151"/>
      <c r="AF26" s="151"/>
      <c r="AG26" s="151"/>
      <c r="AH26" s="151"/>
      <c r="AI26" s="151"/>
      <c r="AJ26" s="151"/>
      <c r="AK26" s="151"/>
      <c r="AL26" s="151"/>
      <c r="AM26" s="441"/>
      <c r="AN26" s="151"/>
      <c r="AO26" s="151"/>
      <c r="AP26" s="151"/>
      <c r="AQ26" s="151"/>
      <c r="AR26" s="151"/>
      <c r="AS26" s="151"/>
      <c r="AT26" s="151"/>
      <c r="AU26" s="151"/>
      <c r="AV26" s="151"/>
      <c r="AW26" s="151"/>
      <c r="AX26" s="151"/>
      <c r="AY26" s="151"/>
      <c r="AZ26" s="151"/>
      <c r="BA26" s="151"/>
      <c r="BB26" s="151"/>
      <c r="BC26" s="151"/>
      <c r="BD26" s="151"/>
      <c r="BE26" s="441"/>
      <c r="BF26" s="151"/>
      <c r="BG26" s="151"/>
      <c r="BH26" s="151"/>
      <c r="BI26" s="151"/>
      <c r="BJ26" s="151"/>
      <c r="BK26" s="441"/>
      <c r="BL26" s="151"/>
      <c r="BM26" s="151"/>
      <c r="BN26" s="151"/>
      <c r="BO26" s="151"/>
      <c r="BP26" s="151"/>
      <c r="BQ26" s="441"/>
      <c r="BR26" s="151"/>
      <c r="BS26" s="151"/>
      <c r="BT26" s="151"/>
      <c r="BU26" s="151"/>
      <c r="BV26" s="151"/>
      <c r="BW26" s="151"/>
      <c r="BX26" s="151"/>
      <c r="BY26" s="151"/>
      <c r="BZ26" s="151"/>
      <c r="CA26" s="151"/>
      <c r="CB26" s="151"/>
      <c r="CC26" s="151"/>
      <c r="CD26" s="151"/>
      <c r="CE26" s="151"/>
      <c r="CF26" s="151"/>
      <c r="CG26" s="151"/>
      <c r="CH26" s="151"/>
      <c r="CI26" s="441"/>
      <c r="CJ26" s="151"/>
      <c r="CK26" s="151"/>
      <c r="CL26" s="151"/>
      <c r="CM26" s="151"/>
      <c r="CN26" s="151"/>
      <c r="CO26" s="151"/>
      <c r="CP26" s="151"/>
      <c r="CQ26" s="151"/>
      <c r="CR26" s="151"/>
      <c r="CS26" s="151"/>
      <c r="CT26" s="151"/>
      <c r="CU26" s="151"/>
      <c r="CV26" s="151"/>
      <c r="CW26" s="151"/>
      <c r="CX26" s="151"/>
      <c r="CY26" s="151"/>
      <c r="CZ26" s="151"/>
      <c r="DA26" s="151"/>
      <c r="DB26" s="151"/>
      <c r="DC26" s="151"/>
      <c r="DD26" s="151"/>
      <c r="DE26" s="151"/>
      <c r="DF26" s="151"/>
      <c r="DG26" s="151"/>
      <c r="DH26" s="151"/>
      <c r="DI26" s="151"/>
      <c r="DJ26" s="151"/>
      <c r="DK26" s="151"/>
      <c r="DL26" s="151"/>
      <c r="DM26" s="151"/>
      <c r="DN26" s="151"/>
      <c r="DO26" s="151"/>
      <c r="DP26" s="151"/>
      <c r="DQ26" s="151"/>
      <c r="DR26" s="151"/>
      <c r="DS26" s="151"/>
      <c r="DT26" s="151"/>
      <c r="DU26" s="151"/>
      <c r="DV26" s="151"/>
      <c r="DW26" s="151"/>
      <c r="DX26" s="151"/>
      <c r="DY26" s="151"/>
      <c r="DZ26" s="151"/>
      <c r="EA26" s="151"/>
      <c r="EB26" s="151"/>
      <c r="EC26" s="151"/>
      <c r="ED26" s="151"/>
      <c r="EE26" s="151"/>
      <c r="EF26" s="151"/>
      <c r="EG26" s="151"/>
      <c r="EH26" s="151"/>
      <c r="EI26" s="151"/>
      <c r="EJ26" s="151"/>
      <c r="EK26" s="151"/>
      <c r="EL26" s="151"/>
      <c r="EM26" s="151"/>
      <c r="EN26" s="151"/>
      <c r="EO26" s="151"/>
      <c r="EP26" s="151"/>
      <c r="EQ26" s="151"/>
      <c r="ER26" s="151"/>
      <c r="ES26" s="151"/>
      <c r="ET26" s="151"/>
      <c r="EU26" s="151"/>
      <c r="EV26" s="151"/>
      <c r="EW26" s="151"/>
      <c r="EX26" s="151"/>
      <c r="EY26" s="151"/>
      <c r="EZ26" s="151"/>
      <c r="FA26" s="151"/>
      <c r="FB26" s="151"/>
      <c r="FC26" s="151"/>
      <c r="FD26" s="151"/>
      <c r="FE26" s="151"/>
      <c r="FF26" s="151"/>
      <c r="FG26" s="151"/>
      <c r="FH26" s="151"/>
      <c r="FI26" s="151"/>
      <c r="FJ26" s="151"/>
      <c r="FK26" s="151"/>
      <c r="FL26" s="151"/>
      <c r="FM26" s="151"/>
      <c r="FN26" s="151"/>
      <c r="FO26" s="151"/>
      <c r="FP26" s="151"/>
      <c r="FQ26" s="151"/>
      <c r="FR26" s="151"/>
      <c r="FS26" s="151"/>
      <c r="FT26" s="151"/>
      <c r="FU26" s="151"/>
      <c r="FV26" s="151"/>
      <c r="FW26" s="151"/>
      <c r="FX26" s="151"/>
      <c r="FY26" s="151"/>
      <c r="FZ26" s="151"/>
      <c r="GA26" s="151"/>
      <c r="GB26" s="151"/>
      <c r="GC26" s="151"/>
      <c r="GD26" s="151"/>
      <c r="GE26" s="151"/>
      <c r="GF26" s="151"/>
      <c r="GG26" s="151"/>
      <c r="GH26" s="151"/>
      <c r="GI26" s="151"/>
      <c r="GJ26" s="151"/>
      <c r="GK26" s="151"/>
      <c r="GL26" s="151"/>
      <c r="GM26" s="151"/>
      <c r="GN26" s="151"/>
      <c r="GO26" s="151"/>
      <c r="GP26" s="151"/>
      <c r="GQ26" s="151"/>
      <c r="GR26" s="151"/>
      <c r="GS26" s="151"/>
      <c r="GT26" s="151"/>
      <c r="GU26" s="151"/>
      <c r="GV26" s="151"/>
      <c r="GW26" s="151"/>
      <c r="GX26" s="151"/>
      <c r="GY26" s="151"/>
      <c r="GZ26" s="151"/>
      <c r="HA26" s="151"/>
      <c r="HB26" s="151"/>
      <c r="HC26" s="151"/>
      <c r="HD26" s="151"/>
      <c r="HE26" s="151"/>
      <c r="HF26" s="151"/>
      <c r="HG26" s="151"/>
      <c r="HH26" s="151"/>
      <c r="HI26" s="151"/>
      <c r="HJ26" s="151"/>
      <c r="HK26" s="151"/>
      <c r="HL26" s="151"/>
      <c r="HM26" s="151"/>
      <c r="HN26" s="151"/>
      <c r="HO26" s="151"/>
      <c r="HP26" s="151"/>
      <c r="HQ26" s="151"/>
      <c r="HR26" s="151"/>
      <c r="HS26" s="151"/>
      <c r="HT26" s="151"/>
      <c r="HU26" s="151"/>
      <c r="HV26" s="151"/>
      <c r="HW26" s="151"/>
      <c r="HX26" s="151"/>
      <c r="HY26" s="151"/>
      <c r="HZ26" s="242"/>
      <c r="IA26" s="242"/>
      <c r="IB26" s="242"/>
      <c r="IC26" s="242"/>
      <c r="ID26" s="442"/>
      <c r="IE26" s="214"/>
      <c r="IF26" s="242"/>
      <c r="IG26" s="242"/>
      <c r="IH26" s="242"/>
      <c r="II26" s="242"/>
      <c r="IJ26" s="242"/>
      <c r="IK26" s="242"/>
      <c r="IL26" s="242"/>
      <c r="IM26" s="242"/>
      <c r="IN26" s="242"/>
      <c r="IO26" s="242"/>
      <c r="IP26" s="242"/>
      <c r="IQ26" s="242"/>
      <c r="IR26" s="242"/>
      <c r="IS26" s="242"/>
      <c r="IT26" s="242"/>
      <c r="IU26" s="242"/>
      <c r="IV26" s="242"/>
      <c r="IW26" s="242"/>
      <c r="IX26" s="242"/>
      <c r="IY26" s="242"/>
      <c r="IZ26" s="242"/>
      <c r="JA26" s="242"/>
      <c r="JB26" s="242"/>
      <c r="JC26" s="242"/>
      <c r="JD26" s="242"/>
      <c r="JE26" s="242"/>
      <c r="JF26" s="242"/>
      <c r="JG26" s="242"/>
      <c r="JH26" s="242"/>
      <c r="JI26" s="242"/>
    </row>
    <row r="27">
      <c r="A27" s="8"/>
      <c r="B27" s="8"/>
      <c r="C27" s="434"/>
      <c r="D27" s="433"/>
      <c r="E27" s="434"/>
      <c r="F27" s="434"/>
      <c r="G27" s="298"/>
      <c r="H27" s="151"/>
      <c r="I27" s="151"/>
      <c r="J27" s="444"/>
      <c r="K27" s="151"/>
      <c r="L27" s="305"/>
      <c r="M27" s="151"/>
      <c r="N27" s="286"/>
      <c r="O27" s="305"/>
      <c r="P27" s="151"/>
      <c r="Q27" s="151"/>
      <c r="R27" s="305"/>
      <c r="S27" s="305"/>
      <c r="T27" s="305"/>
      <c r="U27" s="151"/>
      <c r="V27" s="151"/>
      <c r="W27" s="151"/>
      <c r="X27" s="151"/>
      <c r="Y27" s="151"/>
      <c r="Z27" s="151"/>
      <c r="AA27" s="151"/>
      <c r="AB27" s="151"/>
      <c r="AC27" s="151"/>
      <c r="AD27" s="151"/>
      <c r="AE27" s="151"/>
      <c r="AF27" s="151"/>
      <c r="AG27" s="151"/>
      <c r="AH27" s="151"/>
      <c r="AI27" s="151"/>
      <c r="AJ27" s="151"/>
      <c r="AK27" s="151"/>
      <c r="AL27" s="151"/>
      <c r="AM27" s="441"/>
      <c r="AN27" s="151"/>
      <c r="AO27" s="151"/>
      <c r="AP27" s="151"/>
      <c r="AQ27" s="151"/>
      <c r="AR27" s="151"/>
      <c r="AS27" s="151"/>
      <c r="AT27" s="151"/>
      <c r="AU27" s="151"/>
      <c r="AV27" s="151"/>
      <c r="AW27" s="151"/>
      <c r="AX27" s="151"/>
      <c r="AY27" s="151"/>
      <c r="AZ27" s="151"/>
      <c r="BA27" s="151"/>
      <c r="BB27" s="151"/>
      <c r="BC27" s="151"/>
      <c r="BD27" s="151"/>
      <c r="BE27" s="441"/>
      <c r="BF27" s="151"/>
      <c r="BG27" s="151"/>
      <c r="BH27" s="151"/>
      <c r="BI27" s="151"/>
      <c r="BJ27" s="151"/>
      <c r="BK27" s="441"/>
      <c r="BL27" s="151"/>
      <c r="BM27" s="151"/>
      <c r="BN27" s="151"/>
      <c r="BO27" s="151"/>
      <c r="BP27" s="151"/>
      <c r="BQ27" s="441"/>
      <c r="BR27" s="151"/>
      <c r="BS27" s="151"/>
      <c r="BT27" s="151"/>
      <c r="BU27" s="151"/>
      <c r="BV27" s="151"/>
      <c r="BW27" s="151"/>
      <c r="BX27" s="151"/>
      <c r="BY27" s="151"/>
      <c r="BZ27" s="151"/>
      <c r="CA27" s="151"/>
      <c r="CB27" s="151"/>
      <c r="CC27" s="151"/>
      <c r="CD27" s="151"/>
      <c r="CE27" s="151"/>
      <c r="CF27" s="151"/>
      <c r="CG27" s="151"/>
      <c r="CH27" s="151"/>
      <c r="CI27" s="441"/>
      <c r="CJ27" s="151"/>
      <c r="CK27" s="151"/>
      <c r="CL27" s="151"/>
      <c r="CM27" s="151"/>
      <c r="CN27" s="151"/>
      <c r="CO27" s="151"/>
      <c r="CP27" s="151"/>
      <c r="CQ27" s="151"/>
      <c r="CR27" s="151"/>
      <c r="CS27" s="151"/>
      <c r="CT27" s="151"/>
      <c r="CU27" s="151"/>
      <c r="CV27" s="151"/>
      <c r="CW27" s="151"/>
      <c r="CX27" s="151"/>
      <c r="CY27" s="151"/>
      <c r="CZ27" s="151"/>
      <c r="DA27" s="151"/>
      <c r="DB27" s="151"/>
      <c r="DC27" s="151"/>
      <c r="DD27" s="151"/>
      <c r="DE27" s="151"/>
      <c r="DF27" s="151"/>
      <c r="DG27" s="151"/>
      <c r="DH27" s="151"/>
      <c r="DI27" s="151"/>
      <c r="DJ27" s="151"/>
      <c r="DK27" s="151"/>
      <c r="DL27" s="151"/>
      <c r="DM27" s="151"/>
      <c r="DN27" s="151"/>
      <c r="DO27" s="151"/>
      <c r="DP27" s="151"/>
      <c r="DQ27" s="151"/>
      <c r="DR27" s="151"/>
      <c r="DS27" s="151"/>
      <c r="DT27" s="151"/>
      <c r="DU27" s="151"/>
      <c r="DV27" s="151"/>
      <c r="DW27" s="151"/>
      <c r="DX27" s="151"/>
      <c r="DY27" s="151"/>
      <c r="DZ27" s="151"/>
      <c r="EA27" s="151"/>
      <c r="EB27" s="151"/>
      <c r="EC27" s="151"/>
      <c r="ED27" s="151"/>
      <c r="EE27" s="151"/>
      <c r="EF27" s="151"/>
      <c r="EG27" s="151"/>
      <c r="EH27" s="151"/>
      <c r="EI27" s="151"/>
      <c r="EJ27" s="151"/>
      <c r="EK27" s="151"/>
      <c r="EL27" s="151"/>
      <c r="EM27" s="151"/>
      <c r="EN27" s="151"/>
      <c r="EO27" s="151"/>
      <c r="EP27" s="151"/>
      <c r="EQ27" s="151"/>
      <c r="ER27" s="151"/>
      <c r="ES27" s="151"/>
      <c r="ET27" s="151"/>
      <c r="EU27" s="151"/>
      <c r="EV27" s="151"/>
      <c r="EW27" s="151"/>
      <c r="EX27" s="151"/>
      <c r="EY27" s="151"/>
      <c r="EZ27" s="151"/>
      <c r="FA27" s="151"/>
      <c r="FB27" s="151"/>
      <c r="FC27" s="151"/>
      <c r="FD27" s="151"/>
      <c r="FE27" s="151"/>
      <c r="FF27" s="151"/>
      <c r="FG27" s="151"/>
      <c r="FH27" s="151"/>
      <c r="FI27" s="151"/>
      <c r="FJ27" s="151"/>
      <c r="FK27" s="151"/>
      <c r="FL27" s="151"/>
      <c r="FM27" s="151"/>
      <c r="FN27" s="151"/>
      <c r="FO27" s="151"/>
      <c r="FP27" s="151"/>
      <c r="FQ27" s="151"/>
      <c r="FR27" s="151"/>
      <c r="FS27" s="151"/>
      <c r="FT27" s="151"/>
      <c r="FU27" s="151"/>
      <c r="FV27" s="151"/>
      <c r="FW27" s="151"/>
      <c r="FX27" s="151"/>
      <c r="FY27" s="151"/>
      <c r="FZ27" s="151"/>
      <c r="GA27" s="151"/>
      <c r="GB27" s="151"/>
      <c r="GC27" s="151"/>
      <c r="GD27" s="151"/>
      <c r="GE27" s="151"/>
      <c r="GF27" s="151"/>
      <c r="GG27" s="151"/>
      <c r="GH27" s="151"/>
      <c r="GI27" s="151"/>
      <c r="GJ27" s="151"/>
      <c r="GK27" s="151"/>
      <c r="GL27" s="151"/>
      <c r="GM27" s="151"/>
      <c r="GN27" s="151"/>
      <c r="GO27" s="151"/>
      <c r="GP27" s="151"/>
      <c r="GQ27" s="151"/>
      <c r="GR27" s="151"/>
      <c r="GS27" s="151"/>
      <c r="GT27" s="151"/>
      <c r="GU27" s="151"/>
      <c r="GV27" s="151"/>
      <c r="GW27" s="151"/>
      <c r="GX27" s="151"/>
      <c r="GY27" s="151"/>
      <c r="GZ27" s="151"/>
      <c r="HA27" s="151"/>
      <c r="HB27" s="151"/>
      <c r="HC27" s="151"/>
      <c r="HD27" s="151"/>
      <c r="HE27" s="151"/>
      <c r="HF27" s="151"/>
      <c r="HG27" s="151"/>
      <c r="HH27" s="151"/>
      <c r="HI27" s="151"/>
      <c r="HJ27" s="151"/>
      <c r="HK27" s="151"/>
      <c r="HL27" s="151"/>
      <c r="HM27" s="151"/>
      <c r="HN27" s="151"/>
      <c r="HO27" s="151"/>
      <c r="HP27" s="151"/>
      <c r="HQ27" s="151"/>
      <c r="HR27" s="151"/>
      <c r="HS27" s="151"/>
      <c r="HT27" s="151"/>
      <c r="HU27" s="151"/>
      <c r="HV27" s="151"/>
      <c r="HW27" s="151"/>
      <c r="HX27" s="151"/>
      <c r="HY27" s="151"/>
      <c r="HZ27" s="242"/>
      <c r="IA27" s="242"/>
      <c r="IB27" s="242"/>
      <c r="IC27" s="242"/>
      <c r="ID27" s="442"/>
      <c r="IE27" s="214"/>
      <c r="IF27" s="242"/>
      <c r="IG27" s="242"/>
      <c r="IH27" s="242"/>
      <c r="II27" s="242"/>
      <c r="IJ27" s="242"/>
      <c r="IK27" s="242"/>
      <c r="IL27" s="242"/>
      <c r="IM27" s="242"/>
      <c r="IN27" s="242"/>
      <c r="IO27" s="242"/>
      <c r="IP27" s="242"/>
      <c r="IQ27" s="242"/>
      <c r="IR27" s="242"/>
      <c r="IS27" s="242"/>
      <c r="IT27" s="242"/>
      <c r="IU27" s="242"/>
      <c r="IV27" s="242"/>
      <c r="IW27" s="242"/>
      <c r="IX27" s="242"/>
      <c r="IY27" s="242"/>
      <c r="IZ27" s="242"/>
      <c r="JA27" s="242"/>
      <c r="JB27" s="242"/>
      <c r="JC27" s="242"/>
      <c r="JD27" s="242"/>
      <c r="JE27" s="242"/>
      <c r="JF27" s="242"/>
      <c r="JG27" s="242"/>
      <c r="JH27" s="242"/>
      <c r="JI27" s="242"/>
    </row>
    <row r="28">
      <c r="A28" s="8"/>
      <c r="B28" s="8"/>
      <c r="C28" s="434"/>
      <c r="D28" s="433"/>
      <c r="E28" s="434"/>
      <c r="F28" s="434"/>
      <c r="G28" s="298"/>
      <c r="H28" s="151"/>
      <c r="I28" s="151"/>
      <c r="J28" s="444"/>
      <c r="K28" s="151"/>
      <c r="L28" s="305"/>
      <c r="M28" s="151"/>
      <c r="N28" s="286"/>
      <c r="O28" s="305"/>
      <c r="P28" s="151"/>
      <c r="Q28" s="151"/>
      <c r="R28" s="305"/>
      <c r="S28" s="305"/>
      <c r="T28" s="305"/>
      <c r="U28" s="151"/>
      <c r="V28" s="151"/>
      <c r="W28" s="151"/>
      <c r="X28" s="151"/>
      <c r="Y28" s="151"/>
      <c r="Z28" s="151"/>
      <c r="AA28" s="151"/>
      <c r="AB28" s="151"/>
      <c r="AC28" s="151"/>
      <c r="AD28" s="151"/>
      <c r="AE28" s="151"/>
      <c r="AF28" s="151"/>
      <c r="AG28" s="151"/>
      <c r="AH28" s="151"/>
      <c r="AI28" s="151"/>
      <c r="AJ28" s="151"/>
      <c r="AK28" s="151"/>
      <c r="AL28" s="151"/>
      <c r="AM28" s="441"/>
      <c r="AN28" s="151"/>
      <c r="AO28" s="151"/>
      <c r="AP28" s="151"/>
      <c r="AQ28" s="151"/>
      <c r="AR28" s="151"/>
      <c r="AS28" s="151"/>
      <c r="AT28" s="151"/>
      <c r="AU28" s="151"/>
      <c r="AV28" s="151"/>
      <c r="AW28" s="151"/>
      <c r="AX28" s="151"/>
      <c r="AY28" s="151"/>
      <c r="AZ28" s="151"/>
      <c r="BA28" s="151"/>
      <c r="BB28" s="151"/>
      <c r="BC28" s="151"/>
      <c r="BD28" s="151"/>
      <c r="BE28" s="441"/>
      <c r="BF28" s="151"/>
      <c r="BG28" s="151"/>
      <c r="BH28" s="151"/>
      <c r="BI28" s="151"/>
      <c r="BJ28" s="151"/>
      <c r="BK28" s="441"/>
      <c r="BL28" s="151"/>
      <c r="BM28" s="151"/>
      <c r="BN28" s="151"/>
      <c r="BO28" s="151"/>
      <c r="BP28" s="151"/>
      <c r="BQ28" s="441"/>
      <c r="BR28" s="151"/>
      <c r="BS28" s="151"/>
      <c r="BT28" s="151"/>
      <c r="BU28" s="151"/>
      <c r="BV28" s="151"/>
      <c r="BW28" s="151"/>
      <c r="BX28" s="151"/>
      <c r="BY28" s="151"/>
      <c r="BZ28" s="151"/>
      <c r="CA28" s="151"/>
      <c r="CB28" s="151"/>
      <c r="CC28" s="151"/>
      <c r="CD28" s="151"/>
      <c r="CE28" s="151"/>
      <c r="CF28" s="151"/>
      <c r="CG28" s="151"/>
      <c r="CH28" s="151"/>
      <c r="CI28" s="441"/>
      <c r="CJ28" s="151"/>
      <c r="CK28" s="151"/>
      <c r="CL28" s="151"/>
      <c r="CM28" s="151"/>
      <c r="CN28" s="151"/>
      <c r="CO28" s="151"/>
      <c r="CP28" s="151"/>
      <c r="CQ28" s="151"/>
      <c r="CR28" s="151"/>
      <c r="CS28" s="151"/>
      <c r="CT28" s="151"/>
      <c r="CU28" s="151"/>
      <c r="CV28" s="151"/>
      <c r="CW28" s="151"/>
      <c r="CX28" s="151"/>
      <c r="CY28" s="151"/>
      <c r="CZ28" s="151"/>
      <c r="DA28" s="151"/>
      <c r="DB28" s="151"/>
      <c r="DC28" s="151"/>
      <c r="DD28" s="151"/>
      <c r="DE28" s="151"/>
      <c r="DF28" s="151"/>
      <c r="DG28" s="151"/>
      <c r="DH28" s="151"/>
      <c r="DI28" s="151"/>
      <c r="DJ28" s="151"/>
      <c r="DK28" s="151"/>
      <c r="DL28" s="151"/>
      <c r="DM28" s="151"/>
      <c r="DN28" s="151"/>
      <c r="DO28" s="151"/>
      <c r="DP28" s="151"/>
      <c r="DQ28" s="151"/>
      <c r="DR28" s="151"/>
      <c r="DS28" s="151"/>
      <c r="DT28" s="151"/>
      <c r="DU28" s="151"/>
      <c r="DV28" s="151"/>
      <c r="DW28" s="151"/>
      <c r="DX28" s="151"/>
      <c r="DY28" s="151"/>
      <c r="DZ28" s="151"/>
      <c r="EA28" s="151"/>
      <c r="EB28" s="151"/>
      <c r="EC28" s="151"/>
      <c r="ED28" s="151"/>
      <c r="EE28" s="151"/>
      <c r="EF28" s="151"/>
      <c r="EG28" s="151"/>
      <c r="EH28" s="151"/>
      <c r="EI28" s="151"/>
      <c r="EJ28" s="151"/>
      <c r="EK28" s="151"/>
      <c r="EL28" s="151"/>
      <c r="EM28" s="151"/>
      <c r="EN28" s="151"/>
      <c r="EO28" s="151"/>
      <c r="EP28" s="151"/>
      <c r="EQ28" s="151"/>
      <c r="ER28" s="151"/>
      <c r="ES28" s="151"/>
      <c r="ET28" s="151"/>
      <c r="EU28" s="151"/>
      <c r="EV28" s="151"/>
      <c r="EW28" s="151"/>
      <c r="EX28" s="151"/>
      <c r="EY28" s="151"/>
      <c r="EZ28" s="151"/>
      <c r="FA28" s="151"/>
      <c r="FB28" s="151"/>
      <c r="FC28" s="151"/>
      <c r="FD28" s="151"/>
      <c r="FE28" s="151"/>
      <c r="FF28" s="151"/>
      <c r="FG28" s="151"/>
      <c r="FH28" s="151"/>
      <c r="FI28" s="151"/>
      <c r="FJ28" s="151"/>
      <c r="FK28" s="151"/>
      <c r="FL28" s="151"/>
      <c r="FM28" s="151"/>
      <c r="FN28" s="151"/>
      <c r="FO28" s="151"/>
      <c r="FP28" s="151"/>
      <c r="FQ28" s="151"/>
      <c r="FR28" s="151"/>
      <c r="FS28" s="151"/>
      <c r="FT28" s="151"/>
      <c r="FU28" s="151"/>
      <c r="FV28" s="151"/>
      <c r="FW28" s="151"/>
      <c r="FX28" s="151"/>
      <c r="FY28" s="151"/>
      <c r="FZ28" s="151"/>
      <c r="GA28" s="151"/>
      <c r="GB28" s="151"/>
      <c r="GC28" s="151"/>
      <c r="GD28" s="151"/>
      <c r="GE28" s="151"/>
      <c r="GF28" s="151"/>
      <c r="GG28" s="151"/>
      <c r="GH28" s="151"/>
      <c r="GI28" s="151"/>
      <c r="GJ28" s="151"/>
      <c r="GK28" s="151"/>
      <c r="GL28" s="151"/>
      <c r="GM28" s="151"/>
      <c r="GN28" s="151"/>
      <c r="GO28" s="151"/>
      <c r="GP28" s="151"/>
      <c r="GQ28" s="151"/>
      <c r="GR28" s="151"/>
      <c r="GS28" s="151"/>
      <c r="GT28" s="151"/>
      <c r="GU28" s="151"/>
      <c r="GV28" s="151"/>
      <c r="GW28" s="151"/>
      <c r="GX28" s="151"/>
      <c r="GY28" s="151"/>
      <c r="GZ28" s="151"/>
      <c r="HA28" s="151"/>
      <c r="HB28" s="151"/>
      <c r="HC28" s="151"/>
      <c r="HD28" s="151"/>
      <c r="HE28" s="151"/>
      <c r="HF28" s="151"/>
      <c r="HG28" s="151"/>
      <c r="HH28" s="151"/>
      <c r="HI28" s="151"/>
      <c r="HJ28" s="151"/>
      <c r="HK28" s="151"/>
      <c r="HL28" s="151"/>
      <c r="HM28" s="151"/>
      <c r="HN28" s="151"/>
      <c r="HO28" s="151"/>
      <c r="HP28" s="151"/>
      <c r="HQ28" s="151"/>
      <c r="HR28" s="151"/>
      <c r="HS28" s="151"/>
      <c r="HT28" s="151"/>
      <c r="HU28" s="151"/>
      <c r="HV28" s="151"/>
      <c r="HW28" s="151"/>
      <c r="HX28" s="151"/>
      <c r="HY28" s="151"/>
      <c r="HZ28" s="242"/>
      <c r="IA28" s="242"/>
      <c r="IB28" s="242"/>
      <c r="IC28" s="242"/>
      <c r="ID28" s="442"/>
      <c r="IE28" s="214"/>
      <c r="IF28" s="242"/>
      <c r="IG28" s="242"/>
      <c r="IH28" s="242"/>
      <c r="II28" s="242"/>
      <c r="IJ28" s="242"/>
      <c r="IK28" s="242"/>
      <c r="IL28" s="242"/>
      <c r="IM28" s="242"/>
      <c r="IN28" s="242"/>
      <c r="IO28" s="242"/>
      <c r="IP28" s="242"/>
      <c r="IQ28" s="242"/>
      <c r="IR28" s="242"/>
      <c r="IS28" s="242"/>
      <c r="IT28" s="242"/>
      <c r="IU28" s="242"/>
      <c r="IV28" s="242"/>
      <c r="IW28" s="242"/>
      <c r="IX28" s="242"/>
      <c r="IY28" s="242"/>
      <c r="IZ28" s="242"/>
      <c r="JA28" s="242"/>
      <c r="JB28" s="242"/>
      <c r="JC28" s="242"/>
      <c r="JD28" s="242"/>
      <c r="JE28" s="242"/>
      <c r="JF28" s="242"/>
      <c r="JG28" s="242"/>
      <c r="JH28" s="242"/>
      <c r="JI28" s="242"/>
    </row>
    <row r="29">
      <c r="A29" s="8"/>
      <c r="B29" s="8"/>
      <c r="C29" s="434"/>
      <c r="D29" s="433"/>
      <c r="E29" s="434"/>
      <c r="F29" s="434"/>
      <c r="G29" s="298"/>
      <c r="H29" s="151"/>
      <c r="I29" s="151"/>
      <c r="J29" s="444"/>
      <c r="K29" s="151"/>
      <c r="L29" s="305"/>
      <c r="M29" s="151"/>
      <c r="N29" s="286"/>
      <c r="O29" s="305"/>
      <c r="P29" s="151"/>
      <c r="Q29" s="151"/>
      <c r="R29" s="305"/>
      <c r="S29" s="305"/>
      <c r="T29" s="305"/>
      <c r="U29" s="151"/>
      <c r="V29" s="151"/>
      <c r="W29" s="151"/>
      <c r="X29" s="151"/>
      <c r="Y29" s="151"/>
      <c r="Z29" s="151"/>
      <c r="AA29" s="151"/>
      <c r="AB29" s="151"/>
      <c r="AC29" s="151"/>
      <c r="AD29" s="151"/>
      <c r="AE29" s="151"/>
      <c r="AF29" s="151"/>
      <c r="AG29" s="151"/>
      <c r="AH29" s="151"/>
      <c r="AI29" s="151"/>
      <c r="AJ29" s="151"/>
      <c r="AK29" s="151"/>
      <c r="AL29" s="151"/>
      <c r="AM29" s="441"/>
      <c r="AN29" s="151"/>
      <c r="AO29" s="151"/>
      <c r="AP29" s="151"/>
      <c r="AQ29" s="151"/>
      <c r="AR29" s="151"/>
      <c r="AS29" s="151"/>
      <c r="AT29" s="151"/>
      <c r="AU29" s="151"/>
      <c r="AV29" s="151"/>
      <c r="AW29" s="151"/>
      <c r="AX29" s="151"/>
      <c r="AY29" s="151"/>
      <c r="AZ29" s="151"/>
      <c r="BA29" s="151"/>
      <c r="BB29" s="151"/>
      <c r="BC29" s="151"/>
      <c r="BD29" s="151"/>
      <c r="BE29" s="441"/>
      <c r="BF29" s="151"/>
      <c r="BG29" s="151"/>
      <c r="BH29" s="151"/>
      <c r="BI29" s="151"/>
      <c r="BJ29" s="151"/>
      <c r="BK29" s="441"/>
      <c r="BL29" s="151"/>
      <c r="BM29" s="151"/>
      <c r="BN29" s="151"/>
      <c r="BO29" s="151"/>
      <c r="BP29" s="151"/>
      <c r="BQ29" s="441"/>
      <c r="BR29" s="151"/>
      <c r="BS29" s="151"/>
      <c r="BT29" s="151"/>
      <c r="BU29" s="151"/>
      <c r="BV29" s="151"/>
      <c r="BW29" s="151"/>
      <c r="BX29" s="151"/>
      <c r="BY29" s="151"/>
      <c r="BZ29" s="151"/>
      <c r="CA29" s="151"/>
      <c r="CB29" s="151"/>
      <c r="CC29" s="151"/>
      <c r="CD29" s="151"/>
      <c r="CE29" s="151"/>
      <c r="CF29" s="151"/>
      <c r="CG29" s="151"/>
      <c r="CH29" s="151"/>
      <c r="CI29" s="441"/>
      <c r="CJ29" s="151"/>
      <c r="CK29" s="151"/>
      <c r="CL29" s="151"/>
      <c r="CM29" s="151"/>
      <c r="CN29" s="151"/>
      <c r="CO29" s="151"/>
      <c r="CP29" s="151"/>
      <c r="CQ29" s="151"/>
      <c r="CR29" s="151"/>
      <c r="CS29" s="151"/>
      <c r="CT29" s="151"/>
      <c r="CU29" s="151"/>
      <c r="CV29" s="151"/>
      <c r="CW29" s="151"/>
      <c r="CX29" s="151"/>
      <c r="CY29" s="151"/>
      <c r="CZ29" s="151"/>
      <c r="DA29" s="151"/>
      <c r="DB29" s="151"/>
      <c r="DC29" s="151"/>
      <c r="DD29" s="151"/>
      <c r="DE29" s="151"/>
      <c r="DF29" s="151"/>
      <c r="DG29" s="151"/>
      <c r="DH29" s="151"/>
      <c r="DI29" s="151"/>
      <c r="DJ29" s="151"/>
      <c r="DK29" s="151"/>
      <c r="DL29" s="151"/>
      <c r="DM29" s="151"/>
      <c r="DN29" s="151"/>
      <c r="DO29" s="151"/>
      <c r="DP29" s="151"/>
      <c r="DQ29" s="151"/>
      <c r="DR29" s="151"/>
      <c r="DS29" s="151"/>
      <c r="DT29" s="151"/>
      <c r="DU29" s="151"/>
      <c r="DV29" s="151"/>
      <c r="DW29" s="151"/>
      <c r="DX29" s="151"/>
      <c r="DY29" s="151"/>
      <c r="DZ29" s="151"/>
      <c r="EA29" s="151"/>
      <c r="EB29" s="151"/>
      <c r="EC29" s="151"/>
      <c r="ED29" s="151"/>
      <c r="EE29" s="151"/>
      <c r="EF29" s="151"/>
      <c r="EG29" s="151"/>
      <c r="EH29" s="151"/>
      <c r="EI29" s="151"/>
      <c r="EJ29" s="151"/>
      <c r="EK29" s="151"/>
      <c r="EL29" s="151"/>
      <c r="EM29" s="151"/>
      <c r="EN29" s="151"/>
      <c r="EO29" s="151"/>
      <c r="EP29" s="151"/>
      <c r="EQ29" s="151"/>
      <c r="ER29" s="151"/>
      <c r="ES29" s="151"/>
      <c r="ET29" s="151"/>
      <c r="EU29" s="151"/>
      <c r="EV29" s="151"/>
      <c r="EW29" s="151"/>
      <c r="EX29" s="151"/>
      <c r="EY29" s="151"/>
      <c r="EZ29" s="151"/>
      <c r="FA29" s="151"/>
      <c r="FB29" s="151"/>
      <c r="FC29" s="151"/>
      <c r="FD29" s="151"/>
      <c r="FE29" s="151"/>
      <c r="FF29" s="151"/>
      <c r="FG29" s="151"/>
      <c r="FH29" s="151"/>
      <c r="FI29" s="151"/>
      <c r="FJ29" s="151"/>
      <c r="FK29" s="151"/>
      <c r="FL29" s="151"/>
      <c r="FM29" s="151"/>
      <c r="FN29" s="151"/>
      <c r="FO29" s="151"/>
      <c r="FP29" s="151"/>
      <c r="FQ29" s="151"/>
      <c r="FR29" s="151"/>
      <c r="FS29" s="151"/>
      <c r="FT29" s="151"/>
      <c r="FU29" s="151"/>
      <c r="FV29" s="151"/>
      <c r="FW29" s="151"/>
      <c r="FX29" s="151"/>
      <c r="FY29" s="151"/>
      <c r="FZ29" s="151"/>
      <c r="GA29" s="151"/>
      <c r="GB29" s="151"/>
      <c r="GC29" s="151"/>
      <c r="GD29" s="151"/>
      <c r="GE29" s="151"/>
      <c r="GF29" s="151"/>
      <c r="GG29" s="151"/>
      <c r="GH29" s="151"/>
      <c r="GI29" s="151"/>
      <c r="GJ29" s="151"/>
      <c r="GK29" s="151"/>
      <c r="GL29" s="151"/>
      <c r="GM29" s="151"/>
      <c r="GN29" s="151"/>
      <c r="GO29" s="151"/>
      <c r="GP29" s="151"/>
      <c r="GQ29" s="151"/>
      <c r="GR29" s="151"/>
      <c r="GS29" s="151"/>
      <c r="GT29" s="151"/>
      <c r="GU29" s="151"/>
      <c r="GV29" s="151"/>
      <c r="GW29" s="151"/>
      <c r="GX29" s="151"/>
      <c r="GY29" s="151"/>
      <c r="GZ29" s="151"/>
      <c r="HA29" s="151"/>
      <c r="HB29" s="151"/>
      <c r="HC29" s="151"/>
      <c r="HD29" s="151"/>
      <c r="HE29" s="151"/>
      <c r="HF29" s="151"/>
      <c r="HG29" s="151"/>
      <c r="HH29" s="151"/>
      <c r="HI29" s="151"/>
      <c r="HJ29" s="151"/>
      <c r="HK29" s="151"/>
      <c r="HL29" s="151"/>
      <c r="HM29" s="151"/>
      <c r="HN29" s="151"/>
      <c r="HO29" s="151"/>
      <c r="HP29" s="151"/>
      <c r="HQ29" s="151"/>
      <c r="HR29" s="151"/>
      <c r="HS29" s="151"/>
      <c r="HT29" s="151"/>
      <c r="HU29" s="151"/>
      <c r="HV29" s="151"/>
      <c r="HW29" s="151"/>
      <c r="HX29" s="151"/>
      <c r="HY29" s="151"/>
      <c r="HZ29" s="242"/>
      <c r="IA29" s="242"/>
      <c r="IB29" s="242"/>
      <c r="IC29" s="242"/>
      <c r="ID29" s="442"/>
      <c r="IE29" s="214"/>
      <c r="IF29" s="242"/>
      <c r="IG29" s="242"/>
      <c r="IH29" s="242"/>
      <c r="II29" s="242"/>
      <c r="IJ29" s="242"/>
      <c r="IK29" s="242"/>
      <c r="IL29" s="242"/>
      <c r="IM29" s="242"/>
      <c r="IN29" s="242"/>
      <c r="IO29" s="242"/>
      <c r="IP29" s="242"/>
      <c r="IQ29" s="242"/>
      <c r="IR29" s="242"/>
      <c r="IS29" s="242"/>
      <c r="IT29" s="242"/>
      <c r="IU29" s="242"/>
      <c r="IV29" s="242"/>
      <c r="IW29" s="242"/>
      <c r="IX29" s="242"/>
      <c r="IY29" s="242"/>
      <c r="IZ29" s="242"/>
      <c r="JA29" s="242"/>
      <c r="JB29" s="242"/>
      <c r="JC29" s="242"/>
      <c r="JD29" s="242"/>
      <c r="JE29" s="242"/>
      <c r="JF29" s="242"/>
      <c r="JG29" s="242"/>
      <c r="JH29" s="242"/>
      <c r="JI29" s="242"/>
    </row>
    <row r="30">
      <c r="A30" s="8"/>
      <c r="B30" s="8"/>
      <c r="C30" s="434"/>
      <c r="D30" s="433"/>
      <c r="E30" s="434"/>
      <c r="F30" s="434"/>
      <c r="G30" s="298"/>
      <c r="H30" s="151"/>
      <c r="I30" s="151"/>
      <c r="J30" s="444"/>
      <c r="K30" s="151"/>
      <c r="L30" s="305"/>
      <c r="M30" s="151"/>
      <c r="N30" s="286"/>
      <c r="O30" s="305"/>
      <c r="P30" s="151"/>
      <c r="Q30" s="151"/>
      <c r="R30" s="305"/>
      <c r="S30" s="305"/>
      <c r="T30" s="305"/>
      <c r="U30" s="151"/>
      <c r="V30" s="151"/>
      <c r="W30" s="151"/>
      <c r="X30" s="151"/>
      <c r="Y30" s="151"/>
      <c r="Z30" s="151"/>
      <c r="AA30" s="151"/>
      <c r="AB30" s="151"/>
      <c r="AC30" s="151"/>
      <c r="AD30" s="151"/>
      <c r="AE30" s="151"/>
      <c r="AF30" s="151"/>
      <c r="AG30" s="151"/>
      <c r="AH30" s="151"/>
      <c r="AI30" s="151"/>
      <c r="AJ30" s="151"/>
      <c r="AK30" s="151"/>
      <c r="AL30" s="151"/>
      <c r="AM30" s="441"/>
      <c r="AN30" s="151"/>
      <c r="AO30" s="151"/>
      <c r="AP30" s="151"/>
      <c r="AQ30" s="151"/>
      <c r="AR30" s="151"/>
      <c r="AS30" s="151"/>
      <c r="AT30" s="151"/>
      <c r="AU30" s="151"/>
      <c r="AV30" s="151"/>
      <c r="AW30" s="151"/>
      <c r="AX30" s="151"/>
      <c r="AY30" s="151"/>
      <c r="AZ30" s="151"/>
      <c r="BA30" s="151"/>
      <c r="BB30" s="151"/>
      <c r="BC30" s="151"/>
      <c r="BD30" s="151"/>
      <c r="BE30" s="441"/>
      <c r="BF30" s="151"/>
      <c r="BG30" s="151"/>
      <c r="BH30" s="151"/>
      <c r="BI30" s="151"/>
      <c r="BJ30" s="151"/>
      <c r="BK30" s="441"/>
      <c r="BL30" s="151"/>
      <c r="BM30" s="151"/>
      <c r="BN30" s="151"/>
      <c r="BO30" s="151"/>
      <c r="BP30" s="151"/>
      <c r="BQ30" s="441"/>
      <c r="BR30" s="151"/>
      <c r="BS30" s="151"/>
      <c r="BT30" s="151"/>
      <c r="BU30" s="151"/>
      <c r="BV30" s="151"/>
      <c r="BW30" s="151"/>
      <c r="BX30" s="151"/>
      <c r="BY30" s="151"/>
      <c r="BZ30" s="151"/>
      <c r="CA30" s="151"/>
      <c r="CB30" s="151"/>
      <c r="CC30" s="151"/>
      <c r="CD30" s="151"/>
      <c r="CE30" s="151"/>
      <c r="CF30" s="151"/>
      <c r="CG30" s="151"/>
      <c r="CH30" s="151"/>
      <c r="CI30" s="441"/>
      <c r="CJ30" s="151"/>
      <c r="CK30" s="151"/>
      <c r="CL30" s="151"/>
      <c r="CM30" s="151"/>
      <c r="CN30" s="151"/>
      <c r="CO30" s="151"/>
      <c r="CP30" s="151"/>
      <c r="CQ30" s="151"/>
      <c r="CR30" s="151"/>
      <c r="CS30" s="151"/>
      <c r="CT30" s="151"/>
      <c r="CU30" s="151"/>
      <c r="CV30" s="151"/>
      <c r="CW30" s="151"/>
      <c r="CX30" s="151"/>
      <c r="CY30" s="151"/>
      <c r="CZ30" s="151"/>
      <c r="DA30" s="151"/>
      <c r="DB30" s="151"/>
      <c r="DC30" s="151"/>
      <c r="DD30" s="151"/>
      <c r="DE30" s="151"/>
      <c r="DF30" s="151"/>
      <c r="DG30" s="151"/>
      <c r="DH30" s="151"/>
      <c r="DI30" s="151"/>
      <c r="DJ30" s="151"/>
      <c r="DK30" s="151"/>
      <c r="DL30" s="151"/>
      <c r="DM30" s="151"/>
      <c r="DN30" s="151"/>
      <c r="DO30" s="151"/>
      <c r="DP30" s="151"/>
      <c r="DQ30" s="151"/>
      <c r="DR30" s="151"/>
      <c r="DS30" s="151"/>
      <c r="DT30" s="151"/>
      <c r="DU30" s="151"/>
      <c r="DV30" s="151"/>
      <c r="DW30" s="151"/>
      <c r="DX30" s="151"/>
      <c r="DY30" s="151"/>
      <c r="DZ30" s="151"/>
      <c r="EA30" s="151"/>
      <c r="EB30" s="151"/>
      <c r="EC30" s="151"/>
      <c r="ED30" s="151"/>
      <c r="EE30" s="151"/>
      <c r="EF30" s="151"/>
      <c r="EG30" s="151"/>
      <c r="EH30" s="151"/>
      <c r="EI30" s="151"/>
      <c r="EJ30" s="151"/>
      <c r="EK30" s="151"/>
      <c r="EL30" s="151"/>
      <c r="EM30" s="151"/>
      <c r="EN30" s="151"/>
      <c r="EO30" s="151"/>
      <c r="EP30" s="151"/>
      <c r="EQ30" s="151"/>
      <c r="ER30" s="151"/>
      <c r="ES30" s="151"/>
      <c r="ET30" s="151"/>
      <c r="EU30" s="151"/>
      <c r="EV30" s="151"/>
      <c r="EW30" s="151"/>
      <c r="EX30" s="151"/>
      <c r="EY30" s="151"/>
      <c r="EZ30" s="151"/>
      <c r="FA30" s="151"/>
      <c r="FB30" s="151"/>
      <c r="FC30" s="151"/>
      <c r="FD30" s="151"/>
      <c r="FE30" s="151"/>
      <c r="FF30" s="151"/>
      <c r="FG30" s="151"/>
      <c r="FH30" s="151"/>
      <c r="FI30" s="151"/>
      <c r="FJ30" s="151"/>
      <c r="FK30" s="151"/>
      <c r="FL30" s="151"/>
      <c r="FM30" s="151"/>
      <c r="FN30" s="151"/>
      <c r="FO30" s="151"/>
      <c r="FP30" s="151"/>
      <c r="FQ30" s="151"/>
      <c r="FR30" s="151"/>
      <c r="FS30" s="151"/>
      <c r="FT30" s="151"/>
      <c r="FU30" s="151"/>
      <c r="FV30" s="151"/>
      <c r="FW30" s="151"/>
      <c r="FX30" s="151"/>
      <c r="FY30" s="151"/>
      <c r="FZ30" s="151"/>
      <c r="GA30" s="151"/>
      <c r="GB30" s="151"/>
      <c r="GC30" s="151"/>
      <c r="GD30" s="151"/>
      <c r="GE30" s="151"/>
      <c r="GF30" s="151"/>
      <c r="GG30" s="151"/>
      <c r="GH30" s="151"/>
      <c r="GI30" s="151"/>
      <c r="GJ30" s="151"/>
      <c r="GK30" s="151"/>
      <c r="GL30" s="151"/>
      <c r="GM30" s="151"/>
      <c r="GN30" s="151"/>
      <c r="GO30" s="151"/>
      <c r="GP30" s="151"/>
      <c r="GQ30" s="151"/>
      <c r="GR30" s="151"/>
      <c r="GS30" s="151"/>
      <c r="GT30" s="151"/>
      <c r="GU30" s="151"/>
      <c r="GV30" s="151"/>
      <c r="GW30" s="151"/>
      <c r="GX30" s="151"/>
      <c r="GY30" s="151"/>
      <c r="GZ30" s="151"/>
      <c r="HA30" s="151"/>
      <c r="HB30" s="151"/>
      <c r="HC30" s="151"/>
      <c r="HD30" s="151"/>
      <c r="HE30" s="151"/>
      <c r="HF30" s="151"/>
      <c r="HG30" s="151"/>
      <c r="HH30" s="151"/>
      <c r="HI30" s="151"/>
      <c r="HJ30" s="151"/>
      <c r="HK30" s="151"/>
      <c r="HL30" s="151"/>
      <c r="HM30" s="151"/>
      <c r="HN30" s="151"/>
      <c r="HO30" s="151"/>
      <c r="HP30" s="151"/>
      <c r="HQ30" s="151"/>
      <c r="HR30" s="151"/>
      <c r="HS30" s="151"/>
      <c r="HT30" s="151"/>
      <c r="HU30" s="151"/>
      <c r="HV30" s="151"/>
      <c r="HW30" s="151"/>
      <c r="HX30" s="151"/>
      <c r="HY30" s="151"/>
      <c r="HZ30" s="242"/>
      <c r="IA30" s="242"/>
      <c r="IB30" s="242"/>
      <c r="IC30" s="242"/>
      <c r="ID30" s="442"/>
      <c r="IE30" s="214"/>
      <c r="IF30" s="242"/>
      <c r="IG30" s="242"/>
      <c r="IH30" s="242"/>
      <c r="II30" s="242"/>
      <c r="IJ30" s="242"/>
      <c r="IK30" s="242"/>
      <c r="IL30" s="242"/>
      <c r="IM30" s="242"/>
      <c r="IN30" s="242"/>
      <c r="IO30" s="242"/>
      <c r="IP30" s="242"/>
      <c r="IQ30" s="242"/>
      <c r="IR30" s="242"/>
      <c r="IS30" s="242"/>
      <c r="IT30" s="242"/>
      <c r="IU30" s="242"/>
      <c r="IV30" s="242"/>
      <c r="IW30" s="242"/>
      <c r="IX30" s="242"/>
      <c r="IY30" s="242"/>
      <c r="IZ30" s="242"/>
      <c r="JA30" s="242"/>
      <c r="JB30" s="242"/>
      <c r="JC30" s="242"/>
      <c r="JD30" s="242"/>
      <c r="JE30" s="242"/>
      <c r="JF30" s="242"/>
      <c r="JG30" s="242"/>
      <c r="JH30" s="242"/>
      <c r="JI30" s="242"/>
    </row>
  </sheetData>
  <conditionalFormatting sqref="C2:J21 Z2:Z21">
    <cfRule type="expression" dxfId="2" priority="1">
      <formula>FIND("Мало",$J2,1)&gt;0</formula>
    </cfRule>
  </conditionalFormatting>
  <conditionalFormatting sqref="AA2:HS21">
    <cfRule type="expression" dxfId="1" priority="2">
      <formula>AND(AA2/1&gt;0,$B$6&lt;ABS(AA2-AVERAGE($AA2:$ME2))/AVERAGE($AA2:$ME2))</formula>
    </cfRule>
  </conditionalFormatting>
  <conditionalFormatting sqref="AA1:HS21">
    <cfRule type="expression" dxfId="3" priority="3">
      <formula>FIND("Ошибка",AA$22,1)&gt;0</formula>
    </cfRule>
  </conditionalFormatting>
  <conditionalFormatting sqref="AA2:HS22">
    <cfRule type="expression" dxfId="0" priority="4">
      <formula>AND(RANK(AA2,$AA2:$ME2,1)&lt;=$B$7)</formula>
    </cfRule>
  </conditionalFormatting>
  <conditionalFormatting sqref="C2:K22 L2:L21 M2:HS22">
    <cfRule type="expression" dxfId="4" priority="5">
      <formula>$L2="Характеристики"</formula>
    </cfRule>
  </conditionalFormatting>
  <conditionalFormatting sqref="C2:K22 L2:L21 M2:HS22">
    <cfRule type="expression" dxfId="5" priority="6">
      <formula>$L2="Паспорт"</formula>
    </cfRule>
  </conditionalFormatting>
  <conditionalFormatting sqref="C2:K22 L2:L21 M2:HS22">
    <cfRule type="expression" dxfId="6" priority="7">
      <formula>$L2="Изготовителя и год выпуска"</formula>
    </cfRule>
  </conditionalFormatting>
  <conditionalFormatting sqref="C2:K22 L2:L21 M2:HS22">
    <cfRule type="expression" dxfId="7" priority="8">
      <formula>$L2="Сертификаты"</formula>
    </cfRule>
  </conditionalFormatting>
  <conditionalFormatting sqref="C2:K22 L2:L21 M2:HS22">
    <cfRule type="expression" dxfId="8" priority="9">
      <formula>$L2="Паспорт и сертификаты"</formula>
    </cfRule>
  </conditionalFormatting>
  <conditionalFormatting sqref="C2:K22 L2:L21 M2:HS22">
    <cfRule type="expression" dxfId="9" priority="10">
      <formula>$L2="Поверка"</formula>
    </cfRule>
  </conditionalFormatting>
  <conditionalFormatting sqref="K22">
    <cfRule type="expression" dxfId="0" priority="11">
      <formula>K23="ok"</formula>
    </cfRule>
  </conditionalFormatting>
  <conditionalFormatting sqref="K22:K23">
    <cfRule type="expression" dxfId="1" priority="12">
      <formula>$K$23&lt;&gt;"ok"</formula>
    </cfRule>
  </conditionalFormatting>
  <dataValidations>
    <dataValidation type="list" allowBlank="1" showErrorMessage="1" sqref="L2:L21">
      <formula1>'Настройки писем'!$AO$2:$AO$20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outlineLevelRow="1"/>
  <cols>
    <col customWidth="1" min="1" max="1" width="3.0"/>
    <col customWidth="1" min="2" max="2" width="9.88" outlineLevel="1"/>
    <col customWidth="1" min="3" max="3" width="9.63" outlineLevel="1"/>
    <col customWidth="1" min="4" max="4" width="5.5" outlineLevel="1"/>
    <col customWidth="1" min="5" max="5" width="30.75" outlineLevel="1"/>
    <col customWidth="1" min="6" max="6" width="27.5" outlineLevel="1"/>
    <col customWidth="1" min="7" max="8" width="12.63" outlineLevel="1"/>
    <col customWidth="1" min="9" max="9" width="13.5" outlineLevel="1"/>
    <col customWidth="1" min="10" max="10" width="20.63" outlineLevel="1"/>
    <col customWidth="1" min="11" max="11" width="20.88" outlineLevel="1"/>
    <col customWidth="1" min="12" max="12" width="9.75" outlineLevel="1"/>
    <col customWidth="1" min="13" max="13" width="8.75" outlineLevel="1"/>
    <col customWidth="1" min="14" max="14" width="12.5" outlineLevel="1"/>
    <col customWidth="1" min="15" max="15" width="13.63" outlineLevel="1"/>
    <col customWidth="1" min="16" max="16" width="11.88" outlineLevel="1"/>
    <col customWidth="1" min="17" max="26" width="4.88" outlineLevel="1"/>
  </cols>
  <sheetData>
    <row r="1">
      <c r="A1" s="13"/>
      <c r="B1" s="16"/>
      <c r="C1" s="25" t="s">
        <v>0</v>
      </c>
      <c r="D1" s="80" t="str">
        <f t="array" ref="D1:Q1">{'5-0 Передача в закупку'!$D$10
,'5-0 Передача в закупку'!$E$10
,'5-0 Передача в закупку'!$H$10
,'5-0 Передача в закупку'!$J$10
,'5-0 Передача в закупку'!$K$10
,'5-0 Передача в закупку'!$L$10
,'5-0 Передача в закупку'!$F$10
,'5-0 Передача в закупку'!$G$10
, ""
, ""
,'5-0 Передача в закупку'!$M$10
,'5-0 Передача в закупку'!$N$10
,'5-0 Передача в закупку'!$O$10
,'5-0 Передача в закупку'!$I$10
} </f>
        <v>№</v>
      </c>
      <c r="E1" s="80" t="s">
        <v>8</v>
      </c>
      <c r="F1" s="86" t="s">
        <v>10</v>
      </c>
      <c r="G1" s="80" t="s">
        <v>54</v>
      </c>
      <c r="H1" s="80" t="s">
        <v>55</v>
      </c>
      <c r="I1" s="89" t="s">
        <v>16</v>
      </c>
      <c r="J1" s="80" t="s">
        <v>93</v>
      </c>
      <c r="K1" s="80" t="s">
        <v>94</v>
      </c>
      <c r="L1" s="16" t="s">
        <v>96</v>
      </c>
      <c r="M1" s="16" t="s">
        <v>96</v>
      </c>
      <c r="N1" s="91" t="s">
        <v>61</v>
      </c>
      <c r="O1" s="80" t="s">
        <v>59</v>
      </c>
      <c r="P1" s="80" t="s">
        <v>60</v>
      </c>
      <c r="Q1" s="95" t="s">
        <v>100</v>
      </c>
      <c r="R1" s="16"/>
      <c r="S1" s="16"/>
      <c r="T1" s="16"/>
      <c r="U1" s="16"/>
      <c r="V1" s="16"/>
      <c r="W1" s="16"/>
      <c r="X1" s="16"/>
      <c r="Y1" s="16"/>
      <c r="Z1" s="16"/>
    </row>
    <row r="2" outlineLevel="1">
      <c r="A2" s="16"/>
      <c r="B2" s="16"/>
      <c r="C2" s="25" t="s">
        <v>7</v>
      </c>
      <c r="D2" s="80" t="s">
        <v>2</v>
      </c>
      <c r="E2" s="89" t="s">
        <v>8</v>
      </c>
      <c r="F2" s="98" t="s">
        <v>10</v>
      </c>
      <c r="G2" s="89" t="s">
        <v>12</v>
      </c>
      <c r="H2" s="100" t="s">
        <v>13</v>
      </c>
      <c r="I2" s="89" t="s">
        <v>16</v>
      </c>
      <c r="J2" s="80" t="s">
        <v>17</v>
      </c>
      <c r="K2" s="80" t="s">
        <v>20</v>
      </c>
      <c r="L2" s="80" t="s">
        <v>21</v>
      </c>
      <c r="M2" s="80" t="s">
        <v>22</v>
      </c>
      <c r="N2" s="101" t="s">
        <v>24</v>
      </c>
      <c r="O2" s="16"/>
      <c r="P2" s="16"/>
      <c r="Q2" s="16"/>
      <c r="R2" s="16"/>
      <c r="S2" s="16"/>
      <c r="T2" s="16"/>
      <c r="U2" s="16"/>
      <c r="V2" s="16"/>
      <c r="W2" s="16"/>
      <c r="X2" s="16"/>
      <c r="Y2" s="16"/>
      <c r="Z2" s="16"/>
    </row>
    <row r="3" outlineLevel="1">
      <c r="A3" s="16"/>
      <c r="B3" s="16"/>
      <c r="C3" s="25" t="s">
        <v>25</v>
      </c>
      <c r="D3" s="80" t="s">
        <v>25</v>
      </c>
      <c r="E3" s="80" t="s">
        <v>32</v>
      </c>
      <c r="F3" s="80" t="s">
        <v>32</v>
      </c>
      <c r="G3" s="80" t="s">
        <v>32</v>
      </c>
      <c r="H3" s="80" t="s">
        <v>32</v>
      </c>
      <c r="I3" s="89" t="s">
        <v>32</v>
      </c>
      <c r="J3" s="26" t="s">
        <v>25</v>
      </c>
      <c r="K3" s="26" t="s">
        <v>25</v>
      </c>
      <c r="L3" s="80" t="s">
        <v>25</v>
      </c>
      <c r="M3" s="80" t="s">
        <v>25</v>
      </c>
      <c r="N3" s="80" t="s">
        <v>25</v>
      </c>
      <c r="O3" s="16"/>
      <c r="P3" s="16"/>
      <c r="Q3" s="16"/>
      <c r="R3" s="16"/>
      <c r="S3" s="16"/>
      <c r="T3" s="16"/>
      <c r="U3" s="16"/>
      <c r="V3" s="16"/>
      <c r="W3" s="16"/>
      <c r="X3" s="16"/>
      <c r="Y3" s="16"/>
      <c r="Z3" s="16"/>
    </row>
    <row r="4" outlineLevel="1">
      <c r="A4" s="16"/>
      <c r="B4" s="16"/>
      <c r="C4" s="102" t="s">
        <v>28</v>
      </c>
      <c r="D4" s="16"/>
      <c r="E4" s="16"/>
      <c r="F4" s="16"/>
      <c r="G4" s="16"/>
      <c r="H4" s="16"/>
      <c r="I4" s="103"/>
      <c r="J4" s="29"/>
      <c r="K4" s="29"/>
      <c r="L4" s="16"/>
      <c r="M4" s="16"/>
      <c r="N4" s="104"/>
      <c r="O4" s="16"/>
      <c r="P4" s="16"/>
      <c r="Q4" s="16"/>
      <c r="R4" s="16"/>
      <c r="S4" s="16"/>
      <c r="T4" s="16"/>
      <c r="U4" s="16"/>
      <c r="V4" s="16"/>
      <c r="W4" s="16"/>
      <c r="X4" s="16"/>
      <c r="Y4" s="16"/>
      <c r="Z4" s="16"/>
    </row>
    <row r="5" outlineLevel="1">
      <c r="A5" s="16"/>
      <c r="B5" s="16"/>
      <c r="C5" s="102" t="s">
        <v>31</v>
      </c>
      <c r="D5" s="16"/>
      <c r="E5" s="16"/>
      <c r="F5" s="16"/>
      <c r="G5" s="16"/>
      <c r="H5" s="16"/>
      <c r="I5" s="103"/>
      <c r="J5" s="29"/>
      <c r="K5" s="29"/>
      <c r="L5" s="16"/>
      <c r="M5" s="16"/>
      <c r="N5" s="104"/>
      <c r="O5" s="16"/>
      <c r="P5" s="16"/>
      <c r="Q5" s="16"/>
      <c r="R5" s="16"/>
      <c r="S5" s="16"/>
      <c r="T5" s="16"/>
      <c r="U5" s="16"/>
      <c r="V5" s="16"/>
      <c r="W5" s="16"/>
      <c r="X5" s="16"/>
      <c r="Y5" s="16"/>
      <c r="Z5" s="16"/>
    </row>
    <row r="6" outlineLevel="1">
      <c r="A6" s="16"/>
      <c r="B6" s="16"/>
      <c r="C6" s="102" t="s">
        <v>35</v>
      </c>
      <c r="D6" s="16"/>
      <c r="E6" s="16"/>
      <c r="F6" s="108"/>
      <c r="G6" s="16"/>
      <c r="H6" s="16"/>
      <c r="I6" s="103"/>
      <c r="J6" s="29"/>
      <c r="K6" s="29"/>
      <c r="L6" s="16"/>
      <c r="M6" s="16"/>
      <c r="N6" s="104"/>
      <c r="O6" s="16"/>
      <c r="P6" s="16"/>
      <c r="Q6" s="16"/>
      <c r="R6" s="16"/>
      <c r="S6" s="16"/>
      <c r="T6" s="16"/>
      <c r="U6" s="16"/>
      <c r="V6" s="16"/>
      <c r="W6" s="16"/>
      <c r="X6" s="16"/>
      <c r="Y6" s="16"/>
      <c r="Z6" s="16"/>
    </row>
    <row r="7" outlineLevel="1">
      <c r="A7" s="16"/>
      <c r="B7" s="103"/>
      <c r="C7" s="89" t="s">
        <v>52</v>
      </c>
      <c r="D7" s="103"/>
      <c r="E7" s="103"/>
      <c r="F7" s="103"/>
      <c r="G7" s="103"/>
      <c r="H7" s="110"/>
      <c r="I7" s="103"/>
      <c r="J7" s="29"/>
      <c r="K7" s="29"/>
      <c r="L7" s="16"/>
      <c r="M7" s="16"/>
      <c r="N7" s="104"/>
      <c r="O7" s="16"/>
      <c r="P7" s="16"/>
      <c r="Q7" s="16"/>
      <c r="R7" s="16"/>
      <c r="S7" s="16"/>
      <c r="T7" s="16"/>
      <c r="U7" s="16"/>
      <c r="V7" s="16"/>
      <c r="W7" s="16"/>
      <c r="X7" s="16"/>
      <c r="Y7" s="16"/>
      <c r="Z7" s="16"/>
    </row>
    <row r="8" outlineLevel="1">
      <c r="A8" s="16"/>
      <c r="B8" s="16"/>
      <c r="C8" s="89" t="s">
        <v>39</v>
      </c>
      <c r="D8" s="16"/>
      <c r="E8" s="16"/>
      <c r="F8" s="16"/>
      <c r="G8" s="16"/>
      <c r="H8" s="16"/>
      <c r="I8" s="103"/>
      <c r="J8" s="29"/>
      <c r="K8" s="29"/>
      <c r="L8" s="16"/>
      <c r="M8" s="16"/>
      <c r="N8" s="104"/>
      <c r="O8" s="16"/>
      <c r="P8" s="16"/>
      <c r="Q8" s="16"/>
      <c r="R8" s="16"/>
      <c r="S8" s="16"/>
      <c r="T8" s="16"/>
      <c r="U8" s="16"/>
      <c r="V8" s="16"/>
      <c r="W8" s="16"/>
      <c r="X8" s="16"/>
      <c r="Y8" s="16"/>
      <c r="Z8" s="16"/>
    </row>
    <row r="9" outlineLevel="1">
      <c r="A9" s="16"/>
      <c r="B9" s="16"/>
      <c r="C9" s="25" t="s">
        <v>44</v>
      </c>
      <c r="D9" s="16"/>
      <c r="E9" s="16"/>
      <c r="F9" s="16"/>
      <c r="G9" s="16"/>
      <c r="H9" s="16"/>
      <c r="I9" s="103"/>
      <c r="J9" s="29"/>
      <c r="K9" s="29"/>
      <c r="L9" s="16"/>
      <c r="M9" s="16"/>
      <c r="N9" s="104"/>
      <c r="O9" s="16"/>
      <c r="P9" s="16"/>
      <c r="Q9" s="16"/>
      <c r="R9" s="16"/>
      <c r="S9" s="16"/>
      <c r="T9" s="16"/>
      <c r="U9" s="16"/>
      <c r="V9" s="16"/>
      <c r="W9" s="16"/>
      <c r="X9" s="16"/>
      <c r="Y9" s="16"/>
      <c r="Z9" s="16"/>
    </row>
    <row r="10">
      <c r="A10" s="111"/>
      <c r="B10" s="160" t="str">
        <f t="array" ref="B10:B310"> {
'5-4 Изменения в товарах'!$C10;
Let(
_do_row, LAMBDA(_id,_ds,  IFERROR( VLOOKUP( _id, _ds, 2, FALSE)  ,)),
_ids, '5-0 Товары'!$C$11:$C310, 
_ids_org, '5-0 Передача в закупку'!$C$1:$C310,
_ids_izm, '5-4 Изменения в товарах'!$E1:$E310 ,
_ds_org,
'5-0 Передача в закупку'!$A$1:$A310,
_ds_izm,  '5-4 Изменения в товарах'!$C1:$C310 ,
_map_org,  map(_ids_org,LAMBDA(_id,{ _id , ROW(_id)})),
_map_izm,  map(_ids_izm,LAMBDA(_id,{ _id , ROW(_id)})),
_rez,  MAP(_ids,  LAMBDA(_id, LAMBDA(izm,org,   IF(izm&lt;&gt;"",INDEX(_ds_izm,izm,),IF(org&lt;&gt;"",INDEX(_ds_org,org),)) ) ( _do_row(_id,_map_izm),  _do_row(_id,_map_org))  )  ) ,
_rez
)
}
</f>
        <v>Исключить по причине</v>
      </c>
      <c r="C10" s="189" t="str">
        <f t="array" ref="C10:C31">{"ID_Товара";let(
_t_org, '5-0 Передача в закупку'!$C$11:$C310,
_t_izm, '5-4 Изменения в товарах'!$E$11:$E$60 ,
_t_dop, '5-4 Изменения в товарах'!$E$62:$E310,
IFERROR( Sort(UNIQUE({ _t_org; _t_izm; _t_dop })),)
)}
</f>
        <v>ID_Товара</v>
      </c>
      <c r="D10" s="167" t="str">
        <f t="array" ref="D10:I310"> {
{'5-0 Передача в закупку'!$D$10
,'5-0 Передача в закупку'!$E$10
,'5-0 Передача в закупку'!$H$10
,'5-0 Передача в закупку'!$J$10
,'5-0 Передача в закупку'!$K$10
,'5-0 Передача в закупку'!$L$10};
Let(
_do_row, LAMBDA(_id,_ds,  IFERROR( VLOOKUP( _id, _ds, 2, FALSE)  ,)),
_ids, '5-0 Товары'!$C$11:$C310, 
_ids_org, '5-0 Передача в закупку'!$C$1:$C310,
_ids_izm, '5-4 Изменения в товарах'!$E1:$E310 ,
_ds_org,
{'5-0 Передача в закупку'!$D$1:$D310
,'5-0 Передача в закупку'!$E$1:$E310
,'5-0 Передача в закупку'!$H$1:$H310
,'5-0 Передача в закупку'!$J$1:$J310
,'5-0 Передача в закупку'!$K$1:$K310
,'5-0 Передача в закупку'!$L$1:$L310},
_ds_izm,  {'5-4 Изменения в товарах'!$F1:$F310,'5-4 Изменения в товарах'!$G1:$G310,'5-4 Изменения в товарах'!$J1:$J310,'5-4 Изменения в товарах'!$L1:$L310,'5-4 Изменения в товарах'!$M1:$M310,'5-4 Изменения в товарах'!$N1:$N310 } ,
_map_org,  map(_ids_org,LAMBDA(_id,{ _id , ROW(_id)})),
_map_izm,  map(_ids_izm,LAMBDA(_id,{ _id , ROW(_id)})),
_rez,  MAP(_ids,  LAMBDA(_id, LAMBDA(izm,org,   IF(izm&lt;&gt;"",INDEX(_ds_izm,izm,),IF(org&lt;&gt;"",INDEX(_ds_org,org),)) ) ( _do_row(_id,_map_izm),  _do_row(_id,_map_org))  )  ) ,
_rez
)
}
</f>
        <v>№</v>
      </c>
      <c r="E10" s="167" t="s">
        <v>8</v>
      </c>
      <c r="F10" s="249" t="s">
        <v>10</v>
      </c>
      <c r="G10" s="167" t="s">
        <v>54</v>
      </c>
      <c r="H10" s="169" t="s">
        <v>55</v>
      </c>
      <c r="I10" s="167" t="s">
        <v>16</v>
      </c>
      <c r="J10" s="116" t="str">
        <f t="array" ref="J10:J310">IF('5-0 Товары'!$E$10:$E310&lt;&gt;"",IFERROR(VLOOKUP('5-0 Товары'!$E$10:$E310,{'5-1 Сбор КП Закупки'!$E$10:$E310,'5-1 Сбор КП Закупки'!$F10:$F310},2,FALSE) ,),)</f>
        <v>Название товара по договору</v>
      </c>
      <c r="K10" s="116" t="str">
        <f t="array" ref="K10:K310">IF('5-0 Товары'!$E$10:$E310&lt;&gt;"",IFERROR(VLOOKUP('5-0 Товары'!$E$10:$E310,{'5-1 Сбор КП Закупки'!$E$10:$E310,'5-1 Сбор КП Закупки'!$G$10:$G310},2,FALSE) ,),)</f>
        <v>Изготовитель товара по договору</v>
      </c>
      <c r="L10" s="169" t="str">
        <f>IFERROR(__xludf.DUMMYFUNCTION("BYROW({ 
{'1-1 Сбор КП'!O1};
{LAMBDA( doFindRow, doFilter, theWordStart, theCStart, theWordEnd, theCEnd, theDataWord, theData, 
  doFilter(doFindRow(theDataWord,theWordStart,theCStart),doFindRow(theDataWord,theWordEnd,theCEnd),theData)
)( 
 LAMBDA(theWord"&amp;"s,theWord,theC ,   VLOOKUP( theWord, BYROW(theWords,LAMBDA(theW,{theW , ROW(theW)})),2,FALSE ) +theC),
 LAMBDA(bodyStart,bodyEnd,theData, FILTER(theData,bodyStart &lt;= BYROW(theData,lambda(d,ROW(d))) ,BYROW(theData,lambda(d,ROW(d)))&lt;=bodyEnd )),
 ""№"",1,"""&amp;"@"",-1,'1-1 Сбор КП'!C1:C21
 ,'1-1 Сбор КП'!O1:O21
)}
},LAMBDA(theG,IFERROR(theG,)))"),"Группа")</f>
        <v>Группа</v>
      </c>
      <c r="M10" s="169" t="str">
        <f t="array" ref="M10:M310">{"Группа";LAMBDA(doFind,theIds,theData, doFind(theIds,theData)
)(
LAMBDA(theIds,theData, BYROW(theIds,LAMBDA(ti,IF(ti&lt;&gt;"", IFERROR(VLOOKUP(ti,theData,2,0),),)))),
'5-0 Товары'!C11:C310,
{'5-2 Запросы КП Закупки'!C11:C310,'5-2 Запросы КП Закупки'!N11:N310}
)}</f>
        <v>Группа</v>
      </c>
      <c r="N10" s="260" t="str">
        <f t="array" ref="N10:P310">{ 
{'5-0 Передача в закупку'!$M$10
,'5-0 Передача в закупку'!$N$10
,'5-0 Передача в закупку'!$O$10};
Let(
_do_row, LAMBDA(_id,_ds,  IFERROR( VLOOKUP( _id, _ds, 2, FALSE)  ,)),
_ids, '5-0 Товары'!$C$11:$C310, 
_ids_org, '5-0 Передача в закупку'!$C$1:$C310,
_ids_izm, '5-4 Изменения в товарах'!$E1:$E310 ,
_ds_org, {'5-0 Передача в закупку'!$M$1:$M310          ,'5-0 Передача в закупку'!$N$1:$N310          ,'5-0 Передача в закупку'!$O$1:$O310}, 
_ds_izm, {'5-4 Изменения в товарах'!$O1:$O310 , '5-4 Изменения в товарах'!$P1:$P310,'5-4 Изменения в товарах'!$Q1:$Q310 },
_map_org,  map(_ids_org,LAMBDA(_id,{ _id , ROW(_id)})),
_map_izm,  map(_ids_izm,LAMBDA(_id,{ _id , ROW(_id)})),
_rez,  MAP(_ids,  LAMBDA(_id, LAMBDA(izm,org,   IF(izm&lt;&gt;"",INDEX(_ds_izm,izm,),IF(org&lt;&gt;"",INDEX(_ds_org,org),)) ) ( _do_row(_id,_map_izm),  _do_row(_id,_map_org))  )  ) ,
_rez
)
}</f>
        <v>Срок поставки по договору</v>
      </c>
      <c r="O10" s="169" t="s">
        <v>59</v>
      </c>
      <c r="P10" s="169" t="s">
        <v>60</v>
      </c>
      <c r="Q10" s="261"/>
      <c r="R10" s="261"/>
      <c r="S10" s="261"/>
      <c r="T10" s="261"/>
      <c r="U10" s="261"/>
      <c r="V10" s="261"/>
      <c r="W10" s="261"/>
      <c r="X10" s="261"/>
      <c r="Y10" s="261"/>
      <c r="Z10" s="261"/>
    </row>
    <row r="11">
      <c r="A11" s="206"/>
      <c r="B11" s="206"/>
      <c r="C11" s="262" t="s">
        <v>282</v>
      </c>
      <c r="D11" s="199" t="s">
        <v>275</v>
      </c>
      <c r="E11" s="199" t="s">
        <v>276</v>
      </c>
      <c r="F11" s="263"/>
      <c r="G11" s="199" t="s">
        <v>278</v>
      </c>
      <c r="H11" s="200">
        <v>3.0</v>
      </c>
      <c r="I11" s="201"/>
      <c r="J11" s="206"/>
      <c r="K11" s="206"/>
      <c r="L11" s="206"/>
      <c r="M11" s="206"/>
      <c r="N11" s="264"/>
      <c r="O11" s="206"/>
      <c r="P11" s="206"/>
      <c r="Q11" s="206"/>
      <c r="R11" s="206"/>
      <c r="S11" s="206"/>
      <c r="T11" s="206"/>
      <c r="U11" s="206"/>
      <c r="V11" s="206"/>
      <c r="W11" s="206"/>
      <c r="X11" s="206"/>
      <c r="Y11" s="206"/>
      <c r="Z11" s="206"/>
    </row>
    <row r="12">
      <c r="A12" s="265"/>
      <c r="B12" s="265"/>
      <c r="C12" s="266" t="s">
        <v>303</v>
      </c>
      <c r="D12" s="267" t="s">
        <v>298</v>
      </c>
      <c r="E12" s="267" t="s">
        <v>299</v>
      </c>
      <c r="F12" s="268"/>
      <c r="G12" s="267" t="s">
        <v>278</v>
      </c>
      <c r="H12" s="269">
        <v>6.0</v>
      </c>
      <c r="I12" s="270"/>
      <c r="J12" s="265"/>
      <c r="K12" s="265"/>
      <c r="L12" s="265"/>
      <c r="M12" s="265"/>
      <c r="N12" s="271"/>
      <c r="O12" s="265"/>
      <c r="P12" s="265"/>
      <c r="Q12" s="265"/>
      <c r="R12" s="265"/>
      <c r="S12" s="265"/>
      <c r="T12" s="265"/>
      <c r="U12" s="265"/>
      <c r="V12" s="265"/>
      <c r="W12" s="265"/>
      <c r="X12" s="265"/>
      <c r="Y12" s="265"/>
      <c r="Z12" s="265"/>
    </row>
    <row r="13">
      <c r="A13" s="265"/>
      <c r="B13" s="265"/>
      <c r="C13" s="266" t="s">
        <v>319</v>
      </c>
      <c r="D13" s="267" t="s">
        <v>313</v>
      </c>
      <c r="E13" s="267" t="s">
        <v>314</v>
      </c>
      <c r="F13" s="268"/>
      <c r="G13" s="267" t="s">
        <v>278</v>
      </c>
      <c r="H13" s="269">
        <v>16.0</v>
      </c>
      <c r="I13" s="270"/>
      <c r="J13" s="265"/>
      <c r="K13" s="265"/>
      <c r="L13" s="265"/>
      <c r="M13" s="265"/>
      <c r="N13" s="271"/>
      <c r="O13" s="265"/>
      <c r="P13" s="265"/>
      <c r="Q13" s="265"/>
      <c r="R13" s="265"/>
      <c r="S13" s="265"/>
      <c r="T13" s="265"/>
      <c r="U13" s="265"/>
      <c r="V13" s="265"/>
      <c r="W13" s="265"/>
      <c r="X13" s="265"/>
      <c r="Y13" s="265"/>
      <c r="Z13" s="265"/>
    </row>
    <row r="14">
      <c r="A14" s="265"/>
      <c r="B14" s="265"/>
      <c r="C14" s="266" t="s">
        <v>335</v>
      </c>
      <c r="D14" s="267" t="s">
        <v>330</v>
      </c>
      <c r="E14" s="267" t="s">
        <v>331</v>
      </c>
      <c r="F14" s="268"/>
      <c r="G14" s="267" t="s">
        <v>278</v>
      </c>
      <c r="H14" s="274">
        <v>2.0</v>
      </c>
      <c r="I14" s="270"/>
      <c r="J14" s="265"/>
      <c r="K14" s="265"/>
      <c r="L14" s="265"/>
      <c r="M14" s="265"/>
      <c r="N14" s="271"/>
      <c r="O14" s="275"/>
      <c r="P14" s="265"/>
      <c r="Q14" s="265"/>
      <c r="R14" s="265"/>
      <c r="S14" s="265"/>
      <c r="T14" s="265"/>
      <c r="U14" s="265"/>
      <c r="V14" s="265"/>
      <c r="W14" s="265"/>
      <c r="X14" s="265"/>
      <c r="Y14" s="265"/>
      <c r="Z14" s="265"/>
    </row>
    <row r="15">
      <c r="A15" s="265"/>
      <c r="B15" s="265"/>
      <c r="C15" s="266" t="s">
        <v>342</v>
      </c>
      <c r="D15" s="267" t="s">
        <v>337</v>
      </c>
      <c r="E15" s="267" t="s">
        <v>338</v>
      </c>
      <c r="F15" s="268"/>
      <c r="G15" s="267" t="s">
        <v>278</v>
      </c>
      <c r="H15" s="269">
        <v>3.0</v>
      </c>
      <c r="I15" s="270"/>
      <c r="J15" s="265"/>
      <c r="K15" s="265"/>
      <c r="L15" s="265"/>
      <c r="M15" s="265"/>
      <c r="N15" s="271"/>
      <c r="O15" s="265"/>
      <c r="P15" s="265"/>
      <c r="Q15" s="265"/>
      <c r="R15" s="265"/>
      <c r="S15" s="265"/>
      <c r="T15" s="265"/>
      <c r="U15" s="265"/>
      <c r="V15" s="265"/>
      <c r="W15" s="265"/>
      <c r="X15" s="265"/>
      <c r="Y15" s="265"/>
      <c r="Z15" s="265"/>
    </row>
    <row r="16">
      <c r="A16" s="265"/>
      <c r="B16" s="265"/>
      <c r="C16" s="266" t="s">
        <v>360</v>
      </c>
      <c r="D16" s="267" t="s">
        <v>356</v>
      </c>
      <c r="E16" s="267" t="s">
        <v>357</v>
      </c>
      <c r="F16" s="268"/>
      <c r="G16" s="267" t="s">
        <v>278</v>
      </c>
      <c r="H16" s="269">
        <v>3.0</v>
      </c>
      <c r="I16" s="270"/>
      <c r="J16" s="265"/>
      <c r="K16" s="265"/>
      <c r="L16" s="265"/>
      <c r="M16" s="265"/>
      <c r="N16" s="271"/>
      <c r="O16" s="265"/>
      <c r="P16" s="265"/>
      <c r="Q16" s="265"/>
      <c r="R16" s="265"/>
      <c r="S16" s="265"/>
      <c r="T16" s="265"/>
      <c r="U16" s="265"/>
      <c r="V16" s="265"/>
      <c r="W16" s="265"/>
      <c r="X16" s="265"/>
      <c r="Y16" s="265"/>
      <c r="Z16" s="265"/>
    </row>
    <row r="17">
      <c r="A17" s="265"/>
      <c r="B17" s="265"/>
      <c r="C17" s="266" t="s">
        <v>376</v>
      </c>
      <c r="D17" s="267" t="s">
        <v>372</v>
      </c>
      <c r="E17" s="267" t="s">
        <v>373</v>
      </c>
      <c r="F17" s="268"/>
      <c r="G17" s="267" t="s">
        <v>278</v>
      </c>
      <c r="H17" s="269">
        <v>3.0</v>
      </c>
      <c r="I17" s="270"/>
      <c r="J17" s="265"/>
      <c r="K17" s="265"/>
      <c r="L17" s="265"/>
      <c r="M17" s="265"/>
      <c r="N17" s="271"/>
      <c r="O17" s="265"/>
      <c r="P17" s="265"/>
      <c r="Q17" s="265"/>
      <c r="R17" s="265"/>
      <c r="S17" s="265"/>
      <c r="T17" s="265"/>
      <c r="U17" s="265"/>
      <c r="V17" s="265"/>
      <c r="W17" s="265"/>
      <c r="X17" s="265"/>
      <c r="Y17" s="265"/>
      <c r="Z17" s="265"/>
    </row>
    <row r="18">
      <c r="A18" s="265"/>
      <c r="B18" s="265"/>
      <c r="C18" s="266" t="s">
        <v>384</v>
      </c>
      <c r="D18" s="267" t="s">
        <v>385</v>
      </c>
      <c r="E18" s="267" t="s">
        <v>386</v>
      </c>
      <c r="F18" s="268"/>
      <c r="G18" s="267" t="s">
        <v>278</v>
      </c>
      <c r="H18" s="269">
        <v>3.0</v>
      </c>
      <c r="I18" s="270"/>
      <c r="J18" s="265"/>
      <c r="K18" s="265"/>
      <c r="L18" s="265"/>
      <c r="M18" s="265"/>
      <c r="N18" s="271"/>
      <c r="O18" s="265"/>
      <c r="P18" s="265"/>
      <c r="Q18" s="265"/>
      <c r="R18" s="265"/>
      <c r="S18" s="265"/>
      <c r="T18" s="265"/>
      <c r="U18" s="265"/>
      <c r="V18" s="265"/>
      <c r="W18" s="265"/>
      <c r="X18" s="265"/>
      <c r="Y18" s="265"/>
      <c r="Z18" s="265"/>
    </row>
    <row r="19">
      <c r="A19" s="265"/>
      <c r="B19" s="265"/>
      <c r="C19" s="266" t="s">
        <v>387</v>
      </c>
      <c r="D19" s="267" t="s">
        <v>388</v>
      </c>
      <c r="E19" s="267" t="s">
        <v>389</v>
      </c>
      <c r="F19" s="268"/>
      <c r="G19" s="267" t="s">
        <v>278</v>
      </c>
      <c r="H19" s="269">
        <v>3.0</v>
      </c>
      <c r="I19" s="276"/>
      <c r="J19" s="265"/>
      <c r="K19" s="265"/>
      <c r="L19" s="265"/>
      <c r="M19" s="265"/>
      <c r="N19" s="271"/>
      <c r="O19" s="265"/>
      <c r="P19" s="265"/>
      <c r="Q19" s="265"/>
      <c r="R19" s="265"/>
      <c r="S19" s="265"/>
      <c r="T19" s="265"/>
      <c r="U19" s="265"/>
      <c r="V19" s="265"/>
      <c r="W19" s="265"/>
      <c r="X19" s="265"/>
      <c r="Y19" s="265"/>
      <c r="Z19" s="265"/>
    </row>
    <row r="20">
      <c r="A20" s="265"/>
      <c r="B20" s="265"/>
      <c r="C20" s="266" t="s">
        <v>390</v>
      </c>
      <c r="D20" s="267" t="s">
        <v>391</v>
      </c>
      <c r="E20" s="267" t="s">
        <v>392</v>
      </c>
      <c r="F20" s="268"/>
      <c r="G20" s="267" t="s">
        <v>278</v>
      </c>
      <c r="H20" s="269">
        <v>3.0</v>
      </c>
      <c r="I20" s="276"/>
      <c r="J20" s="265"/>
      <c r="K20" s="265"/>
      <c r="L20" s="265"/>
      <c r="M20" s="265"/>
      <c r="N20" s="271"/>
      <c r="O20" s="265"/>
      <c r="P20" s="265"/>
      <c r="Q20" s="265"/>
      <c r="R20" s="265"/>
      <c r="S20" s="265"/>
      <c r="T20" s="265"/>
      <c r="U20" s="265"/>
      <c r="V20" s="265"/>
      <c r="W20" s="265"/>
      <c r="X20" s="265"/>
      <c r="Y20" s="265"/>
      <c r="Z20" s="265"/>
    </row>
    <row r="21">
      <c r="A21" s="265"/>
      <c r="B21" s="265"/>
      <c r="C21" s="266" t="s">
        <v>393</v>
      </c>
      <c r="D21" s="267" t="s">
        <v>394</v>
      </c>
      <c r="E21" s="267" t="s">
        <v>395</v>
      </c>
      <c r="F21" s="268"/>
      <c r="G21" s="267" t="s">
        <v>278</v>
      </c>
      <c r="H21" s="269">
        <v>6.0</v>
      </c>
      <c r="I21" s="270"/>
      <c r="J21" s="265"/>
      <c r="K21" s="265"/>
      <c r="L21" s="265"/>
      <c r="M21" s="265"/>
      <c r="N21" s="271"/>
      <c r="O21" s="265"/>
      <c r="P21" s="265"/>
      <c r="Q21" s="265"/>
      <c r="R21" s="265"/>
      <c r="S21" s="265"/>
      <c r="T21" s="265"/>
      <c r="U21" s="265"/>
      <c r="V21" s="265"/>
      <c r="W21" s="265"/>
      <c r="X21" s="265"/>
      <c r="Y21" s="265"/>
      <c r="Z21" s="265"/>
    </row>
    <row r="22">
      <c r="A22" s="265"/>
      <c r="B22" s="265"/>
      <c r="C22" s="266" t="s">
        <v>396</v>
      </c>
      <c r="D22" s="267" t="s">
        <v>397</v>
      </c>
      <c r="E22" s="267" t="s">
        <v>398</v>
      </c>
      <c r="F22" s="268"/>
      <c r="G22" s="267" t="s">
        <v>278</v>
      </c>
      <c r="H22" s="269">
        <v>6.0</v>
      </c>
      <c r="I22" s="270"/>
      <c r="J22" s="265"/>
      <c r="K22" s="265"/>
      <c r="L22" s="265"/>
      <c r="M22" s="265"/>
      <c r="N22" s="271"/>
      <c r="O22" s="265"/>
      <c r="P22" s="265"/>
      <c r="Q22" s="265"/>
      <c r="R22" s="265"/>
      <c r="S22" s="265"/>
      <c r="T22" s="265"/>
      <c r="U22" s="265"/>
      <c r="V22" s="265"/>
      <c r="W22" s="265"/>
      <c r="X22" s="265"/>
      <c r="Y22" s="265"/>
      <c r="Z22" s="265"/>
    </row>
    <row r="23">
      <c r="A23" s="265"/>
      <c r="B23" s="265"/>
      <c r="C23" s="266" t="s">
        <v>399</v>
      </c>
      <c r="D23" s="267" t="s">
        <v>400</v>
      </c>
      <c r="E23" s="267" t="s">
        <v>401</v>
      </c>
      <c r="F23" s="268"/>
      <c r="G23" s="267" t="s">
        <v>278</v>
      </c>
      <c r="H23" s="269">
        <v>2.0</v>
      </c>
      <c r="I23" s="270"/>
      <c r="J23" s="265"/>
      <c r="K23" s="265"/>
      <c r="L23" s="265"/>
      <c r="M23" s="265"/>
      <c r="N23" s="271"/>
      <c r="O23" s="265"/>
      <c r="P23" s="265"/>
      <c r="Q23" s="265"/>
      <c r="R23" s="265"/>
      <c r="S23" s="265"/>
      <c r="T23" s="265"/>
      <c r="U23" s="265"/>
      <c r="V23" s="265"/>
      <c r="W23" s="265"/>
      <c r="X23" s="265"/>
      <c r="Y23" s="265"/>
      <c r="Z23" s="265"/>
    </row>
    <row r="24">
      <c r="A24" s="265"/>
      <c r="B24" s="265"/>
      <c r="C24" s="266" t="s">
        <v>402</v>
      </c>
      <c r="D24" s="267" t="s">
        <v>403</v>
      </c>
      <c r="E24" s="267" t="s">
        <v>404</v>
      </c>
      <c r="F24" s="268"/>
      <c r="G24" s="267" t="s">
        <v>278</v>
      </c>
      <c r="H24" s="269">
        <v>4.0</v>
      </c>
      <c r="I24" s="270"/>
      <c r="J24" s="265"/>
      <c r="K24" s="265"/>
      <c r="L24" s="265"/>
      <c r="M24" s="265"/>
      <c r="N24" s="271"/>
      <c r="O24" s="265"/>
      <c r="P24" s="265"/>
      <c r="Q24" s="265"/>
      <c r="R24" s="265"/>
      <c r="S24" s="265"/>
      <c r="T24" s="265"/>
      <c r="U24" s="265"/>
      <c r="V24" s="265"/>
      <c r="W24" s="265"/>
      <c r="X24" s="265"/>
      <c r="Y24" s="265"/>
      <c r="Z24" s="265"/>
    </row>
    <row r="25">
      <c r="A25" s="265"/>
      <c r="B25" s="265"/>
      <c r="C25" s="266" t="s">
        <v>405</v>
      </c>
      <c r="D25" s="267" t="s">
        <v>406</v>
      </c>
      <c r="E25" s="267" t="s">
        <v>407</v>
      </c>
      <c r="F25" s="268"/>
      <c r="G25" s="267" t="s">
        <v>278</v>
      </c>
      <c r="H25" s="269">
        <v>4.0</v>
      </c>
      <c r="I25" s="270"/>
      <c r="J25" s="265"/>
      <c r="K25" s="265"/>
      <c r="L25" s="265"/>
      <c r="M25" s="265"/>
      <c r="N25" s="271"/>
      <c r="O25" s="265"/>
      <c r="P25" s="265"/>
      <c r="Q25" s="265"/>
      <c r="R25" s="265"/>
      <c r="S25" s="265"/>
      <c r="T25" s="265"/>
      <c r="U25" s="265"/>
      <c r="V25" s="265"/>
      <c r="W25" s="265"/>
      <c r="X25" s="265"/>
      <c r="Y25" s="265"/>
      <c r="Z25" s="265"/>
    </row>
    <row r="26">
      <c r="A26" s="265"/>
      <c r="B26" s="265"/>
      <c r="C26" s="266" t="s">
        <v>408</v>
      </c>
      <c r="D26" s="267" t="s">
        <v>409</v>
      </c>
      <c r="E26" s="267"/>
      <c r="F26" s="268"/>
      <c r="G26" s="267"/>
      <c r="H26" s="269"/>
      <c r="I26" s="270"/>
      <c r="J26" s="265"/>
      <c r="K26" s="265"/>
      <c r="L26" s="265"/>
      <c r="M26" s="265"/>
      <c r="N26" s="271"/>
      <c r="O26" s="265"/>
      <c r="P26" s="265"/>
      <c r="Q26" s="265"/>
      <c r="R26" s="265"/>
      <c r="S26" s="265"/>
      <c r="T26" s="265"/>
      <c r="U26" s="265"/>
      <c r="V26" s="265"/>
      <c r="W26" s="265"/>
      <c r="X26" s="265"/>
      <c r="Y26" s="265"/>
      <c r="Z26" s="265"/>
    </row>
    <row r="27">
      <c r="A27" s="265"/>
      <c r="B27" s="265"/>
      <c r="C27" s="266" t="s">
        <v>410</v>
      </c>
      <c r="D27" s="267" t="s">
        <v>411</v>
      </c>
      <c r="E27" s="267"/>
      <c r="F27" s="268"/>
      <c r="G27" s="267"/>
      <c r="H27" s="269"/>
      <c r="I27" s="270"/>
      <c r="J27" s="265"/>
      <c r="K27" s="265"/>
      <c r="L27" s="265"/>
      <c r="M27" s="265"/>
      <c r="N27" s="271"/>
      <c r="O27" s="265"/>
      <c r="P27" s="265"/>
      <c r="Q27" s="265"/>
      <c r="R27" s="265"/>
      <c r="S27" s="265"/>
      <c r="T27" s="265"/>
      <c r="U27" s="265"/>
      <c r="V27" s="265"/>
      <c r="W27" s="265"/>
      <c r="X27" s="265"/>
      <c r="Y27" s="265"/>
      <c r="Z27" s="265"/>
    </row>
    <row r="28">
      <c r="A28" s="265"/>
      <c r="B28" s="265"/>
      <c r="C28" s="266" t="s">
        <v>412</v>
      </c>
      <c r="D28" s="267" t="s">
        <v>413</v>
      </c>
      <c r="E28" s="267"/>
      <c r="F28" s="268"/>
      <c r="G28" s="267"/>
      <c r="H28" s="269"/>
      <c r="I28" s="270"/>
      <c r="J28" s="265"/>
      <c r="K28" s="265"/>
      <c r="L28" s="265"/>
      <c r="M28" s="265"/>
      <c r="N28" s="271"/>
      <c r="O28" s="265"/>
      <c r="P28" s="265"/>
      <c r="Q28" s="265"/>
      <c r="R28" s="265"/>
      <c r="S28" s="265"/>
      <c r="T28" s="265"/>
      <c r="U28" s="265"/>
      <c r="V28" s="265"/>
      <c r="W28" s="265"/>
      <c r="X28" s="265"/>
      <c r="Y28" s="265"/>
      <c r="Z28" s="265"/>
    </row>
    <row r="29">
      <c r="A29" s="265"/>
      <c r="B29" s="265"/>
      <c r="C29" s="266" t="s">
        <v>414</v>
      </c>
      <c r="D29" s="267" t="s">
        <v>415</v>
      </c>
      <c r="E29" s="267"/>
      <c r="F29" s="268"/>
      <c r="G29" s="267"/>
      <c r="H29" s="269"/>
      <c r="I29" s="270"/>
      <c r="J29" s="265"/>
      <c r="K29" s="265"/>
      <c r="L29" s="265"/>
      <c r="M29" s="265"/>
      <c r="N29" s="271"/>
      <c r="O29" s="265"/>
      <c r="P29" s="265"/>
      <c r="Q29" s="265"/>
      <c r="R29" s="265"/>
      <c r="S29" s="265"/>
      <c r="T29" s="265"/>
      <c r="U29" s="265"/>
      <c r="V29" s="265"/>
      <c r="W29" s="265"/>
      <c r="X29" s="265"/>
      <c r="Y29" s="265"/>
      <c r="Z29" s="265"/>
    </row>
    <row r="30">
      <c r="A30" s="265"/>
      <c r="B30" s="265"/>
      <c r="C30" s="266" t="s">
        <v>416</v>
      </c>
      <c r="D30" s="267" t="s">
        <v>417</v>
      </c>
      <c r="E30" s="267"/>
      <c r="F30" s="268"/>
      <c r="G30" s="267"/>
      <c r="H30" s="269"/>
      <c r="I30" s="270"/>
      <c r="J30" s="265"/>
      <c r="K30" s="265"/>
      <c r="L30" s="265"/>
      <c r="M30" s="265"/>
      <c r="N30" s="271"/>
      <c r="O30" s="265"/>
      <c r="P30" s="265"/>
      <c r="Q30" s="265"/>
      <c r="R30" s="265"/>
      <c r="S30" s="265"/>
      <c r="T30" s="265"/>
      <c r="U30" s="265"/>
      <c r="V30" s="265"/>
      <c r="W30" s="265"/>
      <c r="X30" s="265"/>
      <c r="Y30" s="265"/>
      <c r="Z30" s="265"/>
    </row>
    <row r="31">
      <c r="A31" s="265"/>
      <c r="B31" s="265"/>
      <c r="C31" s="266"/>
      <c r="D31" s="267"/>
      <c r="E31" s="267"/>
      <c r="F31" s="268"/>
      <c r="G31" s="267"/>
      <c r="H31" s="269"/>
      <c r="I31" s="270"/>
      <c r="J31" s="265"/>
      <c r="K31" s="265"/>
      <c r="L31" s="265"/>
      <c r="M31" s="265"/>
      <c r="N31" s="271"/>
      <c r="O31" s="265"/>
      <c r="P31" s="265"/>
      <c r="Q31" s="265"/>
      <c r="R31" s="265"/>
      <c r="S31" s="265"/>
      <c r="T31" s="265"/>
      <c r="U31" s="265"/>
      <c r="V31" s="265"/>
      <c r="W31" s="265"/>
      <c r="X31" s="265"/>
      <c r="Y31" s="265"/>
      <c r="Z31" s="265"/>
    </row>
    <row r="32">
      <c r="A32" s="265"/>
      <c r="B32" s="265"/>
      <c r="C32" s="266"/>
      <c r="D32" s="267"/>
      <c r="E32" s="267"/>
      <c r="F32" s="268"/>
      <c r="G32" s="267"/>
      <c r="H32" s="269"/>
      <c r="I32" s="270"/>
      <c r="J32" s="265"/>
      <c r="K32" s="265"/>
      <c r="L32" s="265"/>
      <c r="M32" s="265"/>
      <c r="N32" s="271"/>
      <c r="O32" s="265"/>
      <c r="P32" s="265"/>
      <c r="Q32" s="265"/>
      <c r="R32" s="265"/>
      <c r="S32" s="265"/>
      <c r="T32" s="265"/>
      <c r="U32" s="265"/>
      <c r="V32" s="265"/>
      <c r="W32" s="265"/>
      <c r="X32" s="265"/>
      <c r="Y32" s="265"/>
      <c r="Z32" s="265"/>
    </row>
    <row r="33">
      <c r="A33" s="265"/>
      <c r="B33" s="265"/>
      <c r="C33" s="266"/>
      <c r="D33" s="267"/>
      <c r="E33" s="267"/>
      <c r="F33" s="268"/>
      <c r="G33" s="267"/>
      <c r="H33" s="269"/>
      <c r="I33" s="270"/>
      <c r="J33" s="265"/>
      <c r="K33" s="265"/>
      <c r="L33" s="265"/>
      <c r="M33" s="265"/>
      <c r="N33" s="271"/>
      <c r="O33" s="265"/>
      <c r="P33" s="265"/>
      <c r="Q33" s="265"/>
      <c r="R33" s="265"/>
      <c r="S33" s="265"/>
      <c r="T33" s="265"/>
      <c r="U33" s="265"/>
      <c r="V33" s="265"/>
      <c r="W33" s="265"/>
      <c r="X33" s="265"/>
      <c r="Y33" s="265"/>
      <c r="Z33" s="265"/>
    </row>
    <row r="34">
      <c r="A34" s="265"/>
      <c r="B34" s="265"/>
      <c r="C34" s="266"/>
      <c r="D34" s="267"/>
      <c r="E34" s="267"/>
      <c r="F34" s="268"/>
      <c r="G34" s="267"/>
      <c r="H34" s="269"/>
      <c r="I34" s="270"/>
      <c r="J34" s="265"/>
      <c r="K34" s="265"/>
      <c r="L34" s="265"/>
      <c r="M34" s="265"/>
      <c r="N34" s="271"/>
      <c r="O34" s="265"/>
      <c r="P34" s="265"/>
      <c r="Q34" s="265"/>
      <c r="R34" s="265"/>
      <c r="S34" s="265"/>
      <c r="T34" s="265"/>
      <c r="U34" s="265"/>
      <c r="V34" s="265"/>
      <c r="W34" s="265"/>
      <c r="X34" s="265"/>
      <c r="Y34" s="265"/>
      <c r="Z34" s="265"/>
    </row>
    <row r="35">
      <c r="A35" s="265"/>
      <c r="B35" s="265"/>
      <c r="C35" s="266"/>
      <c r="D35" s="267"/>
      <c r="E35" s="267"/>
      <c r="F35" s="268"/>
      <c r="G35" s="267"/>
      <c r="H35" s="269"/>
      <c r="I35" s="270"/>
      <c r="J35" s="265"/>
      <c r="K35" s="265"/>
      <c r="L35" s="265"/>
      <c r="M35" s="265"/>
      <c r="N35" s="271"/>
      <c r="O35" s="265"/>
      <c r="P35" s="265"/>
      <c r="Q35" s="265"/>
      <c r="R35" s="265"/>
      <c r="S35" s="265"/>
      <c r="T35" s="265"/>
      <c r="U35" s="265"/>
      <c r="V35" s="265"/>
      <c r="W35" s="265"/>
      <c r="X35" s="265"/>
      <c r="Y35" s="265"/>
      <c r="Z35" s="265"/>
    </row>
    <row r="36">
      <c r="A36" s="265"/>
      <c r="B36" s="265"/>
      <c r="C36" s="266"/>
      <c r="D36" s="267"/>
      <c r="E36" s="267"/>
      <c r="F36" s="268"/>
      <c r="G36" s="267"/>
      <c r="H36" s="269"/>
      <c r="I36" s="270"/>
      <c r="J36" s="265"/>
      <c r="K36" s="265"/>
      <c r="L36" s="265"/>
      <c r="M36" s="265"/>
      <c r="N36" s="271"/>
      <c r="O36" s="265"/>
      <c r="P36" s="265"/>
      <c r="Q36" s="265"/>
      <c r="R36" s="265"/>
      <c r="S36" s="265"/>
      <c r="T36" s="265"/>
      <c r="U36" s="265"/>
      <c r="V36" s="265"/>
      <c r="W36" s="265"/>
      <c r="X36" s="265"/>
      <c r="Y36" s="265"/>
      <c r="Z36" s="265"/>
    </row>
    <row r="37">
      <c r="A37" s="265"/>
      <c r="B37" s="265"/>
      <c r="C37" s="266"/>
      <c r="D37" s="267"/>
      <c r="E37" s="267"/>
      <c r="F37" s="268"/>
      <c r="G37" s="267"/>
      <c r="H37" s="274"/>
      <c r="I37" s="270"/>
      <c r="J37" s="265"/>
      <c r="K37" s="265"/>
      <c r="L37" s="265"/>
      <c r="M37" s="265"/>
      <c r="N37" s="271"/>
      <c r="O37" s="275"/>
      <c r="P37" s="265"/>
      <c r="Q37" s="265"/>
      <c r="R37" s="265"/>
      <c r="S37" s="265"/>
      <c r="T37" s="265"/>
      <c r="U37" s="265"/>
      <c r="V37" s="265"/>
      <c r="W37" s="265"/>
      <c r="X37" s="265"/>
      <c r="Y37" s="265"/>
      <c r="Z37" s="265"/>
    </row>
    <row r="38">
      <c r="A38" s="265"/>
      <c r="B38" s="265"/>
      <c r="C38" s="266"/>
      <c r="D38" s="267"/>
      <c r="E38" s="267"/>
      <c r="F38" s="268"/>
      <c r="G38" s="267"/>
      <c r="H38" s="269"/>
      <c r="I38" s="270"/>
      <c r="J38" s="265"/>
      <c r="K38" s="265"/>
      <c r="L38" s="265"/>
      <c r="M38" s="265"/>
      <c r="N38" s="271"/>
      <c r="O38" s="265"/>
      <c r="P38" s="265"/>
      <c r="Q38" s="265"/>
      <c r="R38" s="265"/>
      <c r="S38" s="265"/>
      <c r="T38" s="265"/>
      <c r="U38" s="265"/>
      <c r="V38" s="265"/>
      <c r="W38" s="265"/>
      <c r="X38" s="265"/>
      <c r="Y38" s="265"/>
      <c r="Z38" s="265"/>
    </row>
    <row r="39">
      <c r="A39" s="265"/>
      <c r="B39" s="265"/>
      <c r="C39" s="266"/>
      <c r="D39" s="267"/>
      <c r="E39" s="267"/>
      <c r="F39" s="268"/>
      <c r="G39" s="267"/>
      <c r="H39" s="269"/>
      <c r="I39" s="270"/>
      <c r="J39" s="265"/>
      <c r="K39" s="265"/>
      <c r="L39" s="265"/>
      <c r="M39" s="265"/>
      <c r="N39" s="271"/>
      <c r="O39" s="265"/>
      <c r="P39" s="265"/>
      <c r="Q39" s="265"/>
      <c r="R39" s="265"/>
      <c r="S39" s="265"/>
      <c r="T39" s="265"/>
      <c r="U39" s="265"/>
      <c r="V39" s="265"/>
      <c r="W39" s="265"/>
      <c r="X39" s="265"/>
      <c r="Y39" s="265"/>
      <c r="Z39" s="265"/>
    </row>
    <row r="40">
      <c r="A40" s="265"/>
      <c r="B40" s="265"/>
      <c r="C40" s="266"/>
      <c r="D40" s="267"/>
      <c r="E40" s="267"/>
      <c r="F40" s="268"/>
      <c r="G40" s="267"/>
      <c r="H40" s="269"/>
      <c r="I40" s="270"/>
      <c r="J40" s="265"/>
      <c r="K40" s="265"/>
      <c r="L40" s="265"/>
      <c r="M40" s="265"/>
      <c r="N40" s="271"/>
      <c r="O40" s="265"/>
      <c r="P40" s="265"/>
      <c r="Q40" s="265"/>
      <c r="R40" s="265"/>
      <c r="S40" s="265"/>
      <c r="T40" s="265"/>
      <c r="U40" s="265"/>
      <c r="V40" s="265"/>
      <c r="W40" s="265"/>
      <c r="X40" s="265"/>
      <c r="Y40" s="265"/>
      <c r="Z40" s="265"/>
    </row>
    <row r="41">
      <c r="A41" s="265"/>
      <c r="B41" s="265"/>
      <c r="C41" s="266"/>
      <c r="D41" s="267"/>
      <c r="E41" s="267"/>
      <c r="F41" s="268"/>
      <c r="G41" s="267"/>
      <c r="H41" s="269"/>
      <c r="I41" s="270"/>
      <c r="J41" s="265"/>
      <c r="K41" s="265"/>
      <c r="L41" s="265"/>
      <c r="M41" s="265"/>
      <c r="N41" s="271"/>
      <c r="O41" s="265"/>
      <c r="P41" s="265"/>
      <c r="Q41" s="265"/>
      <c r="R41" s="265"/>
      <c r="S41" s="265"/>
      <c r="T41" s="265"/>
      <c r="U41" s="265"/>
      <c r="V41" s="265"/>
      <c r="W41" s="265"/>
      <c r="X41" s="265"/>
      <c r="Y41" s="265"/>
      <c r="Z41" s="265"/>
    </row>
    <row r="42">
      <c r="A42" s="265"/>
      <c r="B42" s="265"/>
      <c r="C42" s="266"/>
      <c r="D42" s="267"/>
      <c r="E42" s="267"/>
      <c r="F42" s="268"/>
      <c r="G42" s="267"/>
      <c r="H42" s="269"/>
      <c r="I42" s="276"/>
      <c r="J42" s="265"/>
      <c r="K42" s="265"/>
      <c r="L42" s="265"/>
      <c r="M42" s="265"/>
      <c r="N42" s="280"/>
      <c r="O42" s="265"/>
      <c r="P42" s="265"/>
      <c r="Q42" s="265"/>
      <c r="R42" s="265"/>
      <c r="S42" s="265"/>
      <c r="T42" s="265"/>
      <c r="U42" s="265"/>
      <c r="V42" s="265"/>
      <c r="W42" s="265"/>
      <c r="X42" s="265"/>
      <c r="Y42" s="265"/>
      <c r="Z42" s="265"/>
    </row>
    <row r="43">
      <c r="A43" s="265"/>
      <c r="B43" s="265"/>
      <c r="C43" s="266"/>
      <c r="D43" s="267"/>
      <c r="E43" s="267"/>
      <c r="F43" s="268"/>
      <c r="G43" s="267"/>
      <c r="H43" s="269"/>
      <c r="I43" s="276"/>
      <c r="J43" s="265"/>
      <c r="K43" s="265"/>
      <c r="L43" s="265"/>
      <c r="M43" s="265"/>
      <c r="N43" s="280"/>
      <c r="O43" s="265"/>
      <c r="P43" s="265"/>
      <c r="Q43" s="265"/>
      <c r="R43" s="265"/>
      <c r="S43" s="265"/>
      <c r="T43" s="265"/>
      <c r="U43" s="265"/>
      <c r="V43" s="265"/>
      <c r="W43" s="265"/>
      <c r="X43" s="265"/>
      <c r="Y43" s="265"/>
      <c r="Z43" s="265"/>
    </row>
    <row r="44">
      <c r="A44" s="265"/>
      <c r="B44" s="265"/>
      <c r="C44" s="266"/>
      <c r="D44" s="267"/>
      <c r="E44" s="267"/>
      <c r="F44" s="268"/>
      <c r="G44" s="267"/>
      <c r="H44" s="269"/>
      <c r="I44" s="276"/>
      <c r="J44" s="265"/>
      <c r="K44" s="265"/>
      <c r="L44" s="265"/>
      <c r="M44" s="265"/>
      <c r="N44" s="280"/>
      <c r="O44" s="265"/>
      <c r="P44" s="265"/>
      <c r="Q44" s="265"/>
      <c r="R44" s="265"/>
      <c r="S44" s="265"/>
      <c r="T44" s="265"/>
      <c r="U44" s="265"/>
      <c r="V44" s="265"/>
      <c r="W44" s="265"/>
      <c r="X44" s="265"/>
      <c r="Y44" s="265"/>
      <c r="Z44" s="265"/>
    </row>
    <row r="45">
      <c r="A45" s="265"/>
      <c r="B45" s="265"/>
      <c r="C45" s="266"/>
      <c r="D45" s="267"/>
      <c r="E45" s="268"/>
      <c r="F45" s="268"/>
      <c r="G45" s="268"/>
      <c r="H45" s="283"/>
      <c r="I45" s="276"/>
      <c r="J45" s="265"/>
      <c r="K45" s="265"/>
      <c r="L45" s="265"/>
      <c r="M45" s="265"/>
      <c r="N45" s="280"/>
      <c r="O45" s="265"/>
      <c r="P45" s="265"/>
      <c r="Q45" s="265"/>
      <c r="R45" s="265"/>
      <c r="S45" s="265"/>
      <c r="T45" s="265"/>
      <c r="U45" s="265"/>
      <c r="V45" s="265"/>
      <c r="W45" s="265"/>
      <c r="X45" s="265"/>
      <c r="Y45" s="265"/>
      <c r="Z45" s="265"/>
    </row>
    <row r="46">
      <c r="A46" s="265"/>
      <c r="B46" s="265"/>
      <c r="C46" s="266"/>
      <c r="D46" s="267"/>
      <c r="E46" s="268"/>
      <c r="F46" s="268"/>
      <c r="G46" s="268"/>
      <c r="H46" s="283"/>
      <c r="I46" s="276"/>
      <c r="J46" s="265"/>
      <c r="K46" s="265"/>
      <c r="L46" s="265"/>
      <c r="M46" s="265"/>
      <c r="N46" s="280"/>
      <c r="O46" s="265"/>
      <c r="P46" s="265"/>
      <c r="Q46" s="265"/>
      <c r="R46" s="265"/>
      <c r="S46" s="265"/>
      <c r="T46" s="265"/>
      <c r="U46" s="265"/>
      <c r="V46" s="265"/>
      <c r="W46" s="265"/>
      <c r="X46" s="265"/>
      <c r="Y46" s="265"/>
      <c r="Z46" s="265"/>
    </row>
    <row r="47">
      <c r="A47" s="265"/>
      <c r="B47" s="265"/>
      <c r="C47" s="266"/>
      <c r="D47" s="267"/>
      <c r="E47" s="268"/>
      <c r="F47" s="268"/>
      <c r="G47" s="268"/>
      <c r="H47" s="283"/>
      <c r="I47" s="276"/>
      <c r="J47" s="265"/>
      <c r="K47" s="265"/>
      <c r="L47" s="265"/>
      <c r="M47" s="265"/>
      <c r="N47" s="280"/>
      <c r="O47" s="265"/>
      <c r="P47" s="265"/>
      <c r="Q47" s="265"/>
      <c r="R47" s="265"/>
      <c r="S47" s="265"/>
      <c r="T47" s="265"/>
      <c r="U47" s="265"/>
      <c r="V47" s="265"/>
      <c r="W47" s="265"/>
      <c r="X47" s="265"/>
      <c r="Y47" s="265"/>
      <c r="Z47" s="265"/>
    </row>
    <row r="48">
      <c r="A48" s="265"/>
      <c r="B48" s="265"/>
      <c r="C48" s="266"/>
      <c r="D48" s="267"/>
      <c r="E48" s="268"/>
      <c r="F48" s="268"/>
      <c r="G48" s="268"/>
      <c r="H48" s="283"/>
      <c r="I48" s="276"/>
      <c r="J48" s="265"/>
      <c r="K48" s="265"/>
      <c r="L48" s="265"/>
      <c r="M48" s="265"/>
      <c r="N48" s="280"/>
      <c r="O48" s="265"/>
      <c r="P48" s="265"/>
      <c r="Q48" s="265"/>
      <c r="R48" s="265"/>
      <c r="S48" s="265"/>
      <c r="T48" s="265"/>
      <c r="U48" s="265"/>
      <c r="V48" s="265"/>
      <c r="W48" s="265"/>
      <c r="X48" s="265"/>
      <c r="Y48" s="265"/>
      <c r="Z48" s="265"/>
    </row>
    <row r="49">
      <c r="A49" s="265"/>
      <c r="B49" s="265"/>
      <c r="C49" s="266"/>
      <c r="D49" s="267"/>
      <c r="E49" s="268"/>
      <c r="F49" s="268"/>
      <c r="G49" s="268"/>
      <c r="H49" s="283"/>
      <c r="I49" s="276"/>
      <c r="J49" s="265"/>
      <c r="K49" s="265"/>
      <c r="L49" s="265"/>
      <c r="M49" s="265"/>
      <c r="N49" s="280"/>
      <c r="O49" s="265"/>
      <c r="P49" s="265"/>
      <c r="Q49" s="265"/>
      <c r="R49" s="265"/>
      <c r="S49" s="265"/>
      <c r="T49" s="265"/>
      <c r="U49" s="265"/>
      <c r="V49" s="265"/>
      <c r="W49" s="265"/>
      <c r="X49" s="265"/>
      <c r="Y49" s="265"/>
      <c r="Z49" s="265"/>
    </row>
    <row r="50">
      <c r="A50" s="265"/>
      <c r="B50" s="285"/>
      <c r="C50" s="266"/>
      <c r="D50" s="267"/>
      <c r="E50" s="267"/>
      <c r="F50" s="268"/>
      <c r="G50" s="267"/>
      <c r="H50" s="269"/>
      <c r="I50" s="276"/>
      <c r="J50" s="265"/>
      <c r="K50" s="265"/>
      <c r="L50" s="265"/>
      <c r="M50" s="265"/>
      <c r="N50" s="280"/>
      <c r="O50" s="265"/>
      <c r="P50" s="265"/>
      <c r="Q50" s="265"/>
      <c r="R50" s="265"/>
      <c r="S50" s="265"/>
      <c r="T50" s="265"/>
      <c r="U50" s="265"/>
      <c r="V50" s="265"/>
      <c r="W50" s="265"/>
      <c r="X50" s="265"/>
      <c r="Y50" s="265"/>
      <c r="Z50" s="265"/>
    </row>
    <row r="51">
      <c r="A51" s="265"/>
      <c r="B51" s="285"/>
      <c r="C51" s="266"/>
      <c r="D51" s="267"/>
      <c r="E51" s="267"/>
      <c r="F51" s="268"/>
      <c r="G51" s="267"/>
      <c r="H51" s="269"/>
      <c r="I51" s="276"/>
      <c r="J51" s="265"/>
      <c r="K51" s="265"/>
      <c r="L51" s="265"/>
      <c r="M51" s="265"/>
      <c r="N51" s="280"/>
      <c r="O51" s="265"/>
      <c r="P51" s="265"/>
      <c r="Q51" s="265"/>
      <c r="R51" s="265"/>
      <c r="S51" s="265"/>
      <c r="T51" s="265"/>
      <c r="U51" s="265"/>
      <c r="V51" s="265"/>
      <c r="W51" s="265"/>
      <c r="X51" s="265"/>
      <c r="Y51" s="265"/>
      <c r="Z51" s="265"/>
    </row>
    <row r="52">
      <c r="A52" s="265"/>
      <c r="B52" s="285"/>
      <c r="C52" s="266"/>
      <c r="D52" s="267"/>
      <c r="E52" s="267"/>
      <c r="F52" s="268"/>
      <c r="G52" s="267"/>
      <c r="H52" s="269"/>
      <c r="I52" s="276"/>
      <c r="J52" s="265"/>
      <c r="K52" s="265"/>
      <c r="L52" s="265"/>
      <c r="M52" s="265"/>
      <c r="N52" s="280"/>
      <c r="O52" s="265"/>
      <c r="P52" s="265"/>
      <c r="Q52" s="265"/>
      <c r="R52" s="265"/>
      <c r="S52" s="265"/>
      <c r="T52" s="265"/>
      <c r="U52" s="265"/>
      <c r="V52" s="265"/>
      <c r="W52" s="265"/>
      <c r="X52" s="265"/>
      <c r="Y52" s="265"/>
      <c r="Z52" s="265"/>
    </row>
    <row r="53">
      <c r="A53" s="265"/>
      <c r="B53" s="285"/>
      <c r="C53" s="266"/>
      <c r="D53" s="267"/>
      <c r="E53" s="267"/>
      <c r="F53" s="268"/>
      <c r="G53" s="267"/>
      <c r="H53" s="269"/>
      <c r="I53" s="276"/>
      <c r="J53" s="265"/>
      <c r="K53" s="265"/>
      <c r="L53" s="265"/>
      <c r="M53" s="265"/>
      <c r="N53" s="280"/>
      <c r="O53" s="265"/>
      <c r="P53" s="265"/>
      <c r="Q53" s="265"/>
      <c r="R53" s="265"/>
      <c r="S53" s="265"/>
      <c r="T53" s="265"/>
      <c r="U53" s="265"/>
      <c r="V53" s="265"/>
      <c r="W53" s="265"/>
      <c r="X53" s="265"/>
      <c r="Y53" s="265"/>
      <c r="Z53" s="265"/>
    </row>
    <row r="54">
      <c r="A54" s="265"/>
      <c r="B54" s="265"/>
      <c r="C54" s="268"/>
      <c r="D54" s="268"/>
      <c r="E54" s="268"/>
      <c r="F54" s="268"/>
      <c r="G54" s="268"/>
      <c r="H54" s="283"/>
      <c r="I54" s="276"/>
      <c r="J54" s="265"/>
      <c r="K54" s="265"/>
      <c r="L54" s="265"/>
      <c r="M54" s="265"/>
      <c r="N54" s="280"/>
      <c r="O54" s="265"/>
      <c r="P54" s="265"/>
      <c r="Q54" s="265"/>
      <c r="R54" s="265"/>
      <c r="S54" s="265"/>
      <c r="T54" s="265"/>
      <c r="U54" s="265"/>
      <c r="V54" s="265"/>
      <c r="W54" s="265"/>
      <c r="X54" s="265"/>
      <c r="Y54" s="265"/>
      <c r="Z54" s="265"/>
    </row>
    <row r="55">
      <c r="A55" s="265"/>
      <c r="B55" s="265"/>
      <c r="C55" s="268"/>
      <c r="D55" s="268"/>
      <c r="E55" s="268"/>
      <c r="F55" s="268"/>
      <c r="G55" s="268"/>
      <c r="H55" s="283"/>
      <c r="I55" s="276"/>
      <c r="J55" s="265"/>
      <c r="K55" s="265"/>
      <c r="L55" s="265"/>
      <c r="M55" s="265"/>
      <c r="N55" s="280"/>
      <c r="O55" s="265"/>
      <c r="P55" s="265"/>
      <c r="Q55" s="265"/>
      <c r="R55" s="265"/>
      <c r="S55" s="265"/>
      <c r="T55" s="265"/>
      <c r="U55" s="265"/>
      <c r="V55" s="265"/>
      <c r="W55" s="265"/>
      <c r="X55" s="265"/>
      <c r="Y55" s="265"/>
      <c r="Z55" s="265"/>
    </row>
    <row r="56">
      <c r="A56" s="265"/>
      <c r="B56" s="265"/>
      <c r="C56" s="268"/>
      <c r="D56" s="268"/>
      <c r="E56" s="268"/>
      <c r="F56" s="268"/>
      <c r="G56" s="268"/>
      <c r="H56" s="283"/>
      <c r="I56" s="276"/>
      <c r="J56" s="265"/>
      <c r="K56" s="265"/>
      <c r="L56" s="265"/>
      <c r="M56" s="265"/>
      <c r="N56" s="280"/>
      <c r="O56" s="265"/>
      <c r="P56" s="265"/>
      <c r="Q56" s="265"/>
      <c r="R56" s="265"/>
      <c r="S56" s="265"/>
      <c r="T56" s="265"/>
      <c r="U56" s="265"/>
      <c r="V56" s="265"/>
      <c r="W56" s="265"/>
      <c r="X56" s="265"/>
      <c r="Y56" s="265"/>
      <c r="Z56" s="265"/>
    </row>
    <row r="57">
      <c r="A57" s="265"/>
      <c r="B57" s="265"/>
      <c r="C57" s="268"/>
      <c r="D57" s="268"/>
      <c r="E57" s="268"/>
      <c r="F57" s="268"/>
      <c r="G57" s="268"/>
      <c r="H57" s="283"/>
      <c r="I57" s="276"/>
      <c r="J57" s="265"/>
      <c r="K57" s="265"/>
      <c r="L57" s="265"/>
      <c r="M57" s="265"/>
      <c r="N57" s="280"/>
      <c r="O57" s="265"/>
      <c r="P57" s="265"/>
      <c r="Q57" s="265"/>
      <c r="R57" s="265"/>
      <c r="S57" s="265"/>
      <c r="T57" s="265"/>
      <c r="U57" s="265"/>
      <c r="V57" s="265"/>
      <c r="W57" s="265"/>
      <c r="X57" s="265"/>
      <c r="Y57" s="265"/>
      <c r="Z57" s="265"/>
    </row>
    <row r="58">
      <c r="A58" s="265"/>
      <c r="B58" s="265"/>
      <c r="C58" s="268"/>
      <c r="D58" s="268"/>
      <c r="E58" s="268"/>
      <c r="F58" s="268"/>
      <c r="G58" s="268"/>
      <c r="H58" s="283"/>
      <c r="I58" s="276"/>
      <c r="J58" s="265"/>
      <c r="K58" s="265"/>
      <c r="L58" s="265"/>
      <c r="M58" s="265"/>
      <c r="N58" s="280"/>
      <c r="O58" s="265"/>
      <c r="P58" s="265"/>
      <c r="Q58" s="265"/>
      <c r="R58" s="265"/>
      <c r="S58" s="265"/>
      <c r="T58" s="265"/>
      <c r="U58" s="265"/>
      <c r="V58" s="265"/>
      <c r="W58" s="265"/>
      <c r="X58" s="265"/>
      <c r="Y58" s="265"/>
      <c r="Z58" s="265"/>
    </row>
    <row r="59">
      <c r="A59" s="265"/>
      <c r="B59" s="265"/>
      <c r="C59" s="268"/>
      <c r="D59" s="268"/>
      <c r="E59" s="268"/>
      <c r="F59" s="268"/>
      <c r="G59" s="268"/>
      <c r="H59" s="283"/>
      <c r="I59" s="276"/>
      <c r="J59" s="265"/>
      <c r="K59" s="265"/>
      <c r="L59" s="265"/>
      <c r="M59" s="265"/>
      <c r="N59" s="280"/>
      <c r="O59" s="265"/>
      <c r="P59" s="265"/>
      <c r="Q59" s="265"/>
      <c r="R59" s="265"/>
      <c r="S59" s="265"/>
      <c r="T59" s="265"/>
      <c r="U59" s="265"/>
      <c r="V59" s="265"/>
      <c r="W59" s="265"/>
      <c r="X59" s="265"/>
      <c r="Y59" s="265"/>
      <c r="Z59" s="265"/>
    </row>
    <row r="60">
      <c r="A60" s="265"/>
      <c r="B60" s="265"/>
      <c r="C60" s="268"/>
      <c r="D60" s="268"/>
      <c r="E60" s="268"/>
      <c r="F60" s="268"/>
      <c r="G60" s="268"/>
      <c r="H60" s="283"/>
      <c r="I60" s="276"/>
      <c r="J60" s="265"/>
      <c r="K60" s="265"/>
      <c r="L60" s="265"/>
      <c r="M60" s="265"/>
      <c r="N60" s="280"/>
      <c r="O60" s="265"/>
      <c r="P60" s="265"/>
      <c r="Q60" s="265"/>
      <c r="R60" s="265"/>
      <c r="S60" s="265"/>
      <c r="T60" s="265"/>
      <c r="U60" s="265"/>
      <c r="V60" s="265"/>
      <c r="W60" s="265"/>
      <c r="X60" s="265"/>
      <c r="Y60" s="265"/>
      <c r="Z60" s="265"/>
    </row>
    <row r="61">
      <c r="A61" s="265"/>
      <c r="B61" s="265"/>
      <c r="C61" s="268"/>
      <c r="D61" s="268"/>
      <c r="E61" s="268"/>
      <c r="F61" s="268"/>
      <c r="G61" s="268"/>
      <c r="H61" s="283"/>
      <c r="I61" s="276"/>
      <c r="J61" s="265"/>
      <c r="K61" s="265"/>
      <c r="L61" s="265"/>
      <c r="M61" s="265"/>
      <c r="N61" s="280"/>
      <c r="O61" s="265"/>
      <c r="P61" s="265"/>
      <c r="Q61" s="265"/>
      <c r="R61" s="265"/>
      <c r="S61" s="265"/>
      <c r="T61" s="265"/>
      <c r="U61" s="265"/>
      <c r="V61" s="265"/>
      <c r="W61" s="265"/>
      <c r="X61" s="265"/>
      <c r="Y61" s="265"/>
      <c r="Z61" s="265"/>
    </row>
    <row r="62">
      <c r="A62" s="265"/>
      <c r="B62" s="265"/>
      <c r="C62" s="268"/>
      <c r="D62" s="268"/>
      <c r="E62" s="268"/>
      <c r="F62" s="268"/>
      <c r="G62" s="268"/>
      <c r="H62" s="283"/>
      <c r="I62" s="276"/>
      <c r="J62" s="265"/>
      <c r="K62" s="265"/>
      <c r="L62" s="265"/>
      <c r="M62" s="265"/>
      <c r="N62" s="280"/>
      <c r="O62" s="265"/>
      <c r="P62" s="265"/>
      <c r="Q62" s="265"/>
      <c r="R62" s="265"/>
      <c r="S62" s="265"/>
      <c r="T62" s="265"/>
      <c r="U62" s="265"/>
      <c r="V62" s="265"/>
      <c r="W62" s="265"/>
      <c r="X62" s="265"/>
      <c r="Y62" s="265"/>
      <c r="Z62" s="265"/>
    </row>
    <row r="63">
      <c r="A63" s="265"/>
      <c r="B63" s="265"/>
      <c r="C63" s="268"/>
      <c r="D63" s="268"/>
      <c r="E63" s="268"/>
      <c r="F63" s="268"/>
      <c r="G63" s="268"/>
      <c r="H63" s="283"/>
      <c r="I63" s="276"/>
      <c r="J63" s="265"/>
      <c r="K63" s="265"/>
      <c r="L63" s="265"/>
      <c r="M63" s="265"/>
      <c r="N63" s="280"/>
      <c r="O63" s="265"/>
      <c r="P63" s="265"/>
      <c r="Q63" s="265"/>
      <c r="R63" s="265"/>
      <c r="S63" s="265"/>
      <c r="T63" s="265"/>
      <c r="U63" s="265"/>
      <c r="V63" s="265"/>
      <c r="W63" s="265"/>
      <c r="X63" s="265"/>
      <c r="Y63" s="265"/>
      <c r="Z63" s="265"/>
    </row>
    <row r="64">
      <c r="A64" s="265"/>
      <c r="B64" s="265"/>
      <c r="C64" s="268"/>
      <c r="D64" s="268"/>
      <c r="E64" s="268"/>
      <c r="F64" s="268"/>
      <c r="G64" s="268"/>
      <c r="H64" s="283"/>
      <c r="I64" s="276"/>
      <c r="J64" s="265"/>
      <c r="K64" s="265"/>
      <c r="L64" s="265"/>
      <c r="M64" s="265"/>
      <c r="N64" s="280"/>
      <c r="O64" s="265"/>
      <c r="P64" s="265"/>
      <c r="Q64" s="265"/>
      <c r="R64" s="265"/>
      <c r="S64" s="265"/>
      <c r="T64" s="265"/>
      <c r="U64" s="265"/>
      <c r="V64" s="265"/>
      <c r="W64" s="265"/>
      <c r="X64" s="265"/>
      <c r="Y64" s="265"/>
      <c r="Z64" s="265"/>
    </row>
    <row r="65">
      <c r="A65" s="265"/>
      <c r="B65" s="265"/>
      <c r="C65" s="268"/>
      <c r="D65" s="268"/>
      <c r="E65" s="268"/>
      <c r="F65" s="268"/>
      <c r="G65" s="268"/>
      <c r="H65" s="283"/>
      <c r="I65" s="276"/>
      <c r="J65" s="265"/>
      <c r="K65" s="265"/>
      <c r="L65" s="265"/>
      <c r="M65" s="265"/>
      <c r="N65" s="280"/>
      <c r="O65" s="265"/>
      <c r="P65" s="265"/>
      <c r="Q65" s="265"/>
      <c r="R65" s="265"/>
      <c r="S65" s="265"/>
      <c r="T65" s="265"/>
      <c r="U65" s="265"/>
      <c r="V65" s="265"/>
      <c r="W65" s="265"/>
      <c r="X65" s="265"/>
      <c r="Y65" s="265"/>
      <c r="Z65" s="265"/>
    </row>
    <row r="66">
      <c r="A66" s="265"/>
      <c r="B66" s="265"/>
      <c r="C66" s="268"/>
      <c r="D66" s="268"/>
      <c r="E66" s="268"/>
      <c r="F66" s="268"/>
      <c r="G66" s="268"/>
      <c r="H66" s="283"/>
      <c r="I66" s="276"/>
      <c r="J66" s="265"/>
      <c r="K66" s="265"/>
      <c r="L66" s="265"/>
      <c r="M66" s="265"/>
      <c r="N66" s="280"/>
      <c r="O66" s="265"/>
      <c r="P66" s="265"/>
      <c r="Q66" s="265"/>
      <c r="R66" s="265"/>
      <c r="S66" s="265"/>
      <c r="T66" s="265"/>
      <c r="U66" s="265"/>
      <c r="V66" s="265"/>
      <c r="W66" s="265"/>
      <c r="X66" s="265"/>
      <c r="Y66" s="265"/>
      <c r="Z66" s="265"/>
    </row>
    <row r="67">
      <c r="A67" s="265"/>
      <c r="B67" s="265"/>
      <c r="C67" s="268"/>
      <c r="D67" s="268"/>
      <c r="E67" s="268"/>
      <c r="F67" s="268"/>
      <c r="G67" s="268"/>
      <c r="H67" s="283"/>
      <c r="I67" s="276"/>
      <c r="J67" s="265"/>
      <c r="K67" s="265"/>
      <c r="L67" s="265"/>
      <c r="M67" s="265"/>
      <c r="N67" s="280"/>
      <c r="O67" s="265"/>
      <c r="P67" s="265"/>
      <c r="Q67" s="265"/>
      <c r="R67" s="265"/>
      <c r="S67" s="265"/>
      <c r="T67" s="265"/>
      <c r="U67" s="265"/>
      <c r="V67" s="265"/>
      <c r="W67" s="265"/>
      <c r="X67" s="265"/>
      <c r="Y67" s="265"/>
      <c r="Z67" s="265"/>
    </row>
    <row r="68">
      <c r="A68" s="265"/>
      <c r="B68" s="265"/>
      <c r="C68" s="268"/>
      <c r="D68" s="268"/>
      <c r="E68" s="268"/>
      <c r="F68" s="268"/>
      <c r="G68" s="268"/>
      <c r="H68" s="283"/>
      <c r="I68" s="276"/>
      <c r="J68" s="265"/>
      <c r="K68" s="265"/>
      <c r="L68" s="265"/>
      <c r="M68" s="265"/>
      <c r="N68" s="280"/>
      <c r="O68" s="265"/>
      <c r="P68" s="265"/>
      <c r="Q68" s="265"/>
      <c r="R68" s="265"/>
      <c r="S68" s="265"/>
      <c r="T68" s="265"/>
      <c r="U68" s="265"/>
      <c r="V68" s="265"/>
      <c r="W68" s="265"/>
      <c r="X68" s="265"/>
      <c r="Y68" s="265"/>
      <c r="Z68" s="265"/>
    </row>
    <row r="69">
      <c r="A69" s="265"/>
      <c r="B69" s="265"/>
      <c r="C69" s="268"/>
      <c r="D69" s="268"/>
      <c r="E69" s="268"/>
      <c r="F69" s="268"/>
      <c r="G69" s="268"/>
      <c r="H69" s="283"/>
      <c r="I69" s="276"/>
      <c r="J69" s="265"/>
      <c r="K69" s="265"/>
      <c r="L69" s="265"/>
      <c r="M69" s="265"/>
      <c r="N69" s="280"/>
      <c r="O69" s="265"/>
      <c r="P69" s="265"/>
      <c r="Q69" s="265"/>
      <c r="R69" s="265"/>
      <c r="S69" s="265"/>
      <c r="T69" s="265"/>
      <c r="U69" s="265"/>
      <c r="V69" s="265"/>
      <c r="W69" s="265"/>
      <c r="X69" s="265"/>
      <c r="Y69" s="265"/>
      <c r="Z69" s="265"/>
    </row>
    <row r="70">
      <c r="A70" s="265"/>
      <c r="B70" s="265"/>
      <c r="C70" s="268"/>
      <c r="D70" s="268"/>
      <c r="E70" s="268"/>
      <c r="F70" s="268"/>
      <c r="G70" s="268"/>
      <c r="H70" s="283"/>
      <c r="I70" s="276"/>
      <c r="J70" s="265"/>
      <c r="K70" s="265"/>
      <c r="L70" s="265"/>
      <c r="M70" s="265"/>
      <c r="N70" s="280"/>
      <c r="O70" s="265"/>
      <c r="P70" s="265"/>
      <c r="Q70" s="265"/>
      <c r="R70" s="265"/>
      <c r="S70" s="265"/>
      <c r="T70" s="265"/>
      <c r="U70" s="265"/>
      <c r="V70" s="265"/>
      <c r="W70" s="265"/>
      <c r="X70" s="265"/>
      <c r="Y70" s="265"/>
      <c r="Z70" s="265"/>
    </row>
    <row r="71">
      <c r="A71" s="265"/>
      <c r="B71" s="265"/>
      <c r="C71" s="268"/>
      <c r="D71" s="268"/>
      <c r="E71" s="268"/>
      <c r="F71" s="268"/>
      <c r="G71" s="268"/>
      <c r="H71" s="283"/>
      <c r="I71" s="276"/>
      <c r="J71" s="265"/>
      <c r="K71" s="265"/>
      <c r="L71" s="265"/>
      <c r="M71" s="265"/>
      <c r="N71" s="280"/>
      <c r="O71" s="265"/>
      <c r="P71" s="265"/>
      <c r="Q71" s="265"/>
      <c r="R71" s="265"/>
      <c r="S71" s="265"/>
      <c r="T71" s="265"/>
      <c r="U71" s="265"/>
      <c r="V71" s="265"/>
      <c r="W71" s="265"/>
      <c r="X71" s="265"/>
      <c r="Y71" s="265"/>
      <c r="Z71" s="265"/>
    </row>
    <row r="72">
      <c r="A72" s="265"/>
      <c r="B72" s="265"/>
      <c r="C72" s="268"/>
      <c r="D72" s="268"/>
      <c r="E72" s="268"/>
      <c r="F72" s="268"/>
      <c r="G72" s="268"/>
      <c r="H72" s="283"/>
      <c r="I72" s="276"/>
      <c r="J72" s="265"/>
      <c r="K72" s="265"/>
      <c r="L72" s="265"/>
      <c r="M72" s="265"/>
      <c r="N72" s="280"/>
      <c r="O72" s="265"/>
      <c r="P72" s="265"/>
      <c r="Q72" s="265"/>
      <c r="R72" s="265"/>
      <c r="S72" s="265"/>
      <c r="T72" s="265"/>
      <c r="U72" s="265"/>
      <c r="V72" s="265"/>
      <c r="W72" s="265"/>
      <c r="X72" s="265"/>
      <c r="Y72" s="265"/>
      <c r="Z72" s="265"/>
    </row>
    <row r="73">
      <c r="A73" s="265"/>
      <c r="B73" s="265"/>
      <c r="C73" s="268"/>
      <c r="D73" s="268"/>
      <c r="E73" s="268"/>
      <c r="F73" s="268"/>
      <c r="G73" s="268"/>
      <c r="H73" s="283"/>
      <c r="I73" s="276"/>
      <c r="J73" s="265"/>
      <c r="K73" s="265"/>
      <c r="L73" s="265"/>
      <c r="M73" s="265"/>
      <c r="N73" s="280"/>
      <c r="O73" s="265"/>
      <c r="P73" s="265"/>
      <c r="Q73" s="265"/>
      <c r="R73" s="265"/>
      <c r="S73" s="265"/>
      <c r="T73" s="265"/>
      <c r="U73" s="265"/>
      <c r="V73" s="265"/>
      <c r="W73" s="265"/>
      <c r="X73" s="265"/>
      <c r="Y73" s="265"/>
      <c r="Z73" s="265"/>
    </row>
    <row r="74">
      <c r="A74" s="265"/>
      <c r="B74" s="265"/>
      <c r="C74" s="268"/>
      <c r="D74" s="268"/>
      <c r="E74" s="268"/>
      <c r="F74" s="268"/>
      <c r="G74" s="268"/>
      <c r="H74" s="283"/>
      <c r="I74" s="276"/>
      <c r="J74" s="265"/>
      <c r="K74" s="265"/>
      <c r="L74" s="265"/>
      <c r="M74" s="265"/>
      <c r="N74" s="280"/>
      <c r="O74" s="265"/>
      <c r="P74" s="265"/>
      <c r="Q74" s="265"/>
      <c r="R74" s="265"/>
      <c r="S74" s="265"/>
      <c r="T74" s="265"/>
      <c r="U74" s="265"/>
      <c r="V74" s="265"/>
      <c r="W74" s="265"/>
      <c r="X74" s="265"/>
      <c r="Y74" s="265"/>
      <c r="Z74" s="265"/>
    </row>
    <row r="75">
      <c r="A75" s="265"/>
      <c r="B75" s="265"/>
      <c r="C75" s="268"/>
      <c r="D75" s="268"/>
      <c r="E75" s="268"/>
      <c r="F75" s="268"/>
      <c r="G75" s="268"/>
      <c r="H75" s="283"/>
      <c r="I75" s="276"/>
      <c r="J75" s="265"/>
      <c r="K75" s="265"/>
      <c r="L75" s="265"/>
      <c r="M75" s="265"/>
      <c r="N75" s="280"/>
      <c r="O75" s="265"/>
      <c r="P75" s="265"/>
      <c r="Q75" s="265"/>
      <c r="R75" s="265"/>
      <c r="S75" s="265"/>
      <c r="T75" s="265"/>
      <c r="U75" s="265"/>
      <c r="V75" s="265"/>
      <c r="W75" s="265"/>
      <c r="X75" s="265"/>
      <c r="Y75" s="265"/>
      <c r="Z75" s="265"/>
    </row>
    <row r="76">
      <c r="A76" s="265"/>
      <c r="B76" s="265"/>
      <c r="C76" s="268"/>
      <c r="D76" s="268"/>
      <c r="E76" s="268"/>
      <c r="F76" s="268"/>
      <c r="G76" s="268"/>
      <c r="H76" s="283"/>
      <c r="I76" s="276"/>
      <c r="J76" s="265"/>
      <c r="K76" s="265"/>
      <c r="L76" s="265"/>
      <c r="M76" s="265"/>
      <c r="N76" s="280"/>
      <c r="O76" s="265"/>
      <c r="P76" s="265"/>
      <c r="Q76" s="265"/>
      <c r="R76" s="265"/>
      <c r="S76" s="265"/>
      <c r="T76" s="265"/>
      <c r="U76" s="265"/>
      <c r="V76" s="265"/>
      <c r="W76" s="265"/>
      <c r="X76" s="265"/>
      <c r="Y76" s="265"/>
      <c r="Z76" s="265"/>
    </row>
    <row r="77">
      <c r="A77" s="265"/>
      <c r="B77" s="265"/>
      <c r="C77" s="268"/>
      <c r="D77" s="268"/>
      <c r="E77" s="268"/>
      <c r="F77" s="268"/>
      <c r="G77" s="268"/>
      <c r="H77" s="283"/>
      <c r="I77" s="276"/>
      <c r="J77" s="265"/>
      <c r="K77" s="265"/>
      <c r="L77" s="265"/>
      <c r="M77" s="265"/>
      <c r="N77" s="280"/>
      <c r="O77" s="265"/>
      <c r="P77" s="265"/>
      <c r="Q77" s="265"/>
      <c r="R77" s="265"/>
      <c r="S77" s="265"/>
      <c r="T77" s="265"/>
      <c r="U77" s="265"/>
      <c r="V77" s="265"/>
      <c r="W77" s="265"/>
      <c r="X77" s="265"/>
      <c r="Y77" s="265"/>
      <c r="Z77" s="265"/>
    </row>
    <row r="78">
      <c r="A78" s="265"/>
      <c r="B78" s="265"/>
      <c r="C78" s="268"/>
      <c r="D78" s="268"/>
      <c r="E78" s="268"/>
      <c r="F78" s="268"/>
      <c r="G78" s="268"/>
      <c r="H78" s="283"/>
      <c r="I78" s="276"/>
      <c r="J78" s="265"/>
      <c r="K78" s="265"/>
      <c r="L78" s="265"/>
      <c r="M78" s="265"/>
      <c r="N78" s="280"/>
      <c r="O78" s="265"/>
      <c r="P78" s="265"/>
      <c r="Q78" s="265"/>
      <c r="R78" s="265"/>
      <c r="S78" s="265"/>
      <c r="T78" s="265"/>
      <c r="U78" s="265"/>
      <c r="V78" s="265"/>
      <c r="W78" s="265"/>
      <c r="X78" s="265"/>
      <c r="Y78" s="265"/>
      <c r="Z78" s="265"/>
    </row>
    <row r="79">
      <c r="A79" s="265"/>
      <c r="B79" s="265"/>
      <c r="C79" s="268"/>
      <c r="D79" s="268"/>
      <c r="E79" s="268"/>
      <c r="F79" s="268"/>
      <c r="G79" s="268"/>
      <c r="H79" s="283"/>
      <c r="I79" s="276"/>
      <c r="J79" s="265"/>
      <c r="K79" s="265"/>
      <c r="L79" s="265"/>
      <c r="M79" s="265"/>
      <c r="N79" s="280"/>
      <c r="O79" s="265"/>
      <c r="P79" s="265"/>
      <c r="Q79" s="265"/>
      <c r="R79" s="265"/>
      <c r="S79" s="265"/>
      <c r="T79" s="265"/>
      <c r="U79" s="265"/>
      <c r="V79" s="265"/>
      <c r="W79" s="265"/>
      <c r="X79" s="265"/>
      <c r="Y79" s="265"/>
      <c r="Z79" s="265"/>
    </row>
    <row r="80">
      <c r="A80" s="265"/>
      <c r="B80" s="265"/>
      <c r="C80" s="268"/>
      <c r="D80" s="268"/>
      <c r="E80" s="268"/>
      <c r="F80" s="268"/>
      <c r="G80" s="268"/>
      <c r="H80" s="283"/>
      <c r="I80" s="276"/>
      <c r="J80" s="265"/>
      <c r="K80" s="265"/>
      <c r="L80" s="265"/>
      <c r="M80" s="265"/>
      <c r="N80" s="280"/>
      <c r="O80" s="265"/>
      <c r="P80" s="265"/>
      <c r="Q80" s="265"/>
      <c r="R80" s="265"/>
      <c r="S80" s="265"/>
      <c r="T80" s="265"/>
      <c r="U80" s="265"/>
      <c r="V80" s="265"/>
      <c r="W80" s="265"/>
      <c r="X80" s="265"/>
      <c r="Y80" s="265"/>
      <c r="Z80" s="265"/>
    </row>
    <row r="81">
      <c r="A81" s="265"/>
      <c r="B81" s="265"/>
      <c r="C81" s="268"/>
      <c r="D81" s="268"/>
      <c r="E81" s="268"/>
      <c r="F81" s="268"/>
      <c r="G81" s="268"/>
      <c r="H81" s="283"/>
      <c r="I81" s="276"/>
      <c r="J81" s="265"/>
      <c r="K81" s="265"/>
      <c r="L81" s="265"/>
      <c r="M81" s="265"/>
      <c r="N81" s="280"/>
      <c r="O81" s="265"/>
      <c r="P81" s="265"/>
      <c r="Q81" s="265"/>
      <c r="R81" s="265"/>
      <c r="S81" s="265"/>
      <c r="T81" s="265"/>
      <c r="U81" s="265"/>
      <c r="V81" s="265"/>
      <c r="W81" s="265"/>
      <c r="X81" s="265"/>
      <c r="Y81" s="265"/>
      <c r="Z81" s="265"/>
    </row>
    <row r="82">
      <c r="A82" s="265"/>
      <c r="B82" s="265"/>
      <c r="C82" s="268"/>
      <c r="D82" s="268"/>
      <c r="E82" s="268"/>
      <c r="F82" s="268"/>
      <c r="G82" s="268"/>
      <c r="H82" s="283"/>
      <c r="I82" s="276"/>
      <c r="J82" s="265"/>
      <c r="K82" s="265"/>
      <c r="L82" s="265"/>
      <c r="M82" s="265"/>
      <c r="N82" s="280"/>
      <c r="O82" s="265"/>
      <c r="P82" s="265"/>
      <c r="Q82" s="265"/>
      <c r="R82" s="265"/>
      <c r="S82" s="265"/>
      <c r="T82" s="265"/>
      <c r="U82" s="265"/>
      <c r="V82" s="265"/>
      <c r="W82" s="265"/>
      <c r="X82" s="265"/>
      <c r="Y82" s="265"/>
      <c r="Z82" s="265"/>
    </row>
    <row r="83">
      <c r="A83" s="265"/>
      <c r="B83" s="265"/>
      <c r="C83" s="268"/>
      <c r="D83" s="268"/>
      <c r="E83" s="268"/>
      <c r="F83" s="268"/>
      <c r="G83" s="268"/>
      <c r="H83" s="283"/>
      <c r="I83" s="276"/>
      <c r="J83" s="265"/>
      <c r="K83" s="265"/>
      <c r="L83" s="265"/>
      <c r="M83" s="265"/>
      <c r="N83" s="280"/>
      <c r="O83" s="265"/>
      <c r="P83" s="265"/>
      <c r="Q83" s="265"/>
      <c r="R83" s="265"/>
      <c r="S83" s="265"/>
      <c r="T83" s="265"/>
      <c r="U83" s="265"/>
      <c r="V83" s="265"/>
      <c r="W83" s="265"/>
      <c r="X83" s="265"/>
      <c r="Y83" s="265"/>
      <c r="Z83" s="265"/>
    </row>
    <row r="84">
      <c r="A84" s="265"/>
      <c r="B84" s="265"/>
      <c r="C84" s="268"/>
      <c r="D84" s="268"/>
      <c r="E84" s="268"/>
      <c r="F84" s="268"/>
      <c r="G84" s="268"/>
      <c r="H84" s="283"/>
      <c r="I84" s="276"/>
      <c r="J84" s="265"/>
      <c r="K84" s="265"/>
      <c r="L84" s="265"/>
      <c r="M84" s="265"/>
      <c r="N84" s="280"/>
      <c r="O84" s="265"/>
      <c r="P84" s="265"/>
      <c r="Q84" s="265"/>
      <c r="R84" s="265"/>
      <c r="S84" s="265"/>
      <c r="T84" s="265"/>
      <c r="U84" s="265"/>
      <c r="V84" s="265"/>
      <c r="W84" s="265"/>
      <c r="X84" s="265"/>
      <c r="Y84" s="265"/>
      <c r="Z84" s="265"/>
    </row>
    <row r="85">
      <c r="A85" s="265"/>
      <c r="B85" s="265"/>
      <c r="C85" s="268"/>
      <c r="D85" s="268"/>
      <c r="E85" s="268"/>
      <c r="F85" s="268"/>
      <c r="G85" s="268"/>
      <c r="H85" s="283"/>
      <c r="I85" s="276"/>
      <c r="J85" s="265"/>
      <c r="K85" s="265"/>
      <c r="L85" s="265"/>
      <c r="M85" s="265"/>
      <c r="N85" s="280"/>
      <c r="O85" s="265"/>
      <c r="P85" s="265"/>
      <c r="Q85" s="265"/>
      <c r="R85" s="265"/>
      <c r="S85" s="265"/>
      <c r="T85" s="265"/>
      <c r="U85" s="265"/>
      <c r="V85" s="265"/>
      <c r="W85" s="265"/>
      <c r="X85" s="265"/>
      <c r="Y85" s="265"/>
      <c r="Z85" s="265"/>
    </row>
    <row r="86">
      <c r="A86" s="265"/>
      <c r="B86" s="265"/>
      <c r="C86" s="268"/>
      <c r="D86" s="268"/>
      <c r="E86" s="268"/>
      <c r="F86" s="268"/>
      <c r="G86" s="268"/>
      <c r="H86" s="283"/>
      <c r="I86" s="276"/>
      <c r="J86" s="265"/>
      <c r="K86" s="265"/>
      <c r="L86" s="265"/>
      <c r="M86" s="265"/>
      <c r="N86" s="280"/>
      <c r="O86" s="265"/>
      <c r="P86" s="265"/>
      <c r="Q86" s="265"/>
      <c r="R86" s="265"/>
      <c r="S86" s="265"/>
      <c r="T86" s="265"/>
      <c r="U86" s="265"/>
      <c r="V86" s="265"/>
      <c r="W86" s="265"/>
      <c r="X86" s="265"/>
      <c r="Y86" s="265"/>
      <c r="Z86" s="265"/>
    </row>
    <row r="87">
      <c r="A87" s="265"/>
      <c r="B87" s="265"/>
      <c r="C87" s="268"/>
      <c r="D87" s="268"/>
      <c r="E87" s="268"/>
      <c r="F87" s="268"/>
      <c r="G87" s="268"/>
      <c r="H87" s="283"/>
      <c r="I87" s="276"/>
      <c r="J87" s="265"/>
      <c r="K87" s="265"/>
      <c r="L87" s="265"/>
      <c r="M87" s="265"/>
      <c r="N87" s="280"/>
      <c r="O87" s="265"/>
      <c r="P87" s="265"/>
      <c r="Q87" s="265"/>
      <c r="R87" s="265"/>
      <c r="S87" s="265"/>
      <c r="T87" s="265"/>
      <c r="U87" s="265"/>
      <c r="V87" s="265"/>
      <c r="W87" s="265"/>
      <c r="X87" s="265"/>
      <c r="Y87" s="265"/>
      <c r="Z87" s="265"/>
    </row>
    <row r="88">
      <c r="A88" s="265"/>
      <c r="B88" s="265"/>
      <c r="C88" s="268"/>
      <c r="D88" s="268"/>
      <c r="E88" s="268"/>
      <c r="F88" s="268"/>
      <c r="G88" s="268"/>
      <c r="H88" s="283"/>
      <c r="I88" s="276"/>
      <c r="J88" s="265"/>
      <c r="K88" s="265"/>
      <c r="L88" s="265"/>
      <c r="M88" s="265"/>
      <c r="N88" s="280"/>
      <c r="O88" s="265"/>
      <c r="P88" s="265"/>
      <c r="Q88" s="265"/>
      <c r="R88" s="265"/>
      <c r="S88" s="265"/>
      <c r="T88" s="265"/>
      <c r="U88" s="265"/>
      <c r="V88" s="265"/>
      <c r="W88" s="265"/>
      <c r="X88" s="265"/>
      <c r="Y88" s="265"/>
      <c r="Z88" s="265"/>
    </row>
    <row r="89">
      <c r="A89" s="265"/>
      <c r="B89" s="265"/>
      <c r="C89" s="268"/>
      <c r="D89" s="268"/>
      <c r="E89" s="268"/>
      <c r="F89" s="268"/>
      <c r="G89" s="268"/>
      <c r="H89" s="283"/>
      <c r="I89" s="276"/>
      <c r="J89" s="265"/>
      <c r="K89" s="265"/>
      <c r="L89" s="265"/>
      <c r="M89" s="265"/>
      <c r="N89" s="280"/>
      <c r="O89" s="265"/>
      <c r="P89" s="265"/>
      <c r="Q89" s="265"/>
      <c r="R89" s="265"/>
      <c r="S89" s="265"/>
      <c r="T89" s="265"/>
      <c r="U89" s="265"/>
      <c r="V89" s="265"/>
      <c r="W89" s="265"/>
      <c r="X89" s="265"/>
      <c r="Y89" s="265"/>
      <c r="Z89" s="265"/>
    </row>
    <row r="90">
      <c r="A90" s="265"/>
      <c r="B90" s="265"/>
      <c r="C90" s="268"/>
      <c r="D90" s="268"/>
      <c r="E90" s="268"/>
      <c r="F90" s="268"/>
      <c r="G90" s="268"/>
      <c r="H90" s="283"/>
      <c r="I90" s="276"/>
      <c r="J90" s="265"/>
      <c r="K90" s="265"/>
      <c r="L90" s="265"/>
      <c r="M90" s="265"/>
      <c r="N90" s="280"/>
      <c r="O90" s="265"/>
      <c r="P90" s="265"/>
      <c r="Q90" s="265"/>
      <c r="R90" s="265"/>
      <c r="S90" s="265"/>
      <c r="T90" s="265"/>
      <c r="U90" s="265"/>
      <c r="V90" s="265"/>
      <c r="W90" s="265"/>
      <c r="X90" s="265"/>
      <c r="Y90" s="265"/>
      <c r="Z90" s="265"/>
    </row>
    <row r="91">
      <c r="A91" s="265"/>
      <c r="B91" s="265"/>
      <c r="C91" s="268"/>
      <c r="D91" s="268"/>
      <c r="E91" s="268"/>
      <c r="F91" s="268"/>
      <c r="G91" s="268"/>
      <c r="H91" s="283"/>
      <c r="I91" s="276"/>
      <c r="J91" s="265"/>
      <c r="K91" s="265"/>
      <c r="L91" s="265"/>
      <c r="M91" s="265"/>
      <c r="N91" s="280"/>
      <c r="O91" s="265"/>
      <c r="P91" s="265"/>
      <c r="Q91" s="265"/>
      <c r="R91" s="265"/>
      <c r="S91" s="265"/>
      <c r="T91" s="265"/>
      <c r="U91" s="265"/>
      <c r="V91" s="265"/>
      <c r="W91" s="265"/>
      <c r="X91" s="265"/>
      <c r="Y91" s="265"/>
      <c r="Z91" s="265"/>
    </row>
    <row r="92">
      <c r="A92" s="265"/>
      <c r="B92" s="265"/>
      <c r="C92" s="268"/>
      <c r="D92" s="268"/>
      <c r="E92" s="268"/>
      <c r="F92" s="268"/>
      <c r="G92" s="268"/>
      <c r="H92" s="283"/>
      <c r="I92" s="276"/>
      <c r="J92" s="265"/>
      <c r="K92" s="265"/>
      <c r="L92" s="265"/>
      <c r="M92" s="265"/>
      <c r="N92" s="280"/>
      <c r="O92" s="265"/>
      <c r="P92" s="265"/>
      <c r="Q92" s="265"/>
      <c r="R92" s="265"/>
      <c r="S92" s="265"/>
      <c r="T92" s="265"/>
      <c r="U92" s="265"/>
      <c r="V92" s="265"/>
      <c r="W92" s="265"/>
      <c r="X92" s="265"/>
      <c r="Y92" s="265"/>
      <c r="Z92" s="265"/>
    </row>
    <row r="93">
      <c r="A93" s="265"/>
      <c r="B93" s="265"/>
      <c r="C93" s="268"/>
      <c r="D93" s="268"/>
      <c r="E93" s="268"/>
      <c r="F93" s="268"/>
      <c r="G93" s="268"/>
      <c r="H93" s="283"/>
      <c r="I93" s="276"/>
      <c r="J93" s="265"/>
      <c r="K93" s="265"/>
      <c r="L93" s="265"/>
      <c r="M93" s="265"/>
      <c r="N93" s="280"/>
      <c r="O93" s="265"/>
      <c r="P93" s="265"/>
      <c r="Q93" s="265"/>
      <c r="R93" s="265"/>
      <c r="S93" s="265"/>
      <c r="T93" s="265"/>
      <c r="U93" s="265"/>
      <c r="V93" s="265"/>
      <c r="W93" s="265"/>
      <c r="X93" s="265"/>
      <c r="Y93" s="265"/>
      <c r="Z93" s="265"/>
    </row>
    <row r="94">
      <c r="A94" s="265"/>
      <c r="B94" s="265"/>
      <c r="C94" s="268"/>
      <c r="D94" s="268"/>
      <c r="E94" s="268"/>
      <c r="F94" s="268"/>
      <c r="G94" s="268"/>
      <c r="H94" s="283"/>
      <c r="I94" s="276"/>
      <c r="J94" s="265"/>
      <c r="K94" s="265"/>
      <c r="L94" s="265"/>
      <c r="M94" s="265"/>
      <c r="N94" s="280"/>
      <c r="O94" s="265"/>
      <c r="P94" s="265"/>
      <c r="Q94" s="265"/>
      <c r="R94" s="265"/>
      <c r="S94" s="265"/>
      <c r="T94" s="265"/>
      <c r="U94" s="265"/>
      <c r="V94" s="265"/>
      <c r="W94" s="265"/>
      <c r="X94" s="265"/>
      <c r="Y94" s="265"/>
      <c r="Z94" s="265"/>
    </row>
    <row r="95">
      <c r="A95" s="265"/>
      <c r="B95" s="265"/>
      <c r="C95" s="268"/>
      <c r="D95" s="268"/>
      <c r="E95" s="268"/>
      <c r="F95" s="268"/>
      <c r="G95" s="268"/>
      <c r="H95" s="283"/>
      <c r="I95" s="276"/>
      <c r="J95" s="265"/>
      <c r="K95" s="265"/>
      <c r="L95" s="265"/>
      <c r="M95" s="265"/>
      <c r="N95" s="280"/>
      <c r="O95" s="265"/>
      <c r="P95" s="265"/>
      <c r="Q95" s="265"/>
      <c r="R95" s="265"/>
      <c r="S95" s="265"/>
      <c r="T95" s="265"/>
      <c r="U95" s="265"/>
      <c r="V95" s="265"/>
      <c r="W95" s="265"/>
      <c r="X95" s="265"/>
      <c r="Y95" s="265"/>
      <c r="Z95" s="265"/>
    </row>
    <row r="96">
      <c r="A96" s="265"/>
      <c r="B96" s="265"/>
      <c r="C96" s="268"/>
      <c r="D96" s="268"/>
      <c r="E96" s="268"/>
      <c r="F96" s="268"/>
      <c r="G96" s="268"/>
      <c r="H96" s="283"/>
      <c r="I96" s="276"/>
      <c r="J96" s="265"/>
      <c r="K96" s="265"/>
      <c r="L96" s="265"/>
      <c r="M96" s="265"/>
      <c r="N96" s="280"/>
      <c r="O96" s="265"/>
      <c r="P96" s="265"/>
      <c r="Q96" s="265"/>
      <c r="R96" s="265"/>
      <c r="S96" s="265"/>
      <c r="T96" s="265"/>
      <c r="U96" s="265"/>
      <c r="V96" s="265"/>
      <c r="W96" s="265"/>
      <c r="X96" s="265"/>
      <c r="Y96" s="265"/>
      <c r="Z96" s="265"/>
    </row>
    <row r="97">
      <c r="A97" s="265"/>
      <c r="B97" s="265"/>
      <c r="C97" s="268"/>
      <c r="D97" s="268"/>
      <c r="E97" s="268"/>
      <c r="F97" s="268"/>
      <c r="G97" s="268"/>
      <c r="H97" s="283"/>
      <c r="I97" s="276"/>
      <c r="J97" s="265"/>
      <c r="K97" s="265"/>
      <c r="L97" s="265"/>
      <c r="M97" s="265"/>
      <c r="N97" s="280"/>
      <c r="O97" s="265"/>
      <c r="P97" s="265"/>
      <c r="Q97" s="265"/>
      <c r="R97" s="265"/>
      <c r="S97" s="265"/>
      <c r="T97" s="265"/>
      <c r="U97" s="265"/>
      <c r="V97" s="265"/>
      <c r="W97" s="265"/>
      <c r="X97" s="265"/>
      <c r="Y97" s="265"/>
      <c r="Z97" s="265"/>
    </row>
    <row r="98">
      <c r="A98" s="265"/>
      <c r="B98" s="265"/>
      <c r="C98" s="268"/>
      <c r="D98" s="268"/>
      <c r="E98" s="268"/>
      <c r="F98" s="268"/>
      <c r="G98" s="268"/>
      <c r="H98" s="283"/>
      <c r="I98" s="276"/>
      <c r="J98" s="265"/>
      <c r="K98" s="265"/>
      <c r="L98" s="265"/>
      <c r="M98" s="265"/>
      <c r="N98" s="280"/>
      <c r="O98" s="265"/>
      <c r="P98" s="265"/>
      <c r="Q98" s="265"/>
      <c r="R98" s="265"/>
      <c r="S98" s="265"/>
      <c r="T98" s="265"/>
      <c r="U98" s="265"/>
      <c r="V98" s="265"/>
      <c r="W98" s="265"/>
      <c r="X98" s="265"/>
      <c r="Y98" s="265"/>
      <c r="Z98" s="265"/>
    </row>
    <row r="99">
      <c r="A99" s="265"/>
      <c r="B99" s="265"/>
      <c r="C99" s="268"/>
      <c r="D99" s="268"/>
      <c r="E99" s="268"/>
      <c r="F99" s="268"/>
      <c r="G99" s="268"/>
      <c r="H99" s="283"/>
      <c r="I99" s="276"/>
      <c r="J99" s="265"/>
      <c r="K99" s="265"/>
      <c r="L99" s="265"/>
      <c r="M99" s="265"/>
      <c r="N99" s="280"/>
      <c r="O99" s="265"/>
      <c r="P99" s="265"/>
      <c r="Q99" s="265"/>
      <c r="R99" s="265"/>
      <c r="S99" s="265"/>
      <c r="T99" s="265"/>
      <c r="U99" s="265"/>
      <c r="V99" s="265"/>
      <c r="W99" s="265"/>
      <c r="X99" s="265"/>
      <c r="Y99" s="265"/>
      <c r="Z99" s="265"/>
    </row>
    <row r="100">
      <c r="A100" s="265"/>
      <c r="B100" s="265"/>
      <c r="C100" s="268"/>
      <c r="D100" s="268"/>
      <c r="E100" s="268"/>
      <c r="F100" s="268"/>
      <c r="G100" s="268"/>
      <c r="H100" s="283"/>
      <c r="I100" s="276"/>
      <c r="J100" s="265"/>
      <c r="K100" s="265"/>
      <c r="L100" s="265"/>
      <c r="M100" s="265"/>
      <c r="N100" s="280"/>
      <c r="O100" s="265"/>
      <c r="P100" s="265"/>
      <c r="Q100" s="265"/>
      <c r="R100" s="265"/>
      <c r="S100" s="265"/>
      <c r="T100" s="265"/>
      <c r="U100" s="265"/>
      <c r="V100" s="265"/>
      <c r="W100" s="265"/>
      <c r="X100" s="265"/>
      <c r="Y100" s="265"/>
      <c r="Z100" s="265"/>
    </row>
    <row r="101">
      <c r="A101" s="265"/>
      <c r="B101" s="265"/>
      <c r="C101" s="268"/>
      <c r="D101" s="268"/>
      <c r="E101" s="268"/>
      <c r="F101" s="268"/>
      <c r="G101" s="268"/>
      <c r="H101" s="283"/>
      <c r="I101" s="276"/>
      <c r="J101" s="265"/>
      <c r="K101" s="265"/>
      <c r="L101" s="265"/>
      <c r="M101" s="265"/>
      <c r="N101" s="280"/>
      <c r="O101" s="265"/>
      <c r="P101" s="265"/>
      <c r="Q101" s="265"/>
      <c r="R101" s="265"/>
      <c r="S101" s="265"/>
      <c r="T101" s="265"/>
      <c r="U101" s="265"/>
      <c r="V101" s="265"/>
      <c r="W101" s="265"/>
      <c r="X101" s="265"/>
      <c r="Y101" s="265"/>
      <c r="Z101" s="265"/>
    </row>
    <row r="102">
      <c r="A102" s="265"/>
      <c r="B102" s="265"/>
      <c r="C102" s="268"/>
      <c r="D102" s="268"/>
      <c r="E102" s="268"/>
      <c r="F102" s="268"/>
      <c r="G102" s="268"/>
      <c r="H102" s="283"/>
      <c r="I102" s="276"/>
      <c r="J102" s="265"/>
      <c r="K102" s="265"/>
      <c r="L102" s="265"/>
      <c r="M102" s="265"/>
      <c r="N102" s="280"/>
      <c r="O102" s="265"/>
      <c r="P102" s="265"/>
      <c r="Q102" s="265"/>
      <c r="R102" s="265"/>
      <c r="S102" s="265"/>
      <c r="T102" s="265"/>
      <c r="U102" s="265"/>
      <c r="V102" s="265"/>
      <c r="W102" s="265"/>
      <c r="X102" s="265"/>
      <c r="Y102" s="265"/>
      <c r="Z102" s="265"/>
    </row>
    <row r="103">
      <c r="A103" s="265"/>
      <c r="B103" s="265"/>
      <c r="C103" s="268"/>
      <c r="D103" s="268"/>
      <c r="E103" s="268"/>
      <c r="F103" s="268"/>
      <c r="G103" s="268"/>
      <c r="H103" s="283"/>
      <c r="I103" s="276"/>
      <c r="J103" s="265"/>
      <c r="K103" s="265"/>
      <c r="L103" s="265"/>
      <c r="M103" s="265"/>
      <c r="N103" s="280"/>
      <c r="O103" s="265"/>
      <c r="P103" s="265"/>
      <c r="Q103" s="265"/>
      <c r="R103" s="265"/>
      <c r="S103" s="265"/>
      <c r="T103" s="265"/>
      <c r="U103" s="265"/>
      <c r="V103" s="265"/>
      <c r="W103" s="265"/>
      <c r="X103" s="265"/>
      <c r="Y103" s="265"/>
      <c r="Z103" s="265"/>
    </row>
    <row r="104">
      <c r="A104" s="265"/>
      <c r="B104" s="265"/>
      <c r="C104" s="268"/>
      <c r="D104" s="268"/>
      <c r="E104" s="268"/>
      <c r="F104" s="268"/>
      <c r="G104" s="268"/>
      <c r="H104" s="283"/>
      <c r="I104" s="276"/>
      <c r="J104" s="265"/>
      <c r="K104" s="265"/>
      <c r="L104" s="265"/>
      <c r="M104" s="265"/>
      <c r="N104" s="280"/>
      <c r="O104" s="265"/>
      <c r="P104" s="265"/>
      <c r="Q104" s="265"/>
      <c r="R104" s="265"/>
      <c r="S104" s="265"/>
      <c r="T104" s="265"/>
      <c r="U104" s="265"/>
      <c r="V104" s="265"/>
      <c r="W104" s="265"/>
      <c r="X104" s="265"/>
      <c r="Y104" s="265"/>
      <c r="Z104" s="265"/>
    </row>
    <row r="105">
      <c r="A105" s="265"/>
      <c r="B105" s="265"/>
      <c r="C105" s="268"/>
      <c r="D105" s="268"/>
      <c r="E105" s="268"/>
      <c r="F105" s="268"/>
      <c r="G105" s="268"/>
      <c r="H105" s="283"/>
      <c r="I105" s="276"/>
      <c r="J105" s="265"/>
      <c r="K105" s="265"/>
      <c r="L105" s="265"/>
      <c r="M105" s="265"/>
      <c r="N105" s="280"/>
      <c r="O105" s="265"/>
      <c r="P105" s="265"/>
      <c r="Q105" s="265"/>
      <c r="R105" s="265"/>
      <c r="S105" s="265"/>
      <c r="T105" s="265"/>
      <c r="U105" s="265"/>
      <c r="V105" s="265"/>
      <c r="W105" s="265"/>
      <c r="X105" s="265"/>
      <c r="Y105" s="265"/>
      <c r="Z105" s="265"/>
    </row>
    <row r="106">
      <c r="A106" s="265"/>
      <c r="B106" s="265"/>
      <c r="C106" s="268"/>
      <c r="D106" s="268"/>
      <c r="E106" s="268"/>
      <c r="F106" s="268"/>
      <c r="G106" s="268"/>
      <c r="H106" s="283"/>
      <c r="I106" s="276"/>
      <c r="J106" s="265"/>
      <c r="K106" s="265"/>
      <c r="L106" s="265"/>
      <c r="M106" s="265"/>
      <c r="N106" s="280"/>
      <c r="O106" s="265"/>
      <c r="P106" s="265"/>
      <c r="Q106" s="265"/>
      <c r="R106" s="265"/>
      <c r="S106" s="265"/>
      <c r="T106" s="265"/>
      <c r="U106" s="265"/>
      <c r="V106" s="265"/>
      <c r="W106" s="265"/>
      <c r="X106" s="265"/>
      <c r="Y106" s="265"/>
      <c r="Z106" s="265"/>
    </row>
    <row r="107">
      <c r="A107" s="265"/>
      <c r="B107" s="265"/>
      <c r="C107" s="268"/>
      <c r="D107" s="268"/>
      <c r="E107" s="268"/>
      <c r="F107" s="268"/>
      <c r="G107" s="268"/>
      <c r="H107" s="283"/>
      <c r="I107" s="276"/>
      <c r="J107" s="265"/>
      <c r="K107" s="265"/>
      <c r="L107" s="265"/>
      <c r="M107" s="265"/>
      <c r="N107" s="280"/>
      <c r="O107" s="265"/>
      <c r="P107" s="265"/>
      <c r="Q107" s="265"/>
      <c r="R107" s="265"/>
      <c r="S107" s="265"/>
      <c r="T107" s="265"/>
      <c r="U107" s="265"/>
      <c r="V107" s="265"/>
      <c r="W107" s="265"/>
      <c r="X107" s="265"/>
      <c r="Y107" s="265"/>
      <c r="Z107" s="265"/>
    </row>
    <row r="108">
      <c r="A108" s="265"/>
      <c r="B108" s="265"/>
      <c r="C108" s="268"/>
      <c r="D108" s="268"/>
      <c r="E108" s="268"/>
      <c r="F108" s="268"/>
      <c r="G108" s="268"/>
      <c r="H108" s="283"/>
      <c r="I108" s="276"/>
      <c r="J108" s="265"/>
      <c r="K108" s="265"/>
      <c r="L108" s="265"/>
      <c r="M108" s="265"/>
      <c r="N108" s="280"/>
      <c r="O108" s="265"/>
      <c r="P108" s="265"/>
      <c r="Q108" s="265"/>
      <c r="R108" s="265"/>
      <c r="S108" s="265"/>
      <c r="T108" s="265"/>
      <c r="U108" s="265"/>
      <c r="V108" s="265"/>
      <c r="W108" s="265"/>
      <c r="X108" s="265"/>
      <c r="Y108" s="265"/>
      <c r="Z108" s="265"/>
    </row>
    <row r="109">
      <c r="A109" s="265"/>
      <c r="B109" s="265"/>
      <c r="C109" s="268"/>
      <c r="D109" s="268"/>
      <c r="E109" s="268"/>
      <c r="F109" s="268"/>
      <c r="G109" s="268"/>
      <c r="H109" s="283"/>
      <c r="I109" s="276"/>
      <c r="J109" s="265"/>
      <c r="K109" s="265"/>
      <c r="L109" s="265"/>
      <c r="M109" s="265"/>
      <c r="N109" s="280"/>
      <c r="O109" s="265"/>
      <c r="P109" s="265"/>
      <c r="Q109" s="265"/>
      <c r="R109" s="265"/>
      <c r="S109" s="265"/>
      <c r="T109" s="265"/>
      <c r="U109" s="265"/>
      <c r="V109" s="265"/>
      <c r="W109" s="265"/>
      <c r="X109" s="265"/>
      <c r="Y109" s="265"/>
      <c r="Z109" s="265"/>
    </row>
    <row r="110">
      <c r="A110" s="265"/>
      <c r="B110" s="265"/>
      <c r="C110" s="268"/>
      <c r="D110" s="268"/>
      <c r="E110" s="268"/>
      <c r="F110" s="268"/>
      <c r="G110" s="268"/>
      <c r="H110" s="283"/>
      <c r="I110" s="276"/>
      <c r="J110" s="265"/>
      <c r="K110" s="265"/>
      <c r="L110" s="265"/>
      <c r="M110" s="265"/>
      <c r="N110" s="280"/>
      <c r="O110" s="265"/>
      <c r="P110" s="265"/>
      <c r="Q110" s="265"/>
      <c r="R110" s="265"/>
      <c r="S110" s="265"/>
      <c r="T110" s="265"/>
      <c r="U110" s="265"/>
      <c r="V110" s="265"/>
      <c r="W110" s="265"/>
      <c r="X110" s="265"/>
      <c r="Y110" s="265"/>
      <c r="Z110" s="265"/>
    </row>
    <row r="111">
      <c r="A111" s="265"/>
      <c r="B111" s="265"/>
      <c r="C111" s="268"/>
      <c r="D111" s="268"/>
      <c r="E111" s="268"/>
      <c r="F111" s="268"/>
      <c r="G111" s="268"/>
      <c r="H111" s="283"/>
      <c r="I111" s="276"/>
      <c r="J111" s="265"/>
      <c r="K111" s="265"/>
      <c r="L111" s="265"/>
      <c r="M111" s="265"/>
      <c r="N111" s="280"/>
      <c r="O111" s="265"/>
      <c r="P111" s="265"/>
      <c r="Q111" s="265"/>
      <c r="R111" s="265"/>
      <c r="S111" s="265"/>
      <c r="T111" s="265"/>
      <c r="U111" s="265"/>
      <c r="V111" s="265"/>
      <c r="W111" s="265"/>
      <c r="X111" s="265"/>
      <c r="Y111" s="265"/>
      <c r="Z111" s="265"/>
    </row>
    <row r="112">
      <c r="A112" s="265"/>
      <c r="B112" s="265"/>
      <c r="C112" s="268"/>
      <c r="D112" s="268"/>
      <c r="E112" s="268"/>
      <c r="F112" s="268"/>
      <c r="G112" s="268"/>
      <c r="H112" s="283"/>
      <c r="I112" s="276"/>
      <c r="J112" s="265"/>
      <c r="K112" s="265"/>
      <c r="L112" s="265"/>
      <c r="M112" s="265"/>
      <c r="N112" s="280"/>
      <c r="O112" s="265"/>
      <c r="P112" s="265"/>
      <c r="Q112" s="265"/>
      <c r="R112" s="265"/>
      <c r="S112" s="265"/>
      <c r="T112" s="265"/>
      <c r="U112" s="265"/>
      <c r="V112" s="265"/>
      <c r="W112" s="265"/>
      <c r="X112" s="265"/>
      <c r="Y112" s="265"/>
      <c r="Z112" s="265"/>
    </row>
    <row r="113">
      <c r="A113" s="265"/>
      <c r="B113" s="265"/>
      <c r="C113" s="268"/>
      <c r="D113" s="268"/>
      <c r="E113" s="268"/>
      <c r="F113" s="268"/>
      <c r="G113" s="268"/>
      <c r="H113" s="283"/>
      <c r="I113" s="276"/>
      <c r="J113" s="265"/>
      <c r="K113" s="265"/>
      <c r="L113" s="265"/>
      <c r="M113" s="265"/>
      <c r="N113" s="280"/>
      <c r="O113" s="265"/>
      <c r="P113" s="265"/>
      <c r="Q113" s="265"/>
      <c r="R113" s="265"/>
      <c r="S113" s="265"/>
      <c r="T113" s="265"/>
      <c r="U113" s="265"/>
      <c r="V113" s="265"/>
      <c r="W113" s="265"/>
      <c r="X113" s="265"/>
      <c r="Y113" s="265"/>
      <c r="Z113" s="265"/>
    </row>
    <row r="114">
      <c r="A114" s="265"/>
      <c r="B114" s="265"/>
      <c r="C114" s="268"/>
      <c r="D114" s="268"/>
      <c r="E114" s="268"/>
      <c r="F114" s="268"/>
      <c r="G114" s="268"/>
      <c r="H114" s="283"/>
      <c r="I114" s="276"/>
      <c r="J114" s="265"/>
      <c r="K114" s="265"/>
      <c r="L114" s="265"/>
      <c r="M114" s="265"/>
      <c r="N114" s="280"/>
      <c r="O114" s="265"/>
      <c r="P114" s="265"/>
      <c r="Q114" s="265"/>
      <c r="R114" s="265"/>
      <c r="S114" s="265"/>
      <c r="T114" s="265"/>
      <c r="U114" s="265"/>
      <c r="V114" s="265"/>
      <c r="W114" s="265"/>
      <c r="X114" s="265"/>
      <c r="Y114" s="265"/>
      <c r="Z114" s="265"/>
    </row>
    <row r="115">
      <c r="A115" s="265"/>
      <c r="B115" s="265"/>
      <c r="C115" s="268"/>
      <c r="D115" s="268"/>
      <c r="E115" s="268"/>
      <c r="F115" s="268"/>
      <c r="G115" s="268"/>
      <c r="H115" s="283"/>
      <c r="I115" s="276"/>
      <c r="J115" s="265"/>
      <c r="K115" s="265"/>
      <c r="L115" s="265"/>
      <c r="M115" s="265"/>
      <c r="N115" s="280"/>
      <c r="O115" s="265"/>
      <c r="P115" s="265"/>
      <c r="Q115" s="265"/>
      <c r="R115" s="265"/>
      <c r="S115" s="265"/>
      <c r="T115" s="265"/>
      <c r="U115" s="265"/>
      <c r="V115" s="265"/>
      <c r="W115" s="265"/>
      <c r="X115" s="265"/>
      <c r="Y115" s="265"/>
      <c r="Z115" s="265"/>
    </row>
    <row r="116">
      <c r="A116" s="265"/>
      <c r="B116" s="265"/>
      <c r="C116" s="268"/>
      <c r="D116" s="268"/>
      <c r="E116" s="268"/>
      <c r="F116" s="268"/>
      <c r="G116" s="268"/>
      <c r="H116" s="283"/>
      <c r="I116" s="276"/>
      <c r="J116" s="265"/>
      <c r="K116" s="265"/>
      <c r="L116" s="265"/>
      <c r="M116" s="265"/>
      <c r="N116" s="280"/>
      <c r="O116" s="265"/>
      <c r="P116" s="265"/>
      <c r="Q116" s="265"/>
      <c r="R116" s="265"/>
      <c r="S116" s="265"/>
      <c r="T116" s="265"/>
      <c r="U116" s="265"/>
      <c r="V116" s="265"/>
      <c r="W116" s="265"/>
      <c r="X116" s="265"/>
      <c r="Y116" s="265"/>
      <c r="Z116" s="265"/>
    </row>
    <row r="117">
      <c r="A117" s="265"/>
      <c r="B117" s="265"/>
      <c r="C117" s="268"/>
      <c r="D117" s="268"/>
      <c r="E117" s="268"/>
      <c r="F117" s="268"/>
      <c r="G117" s="268"/>
      <c r="H117" s="283"/>
      <c r="I117" s="276"/>
      <c r="J117" s="265"/>
      <c r="K117" s="265"/>
      <c r="L117" s="265"/>
      <c r="M117" s="265"/>
      <c r="N117" s="280"/>
      <c r="O117" s="265"/>
      <c r="P117" s="265"/>
      <c r="Q117" s="265"/>
      <c r="R117" s="265"/>
      <c r="S117" s="265"/>
      <c r="T117" s="265"/>
      <c r="U117" s="265"/>
      <c r="V117" s="265"/>
      <c r="W117" s="265"/>
      <c r="X117" s="265"/>
      <c r="Y117" s="265"/>
      <c r="Z117" s="265"/>
    </row>
    <row r="118">
      <c r="A118" s="265"/>
      <c r="B118" s="265"/>
      <c r="C118" s="268"/>
      <c r="D118" s="268"/>
      <c r="E118" s="268"/>
      <c r="F118" s="268"/>
      <c r="G118" s="268"/>
      <c r="H118" s="283"/>
      <c r="I118" s="276"/>
      <c r="J118" s="265"/>
      <c r="K118" s="265"/>
      <c r="L118" s="265"/>
      <c r="M118" s="265"/>
      <c r="N118" s="280"/>
      <c r="O118" s="265"/>
      <c r="P118" s="265"/>
      <c r="Q118" s="265"/>
      <c r="R118" s="265"/>
      <c r="S118" s="265"/>
      <c r="T118" s="265"/>
      <c r="U118" s="265"/>
      <c r="V118" s="265"/>
      <c r="W118" s="265"/>
      <c r="X118" s="265"/>
      <c r="Y118" s="265"/>
      <c r="Z118" s="265"/>
    </row>
    <row r="119">
      <c r="A119" s="265"/>
      <c r="B119" s="265"/>
      <c r="C119" s="268"/>
      <c r="D119" s="268"/>
      <c r="E119" s="268"/>
      <c r="F119" s="268"/>
      <c r="G119" s="268"/>
      <c r="H119" s="283"/>
      <c r="I119" s="276"/>
      <c r="J119" s="265"/>
      <c r="K119" s="265"/>
      <c r="L119" s="265"/>
      <c r="M119" s="265"/>
      <c r="N119" s="280"/>
      <c r="O119" s="265"/>
      <c r="P119" s="265"/>
      <c r="Q119" s="265"/>
      <c r="R119" s="265"/>
      <c r="S119" s="265"/>
      <c r="T119" s="265"/>
      <c r="U119" s="265"/>
      <c r="V119" s="265"/>
      <c r="W119" s="265"/>
      <c r="X119" s="265"/>
      <c r="Y119" s="265"/>
      <c r="Z119" s="265"/>
    </row>
    <row r="120">
      <c r="A120" s="265"/>
      <c r="B120" s="265"/>
      <c r="C120" s="268"/>
      <c r="D120" s="268"/>
      <c r="E120" s="268"/>
      <c r="F120" s="268"/>
      <c r="G120" s="268"/>
      <c r="H120" s="283"/>
      <c r="I120" s="276"/>
      <c r="J120" s="265"/>
      <c r="K120" s="265"/>
      <c r="L120" s="265"/>
      <c r="M120" s="265"/>
      <c r="N120" s="280"/>
      <c r="O120" s="265"/>
      <c r="P120" s="265"/>
      <c r="Q120" s="265"/>
      <c r="R120" s="265"/>
      <c r="S120" s="265"/>
      <c r="T120" s="265"/>
      <c r="U120" s="265"/>
      <c r="V120" s="265"/>
      <c r="W120" s="265"/>
      <c r="X120" s="265"/>
      <c r="Y120" s="265"/>
      <c r="Z120" s="265"/>
    </row>
    <row r="121">
      <c r="A121" s="265"/>
      <c r="B121" s="265"/>
      <c r="C121" s="268"/>
      <c r="D121" s="268"/>
      <c r="E121" s="268"/>
      <c r="F121" s="268"/>
      <c r="G121" s="268"/>
      <c r="H121" s="283"/>
      <c r="I121" s="276"/>
      <c r="J121" s="265"/>
      <c r="K121" s="265"/>
      <c r="L121" s="265"/>
      <c r="M121" s="265"/>
      <c r="N121" s="280"/>
      <c r="O121" s="265"/>
      <c r="P121" s="265"/>
      <c r="Q121" s="265"/>
      <c r="R121" s="265"/>
      <c r="S121" s="265"/>
      <c r="T121" s="265"/>
      <c r="U121" s="265"/>
      <c r="V121" s="265"/>
      <c r="W121" s="265"/>
      <c r="X121" s="265"/>
      <c r="Y121" s="265"/>
      <c r="Z121" s="265"/>
    </row>
    <row r="122">
      <c r="A122" s="265"/>
      <c r="B122" s="265"/>
      <c r="C122" s="268"/>
      <c r="D122" s="268"/>
      <c r="E122" s="268"/>
      <c r="F122" s="268"/>
      <c r="G122" s="268"/>
      <c r="H122" s="283"/>
      <c r="I122" s="276"/>
      <c r="J122" s="265"/>
      <c r="K122" s="265"/>
      <c r="L122" s="265"/>
      <c r="M122" s="265"/>
      <c r="N122" s="280"/>
      <c r="O122" s="265"/>
      <c r="P122" s="265"/>
      <c r="Q122" s="265"/>
      <c r="R122" s="265"/>
      <c r="S122" s="265"/>
      <c r="T122" s="265"/>
      <c r="U122" s="265"/>
      <c r="V122" s="265"/>
      <c r="W122" s="265"/>
      <c r="X122" s="265"/>
      <c r="Y122" s="265"/>
      <c r="Z122" s="265"/>
    </row>
    <row r="123">
      <c r="A123" s="265"/>
      <c r="B123" s="265"/>
      <c r="C123" s="268"/>
      <c r="D123" s="268"/>
      <c r="E123" s="268"/>
      <c r="F123" s="268"/>
      <c r="G123" s="268"/>
      <c r="H123" s="283"/>
      <c r="I123" s="276"/>
      <c r="J123" s="265"/>
      <c r="K123" s="265"/>
      <c r="L123" s="265"/>
      <c r="M123" s="265"/>
      <c r="N123" s="280"/>
      <c r="O123" s="265"/>
      <c r="P123" s="265"/>
      <c r="Q123" s="265"/>
      <c r="R123" s="265"/>
      <c r="S123" s="265"/>
      <c r="T123" s="265"/>
      <c r="U123" s="265"/>
      <c r="V123" s="265"/>
      <c r="W123" s="265"/>
      <c r="X123" s="265"/>
      <c r="Y123" s="265"/>
      <c r="Z123" s="265"/>
    </row>
    <row r="124">
      <c r="A124" s="265"/>
      <c r="B124" s="265"/>
      <c r="C124" s="268"/>
      <c r="D124" s="268"/>
      <c r="E124" s="268"/>
      <c r="F124" s="268"/>
      <c r="G124" s="268"/>
      <c r="H124" s="283"/>
      <c r="I124" s="276"/>
      <c r="J124" s="265"/>
      <c r="K124" s="265"/>
      <c r="L124" s="265"/>
      <c r="M124" s="265"/>
      <c r="N124" s="280"/>
      <c r="O124" s="265"/>
      <c r="P124" s="265"/>
      <c r="Q124" s="265"/>
      <c r="R124" s="265"/>
      <c r="S124" s="265"/>
      <c r="T124" s="265"/>
      <c r="U124" s="265"/>
      <c r="V124" s="265"/>
      <c r="W124" s="265"/>
      <c r="X124" s="265"/>
      <c r="Y124" s="265"/>
      <c r="Z124" s="265"/>
    </row>
    <row r="125">
      <c r="A125" s="265"/>
      <c r="B125" s="265"/>
      <c r="C125" s="268"/>
      <c r="D125" s="268"/>
      <c r="E125" s="268"/>
      <c r="F125" s="268"/>
      <c r="G125" s="268"/>
      <c r="H125" s="283"/>
      <c r="I125" s="276"/>
      <c r="J125" s="265"/>
      <c r="K125" s="265"/>
      <c r="L125" s="265"/>
      <c r="M125" s="265"/>
      <c r="N125" s="280"/>
      <c r="O125" s="265"/>
      <c r="P125" s="265"/>
      <c r="Q125" s="265"/>
      <c r="R125" s="265"/>
      <c r="S125" s="265"/>
      <c r="T125" s="265"/>
      <c r="U125" s="265"/>
      <c r="V125" s="265"/>
      <c r="W125" s="265"/>
      <c r="X125" s="265"/>
      <c r="Y125" s="265"/>
      <c r="Z125" s="265"/>
    </row>
    <row r="126">
      <c r="A126" s="265"/>
      <c r="B126" s="265"/>
      <c r="C126" s="268"/>
      <c r="D126" s="268"/>
      <c r="E126" s="268"/>
      <c r="F126" s="268"/>
      <c r="G126" s="268"/>
      <c r="H126" s="283"/>
      <c r="I126" s="276"/>
      <c r="J126" s="265"/>
      <c r="K126" s="265"/>
      <c r="L126" s="265"/>
      <c r="M126" s="265"/>
      <c r="N126" s="280"/>
      <c r="O126" s="265"/>
      <c r="P126" s="265"/>
      <c r="Q126" s="265"/>
      <c r="R126" s="265"/>
      <c r="S126" s="265"/>
      <c r="T126" s="265"/>
      <c r="U126" s="265"/>
      <c r="V126" s="265"/>
      <c r="W126" s="265"/>
      <c r="X126" s="265"/>
      <c r="Y126" s="265"/>
      <c r="Z126" s="265"/>
    </row>
    <row r="127">
      <c r="A127" s="265"/>
      <c r="B127" s="265"/>
      <c r="C127" s="268"/>
      <c r="D127" s="268"/>
      <c r="E127" s="268"/>
      <c r="F127" s="268"/>
      <c r="G127" s="268"/>
      <c r="H127" s="283"/>
      <c r="I127" s="276"/>
      <c r="J127" s="265"/>
      <c r="K127" s="265"/>
      <c r="L127" s="265"/>
      <c r="M127" s="265"/>
      <c r="N127" s="280"/>
      <c r="O127" s="265"/>
      <c r="P127" s="265"/>
      <c r="Q127" s="265"/>
      <c r="R127" s="265"/>
      <c r="S127" s="265"/>
      <c r="T127" s="265"/>
      <c r="U127" s="265"/>
      <c r="V127" s="265"/>
      <c r="W127" s="265"/>
      <c r="X127" s="265"/>
      <c r="Y127" s="265"/>
      <c r="Z127" s="265"/>
    </row>
    <row r="128">
      <c r="A128" s="265"/>
      <c r="B128" s="265"/>
      <c r="C128" s="268"/>
      <c r="D128" s="268"/>
      <c r="E128" s="268"/>
      <c r="F128" s="268"/>
      <c r="G128" s="268"/>
      <c r="H128" s="283"/>
      <c r="I128" s="276"/>
      <c r="J128" s="265"/>
      <c r="K128" s="265"/>
      <c r="L128" s="265"/>
      <c r="M128" s="265"/>
      <c r="N128" s="280"/>
      <c r="O128" s="265"/>
      <c r="P128" s="265"/>
      <c r="Q128" s="265"/>
      <c r="R128" s="265"/>
      <c r="S128" s="265"/>
      <c r="T128" s="265"/>
      <c r="U128" s="265"/>
      <c r="V128" s="265"/>
      <c r="W128" s="265"/>
      <c r="X128" s="265"/>
      <c r="Y128" s="265"/>
      <c r="Z128" s="265"/>
    </row>
    <row r="129">
      <c r="A129" s="265"/>
      <c r="B129" s="265"/>
      <c r="C129" s="268"/>
      <c r="D129" s="268"/>
      <c r="E129" s="268"/>
      <c r="F129" s="268"/>
      <c r="G129" s="268"/>
      <c r="H129" s="283"/>
      <c r="I129" s="276"/>
      <c r="J129" s="265"/>
      <c r="K129" s="265"/>
      <c r="L129" s="265"/>
      <c r="M129" s="265"/>
      <c r="N129" s="280"/>
      <c r="O129" s="265"/>
      <c r="P129" s="265"/>
      <c r="Q129" s="265"/>
      <c r="R129" s="265"/>
      <c r="S129" s="265"/>
      <c r="T129" s="265"/>
      <c r="U129" s="265"/>
      <c r="V129" s="265"/>
      <c r="W129" s="265"/>
      <c r="X129" s="265"/>
      <c r="Y129" s="265"/>
      <c r="Z129" s="265"/>
    </row>
    <row r="130">
      <c r="A130" s="265"/>
      <c r="B130" s="265"/>
      <c r="C130" s="268"/>
      <c r="D130" s="268"/>
      <c r="E130" s="268"/>
      <c r="F130" s="268"/>
      <c r="G130" s="268"/>
      <c r="H130" s="283"/>
      <c r="I130" s="276"/>
      <c r="J130" s="265"/>
      <c r="K130" s="265"/>
      <c r="L130" s="265"/>
      <c r="M130" s="265"/>
      <c r="N130" s="280"/>
      <c r="O130" s="265"/>
      <c r="P130" s="265"/>
      <c r="Q130" s="265"/>
      <c r="R130" s="265"/>
      <c r="S130" s="265"/>
      <c r="T130" s="265"/>
      <c r="U130" s="265"/>
      <c r="V130" s="265"/>
      <c r="W130" s="265"/>
      <c r="X130" s="265"/>
      <c r="Y130" s="265"/>
      <c r="Z130" s="265"/>
    </row>
    <row r="131">
      <c r="A131" s="265"/>
      <c r="B131" s="265"/>
      <c r="C131" s="268"/>
      <c r="D131" s="268"/>
      <c r="E131" s="268"/>
      <c r="F131" s="268"/>
      <c r="G131" s="268"/>
      <c r="H131" s="283"/>
      <c r="I131" s="276"/>
      <c r="J131" s="265"/>
      <c r="K131" s="265"/>
      <c r="L131" s="265"/>
      <c r="M131" s="265"/>
      <c r="N131" s="280"/>
      <c r="O131" s="265"/>
      <c r="P131" s="265"/>
      <c r="Q131" s="265"/>
      <c r="R131" s="265"/>
      <c r="S131" s="265"/>
      <c r="T131" s="265"/>
      <c r="U131" s="265"/>
      <c r="V131" s="265"/>
      <c r="W131" s="265"/>
      <c r="X131" s="265"/>
      <c r="Y131" s="265"/>
      <c r="Z131" s="265"/>
    </row>
    <row r="132">
      <c r="A132" s="265"/>
      <c r="B132" s="265"/>
      <c r="C132" s="268"/>
      <c r="D132" s="268"/>
      <c r="E132" s="268"/>
      <c r="F132" s="268"/>
      <c r="G132" s="268"/>
      <c r="H132" s="283"/>
      <c r="I132" s="276"/>
      <c r="J132" s="265"/>
      <c r="K132" s="265"/>
      <c r="L132" s="265"/>
      <c r="M132" s="265"/>
      <c r="N132" s="280"/>
      <c r="O132" s="265"/>
      <c r="P132" s="265"/>
      <c r="Q132" s="265"/>
      <c r="R132" s="265"/>
      <c r="S132" s="265"/>
      <c r="T132" s="265"/>
      <c r="U132" s="265"/>
      <c r="V132" s="265"/>
      <c r="W132" s="265"/>
      <c r="X132" s="265"/>
      <c r="Y132" s="265"/>
      <c r="Z132" s="265"/>
    </row>
    <row r="133">
      <c r="A133" s="265"/>
      <c r="B133" s="265"/>
      <c r="C133" s="268"/>
      <c r="D133" s="268"/>
      <c r="E133" s="268"/>
      <c r="F133" s="268"/>
      <c r="G133" s="268"/>
      <c r="H133" s="283"/>
      <c r="I133" s="276"/>
      <c r="J133" s="265"/>
      <c r="K133" s="265"/>
      <c r="L133" s="265"/>
      <c r="M133" s="265"/>
      <c r="N133" s="280"/>
      <c r="O133" s="265"/>
      <c r="P133" s="265"/>
      <c r="Q133" s="265"/>
      <c r="R133" s="265"/>
      <c r="S133" s="265"/>
      <c r="T133" s="265"/>
      <c r="U133" s="265"/>
      <c r="V133" s="265"/>
      <c r="W133" s="265"/>
      <c r="X133" s="265"/>
      <c r="Y133" s="265"/>
      <c r="Z133" s="265"/>
    </row>
    <row r="134">
      <c r="A134" s="265"/>
      <c r="B134" s="265"/>
      <c r="C134" s="268"/>
      <c r="D134" s="268"/>
      <c r="E134" s="268"/>
      <c r="F134" s="268"/>
      <c r="G134" s="268"/>
      <c r="H134" s="283"/>
      <c r="I134" s="276"/>
      <c r="J134" s="265"/>
      <c r="K134" s="265"/>
      <c r="L134" s="265"/>
      <c r="M134" s="265"/>
      <c r="N134" s="280"/>
      <c r="O134" s="265"/>
      <c r="P134" s="265"/>
      <c r="Q134" s="265"/>
      <c r="R134" s="265"/>
      <c r="S134" s="265"/>
      <c r="T134" s="265"/>
      <c r="U134" s="265"/>
      <c r="V134" s="265"/>
      <c r="W134" s="265"/>
      <c r="X134" s="265"/>
      <c r="Y134" s="265"/>
      <c r="Z134" s="265"/>
    </row>
    <row r="135">
      <c r="A135" s="265"/>
      <c r="B135" s="265"/>
      <c r="C135" s="268"/>
      <c r="D135" s="268"/>
      <c r="E135" s="268"/>
      <c r="F135" s="268"/>
      <c r="G135" s="268"/>
      <c r="H135" s="283"/>
      <c r="I135" s="276"/>
      <c r="J135" s="265"/>
      <c r="K135" s="265"/>
      <c r="L135" s="265"/>
      <c r="M135" s="265"/>
      <c r="N135" s="280"/>
      <c r="O135" s="265"/>
      <c r="P135" s="265"/>
      <c r="Q135" s="265"/>
      <c r="R135" s="265"/>
      <c r="S135" s="265"/>
      <c r="T135" s="265"/>
      <c r="U135" s="265"/>
      <c r="V135" s="265"/>
      <c r="W135" s="265"/>
      <c r="X135" s="265"/>
      <c r="Y135" s="265"/>
      <c r="Z135" s="265"/>
    </row>
    <row r="136">
      <c r="A136" s="265"/>
      <c r="B136" s="265"/>
      <c r="C136" s="268"/>
      <c r="D136" s="268"/>
      <c r="E136" s="268"/>
      <c r="F136" s="268"/>
      <c r="G136" s="268"/>
      <c r="H136" s="283"/>
      <c r="I136" s="276"/>
      <c r="J136" s="265"/>
      <c r="K136" s="265"/>
      <c r="L136" s="265"/>
      <c r="M136" s="265"/>
      <c r="N136" s="280"/>
      <c r="O136" s="265"/>
      <c r="P136" s="265"/>
      <c r="Q136" s="265"/>
      <c r="R136" s="265"/>
      <c r="S136" s="265"/>
      <c r="T136" s="265"/>
      <c r="U136" s="265"/>
      <c r="V136" s="265"/>
      <c r="W136" s="265"/>
      <c r="X136" s="265"/>
      <c r="Y136" s="265"/>
      <c r="Z136" s="265"/>
    </row>
    <row r="137">
      <c r="A137" s="265"/>
      <c r="B137" s="265"/>
      <c r="C137" s="268"/>
      <c r="D137" s="268"/>
      <c r="E137" s="268"/>
      <c r="F137" s="268"/>
      <c r="G137" s="268"/>
      <c r="H137" s="283"/>
      <c r="I137" s="276"/>
      <c r="J137" s="265"/>
      <c r="K137" s="265"/>
      <c r="L137" s="265"/>
      <c r="M137" s="265"/>
      <c r="N137" s="280"/>
      <c r="O137" s="265"/>
      <c r="P137" s="265"/>
      <c r="Q137" s="265"/>
      <c r="R137" s="265"/>
      <c r="S137" s="265"/>
      <c r="T137" s="265"/>
      <c r="U137" s="265"/>
      <c r="V137" s="265"/>
      <c r="W137" s="265"/>
      <c r="X137" s="265"/>
      <c r="Y137" s="265"/>
      <c r="Z137" s="265"/>
    </row>
    <row r="138">
      <c r="A138" s="265"/>
      <c r="B138" s="265"/>
      <c r="C138" s="268"/>
      <c r="D138" s="268"/>
      <c r="E138" s="268"/>
      <c r="F138" s="268"/>
      <c r="G138" s="268"/>
      <c r="H138" s="283"/>
      <c r="I138" s="276"/>
      <c r="J138" s="265"/>
      <c r="K138" s="265"/>
      <c r="L138" s="265"/>
      <c r="M138" s="265"/>
      <c r="N138" s="280"/>
      <c r="O138" s="265"/>
      <c r="P138" s="265"/>
      <c r="Q138" s="265"/>
      <c r="R138" s="265"/>
      <c r="S138" s="265"/>
      <c r="T138" s="265"/>
      <c r="U138" s="265"/>
      <c r="V138" s="265"/>
      <c r="W138" s="265"/>
      <c r="X138" s="265"/>
      <c r="Y138" s="265"/>
      <c r="Z138" s="265"/>
    </row>
    <row r="139">
      <c r="A139" s="265"/>
      <c r="B139" s="265"/>
      <c r="C139" s="268"/>
      <c r="D139" s="268"/>
      <c r="E139" s="268"/>
      <c r="F139" s="268"/>
      <c r="G139" s="268"/>
      <c r="H139" s="283"/>
      <c r="I139" s="276"/>
      <c r="J139" s="265"/>
      <c r="K139" s="265"/>
      <c r="L139" s="265"/>
      <c r="M139" s="265"/>
      <c r="N139" s="280"/>
      <c r="O139" s="265"/>
      <c r="P139" s="265"/>
      <c r="Q139" s="265"/>
      <c r="R139" s="265"/>
      <c r="S139" s="265"/>
      <c r="T139" s="265"/>
      <c r="U139" s="265"/>
      <c r="V139" s="265"/>
      <c r="W139" s="265"/>
      <c r="X139" s="265"/>
      <c r="Y139" s="265"/>
      <c r="Z139" s="265"/>
    </row>
    <row r="140">
      <c r="A140" s="265"/>
      <c r="B140" s="265"/>
      <c r="C140" s="268"/>
      <c r="D140" s="268"/>
      <c r="E140" s="268"/>
      <c r="F140" s="268"/>
      <c r="G140" s="268"/>
      <c r="H140" s="283"/>
      <c r="I140" s="276"/>
      <c r="J140" s="265"/>
      <c r="K140" s="265"/>
      <c r="L140" s="265"/>
      <c r="M140" s="265"/>
      <c r="N140" s="280"/>
      <c r="O140" s="265"/>
      <c r="P140" s="265"/>
      <c r="Q140" s="265"/>
      <c r="R140" s="265"/>
      <c r="S140" s="265"/>
      <c r="T140" s="265"/>
      <c r="U140" s="265"/>
      <c r="V140" s="265"/>
      <c r="W140" s="265"/>
      <c r="X140" s="265"/>
      <c r="Y140" s="265"/>
      <c r="Z140" s="265"/>
    </row>
    <row r="141">
      <c r="A141" s="265"/>
      <c r="B141" s="265"/>
      <c r="C141" s="268"/>
      <c r="D141" s="268"/>
      <c r="E141" s="268"/>
      <c r="F141" s="268"/>
      <c r="G141" s="268"/>
      <c r="H141" s="283"/>
      <c r="I141" s="276"/>
      <c r="J141" s="265"/>
      <c r="K141" s="265"/>
      <c r="L141" s="265"/>
      <c r="M141" s="265"/>
      <c r="N141" s="280"/>
      <c r="O141" s="265"/>
      <c r="P141" s="265"/>
      <c r="Q141" s="265"/>
      <c r="R141" s="265"/>
      <c r="S141" s="265"/>
      <c r="T141" s="265"/>
      <c r="U141" s="265"/>
      <c r="V141" s="265"/>
      <c r="W141" s="265"/>
      <c r="X141" s="265"/>
      <c r="Y141" s="265"/>
      <c r="Z141" s="265"/>
    </row>
    <row r="142">
      <c r="A142" s="265"/>
      <c r="B142" s="265"/>
      <c r="C142" s="268"/>
      <c r="D142" s="268"/>
      <c r="E142" s="268"/>
      <c r="F142" s="268"/>
      <c r="G142" s="268"/>
      <c r="H142" s="283"/>
      <c r="I142" s="276"/>
      <c r="J142" s="265"/>
      <c r="K142" s="265"/>
      <c r="L142" s="265"/>
      <c r="M142" s="265"/>
      <c r="N142" s="280"/>
      <c r="O142" s="265"/>
      <c r="P142" s="265"/>
      <c r="Q142" s="265"/>
      <c r="R142" s="265"/>
      <c r="S142" s="265"/>
      <c r="T142" s="265"/>
      <c r="U142" s="265"/>
      <c r="V142" s="265"/>
      <c r="W142" s="265"/>
      <c r="X142" s="265"/>
      <c r="Y142" s="265"/>
      <c r="Z142" s="265"/>
    </row>
    <row r="143">
      <c r="A143" s="265"/>
      <c r="B143" s="265"/>
      <c r="C143" s="268"/>
      <c r="D143" s="268"/>
      <c r="E143" s="268"/>
      <c r="F143" s="268"/>
      <c r="G143" s="268"/>
      <c r="H143" s="283"/>
      <c r="I143" s="276"/>
      <c r="J143" s="265"/>
      <c r="K143" s="265"/>
      <c r="L143" s="265"/>
      <c r="M143" s="265"/>
      <c r="N143" s="280"/>
      <c r="O143" s="265"/>
      <c r="P143" s="265"/>
      <c r="Q143" s="265"/>
      <c r="R143" s="265"/>
      <c r="S143" s="265"/>
      <c r="T143" s="265"/>
      <c r="U143" s="265"/>
      <c r="V143" s="265"/>
      <c r="W143" s="265"/>
      <c r="X143" s="265"/>
      <c r="Y143" s="265"/>
      <c r="Z143" s="265"/>
    </row>
    <row r="144">
      <c r="A144" s="265"/>
      <c r="B144" s="265"/>
      <c r="C144" s="268"/>
      <c r="D144" s="268"/>
      <c r="E144" s="268"/>
      <c r="F144" s="268"/>
      <c r="G144" s="268"/>
      <c r="H144" s="283"/>
      <c r="I144" s="276"/>
      <c r="J144" s="265"/>
      <c r="K144" s="265"/>
      <c r="L144" s="265"/>
      <c r="M144" s="265"/>
      <c r="N144" s="280"/>
      <c r="O144" s="265"/>
      <c r="P144" s="265"/>
      <c r="Q144" s="265"/>
      <c r="R144" s="265"/>
      <c r="S144" s="265"/>
      <c r="T144" s="265"/>
      <c r="U144" s="265"/>
      <c r="V144" s="265"/>
      <c r="W144" s="265"/>
      <c r="X144" s="265"/>
      <c r="Y144" s="265"/>
      <c r="Z144" s="265"/>
    </row>
    <row r="145">
      <c r="A145" s="265"/>
      <c r="B145" s="265"/>
      <c r="C145" s="268"/>
      <c r="D145" s="268"/>
      <c r="E145" s="268"/>
      <c r="F145" s="268"/>
      <c r="G145" s="268"/>
      <c r="H145" s="283"/>
      <c r="I145" s="276"/>
      <c r="J145" s="265"/>
      <c r="K145" s="265"/>
      <c r="L145" s="265"/>
      <c r="M145" s="265"/>
      <c r="N145" s="280"/>
      <c r="O145" s="265"/>
      <c r="P145" s="265"/>
      <c r="Q145" s="265"/>
      <c r="R145" s="265"/>
      <c r="S145" s="265"/>
      <c r="T145" s="265"/>
      <c r="U145" s="265"/>
      <c r="V145" s="265"/>
      <c r="W145" s="265"/>
      <c r="X145" s="265"/>
      <c r="Y145" s="265"/>
      <c r="Z145" s="265"/>
    </row>
    <row r="146">
      <c r="A146" s="265"/>
      <c r="B146" s="265"/>
      <c r="C146" s="268"/>
      <c r="D146" s="268"/>
      <c r="E146" s="268"/>
      <c r="F146" s="268"/>
      <c r="G146" s="268"/>
      <c r="H146" s="283"/>
      <c r="I146" s="276"/>
      <c r="J146" s="265"/>
      <c r="K146" s="265"/>
      <c r="L146" s="265"/>
      <c r="M146" s="265"/>
      <c r="N146" s="280"/>
      <c r="O146" s="265"/>
      <c r="P146" s="265"/>
      <c r="Q146" s="265"/>
      <c r="R146" s="265"/>
      <c r="S146" s="265"/>
      <c r="T146" s="265"/>
      <c r="U146" s="265"/>
      <c r="V146" s="265"/>
      <c r="W146" s="265"/>
      <c r="X146" s="265"/>
      <c r="Y146" s="265"/>
      <c r="Z146" s="265"/>
    </row>
    <row r="147">
      <c r="A147" s="265"/>
      <c r="B147" s="265"/>
      <c r="C147" s="268"/>
      <c r="D147" s="268"/>
      <c r="E147" s="268"/>
      <c r="F147" s="268"/>
      <c r="G147" s="268"/>
      <c r="H147" s="283"/>
      <c r="I147" s="276"/>
      <c r="J147" s="265"/>
      <c r="K147" s="265"/>
      <c r="L147" s="265"/>
      <c r="M147" s="265"/>
      <c r="N147" s="280"/>
      <c r="O147" s="265"/>
      <c r="P147" s="265"/>
      <c r="Q147" s="265"/>
      <c r="R147" s="265"/>
      <c r="S147" s="265"/>
      <c r="T147" s="265"/>
      <c r="U147" s="265"/>
      <c r="V147" s="265"/>
      <c r="W147" s="265"/>
      <c r="X147" s="265"/>
      <c r="Y147" s="265"/>
      <c r="Z147" s="265"/>
    </row>
    <row r="148">
      <c r="A148" s="265"/>
      <c r="B148" s="265"/>
      <c r="C148" s="268"/>
      <c r="D148" s="268"/>
      <c r="E148" s="268"/>
      <c r="F148" s="268"/>
      <c r="G148" s="268"/>
      <c r="H148" s="283"/>
      <c r="I148" s="276"/>
      <c r="J148" s="265"/>
      <c r="K148" s="265"/>
      <c r="L148" s="265"/>
      <c r="M148" s="265"/>
      <c r="N148" s="280"/>
      <c r="O148" s="265"/>
      <c r="P148" s="265"/>
      <c r="Q148" s="265"/>
      <c r="R148" s="265"/>
      <c r="S148" s="265"/>
      <c r="T148" s="265"/>
      <c r="U148" s="265"/>
      <c r="V148" s="265"/>
      <c r="W148" s="265"/>
      <c r="X148" s="265"/>
      <c r="Y148" s="265"/>
      <c r="Z148" s="265"/>
    </row>
    <row r="149">
      <c r="A149" s="265"/>
      <c r="B149" s="265"/>
      <c r="C149" s="268"/>
      <c r="D149" s="268"/>
      <c r="E149" s="268"/>
      <c r="F149" s="268"/>
      <c r="G149" s="268"/>
      <c r="H149" s="283"/>
      <c r="I149" s="276"/>
      <c r="J149" s="265"/>
      <c r="K149" s="265"/>
      <c r="L149" s="265"/>
      <c r="M149" s="265"/>
      <c r="N149" s="280"/>
      <c r="O149" s="265"/>
      <c r="P149" s="265"/>
      <c r="Q149" s="265"/>
      <c r="R149" s="265"/>
      <c r="S149" s="265"/>
      <c r="T149" s="265"/>
      <c r="U149" s="265"/>
      <c r="V149" s="265"/>
      <c r="W149" s="265"/>
      <c r="X149" s="265"/>
      <c r="Y149" s="265"/>
      <c r="Z149" s="265"/>
    </row>
    <row r="150">
      <c r="A150" s="265"/>
      <c r="B150" s="265"/>
      <c r="C150" s="268"/>
      <c r="D150" s="268"/>
      <c r="E150" s="268"/>
      <c r="F150" s="268"/>
      <c r="G150" s="268"/>
      <c r="H150" s="283"/>
      <c r="I150" s="276"/>
      <c r="J150" s="265"/>
      <c r="K150" s="265"/>
      <c r="L150" s="265"/>
      <c r="M150" s="265"/>
      <c r="N150" s="280"/>
      <c r="O150" s="265"/>
      <c r="P150" s="265"/>
      <c r="Q150" s="265"/>
      <c r="R150" s="265"/>
      <c r="S150" s="265"/>
      <c r="T150" s="265"/>
      <c r="U150" s="265"/>
      <c r="V150" s="265"/>
      <c r="W150" s="265"/>
      <c r="X150" s="265"/>
      <c r="Y150" s="265"/>
      <c r="Z150" s="265"/>
    </row>
    <row r="151">
      <c r="A151" s="265"/>
      <c r="B151" s="265"/>
      <c r="C151" s="268"/>
      <c r="D151" s="268"/>
      <c r="E151" s="268"/>
      <c r="F151" s="268"/>
      <c r="G151" s="268"/>
      <c r="H151" s="283"/>
      <c r="I151" s="276"/>
      <c r="J151" s="265"/>
      <c r="K151" s="265"/>
      <c r="L151" s="265"/>
      <c r="M151" s="265"/>
      <c r="N151" s="280"/>
      <c r="O151" s="265"/>
      <c r="P151" s="265"/>
      <c r="Q151" s="265"/>
      <c r="R151" s="265"/>
      <c r="S151" s="265"/>
      <c r="T151" s="265"/>
      <c r="U151" s="265"/>
      <c r="V151" s="265"/>
      <c r="W151" s="265"/>
      <c r="X151" s="265"/>
      <c r="Y151" s="265"/>
      <c r="Z151" s="265"/>
    </row>
    <row r="152">
      <c r="A152" s="265"/>
      <c r="B152" s="265"/>
      <c r="C152" s="268"/>
      <c r="D152" s="268"/>
      <c r="E152" s="268"/>
      <c r="F152" s="268"/>
      <c r="G152" s="268"/>
      <c r="H152" s="283"/>
      <c r="I152" s="276"/>
      <c r="J152" s="265"/>
      <c r="K152" s="265"/>
      <c r="L152" s="265"/>
      <c r="M152" s="265"/>
      <c r="N152" s="280"/>
      <c r="O152" s="265"/>
      <c r="P152" s="265"/>
      <c r="Q152" s="265"/>
      <c r="R152" s="265"/>
      <c r="S152" s="265"/>
      <c r="T152" s="265"/>
      <c r="U152" s="265"/>
      <c r="V152" s="265"/>
      <c r="W152" s="265"/>
      <c r="X152" s="265"/>
      <c r="Y152" s="265"/>
      <c r="Z152" s="265"/>
    </row>
    <row r="153">
      <c r="A153" s="265"/>
      <c r="B153" s="265"/>
      <c r="C153" s="268"/>
      <c r="D153" s="268"/>
      <c r="E153" s="268"/>
      <c r="F153" s="268"/>
      <c r="G153" s="268"/>
      <c r="H153" s="283"/>
      <c r="I153" s="276"/>
      <c r="J153" s="265"/>
      <c r="K153" s="265"/>
      <c r="L153" s="265"/>
      <c r="M153" s="265"/>
      <c r="N153" s="280"/>
      <c r="O153" s="265"/>
      <c r="P153" s="265"/>
      <c r="Q153" s="265"/>
      <c r="R153" s="265"/>
      <c r="S153" s="265"/>
      <c r="T153" s="265"/>
      <c r="U153" s="265"/>
      <c r="V153" s="265"/>
      <c r="W153" s="265"/>
      <c r="X153" s="265"/>
      <c r="Y153" s="265"/>
      <c r="Z153" s="265"/>
    </row>
    <row r="154">
      <c r="A154" s="265"/>
      <c r="B154" s="265"/>
      <c r="C154" s="268"/>
      <c r="D154" s="268"/>
      <c r="E154" s="268"/>
      <c r="F154" s="268"/>
      <c r="G154" s="268"/>
      <c r="H154" s="283"/>
      <c r="I154" s="276"/>
      <c r="J154" s="265"/>
      <c r="K154" s="265"/>
      <c r="L154" s="265"/>
      <c r="M154" s="265"/>
      <c r="N154" s="280"/>
      <c r="O154" s="265"/>
      <c r="P154" s="265"/>
      <c r="Q154" s="265"/>
      <c r="R154" s="265"/>
      <c r="S154" s="265"/>
      <c r="T154" s="265"/>
      <c r="U154" s="265"/>
      <c r="V154" s="265"/>
      <c r="W154" s="265"/>
      <c r="X154" s="265"/>
      <c r="Y154" s="265"/>
      <c r="Z154" s="265"/>
    </row>
    <row r="155">
      <c r="A155" s="265"/>
      <c r="B155" s="265"/>
      <c r="C155" s="268"/>
      <c r="D155" s="268"/>
      <c r="E155" s="268"/>
      <c r="F155" s="268"/>
      <c r="G155" s="268"/>
      <c r="H155" s="283"/>
      <c r="I155" s="276"/>
      <c r="J155" s="265"/>
      <c r="K155" s="265"/>
      <c r="L155" s="265"/>
      <c r="M155" s="265"/>
      <c r="N155" s="280"/>
      <c r="O155" s="265"/>
      <c r="P155" s="265"/>
      <c r="Q155" s="265"/>
      <c r="R155" s="265"/>
      <c r="S155" s="265"/>
      <c r="T155" s="265"/>
      <c r="U155" s="265"/>
      <c r="V155" s="265"/>
      <c r="W155" s="265"/>
      <c r="X155" s="265"/>
      <c r="Y155" s="265"/>
      <c r="Z155" s="265"/>
    </row>
    <row r="156">
      <c r="A156" s="265"/>
      <c r="B156" s="265"/>
      <c r="C156" s="268"/>
      <c r="D156" s="268"/>
      <c r="E156" s="268"/>
      <c r="F156" s="268"/>
      <c r="G156" s="268"/>
      <c r="H156" s="283"/>
      <c r="I156" s="276"/>
      <c r="J156" s="265"/>
      <c r="K156" s="265"/>
      <c r="L156" s="265"/>
      <c r="M156" s="265"/>
      <c r="N156" s="280"/>
      <c r="O156" s="265"/>
      <c r="P156" s="265"/>
      <c r="Q156" s="265"/>
      <c r="R156" s="265"/>
      <c r="S156" s="265"/>
      <c r="T156" s="265"/>
      <c r="U156" s="265"/>
      <c r="V156" s="265"/>
      <c r="W156" s="265"/>
      <c r="X156" s="265"/>
      <c r="Y156" s="265"/>
      <c r="Z156" s="265"/>
    </row>
    <row r="157">
      <c r="A157" s="265"/>
      <c r="B157" s="265"/>
      <c r="C157" s="268"/>
      <c r="D157" s="268"/>
      <c r="E157" s="268"/>
      <c r="F157" s="268"/>
      <c r="G157" s="268"/>
      <c r="H157" s="283"/>
      <c r="I157" s="276"/>
      <c r="J157" s="265"/>
      <c r="K157" s="265"/>
      <c r="L157" s="265"/>
      <c r="M157" s="265"/>
      <c r="N157" s="280"/>
      <c r="O157" s="265"/>
      <c r="P157" s="265"/>
      <c r="Q157" s="265"/>
      <c r="R157" s="265"/>
      <c r="S157" s="265"/>
      <c r="T157" s="265"/>
      <c r="U157" s="265"/>
      <c r="V157" s="265"/>
      <c r="W157" s="265"/>
      <c r="X157" s="265"/>
      <c r="Y157" s="265"/>
      <c r="Z157" s="265"/>
    </row>
    <row r="158">
      <c r="A158" s="265"/>
      <c r="B158" s="265"/>
      <c r="C158" s="268"/>
      <c r="D158" s="268"/>
      <c r="E158" s="268"/>
      <c r="F158" s="268"/>
      <c r="G158" s="268"/>
      <c r="H158" s="283"/>
      <c r="I158" s="276"/>
      <c r="J158" s="265"/>
      <c r="K158" s="265"/>
      <c r="L158" s="265"/>
      <c r="M158" s="265"/>
      <c r="N158" s="280"/>
      <c r="O158" s="265"/>
      <c r="P158" s="265"/>
      <c r="Q158" s="265"/>
      <c r="R158" s="265"/>
      <c r="S158" s="265"/>
      <c r="T158" s="265"/>
      <c r="U158" s="265"/>
      <c r="V158" s="265"/>
      <c r="W158" s="265"/>
      <c r="X158" s="265"/>
      <c r="Y158" s="265"/>
      <c r="Z158" s="265"/>
    </row>
    <row r="159">
      <c r="A159" s="265"/>
      <c r="B159" s="265"/>
      <c r="C159" s="268"/>
      <c r="D159" s="268"/>
      <c r="E159" s="268"/>
      <c r="F159" s="268"/>
      <c r="G159" s="268"/>
      <c r="H159" s="283"/>
      <c r="I159" s="276"/>
      <c r="J159" s="265"/>
      <c r="K159" s="265"/>
      <c r="L159" s="265"/>
      <c r="M159" s="265"/>
      <c r="N159" s="280"/>
      <c r="O159" s="265"/>
      <c r="P159" s="265"/>
      <c r="Q159" s="265"/>
      <c r="R159" s="265"/>
      <c r="S159" s="265"/>
      <c r="T159" s="265"/>
      <c r="U159" s="265"/>
      <c r="V159" s="265"/>
      <c r="W159" s="265"/>
      <c r="X159" s="265"/>
      <c r="Y159" s="265"/>
      <c r="Z159" s="265"/>
    </row>
    <row r="160">
      <c r="A160" s="265"/>
      <c r="B160" s="265"/>
      <c r="C160" s="268"/>
      <c r="D160" s="268"/>
      <c r="E160" s="268"/>
      <c r="F160" s="268"/>
      <c r="G160" s="268"/>
      <c r="H160" s="283"/>
      <c r="I160" s="276"/>
      <c r="J160" s="265"/>
      <c r="K160" s="265"/>
      <c r="L160" s="265"/>
      <c r="M160" s="265"/>
      <c r="N160" s="280"/>
      <c r="O160" s="265"/>
      <c r="P160" s="265"/>
      <c r="Q160" s="265"/>
      <c r="R160" s="265"/>
      <c r="S160" s="265"/>
      <c r="T160" s="265"/>
      <c r="U160" s="265"/>
      <c r="V160" s="265"/>
      <c r="W160" s="265"/>
      <c r="X160" s="265"/>
      <c r="Y160" s="265"/>
      <c r="Z160" s="265"/>
    </row>
    <row r="161">
      <c r="A161" s="265"/>
      <c r="B161" s="265"/>
      <c r="C161" s="268"/>
      <c r="D161" s="268"/>
      <c r="E161" s="268"/>
      <c r="F161" s="268"/>
      <c r="G161" s="268"/>
      <c r="H161" s="283"/>
      <c r="I161" s="276"/>
      <c r="J161" s="265"/>
      <c r="K161" s="265"/>
      <c r="L161" s="265"/>
      <c r="M161" s="265"/>
      <c r="N161" s="280"/>
      <c r="O161" s="265"/>
      <c r="P161" s="265"/>
      <c r="Q161" s="265"/>
      <c r="R161" s="265"/>
      <c r="S161" s="265"/>
      <c r="T161" s="265"/>
      <c r="U161" s="265"/>
      <c r="V161" s="265"/>
      <c r="W161" s="265"/>
      <c r="X161" s="265"/>
      <c r="Y161" s="265"/>
      <c r="Z161" s="265"/>
    </row>
    <row r="162">
      <c r="A162" s="265"/>
      <c r="B162" s="265"/>
      <c r="C162" s="268"/>
      <c r="D162" s="268"/>
      <c r="E162" s="268"/>
      <c r="F162" s="268"/>
      <c r="G162" s="268"/>
      <c r="H162" s="283"/>
      <c r="I162" s="276"/>
      <c r="J162" s="265"/>
      <c r="K162" s="265"/>
      <c r="L162" s="265"/>
      <c r="M162" s="265"/>
      <c r="N162" s="280"/>
      <c r="O162" s="265"/>
      <c r="P162" s="265"/>
      <c r="Q162" s="265"/>
      <c r="R162" s="265"/>
      <c r="S162" s="265"/>
      <c r="T162" s="265"/>
      <c r="U162" s="265"/>
      <c r="V162" s="265"/>
      <c r="W162" s="265"/>
      <c r="X162" s="265"/>
      <c r="Y162" s="265"/>
      <c r="Z162" s="265"/>
    </row>
    <row r="163">
      <c r="A163" s="265"/>
      <c r="B163" s="265"/>
      <c r="C163" s="268"/>
      <c r="D163" s="268"/>
      <c r="E163" s="268"/>
      <c r="F163" s="268"/>
      <c r="G163" s="268"/>
      <c r="H163" s="283"/>
      <c r="I163" s="276"/>
      <c r="J163" s="265"/>
      <c r="K163" s="265"/>
      <c r="L163" s="265"/>
      <c r="M163" s="265"/>
      <c r="N163" s="280"/>
      <c r="O163" s="265"/>
      <c r="P163" s="265"/>
      <c r="Q163" s="265"/>
      <c r="R163" s="265"/>
      <c r="S163" s="265"/>
      <c r="T163" s="265"/>
      <c r="U163" s="265"/>
      <c r="V163" s="265"/>
      <c r="W163" s="265"/>
      <c r="X163" s="265"/>
      <c r="Y163" s="265"/>
      <c r="Z163" s="265"/>
    </row>
    <row r="164">
      <c r="A164" s="265"/>
      <c r="B164" s="265"/>
      <c r="C164" s="268"/>
      <c r="D164" s="268"/>
      <c r="E164" s="268"/>
      <c r="F164" s="268"/>
      <c r="G164" s="268"/>
      <c r="H164" s="283"/>
      <c r="I164" s="276"/>
      <c r="J164" s="265"/>
      <c r="K164" s="265"/>
      <c r="L164" s="265"/>
      <c r="M164" s="265"/>
      <c r="N164" s="280"/>
      <c r="O164" s="265"/>
      <c r="P164" s="265"/>
      <c r="Q164" s="265"/>
      <c r="R164" s="265"/>
      <c r="S164" s="265"/>
      <c r="T164" s="265"/>
      <c r="U164" s="265"/>
      <c r="V164" s="265"/>
      <c r="W164" s="265"/>
      <c r="X164" s="265"/>
      <c r="Y164" s="265"/>
      <c r="Z164" s="265"/>
    </row>
    <row r="165">
      <c r="A165" s="265"/>
      <c r="B165" s="265"/>
      <c r="C165" s="268"/>
      <c r="D165" s="268"/>
      <c r="E165" s="268"/>
      <c r="F165" s="268"/>
      <c r="G165" s="268"/>
      <c r="H165" s="283"/>
      <c r="I165" s="276"/>
      <c r="J165" s="265"/>
      <c r="K165" s="265"/>
      <c r="L165" s="265"/>
      <c r="M165" s="265"/>
      <c r="N165" s="280"/>
      <c r="O165" s="265"/>
      <c r="P165" s="265"/>
      <c r="Q165" s="265"/>
      <c r="R165" s="265"/>
      <c r="S165" s="265"/>
      <c r="T165" s="265"/>
      <c r="U165" s="265"/>
      <c r="V165" s="265"/>
      <c r="W165" s="265"/>
      <c r="X165" s="265"/>
      <c r="Y165" s="265"/>
      <c r="Z165" s="265"/>
    </row>
    <row r="166">
      <c r="A166" s="265"/>
      <c r="B166" s="265"/>
      <c r="C166" s="268"/>
      <c r="D166" s="268"/>
      <c r="E166" s="268"/>
      <c r="F166" s="268"/>
      <c r="G166" s="268"/>
      <c r="H166" s="283"/>
      <c r="I166" s="276"/>
      <c r="J166" s="265"/>
      <c r="K166" s="265"/>
      <c r="L166" s="265"/>
      <c r="M166" s="265"/>
      <c r="N166" s="280"/>
      <c r="O166" s="265"/>
      <c r="P166" s="265"/>
      <c r="Q166" s="265"/>
      <c r="R166" s="265"/>
      <c r="S166" s="265"/>
      <c r="T166" s="265"/>
      <c r="U166" s="265"/>
      <c r="V166" s="265"/>
      <c r="W166" s="265"/>
      <c r="X166" s="265"/>
      <c r="Y166" s="265"/>
      <c r="Z166" s="265"/>
    </row>
    <row r="167">
      <c r="A167" s="265"/>
      <c r="B167" s="265"/>
      <c r="C167" s="268"/>
      <c r="D167" s="268"/>
      <c r="E167" s="268"/>
      <c r="F167" s="268"/>
      <c r="G167" s="268"/>
      <c r="H167" s="283"/>
      <c r="I167" s="276"/>
      <c r="J167" s="265"/>
      <c r="K167" s="265"/>
      <c r="L167" s="265"/>
      <c r="M167" s="265"/>
      <c r="N167" s="280"/>
      <c r="O167" s="265"/>
      <c r="P167" s="265"/>
      <c r="Q167" s="265"/>
      <c r="R167" s="265"/>
      <c r="S167" s="265"/>
      <c r="T167" s="265"/>
      <c r="U167" s="265"/>
      <c r="V167" s="265"/>
      <c r="W167" s="265"/>
      <c r="X167" s="265"/>
      <c r="Y167" s="265"/>
      <c r="Z167" s="265"/>
    </row>
    <row r="168">
      <c r="A168" s="265"/>
      <c r="B168" s="265"/>
      <c r="C168" s="268"/>
      <c r="D168" s="268"/>
      <c r="E168" s="268"/>
      <c r="F168" s="268"/>
      <c r="G168" s="268"/>
      <c r="H168" s="283"/>
      <c r="I168" s="276"/>
      <c r="J168" s="265"/>
      <c r="K168" s="265"/>
      <c r="L168" s="265"/>
      <c r="M168" s="265"/>
      <c r="N168" s="280"/>
      <c r="O168" s="265"/>
      <c r="P168" s="265"/>
      <c r="Q168" s="265"/>
      <c r="R168" s="265"/>
      <c r="S168" s="265"/>
      <c r="T168" s="265"/>
      <c r="U168" s="265"/>
      <c r="V168" s="265"/>
      <c r="W168" s="265"/>
      <c r="X168" s="265"/>
      <c r="Y168" s="265"/>
      <c r="Z168" s="265"/>
    </row>
    <row r="169">
      <c r="A169" s="265"/>
      <c r="B169" s="265"/>
      <c r="C169" s="268"/>
      <c r="D169" s="268"/>
      <c r="E169" s="268"/>
      <c r="F169" s="268"/>
      <c r="G169" s="268"/>
      <c r="H169" s="283"/>
      <c r="I169" s="276"/>
      <c r="J169" s="265"/>
      <c r="K169" s="265"/>
      <c r="L169" s="265"/>
      <c r="M169" s="265"/>
      <c r="N169" s="280"/>
      <c r="O169" s="265"/>
      <c r="P169" s="265"/>
      <c r="Q169" s="265"/>
      <c r="R169" s="265"/>
      <c r="S169" s="265"/>
      <c r="T169" s="265"/>
      <c r="U169" s="265"/>
      <c r="V169" s="265"/>
      <c r="W169" s="265"/>
      <c r="X169" s="265"/>
      <c r="Y169" s="265"/>
      <c r="Z169" s="265"/>
    </row>
    <row r="170">
      <c r="A170" s="265"/>
      <c r="B170" s="265"/>
      <c r="C170" s="268"/>
      <c r="D170" s="268"/>
      <c r="E170" s="268"/>
      <c r="F170" s="268"/>
      <c r="G170" s="268"/>
      <c r="H170" s="283"/>
      <c r="I170" s="276"/>
      <c r="J170" s="265"/>
      <c r="K170" s="265"/>
      <c r="L170" s="265"/>
      <c r="M170" s="265"/>
      <c r="N170" s="280"/>
      <c r="O170" s="265"/>
      <c r="P170" s="265"/>
      <c r="Q170" s="265"/>
      <c r="R170" s="265"/>
      <c r="S170" s="265"/>
      <c r="T170" s="265"/>
      <c r="U170" s="265"/>
      <c r="V170" s="265"/>
      <c r="W170" s="265"/>
      <c r="X170" s="265"/>
      <c r="Y170" s="265"/>
      <c r="Z170" s="265"/>
    </row>
    <row r="171">
      <c r="A171" s="265"/>
      <c r="B171" s="265"/>
      <c r="C171" s="268"/>
      <c r="D171" s="268"/>
      <c r="E171" s="268"/>
      <c r="F171" s="268"/>
      <c r="G171" s="268"/>
      <c r="H171" s="283"/>
      <c r="I171" s="276"/>
      <c r="J171" s="265"/>
      <c r="K171" s="265"/>
      <c r="L171" s="265"/>
      <c r="M171" s="265"/>
      <c r="N171" s="280"/>
      <c r="O171" s="265"/>
      <c r="P171" s="265"/>
      <c r="Q171" s="265"/>
      <c r="R171" s="265"/>
      <c r="S171" s="265"/>
      <c r="T171" s="265"/>
      <c r="U171" s="265"/>
      <c r="V171" s="265"/>
      <c r="W171" s="265"/>
      <c r="X171" s="265"/>
      <c r="Y171" s="265"/>
      <c r="Z171" s="265"/>
    </row>
    <row r="172">
      <c r="A172" s="265"/>
      <c r="B172" s="265"/>
      <c r="C172" s="268"/>
      <c r="D172" s="268"/>
      <c r="E172" s="268"/>
      <c r="F172" s="268"/>
      <c r="G172" s="268"/>
      <c r="H172" s="283"/>
      <c r="I172" s="276"/>
      <c r="J172" s="265"/>
      <c r="K172" s="265"/>
      <c r="L172" s="265"/>
      <c r="M172" s="265"/>
      <c r="N172" s="280"/>
      <c r="O172" s="265"/>
      <c r="P172" s="265"/>
      <c r="Q172" s="265"/>
      <c r="R172" s="265"/>
      <c r="S172" s="265"/>
      <c r="T172" s="265"/>
      <c r="U172" s="265"/>
      <c r="V172" s="265"/>
      <c r="W172" s="265"/>
      <c r="X172" s="265"/>
      <c r="Y172" s="265"/>
      <c r="Z172" s="265"/>
    </row>
    <row r="173">
      <c r="A173" s="265"/>
      <c r="B173" s="265"/>
      <c r="C173" s="268"/>
      <c r="D173" s="268"/>
      <c r="E173" s="268"/>
      <c r="F173" s="268"/>
      <c r="G173" s="268"/>
      <c r="H173" s="283"/>
      <c r="I173" s="276"/>
      <c r="J173" s="265"/>
      <c r="K173" s="265"/>
      <c r="L173" s="265"/>
      <c r="M173" s="265"/>
      <c r="N173" s="280"/>
      <c r="O173" s="265"/>
      <c r="P173" s="265"/>
      <c r="Q173" s="265"/>
      <c r="R173" s="265"/>
      <c r="S173" s="265"/>
      <c r="T173" s="265"/>
      <c r="U173" s="265"/>
      <c r="V173" s="265"/>
      <c r="W173" s="265"/>
      <c r="X173" s="265"/>
      <c r="Y173" s="265"/>
      <c r="Z173" s="265"/>
    </row>
    <row r="174">
      <c r="A174" s="265"/>
      <c r="B174" s="265"/>
      <c r="C174" s="268"/>
      <c r="D174" s="268"/>
      <c r="E174" s="268"/>
      <c r="F174" s="268"/>
      <c r="G174" s="268"/>
      <c r="H174" s="283"/>
      <c r="I174" s="276"/>
      <c r="J174" s="265"/>
      <c r="K174" s="265"/>
      <c r="L174" s="265"/>
      <c r="M174" s="265"/>
      <c r="N174" s="280"/>
      <c r="O174" s="265"/>
      <c r="P174" s="265"/>
      <c r="Q174" s="265"/>
      <c r="R174" s="265"/>
      <c r="S174" s="265"/>
      <c r="T174" s="265"/>
      <c r="U174" s="265"/>
      <c r="V174" s="265"/>
      <c r="W174" s="265"/>
      <c r="X174" s="265"/>
      <c r="Y174" s="265"/>
      <c r="Z174" s="265"/>
    </row>
    <row r="175">
      <c r="A175" s="265"/>
      <c r="B175" s="265"/>
      <c r="C175" s="268"/>
      <c r="D175" s="268"/>
      <c r="E175" s="268"/>
      <c r="F175" s="268"/>
      <c r="G175" s="268"/>
      <c r="H175" s="283"/>
      <c r="I175" s="276"/>
      <c r="J175" s="265"/>
      <c r="K175" s="265"/>
      <c r="L175" s="265"/>
      <c r="M175" s="265"/>
      <c r="N175" s="280"/>
      <c r="O175" s="265"/>
      <c r="P175" s="265"/>
      <c r="Q175" s="265"/>
      <c r="R175" s="265"/>
      <c r="S175" s="265"/>
      <c r="T175" s="265"/>
      <c r="U175" s="265"/>
      <c r="V175" s="265"/>
      <c r="W175" s="265"/>
      <c r="X175" s="265"/>
      <c r="Y175" s="265"/>
      <c r="Z175" s="265"/>
    </row>
    <row r="176">
      <c r="A176" s="265"/>
      <c r="B176" s="265"/>
      <c r="C176" s="268"/>
      <c r="D176" s="268"/>
      <c r="E176" s="268"/>
      <c r="F176" s="268"/>
      <c r="G176" s="268"/>
      <c r="H176" s="283"/>
      <c r="I176" s="276"/>
      <c r="J176" s="265"/>
      <c r="K176" s="265"/>
      <c r="L176" s="265"/>
      <c r="M176" s="265"/>
      <c r="N176" s="280"/>
      <c r="O176" s="265"/>
      <c r="P176" s="265"/>
      <c r="Q176" s="265"/>
      <c r="R176" s="265"/>
      <c r="S176" s="265"/>
      <c r="T176" s="265"/>
      <c r="U176" s="265"/>
      <c r="V176" s="265"/>
      <c r="W176" s="265"/>
      <c r="X176" s="265"/>
      <c r="Y176" s="265"/>
      <c r="Z176" s="265"/>
    </row>
    <row r="177">
      <c r="A177" s="265"/>
      <c r="B177" s="265"/>
      <c r="C177" s="268"/>
      <c r="D177" s="268"/>
      <c r="E177" s="268"/>
      <c r="F177" s="268"/>
      <c r="G177" s="268"/>
      <c r="H177" s="283"/>
      <c r="I177" s="276"/>
      <c r="J177" s="265"/>
      <c r="K177" s="265"/>
      <c r="L177" s="265"/>
      <c r="M177" s="265"/>
      <c r="N177" s="280"/>
      <c r="O177" s="265"/>
      <c r="P177" s="265"/>
      <c r="Q177" s="265"/>
      <c r="R177" s="265"/>
      <c r="S177" s="265"/>
      <c r="T177" s="265"/>
      <c r="U177" s="265"/>
      <c r="V177" s="265"/>
      <c r="W177" s="265"/>
      <c r="X177" s="265"/>
      <c r="Y177" s="265"/>
      <c r="Z177" s="265"/>
    </row>
    <row r="178">
      <c r="A178" s="265"/>
      <c r="B178" s="265"/>
      <c r="C178" s="268"/>
      <c r="D178" s="268"/>
      <c r="E178" s="268"/>
      <c r="F178" s="268"/>
      <c r="G178" s="268"/>
      <c r="H178" s="283"/>
      <c r="I178" s="276"/>
      <c r="J178" s="265"/>
      <c r="K178" s="265"/>
      <c r="L178" s="265"/>
      <c r="M178" s="265"/>
      <c r="N178" s="280"/>
      <c r="O178" s="265"/>
      <c r="P178" s="265"/>
      <c r="Q178" s="265"/>
      <c r="R178" s="265"/>
      <c r="S178" s="265"/>
      <c r="T178" s="265"/>
      <c r="U178" s="265"/>
      <c r="V178" s="265"/>
      <c r="W178" s="265"/>
      <c r="X178" s="265"/>
      <c r="Y178" s="265"/>
      <c r="Z178" s="265"/>
    </row>
    <row r="179">
      <c r="A179" s="265"/>
      <c r="B179" s="265"/>
      <c r="C179" s="268"/>
      <c r="D179" s="268"/>
      <c r="E179" s="268"/>
      <c r="F179" s="268"/>
      <c r="G179" s="268"/>
      <c r="H179" s="283"/>
      <c r="I179" s="276"/>
      <c r="J179" s="265"/>
      <c r="K179" s="265"/>
      <c r="L179" s="265"/>
      <c r="M179" s="265"/>
      <c r="N179" s="280"/>
      <c r="O179" s="265"/>
      <c r="P179" s="265"/>
      <c r="Q179" s="265"/>
      <c r="R179" s="265"/>
      <c r="S179" s="265"/>
      <c r="T179" s="265"/>
      <c r="U179" s="265"/>
      <c r="V179" s="265"/>
      <c r="W179" s="265"/>
      <c r="X179" s="265"/>
      <c r="Y179" s="265"/>
      <c r="Z179" s="265"/>
    </row>
    <row r="180">
      <c r="A180" s="265"/>
      <c r="B180" s="265"/>
      <c r="C180" s="268"/>
      <c r="D180" s="268"/>
      <c r="E180" s="268"/>
      <c r="F180" s="268"/>
      <c r="G180" s="268"/>
      <c r="H180" s="283"/>
      <c r="I180" s="276"/>
      <c r="J180" s="265"/>
      <c r="K180" s="265"/>
      <c r="L180" s="265"/>
      <c r="M180" s="265"/>
      <c r="N180" s="280"/>
      <c r="O180" s="265"/>
      <c r="P180" s="265"/>
      <c r="Q180" s="265"/>
      <c r="R180" s="265"/>
      <c r="S180" s="265"/>
      <c r="T180" s="265"/>
      <c r="U180" s="265"/>
      <c r="V180" s="265"/>
      <c r="W180" s="265"/>
      <c r="X180" s="265"/>
      <c r="Y180" s="265"/>
      <c r="Z180" s="265"/>
    </row>
    <row r="181">
      <c r="A181" s="265"/>
      <c r="B181" s="265"/>
      <c r="C181" s="268"/>
      <c r="D181" s="268"/>
      <c r="E181" s="268"/>
      <c r="F181" s="268"/>
      <c r="G181" s="268"/>
      <c r="H181" s="283"/>
      <c r="I181" s="276"/>
      <c r="J181" s="265"/>
      <c r="K181" s="265"/>
      <c r="L181" s="265"/>
      <c r="M181" s="265"/>
      <c r="N181" s="280"/>
      <c r="O181" s="265"/>
      <c r="P181" s="265"/>
      <c r="Q181" s="265"/>
      <c r="R181" s="265"/>
      <c r="S181" s="265"/>
      <c r="T181" s="265"/>
      <c r="U181" s="265"/>
      <c r="V181" s="265"/>
      <c r="W181" s="265"/>
      <c r="X181" s="265"/>
      <c r="Y181" s="265"/>
      <c r="Z181" s="265"/>
    </row>
    <row r="182">
      <c r="A182" s="265"/>
      <c r="B182" s="265"/>
      <c r="C182" s="268"/>
      <c r="D182" s="268"/>
      <c r="E182" s="268"/>
      <c r="F182" s="268"/>
      <c r="G182" s="268"/>
      <c r="H182" s="283"/>
      <c r="I182" s="276"/>
      <c r="J182" s="265"/>
      <c r="K182" s="265"/>
      <c r="L182" s="265"/>
      <c r="M182" s="265"/>
      <c r="N182" s="280"/>
      <c r="O182" s="265"/>
      <c r="P182" s="265"/>
      <c r="Q182" s="265"/>
      <c r="R182" s="265"/>
      <c r="S182" s="265"/>
      <c r="T182" s="265"/>
      <c r="U182" s="265"/>
      <c r="V182" s="265"/>
      <c r="W182" s="265"/>
      <c r="X182" s="265"/>
      <c r="Y182" s="265"/>
      <c r="Z182" s="265"/>
    </row>
    <row r="183">
      <c r="A183" s="265"/>
      <c r="B183" s="265"/>
      <c r="C183" s="268"/>
      <c r="D183" s="268"/>
      <c r="E183" s="268"/>
      <c r="F183" s="268"/>
      <c r="G183" s="268"/>
      <c r="H183" s="283"/>
      <c r="I183" s="276"/>
      <c r="J183" s="265"/>
      <c r="K183" s="265"/>
      <c r="L183" s="265"/>
      <c r="M183" s="265"/>
      <c r="N183" s="280"/>
      <c r="O183" s="265"/>
      <c r="P183" s="265"/>
      <c r="Q183" s="265"/>
      <c r="R183" s="265"/>
      <c r="S183" s="265"/>
      <c r="T183" s="265"/>
      <c r="U183" s="265"/>
      <c r="V183" s="265"/>
      <c r="W183" s="265"/>
      <c r="X183" s="265"/>
      <c r="Y183" s="265"/>
      <c r="Z183" s="265"/>
    </row>
    <row r="184">
      <c r="A184" s="265"/>
      <c r="B184" s="265"/>
      <c r="C184" s="268"/>
      <c r="D184" s="268"/>
      <c r="E184" s="268"/>
      <c r="F184" s="268"/>
      <c r="G184" s="268"/>
      <c r="H184" s="283"/>
      <c r="I184" s="276"/>
      <c r="J184" s="265"/>
      <c r="K184" s="265"/>
      <c r="L184" s="265"/>
      <c r="M184" s="265"/>
      <c r="N184" s="280"/>
      <c r="O184" s="265"/>
      <c r="P184" s="265"/>
      <c r="Q184" s="265"/>
      <c r="R184" s="265"/>
      <c r="S184" s="265"/>
      <c r="T184" s="265"/>
      <c r="U184" s="265"/>
      <c r="V184" s="265"/>
      <c r="W184" s="265"/>
      <c r="X184" s="265"/>
      <c r="Y184" s="265"/>
      <c r="Z184" s="265"/>
    </row>
    <row r="185">
      <c r="A185" s="265"/>
      <c r="B185" s="265"/>
      <c r="C185" s="268"/>
      <c r="D185" s="268"/>
      <c r="E185" s="268"/>
      <c r="F185" s="268"/>
      <c r="G185" s="268"/>
      <c r="H185" s="283"/>
      <c r="I185" s="276"/>
      <c r="J185" s="265"/>
      <c r="K185" s="265"/>
      <c r="L185" s="265"/>
      <c r="M185" s="265"/>
      <c r="N185" s="280"/>
      <c r="O185" s="265"/>
      <c r="P185" s="265"/>
      <c r="Q185" s="265"/>
      <c r="R185" s="265"/>
      <c r="S185" s="265"/>
      <c r="T185" s="265"/>
      <c r="U185" s="265"/>
      <c r="V185" s="265"/>
      <c r="W185" s="265"/>
      <c r="X185" s="265"/>
      <c r="Y185" s="265"/>
      <c r="Z185" s="265"/>
    </row>
    <row r="186">
      <c r="A186" s="265"/>
      <c r="B186" s="265"/>
      <c r="C186" s="268"/>
      <c r="D186" s="268"/>
      <c r="E186" s="268"/>
      <c r="F186" s="268"/>
      <c r="G186" s="268"/>
      <c r="H186" s="283"/>
      <c r="I186" s="276"/>
      <c r="J186" s="265"/>
      <c r="K186" s="265"/>
      <c r="L186" s="265"/>
      <c r="M186" s="265"/>
      <c r="N186" s="280"/>
      <c r="O186" s="265"/>
      <c r="P186" s="265"/>
      <c r="Q186" s="265"/>
      <c r="R186" s="265"/>
      <c r="S186" s="265"/>
      <c r="T186" s="265"/>
      <c r="U186" s="265"/>
      <c r="V186" s="265"/>
      <c r="W186" s="265"/>
      <c r="X186" s="265"/>
      <c r="Y186" s="265"/>
      <c r="Z186" s="265"/>
    </row>
    <row r="187">
      <c r="A187" s="265"/>
      <c r="B187" s="265"/>
      <c r="C187" s="268"/>
      <c r="D187" s="268"/>
      <c r="E187" s="268"/>
      <c r="F187" s="268"/>
      <c r="G187" s="268"/>
      <c r="H187" s="283"/>
      <c r="I187" s="276"/>
      <c r="J187" s="265"/>
      <c r="K187" s="265"/>
      <c r="L187" s="265"/>
      <c r="M187" s="265"/>
      <c r="N187" s="280"/>
      <c r="O187" s="265"/>
      <c r="P187" s="265"/>
      <c r="Q187" s="265"/>
      <c r="R187" s="265"/>
      <c r="S187" s="265"/>
      <c r="T187" s="265"/>
      <c r="U187" s="265"/>
      <c r="V187" s="265"/>
      <c r="W187" s="265"/>
      <c r="X187" s="265"/>
      <c r="Y187" s="265"/>
      <c r="Z187" s="265"/>
    </row>
    <row r="188">
      <c r="A188" s="265"/>
      <c r="B188" s="265"/>
      <c r="C188" s="268"/>
      <c r="D188" s="268"/>
      <c r="E188" s="268"/>
      <c r="F188" s="268"/>
      <c r="G188" s="268"/>
      <c r="H188" s="283"/>
      <c r="I188" s="276"/>
      <c r="J188" s="265"/>
      <c r="K188" s="265"/>
      <c r="L188" s="265"/>
      <c r="M188" s="265"/>
      <c r="N188" s="280"/>
      <c r="O188" s="265"/>
      <c r="P188" s="265"/>
      <c r="Q188" s="265"/>
      <c r="R188" s="265"/>
      <c r="S188" s="265"/>
      <c r="T188" s="265"/>
      <c r="U188" s="265"/>
      <c r="V188" s="265"/>
      <c r="W188" s="265"/>
      <c r="X188" s="265"/>
      <c r="Y188" s="265"/>
      <c r="Z188" s="265"/>
    </row>
    <row r="189">
      <c r="A189" s="265"/>
      <c r="B189" s="265"/>
      <c r="C189" s="268"/>
      <c r="D189" s="268"/>
      <c r="E189" s="268"/>
      <c r="F189" s="268"/>
      <c r="G189" s="268"/>
      <c r="H189" s="283"/>
      <c r="I189" s="276"/>
      <c r="J189" s="265"/>
      <c r="K189" s="265"/>
      <c r="L189" s="265"/>
      <c r="M189" s="265"/>
      <c r="N189" s="280"/>
      <c r="O189" s="265"/>
      <c r="P189" s="265"/>
      <c r="Q189" s="265"/>
      <c r="R189" s="265"/>
      <c r="S189" s="265"/>
      <c r="T189" s="265"/>
      <c r="U189" s="265"/>
      <c r="V189" s="265"/>
      <c r="W189" s="265"/>
      <c r="X189" s="265"/>
      <c r="Y189" s="265"/>
      <c r="Z189" s="265"/>
    </row>
    <row r="190">
      <c r="A190" s="265"/>
      <c r="B190" s="265"/>
      <c r="C190" s="268"/>
      <c r="D190" s="268"/>
      <c r="E190" s="268"/>
      <c r="F190" s="268"/>
      <c r="G190" s="268"/>
      <c r="H190" s="283"/>
      <c r="I190" s="276"/>
      <c r="J190" s="265"/>
      <c r="K190" s="265"/>
      <c r="L190" s="265"/>
      <c r="M190" s="265"/>
      <c r="N190" s="280"/>
      <c r="O190" s="265"/>
      <c r="P190" s="265"/>
      <c r="Q190" s="265"/>
      <c r="R190" s="265"/>
      <c r="S190" s="265"/>
      <c r="T190" s="265"/>
      <c r="U190" s="265"/>
      <c r="V190" s="265"/>
      <c r="W190" s="265"/>
      <c r="X190" s="265"/>
      <c r="Y190" s="265"/>
      <c r="Z190" s="265"/>
    </row>
    <row r="191">
      <c r="A191" s="265"/>
      <c r="B191" s="265"/>
      <c r="C191" s="268"/>
      <c r="D191" s="268"/>
      <c r="E191" s="268"/>
      <c r="F191" s="268"/>
      <c r="G191" s="268"/>
      <c r="H191" s="283"/>
      <c r="I191" s="276"/>
      <c r="J191" s="265"/>
      <c r="K191" s="265"/>
      <c r="L191" s="265"/>
      <c r="M191" s="265"/>
      <c r="N191" s="280"/>
      <c r="O191" s="265"/>
      <c r="P191" s="265"/>
      <c r="Q191" s="265"/>
      <c r="R191" s="265"/>
      <c r="S191" s="265"/>
      <c r="T191" s="265"/>
      <c r="U191" s="265"/>
      <c r="V191" s="265"/>
      <c r="W191" s="265"/>
      <c r="X191" s="265"/>
      <c r="Y191" s="265"/>
      <c r="Z191" s="265"/>
    </row>
    <row r="192">
      <c r="A192" s="265"/>
      <c r="B192" s="265"/>
      <c r="C192" s="268"/>
      <c r="D192" s="268"/>
      <c r="E192" s="268"/>
      <c r="F192" s="268"/>
      <c r="G192" s="268"/>
      <c r="H192" s="283"/>
      <c r="I192" s="276"/>
      <c r="J192" s="265"/>
      <c r="K192" s="265"/>
      <c r="L192" s="265"/>
      <c r="M192" s="265"/>
      <c r="N192" s="280"/>
      <c r="O192" s="265"/>
      <c r="P192" s="265"/>
      <c r="Q192" s="265"/>
      <c r="R192" s="265"/>
      <c r="S192" s="265"/>
      <c r="T192" s="265"/>
      <c r="U192" s="265"/>
      <c r="V192" s="265"/>
      <c r="W192" s="265"/>
      <c r="X192" s="265"/>
      <c r="Y192" s="265"/>
      <c r="Z192" s="265"/>
    </row>
    <row r="193">
      <c r="A193" s="265"/>
      <c r="B193" s="265"/>
      <c r="C193" s="268"/>
      <c r="D193" s="268"/>
      <c r="E193" s="268"/>
      <c r="F193" s="268"/>
      <c r="G193" s="268"/>
      <c r="H193" s="283"/>
      <c r="I193" s="276"/>
      <c r="J193" s="265"/>
      <c r="K193" s="265"/>
      <c r="L193" s="265"/>
      <c r="M193" s="265"/>
      <c r="N193" s="280"/>
      <c r="O193" s="265"/>
      <c r="P193" s="265"/>
      <c r="Q193" s="265"/>
      <c r="R193" s="265"/>
      <c r="S193" s="265"/>
      <c r="T193" s="265"/>
      <c r="U193" s="265"/>
      <c r="V193" s="265"/>
      <c r="W193" s="265"/>
      <c r="X193" s="265"/>
      <c r="Y193" s="265"/>
      <c r="Z193" s="265"/>
    </row>
    <row r="194">
      <c r="A194" s="265"/>
      <c r="B194" s="265"/>
      <c r="C194" s="268"/>
      <c r="D194" s="268"/>
      <c r="E194" s="268"/>
      <c r="F194" s="268"/>
      <c r="G194" s="268"/>
      <c r="H194" s="283"/>
      <c r="I194" s="276"/>
      <c r="J194" s="265"/>
      <c r="K194" s="265"/>
      <c r="L194" s="265"/>
      <c r="M194" s="265"/>
      <c r="N194" s="280"/>
      <c r="O194" s="265"/>
      <c r="P194" s="265"/>
      <c r="Q194" s="265"/>
      <c r="R194" s="265"/>
      <c r="S194" s="265"/>
      <c r="T194" s="265"/>
      <c r="U194" s="265"/>
      <c r="V194" s="265"/>
      <c r="W194" s="265"/>
      <c r="X194" s="265"/>
      <c r="Y194" s="265"/>
      <c r="Z194" s="265"/>
    </row>
    <row r="195">
      <c r="A195" s="265"/>
      <c r="B195" s="265"/>
      <c r="C195" s="268"/>
      <c r="D195" s="268"/>
      <c r="E195" s="268"/>
      <c r="F195" s="268"/>
      <c r="G195" s="268"/>
      <c r="H195" s="283"/>
      <c r="I195" s="276"/>
      <c r="J195" s="265"/>
      <c r="K195" s="265"/>
      <c r="L195" s="265"/>
      <c r="M195" s="265"/>
      <c r="N195" s="280"/>
      <c r="O195" s="265"/>
      <c r="P195" s="265"/>
      <c r="Q195" s="265"/>
      <c r="R195" s="265"/>
      <c r="S195" s="265"/>
      <c r="T195" s="265"/>
      <c r="U195" s="265"/>
      <c r="V195" s="265"/>
      <c r="W195" s="265"/>
      <c r="X195" s="265"/>
      <c r="Y195" s="265"/>
      <c r="Z195" s="265"/>
    </row>
    <row r="196">
      <c r="A196" s="265"/>
      <c r="B196" s="265"/>
      <c r="C196" s="268"/>
      <c r="D196" s="268"/>
      <c r="E196" s="268"/>
      <c r="F196" s="268"/>
      <c r="G196" s="268"/>
      <c r="H196" s="283"/>
      <c r="I196" s="276"/>
      <c r="J196" s="265"/>
      <c r="K196" s="265"/>
      <c r="L196" s="265"/>
      <c r="M196" s="265"/>
      <c r="N196" s="280"/>
      <c r="O196" s="265"/>
      <c r="P196" s="265"/>
      <c r="Q196" s="265"/>
      <c r="R196" s="265"/>
      <c r="S196" s="265"/>
      <c r="T196" s="265"/>
      <c r="U196" s="265"/>
      <c r="V196" s="265"/>
      <c r="W196" s="265"/>
      <c r="X196" s="265"/>
      <c r="Y196" s="265"/>
      <c r="Z196" s="265"/>
    </row>
    <row r="197">
      <c r="A197" s="265"/>
      <c r="B197" s="265"/>
      <c r="C197" s="268"/>
      <c r="D197" s="268"/>
      <c r="E197" s="268"/>
      <c r="F197" s="268"/>
      <c r="G197" s="268"/>
      <c r="H197" s="283"/>
      <c r="I197" s="276"/>
      <c r="J197" s="265"/>
      <c r="K197" s="265"/>
      <c r="L197" s="265"/>
      <c r="M197" s="265"/>
      <c r="N197" s="280"/>
      <c r="O197" s="265"/>
      <c r="P197" s="265"/>
      <c r="Q197" s="265"/>
      <c r="R197" s="265"/>
      <c r="S197" s="265"/>
      <c r="T197" s="265"/>
      <c r="U197" s="265"/>
      <c r="V197" s="265"/>
      <c r="W197" s="265"/>
      <c r="X197" s="265"/>
      <c r="Y197" s="265"/>
      <c r="Z197" s="265"/>
    </row>
    <row r="198">
      <c r="A198" s="265"/>
      <c r="B198" s="265"/>
      <c r="C198" s="268"/>
      <c r="D198" s="268"/>
      <c r="E198" s="268"/>
      <c r="F198" s="268"/>
      <c r="G198" s="268"/>
      <c r="H198" s="283"/>
      <c r="I198" s="276"/>
      <c r="J198" s="265"/>
      <c r="K198" s="265"/>
      <c r="L198" s="265"/>
      <c r="M198" s="265"/>
      <c r="N198" s="280"/>
      <c r="O198" s="265"/>
      <c r="P198" s="265"/>
      <c r="Q198" s="265"/>
      <c r="R198" s="265"/>
      <c r="S198" s="265"/>
      <c r="T198" s="265"/>
      <c r="U198" s="265"/>
      <c r="V198" s="265"/>
      <c r="W198" s="265"/>
      <c r="X198" s="265"/>
      <c r="Y198" s="265"/>
      <c r="Z198" s="265"/>
    </row>
    <row r="199">
      <c r="A199" s="265"/>
      <c r="B199" s="265"/>
      <c r="C199" s="268"/>
      <c r="D199" s="268"/>
      <c r="E199" s="268"/>
      <c r="F199" s="268"/>
      <c r="G199" s="268"/>
      <c r="H199" s="283"/>
      <c r="I199" s="276"/>
      <c r="J199" s="265"/>
      <c r="K199" s="265"/>
      <c r="L199" s="265"/>
      <c r="M199" s="265"/>
      <c r="N199" s="280"/>
      <c r="O199" s="265"/>
      <c r="P199" s="265"/>
      <c r="Q199" s="265"/>
      <c r="R199" s="265"/>
      <c r="S199" s="265"/>
      <c r="T199" s="265"/>
      <c r="U199" s="265"/>
      <c r="V199" s="265"/>
      <c r="W199" s="265"/>
      <c r="X199" s="265"/>
      <c r="Y199" s="265"/>
      <c r="Z199" s="265"/>
    </row>
    <row r="200">
      <c r="A200" s="265"/>
      <c r="B200" s="265"/>
      <c r="C200" s="268"/>
      <c r="D200" s="268"/>
      <c r="E200" s="268"/>
      <c r="F200" s="268"/>
      <c r="G200" s="268"/>
      <c r="H200" s="283"/>
      <c r="I200" s="276"/>
      <c r="J200" s="265"/>
      <c r="K200" s="265"/>
      <c r="L200" s="265"/>
      <c r="M200" s="265"/>
      <c r="N200" s="280"/>
      <c r="O200" s="265"/>
      <c r="P200" s="265"/>
      <c r="Q200" s="265"/>
      <c r="R200" s="265"/>
      <c r="S200" s="265"/>
      <c r="T200" s="265"/>
      <c r="U200" s="265"/>
      <c r="V200" s="265"/>
      <c r="W200" s="265"/>
      <c r="X200" s="265"/>
      <c r="Y200" s="265"/>
      <c r="Z200" s="265"/>
    </row>
    <row r="201">
      <c r="A201" s="265"/>
      <c r="B201" s="265"/>
      <c r="C201" s="268"/>
      <c r="D201" s="268"/>
      <c r="E201" s="268"/>
      <c r="F201" s="268"/>
      <c r="G201" s="268"/>
      <c r="H201" s="283"/>
      <c r="I201" s="276"/>
      <c r="J201" s="265"/>
      <c r="K201" s="265"/>
      <c r="L201" s="265"/>
      <c r="M201" s="265"/>
      <c r="N201" s="280"/>
      <c r="O201" s="265"/>
      <c r="P201" s="265"/>
      <c r="Q201" s="265"/>
      <c r="R201" s="265"/>
      <c r="S201" s="265"/>
      <c r="T201" s="265"/>
      <c r="U201" s="265"/>
      <c r="V201" s="265"/>
      <c r="W201" s="265"/>
      <c r="X201" s="265"/>
      <c r="Y201" s="265"/>
      <c r="Z201" s="265"/>
    </row>
    <row r="202">
      <c r="A202" s="265"/>
      <c r="B202" s="265"/>
      <c r="C202" s="268"/>
      <c r="D202" s="268"/>
      <c r="E202" s="268"/>
      <c r="F202" s="268"/>
      <c r="G202" s="268"/>
      <c r="H202" s="283"/>
      <c r="I202" s="276"/>
      <c r="J202" s="265"/>
      <c r="K202" s="265"/>
      <c r="L202" s="265"/>
      <c r="M202" s="265"/>
      <c r="N202" s="280"/>
      <c r="O202" s="265"/>
      <c r="P202" s="265"/>
      <c r="Q202" s="265"/>
      <c r="R202" s="265"/>
      <c r="S202" s="265"/>
      <c r="T202" s="265"/>
      <c r="U202" s="265"/>
      <c r="V202" s="265"/>
      <c r="W202" s="265"/>
      <c r="X202" s="265"/>
      <c r="Y202" s="265"/>
      <c r="Z202" s="265"/>
    </row>
    <row r="203">
      <c r="A203" s="265"/>
      <c r="B203" s="265"/>
      <c r="C203" s="268"/>
      <c r="D203" s="268"/>
      <c r="E203" s="268"/>
      <c r="F203" s="268"/>
      <c r="G203" s="268"/>
      <c r="H203" s="283"/>
      <c r="I203" s="276"/>
      <c r="J203" s="265"/>
      <c r="K203" s="265"/>
      <c r="L203" s="265"/>
      <c r="M203" s="265"/>
      <c r="N203" s="280"/>
      <c r="O203" s="265"/>
      <c r="P203" s="265"/>
      <c r="Q203" s="265"/>
      <c r="R203" s="265"/>
      <c r="S203" s="265"/>
      <c r="T203" s="265"/>
      <c r="U203" s="265"/>
      <c r="V203" s="265"/>
      <c r="W203" s="265"/>
      <c r="X203" s="265"/>
      <c r="Y203" s="265"/>
      <c r="Z203" s="265"/>
    </row>
    <row r="204">
      <c r="A204" s="265"/>
      <c r="B204" s="265"/>
      <c r="C204" s="268"/>
      <c r="D204" s="268"/>
      <c r="E204" s="268"/>
      <c r="F204" s="268"/>
      <c r="G204" s="268"/>
      <c r="H204" s="283"/>
      <c r="I204" s="276"/>
      <c r="J204" s="265"/>
      <c r="K204" s="265"/>
      <c r="L204" s="265"/>
      <c r="M204" s="265"/>
      <c r="N204" s="280"/>
      <c r="O204" s="265"/>
      <c r="P204" s="265"/>
      <c r="Q204" s="265"/>
      <c r="R204" s="265"/>
      <c r="S204" s="265"/>
      <c r="T204" s="265"/>
      <c r="U204" s="265"/>
      <c r="V204" s="265"/>
      <c r="W204" s="265"/>
      <c r="X204" s="265"/>
      <c r="Y204" s="265"/>
      <c r="Z204" s="265"/>
    </row>
    <row r="205">
      <c r="A205" s="265"/>
      <c r="B205" s="265"/>
      <c r="C205" s="268"/>
      <c r="D205" s="268"/>
      <c r="E205" s="268"/>
      <c r="F205" s="268"/>
      <c r="G205" s="268"/>
      <c r="H205" s="283"/>
      <c r="I205" s="276"/>
      <c r="J205" s="265"/>
      <c r="K205" s="265"/>
      <c r="L205" s="265"/>
      <c r="M205" s="265"/>
      <c r="N205" s="280"/>
      <c r="O205" s="265"/>
      <c r="P205" s="265"/>
      <c r="Q205" s="265"/>
      <c r="R205" s="265"/>
      <c r="S205" s="265"/>
      <c r="T205" s="265"/>
      <c r="U205" s="265"/>
      <c r="V205" s="265"/>
      <c r="W205" s="265"/>
      <c r="X205" s="265"/>
      <c r="Y205" s="265"/>
      <c r="Z205" s="265"/>
    </row>
    <row r="206">
      <c r="A206" s="265"/>
      <c r="B206" s="265"/>
      <c r="C206" s="268"/>
      <c r="D206" s="268"/>
      <c r="E206" s="268"/>
      <c r="F206" s="268"/>
      <c r="G206" s="268"/>
      <c r="H206" s="283"/>
      <c r="I206" s="276"/>
      <c r="J206" s="265"/>
      <c r="K206" s="265"/>
      <c r="L206" s="265"/>
      <c r="M206" s="265"/>
      <c r="N206" s="280"/>
      <c r="O206" s="265"/>
      <c r="P206" s="265"/>
      <c r="Q206" s="265"/>
      <c r="R206" s="265"/>
      <c r="S206" s="265"/>
      <c r="T206" s="265"/>
      <c r="U206" s="265"/>
      <c r="V206" s="265"/>
      <c r="W206" s="265"/>
      <c r="X206" s="265"/>
      <c r="Y206" s="265"/>
      <c r="Z206" s="265"/>
    </row>
    <row r="207">
      <c r="A207" s="265"/>
      <c r="B207" s="265"/>
      <c r="C207" s="268"/>
      <c r="D207" s="268"/>
      <c r="E207" s="268"/>
      <c r="F207" s="268"/>
      <c r="G207" s="268"/>
      <c r="H207" s="283"/>
      <c r="I207" s="276"/>
      <c r="J207" s="265"/>
      <c r="K207" s="265"/>
      <c r="L207" s="265"/>
      <c r="M207" s="265"/>
      <c r="N207" s="280"/>
      <c r="O207" s="265"/>
      <c r="P207" s="265"/>
      <c r="Q207" s="265"/>
      <c r="R207" s="265"/>
      <c r="S207" s="265"/>
      <c r="T207" s="265"/>
      <c r="U207" s="265"/>
      <c r="V207" s="265"/>
      <c r="W207" s="265"/>
      <c r="X207" s="265"/>
      <c r="Y207" s="265"/>
      <c r="Z207" s="265"/>
    </row>
    <row r="208">
      <c r="A208" s="265"/>
      <c r="B208" s="265"/>
      <c r="C208" s="268"/>
      <c r="D208" s="268"/>
      <c r="E208" s="268"/>
      <c r="F208" s="268"/>
      <c r="G208" s="268"/>
      <c r="H208" s="283"/>
      <c r="I208" s="276"/>
      <c r="J208" s="265"/>
      <c r="K208" s="265"/>
      <c r="L208" s="265"/>
      <c r="M208" s="265"/>
      <c r="N208" s="280"/>
      <c r="O208" s="265"/>
      <c r="P208" s="265"/>
      <c r="Q208" s="265"/>
      <c r="R208" s="265"/>
      <c r="S208" s="265"/>
      <c r="T208" s="265"/>
      <c r="U208" s="265"/>
      <c r="V208" s="265"/>
      <c r="W208" s="265"/>
      <c r="X208" s="265"/>
      <c r="Y208" s="265"/>
      <c r="Z208" s="265"/>
    </row>
    <row r="209">
      <c r="A209" s="265"/>
      <c r="B209" s="265"/>
      <c r="C209" s="268"/>
      <c r="D209" s="268"/>
      <c r="E209" s="268"/>
      <c r="F209" s="268"/>
      <c r="G209" s="268"/>
      <c r="H209" s="283"/>
      <c r="I209" s="276"/>
      <c r="J209" s="265"/>
      <c r="K209" s="265"/>
      <c r="L209" s="265"/>
      <c r="M209" s="265"/>
      <c r="N209" s="280"/>
      <c r="O209" s="265"/>
      <c r="P209" s="265"/>
      <c r="Q209" s="265"/>
      <c r="R209" s="265"/>
      <c r="S209" s="265"/>
      <c r="T209" s="265"/>
      <c r="U209" s="265"/>
      <c r="V209" s="265"/>
      <c r="W209" s="265"/>
      <c r="X209" s="265"/>
      <c r="Y209" s="265"/>
      <c r="Z209" s="265"/>
    </row>
    <row r="210">
      <c r="A210" s="265"/>
      <c r="B210" s="265"/>
      <c r="C210" s="268"/>
      <c r="D210" s="268"/>
      <c r="E210" s="268"/>
      <c r="F210" s="268"/>
      <c r="G210" s="268"/>
      <c r="H210" s="283"/>
      <c r="I210" s="276"/>
      <c r="J210" s="265"/>
      <c r="K210" s="265"/>
      <c r="L210" s="265"/>
      <c r="M210" s="265"/>
      <c r="N210" s="280"/>
      <c r="O210" s="265"/>
      <c r="P210" s="265"/>
      <c r="Q210" s="265"/>
      <c r="R210" s="265"/>
      <c r="S210" s="265"/>
      <c r="T210" s="265"/>
      <c r="U210" s="265"/>
      <c r="V210" s="265"/>
      <c r="W210" s="265"/>
      <c r="X210" s="265"/>
      <c r="Y210" s="265"/>
      <c r="Z210" s="265"/>
    </row>
    <row r="211">
      <c r="A211" s="265"/>
      <c r="B211" s="265"/>
      <c r="C211" s="268"/>
      <c r="D211" s="268"/>
      <c r="E211" s="268"/>
      <c r="F211" s="268"/>
      <c r="G211" s="268"/>
      <c r="H211" s="283"/>
      <c r="I211" s="276"/>
      <c r="J211" s="265"/>
      <c r="K211" s="265"/>
      <c r="L211" s="265"/>
      <c r="M211" s="265"/>
      <c r="N211" s="280"/>
      <c r="O211" s="265"/>
      <c r="P211" s="265"/>
      <c r="Q211" s="265"/>
      <c r="R211" s="265"/>
      <c r="S211" s="265"/>
      <c r="T211" s="265"/>
      <c r="U211" s="265"/>
      <c r="V211" s="265"/>
      <c r="W211" s="265"/>
      <c r="X211" s="265"/>
      <c r="Y211" s="265"/>
      <c r="Z211" s="265"/>
    </row>
    <row r="212">
      <c r="A212" s="265"/>
      <c r="B212" s="265"/>
      <c r="C212" s="268"/>
      <c r="D212" s="268"/>
      <c r="E212" s="268"/>
      <c r="F212" s="268"/>
      <c r="G212" s="268"/>
      <c r="H212" s="283"/>
      <c r="I212" s="276"/>
      <c r="J212" s="265"/>
      <c r="K212" s="265"/>
      <c r="L212" s="265"/>
      <c r="M212" s="265"/>
      <c r="N212" s="280"/>
      <c r="O212" s="265"/>
      <c r="P212" s="265"/>
      <c r="Q212" s="265"/>
      <c r="R212" s="265"/>
      <c r="S212" s="265"/>
      <c r="T212" s="265"/>
      <c r="U212" s="265"/>
      <c r="V212" s="265"/>
      <c r="W212" s="265"/>
      <c r="X212" s="265"/>
      <c r="Y212" s="265"/>
      <c r="Z212" s="265"/>
    </row>
    <row r="213">
      <c r="A213" s="265"/>
      <c r="B213" s="265"/>
      <c r="C213" s="268"/>
      <c r="D213" s="268"/>
      <c r="E213" s="268"/>
      <c r="F213" s="268"/>
      <c r="G213" s="268"/>
      <c r="H213" s="283"/>
      <c r="I213" s="276"/>
      <c r="J213" s="265"/>
      <c r="K213" s="265"/>
      <c r="L213" s="265"/>
      <c r="M213" s="265"/>
      <c r="N213" s="280"/>
      <c r="O213" s="265"/>
      <c r="P213" s="265"/>
      <c r="Q213" s="265"/>
      <c r="R213" s="265"/>
      <c r="S213" s="265"/>
      <c r="T213" s="265"/>
      <c r="U213" s="265"/>
      <c r="V213" s="265"/>
      <c r="W213" s="265"/>
      <c r="X213" s="265"/>
      <c r="Y213" s="265"/>
      <c r="Z213" s="265"/>
    </row>
    <row r="214">
      <c r="A214" s="265"/>
      <c r="B214" s="265"/>
      <c r="C214" s="268"/>
      <c r="D214" s="268"/>
      <c r="E214" s="268"/>
      <c r="F214" s="268"/>
      <c r="G214" s="268"/>
      <c r="H214" s="283"/>
      <c r="I214" s="276"/>
      <c r="J214" s="265"/>
      <c r="K214" s="265"/>
      <c r="L214" s="265"/>
      <c r="M214" s="265"/>
      <c r="N214" s="280"/>
      <c r="O214" s="265"/>
      <c r="P214" s="265"/>
      <c r="Q214" s="265"/>
      <c r="R214" s="265"/>
      <c r="S214" s="265"/>
      <c r="T214" s="265"/>
      <c r="U214" s="265"/>
      <c r="V214" s="265"/>
      <c r="W214" s="265"/>
      <c r="X214" s="265"/>
      <c r="Y214" s="265"/>
      <c r="Z214" s="265"/>
    </row>
    <row r="215">
      <c r="A215" s="265"/>
      <c r="B215" s="265"/>
      <c r="C215" s="268"/>
      <c r="D215" s="268"/>
      <c r="E215" s="268"/>
      <c r="F215" s="268"/>
      <c r="G215" s="268"/>
      <c r="H215" s="283"/>
      <c r="I215" s="276"/>
      <c r="J215" s="265"/>
      <c r="K215" s="265"/>
      <c r="L215" s="265"/>
      <c r="M215" s="265"/>
      <c r="N215" s="280"/>
      <c r="O215" s="265"/>
      <c r="P215" s="265"/>
      <c r="Q215" s="265"/>
      <c r="R215" s="265"/>
      <c r="S215" s="265"/>
      <c r="T215" s="265"/>
      <c r="U215" s="265"/>
      <c r="V215" s="265"/>
      <c r="W215" s="265"/>
      <c r="X215" s="265"/>
      <c r="Y215" s="265"/>
      <c r="Z215" s="265"/>
    </row>
    <row r="216">
      <c r="A216" s="265"/>
      <c r="B216" s="265"/>
      <c r="C216" s="268"/>
      <c r="D216" s="268"/>
      <c r="E216" s="268"/>
      <c r="F216" s="268"/>
      <c r="G216" s="268"/>
      <c r="H216" s="283"/>
      <c r="I216" s="276"/>
      <c r="J216" s="265"/>
      <c r="K216" s="265"/>
      <c r="L216" s="265"/>
      <c r="M216" s="265"/>
      <c r="N216" s="280"/>
      <c r="O216" s="265"/>
      <c r="P216" s="265"/>
      <c r="Q216" s="265"/>
      <c r="R216" s="265"/>
      <c r="S216" s="265"/>
      <c r="T216" s="265"/>
      <c r="U216" s="265"/>
      <c r="V216" s="265"/>
      <c r="W216" s="265"/>
      <c r="X216" s="265"/>
      <c r="Y216" s="265"/>
      <c r="Z216" s="265"/>
    </row>
    <row r="217">
      <c r="A217" s="265"/>
      <c r="B217" s="265"/>
      <c r="C217" s="268"/>
      <c r="D217" s="268"/>
      <c r="E217" s="268"/>
      <c r="F217" s="268"/>
      <c r="G217" s="268"/>
      <c r="H217" s="283"/>
      <c r="I217" s="276"/>
      <c r="J217" s="265"/>
      <c r="K217" s="265"/>
      <c r="L217" s="265"/>
      <c r="M217" s="265"/>
      <c r="N217" s="280"/>
      <c r="O217" s="265"/>
      <c r="P217" s="265"/>
      <c r="Q217" s="265"/>
      <c r="R217" s="265"/>
      <c r="S217" s="265"/>
      <c r="T217" s="265"/>
      <c r="U217" s="265"/>
      <c r="V217" s="265"/>
      <c r="W217" s="265"/>
      <c r="X217" s="265"/>
      <c r="Y217" s="265"/>
      <c r="Z217" s="265"/>
    </row>
    <row r="218">
      <c r="A218" s="265"/>
      <c r="B218" s="265"/>
      <c r="C218" s="268"/>
      <c r="D218" s="268"/>
      <c r="E218" s="268"/>
      <c r="F218" s="268"/>
      <c r="G218" s="268"/>
      <c r="H218" s="283"/>
      <c r="I218" s="276"/>
      <c r="J218" s="265"/>
      <c r="K218" s="265"/>
      <c r="L218" s="265"/>
      <c r="M218" s="265"/>
      <c r="N218" s="280"/>
      <c r="O218" s="265"/>
      <c r="P218" s="265"/>
      <c r="Q218" s="265"/>
      <c r="R218" s="265"/>
      <c r="S218" s="265"/>
      <c r="T218" s="265"/>
      <c r="U218" s="265"/>
      <c r="V218" s="265"/>
      <c r="W218" s="265"/>
      <c r="X218" s="265"/>
      <c r="Y218" s="265"/>
      <c r="Z218" s="265"/>
    </row>
    <row r="219">
      <c r="A219" s="265"/>
      <c r="B219" s="265"/>
      <c r="C219" s="268"/>
      <c r="D219" s="268"/>
      <c r="E219" s="268"/>
      <c r="F219" s="268"/>
      <c r="G219" s="268"/>
      <c r="H219" s="283"/>
      <c r="I219" s="276"/>
      <c r="J219" s="265"/>
      <c r="K219" s="265"/>
      <c r="L219" s="265"/>
      <c r="M219" s="265"/>
      <c r="N219" s="280"/>
      <c r="O219" s="265"/>
      <c r="P219" s="265"/>
      <c r="Q219" s="265"/>
      <c r="R219" s="265"/>
      <c r="S219" s="265"/>
      <c r="T219" s="265"/>
      <c r="U219" s="265"/>
      <c r="V219" s="265"/>
      <c r="W219" s="265"/>
      <c r="X219" s="265"/>
      <c r="Y219" s="265"/>
      <c r="Z219" s="265"/>
    </row>
    <row r="220">
      <c r="A220" s="265"/>
      <c r="B220" s="265"/>
      <c r="C220" s="268"/>
      <c r="D220" s="268"/>
      <c r="E220" s="268"/>
      <c r="F220" s="268"/>
      <c r="G220" s="268"/>
      <c r="H220" s="283"/>
      <c r="I220" s="276"/>
      <c r="J220" s="265"/>
      <c r="K220" s="265"/>
      <c r="L220" s="265"/>
      <c r="M220" s="265"/>
      <c r="N220" s="280"/>
      <c r="O220" s="265"/>
      <c r="P220" s="265"/>
      <c r="Q220" s="265"/>
      <c r="R220" s="265"/>
      <c r="S220" s="265"/>
      <c r="T220" s="265"/>
      <c r="U220" s="265"/>
      <c r="V220" s="265"/>
      <c r="W220" s="265"/>
      <c r="X220" s="265"/>
      <c r="Y220" s="265"/>
      <c r="Z220" s="265"/>
    </row>
    <row r="221">
      <c r="A221" s="265"/>
      <c r="B221" s="265"/>
      <c r="C221" s="268"/>
      <c r="D221" s="268"/>
      <c r="E221" s="268"/>
      <c r="F221" s="268"/>
      <c r="G221" s="268"/>
      <c r="H221" s="283"/>
      <c r="I221" s="276"/>
      <c r="J221" s="265"/>
      <c r="K221" s="265"/>
      <c r="L221" s="265"/>
      <c r="M221" s="265"/>
      <c r="N221" s="280"/>
      <c r="O221" s="265"/>
      <c r="P221" s="265"/>
      <c r="Q221" s="265"/>
      <c r="R221" s="265"/>
      <c r="S221" s="265"/>
      <c r="T221" s="265"/>
      <c r="U221" s="265"/>
      <c r="V221" s="265"/>
      <c r="W221" s="265"/>
      <c r="X221" s="265"/>
      <c r="Y221" s="265"/>
      <c r="Z221" s="265"/>
    </row>
    <row r="222">
      <c r="A222" s="265"/>
      <c r="B222" s="265"/>
      <c r="C222" s="268"/>
      <c r="D222" s="268"/>
      <c r="E222" s="268"/>
      <c r="F222" s="268"/>
      <c r="G222" s="268"/>
      <c r="H222" s="283"/>
      <c r="I222" s="276"/>
      <c r="J222" s="265"/>
      <c r="K222" s="265"/>
      <c r="L222" s="265"/>
      <c r="M222" s="265"/>
      <c r="N222" s="280"/>
      <c r="O222" s="265"/>
      <c r="P222" s="265"/>
      <c r="Q222" s="265"/>
      <c r="R222" s="265"/>
      <c r="S222" s="265"/>
      <c r="T222" s="265"/>
      <c r="U222" s="265"/>
      <c r="V222" s="265"/>
      <c r="W222" s="265"/>
      <c r="X222" s="265"/>
      <c r="Y222" s="265"/>
      <c r="Z222" s="265"/>
    </row>
    <row r="223">
      <c r="A223" s="265"/>
      <c r="B223" s="265"/>
      <c r="C223" s="268"/>
      <c r="D223" s="268"/>
      <c r="E223" s="268"/>
      <c r="F223" s="268"/>
      <c r="G223" s="268"/>
      <c r="H223" s="283"/>
      <c r="I223" s="276"/>
      <c r="J223" s="265"/>
      <c r="K223" s="265"/>
      <c r="L223" s="265"/>
      <c r="M223" s="265"/>
      <c r="N223" s="280"/>
      <c r="O223" s="265"/>
      <c r="P223" s="265"/>
      <c r="Q223" s="265"/>
      <c r="R223" s="265"/>
      <c r="S223" s="265"/>
      <c r="T223" s="265"/>
      <c r="U223" s="265"/>
      <c r="V223" s="265"/>
      <c r="W223" s="265"/>
      <c r="X223" s="265"/>
      <c r="Y223" s="265"/>
      <c r="Z223" s="265"/>
    </row>
    <row r="224">
      <c r="A224" s="265"/>
      <c r="B224" s="265"/>
      <c r="C224" s="268"/>
      <c r="D224" s="268"/>
      <c r="E224" s="268"/>
      <c r="F224" s="268"/>
      <c r="G224" s="268"/>
      <c r="H224" s="283"/>
      <c r="I224" s="276"/>
      <c r="J224" s="265"/>
      <c r="K224" s="265"/>
      <c r="L224" s="265"/>
      <c r="M224" s="265"/>
      <c r="N224" s="280"/>
      <c r="O224" s="265"/>
      <c r="P224" s="265"/>
      <c r="Q224" s="265"/>
      <c r="R224" s="265"/>
      <c r="S224" s="265"/>
      <c r="T224" s="265"/>
      <c r="U224" s="265"/>
      <c r="V224" s="265"/>
      <c r="W224" s="265"/>
      <c r="X224" s="265"/>
      <c r="Y224" s="265"/>
      <c r="Z224" s="265"/>
    </row>
    <row r="225">
      <c r="A225" s="265"/>
      <c r="B225" s="265"/>
      <c r="C225" s="268"/>
      <c r="D225" s="268"/>
      <c r="E225" s="268"/>
      <c r="F225" s="268"/>
      <c r="G225" s="268"/>
      <c r="H225" s="283"/>
      <c r="I225" s="276"/>
      <c r="J225" s="265"/>
      <c r="K225" s="265"/>
      <c r="L225" s="265"/>
      <c r="M225" s="265"/>
      <c r="N225" s="280"/>
      <c r="O225" s="265"/>
      <c r="P225" s="265"/>
      <c r="Q225" s="265"/>
      <c r="R225" s="265"/>
      <c r="S225" s="265"/>
      <c r="T225" s="265"/>
      <c r="U225" s="265"/>
      <c r="V225" s="265"/>
      <c r="W225" s="265"/>
      <c r="X225" s="265"/>
      <c r="Y225" s="265"/>
      <c r="Z225" s="265"/>
    </row>
    <row r="226">
      <c r="A226" s="265"/>
      <c r="B226" s="265"/>
      <c r="C226" s="268"/>
      <c r="D226" s="268"/>
      <c r="E226" s="268"/>
      <c r="F226" s="268"/>
      <c r="G226" s="268"/>
      <c r="H226" s="283"/>
      <c r="I226" s="276"/>
      <c r="J226" s="265"/>
      <c r="K226" s="265"/>
      <c r="L226" s="265"/>
      <c r="M226" s="265"/>
      <c r="N226" s="280"/>
      <c r="O226" s="265"/>
      <c r="P226" s="265"/>
      <c r="Q226" s="265"/>
      <c r="R226" s="265"/>
      <c r="S226" s="265"/>
      <c r="T226" s="265"/>
      <c r="U226" s="265"/>
      <c r="V226" s="265"/>
      <c r="W226" s="265"/>
      <c r="X226" s="265"/>
      <c r="Y226" s="265"/>
      <c r="Z226" s="265"/>
    </row>
    <row r="227">
      <c r="A227" s="265"/>
      <c r="B227" s="265"/>
      <c r="C227" s="268"/>
      <c r="D227" s="268"/>
      <c r="E227" s="268"/>
      <c r="F227" s="268"/>
      <c r="G227" s="268"/>
      <c r="H227" s="283"/>
      <c r="I227" s="276"/>
      <c r="J227" s="265"/>
      <c r="K227" s="265"/>
      <c r="L227" s="265"/>
      <c r="M227" s="265"/>
      <c r="N227" s="280"/>
      <c r="O227" s="265"/>
      <c r="P227" s="265"/>
      <c r="Q227" s="265"/>
      <c r="R227" s="265"/>
      <c r="S227" s="265"/>
      <c r="T227" s="265"/>
      <c r="U227" s="265"/>
      <c r="V227" s="265"/>
      <c r="W227" s="265"/>
      <c r="X227" s="265"/>
      <c r="Y227" s="265"/>
      <c r="Z227" s="265"/>
    </row>
    <row r="228">
      <c r="A228" s="265"/>
      <c r="B228" s="265"/>
      <c r="C228" s="268"/>
      <c r="D228" s="268"/>
      <c r="E228" s="268"/>
      <c r="F228" s="268"/>
      <c r="G228" s="268"/>
      <c r="H228" s="283"/>
      <c r="I228" s="276"/>
      <c r="J228" s="265"/>
      <c r="K228" s="265"/>
      <c r="L228" s="265"/>
      <c r="M228" s="265"/>
      <c r="N228" s="280"/>
      <c r="O228" s="265"/>
      <c r="P228" s="265"/>
      <c r="Q228" s="265"/>
      <c r="R228" s="265"/>
      <c r="S228" s="265"/>
      <c r="T228" s="265"/>
      <c r="U228" s="265"/>
      <c r="V228" s="265"/>
      <c r="W228" s="265"/>
      <c r="X228" s="265"/>
      <c r="Y228" s="265"/>
      <c r="Z228" s="265"/>
    </row>
    <row r="229">
      <c r="A229" s="265"/>
      <c r="B229" s="265"/>
      <c r="C229" s="268"/>
      <c r="D229" s="268"/>
      <c r="E229" s="268"/>
      <c r="F229" s="268"/>
      <c r="G229" s="268"/>
      <c r="H229" s="283"/>
      <c r="I229" s="276"/>
      <c r="J229" s="265"/>
      <c r="K229" s="265"/>
      <c r="L229" s="265"/>
      <c r="M229" s="265"/>
      <c r="N229" s="280"/>
      <c r="O229" s="265"/>
      <c r="P229" s="265"/>
      <c r="Q229" s="265"/>
      <c r="R229" s="265"/>
      <c r="S229" s="265"/>
      <c r="T229" s="265"/>
      <c r="U229" s="265"/>
      <c r="V229" s="265"/>
      <c r="W229" s="265"/>
      <c r="X229" s="265"/>
      <c r="Y229" s="265"/>
      <c r="Z229" s="265"/>
    </row>
    <row r="230">
      <c r="A230" s="265"/>
      <c r="B230" s="265"/>
      <c r="C230" s="268"/>
      <c r="D230" s="268"/>
      <c r="E230" s="268"/>
      <c r="F230" s="268"/>
      <c r="G230" s="268"/>
      <c r="H230" s="283"/>
      <c r="I230" s="276"/>
      <c r="J230" s="265"/>
      <c r="K230" s="265"/>
      <c r="L230" s="265"/>
      <c r="M230" s="265"/>
      <c r="N230" s="280"/>
      <c r="O230" s="265"/>
      <c r="P230" s="265"/>
      <c r="Q230" s="265"/>
      <c r="R230" s="265"/>
      <c r="S230" s="265"/>
      <c r="T230" s="265"/>
      <c r="U230" s="265"/>
      <c r="V230" s="265"/>
      <c r="W230" s="265"/>
      <c r="X230" s="265"/>
      <c r="Y230" s="265"/>
      <c r="Z230" s="265"/>
    </row>
    <row r="231">
      <c r="A231" s="265"/>
      <c r="B231" s="265"/>
      <c r="C231" s="268"/>
      <c r="D231" s="268"/>
      <c r="E231" s="268"/>
      <c r="F231" s="268"/>
      <c r="G231" s="268"/>
      <c r="H231" s="283"/>
      <c r="I231" s="276"/>
      <c r="J231" s="265"/>
      <c r="K231" s="265"/>
      <c r="L231" s="265"/>
      <c r="M231" s="265"/>
      <c r="N231" s="280"/>
      <c r="O231" s="265"/>
      <c r="P231" s="265"/>
      <c r="Q231" s="265"/>
      <c r="R231" s="265"/>
      <c r="S231" s="265"/>
      <c r="T231" s="265"/>
      <c r="U231" s="265"/>
      <c r="V231" s="265"/>
      <c r="W231" s="265"/>
      <c r="X231" s="265"/>
      <c r="Y231" s="265"/>
      <c r="Z231" s="265"/>
    </row>
    <row r="232">
      <c r="A232" s="265"/>
      <c r="B232" s="265"/>
      <c r="C232" s="268"/>
      <c r="D232" s="268"/>
      <c r="E232" s="268"/>
      <c r="F232" s="268"/>
      <c r="G232" s="268"/>
      <c r="H232" s="283"/>
      <c r="I232" s="276"/>
      <c r="J232" s="265"/>
      <c r="K232" s="265"/>
      <c r="L232" s="265"/>
      <c r="M232" s="265"/>
      <c r="N232" s="280"/>
      <c r="O232" s="265"/>
      <c r="P232" s="265"/>
      <c r="Q232" s="265"/>
      <c r="R232" s="265"/>
      <c r="S232" s="265"/>
      <c r="T232" s="265"/>
      <c r="U232" s="265"/>
      <c r="V232" s="265"/>
      <c r="W232" s="265"/>
      <c r="X232" s="265"/>
      <c r="Y232" s="265"/>
      <c r="Z232" s="265"/>
    </row>
    <row r="233">
      <c r="A233" s="265"/>
      <c r="B233" s="265"/>
      <c r="C233" s="268"/>
      <c r="D233" s="268"/>
      <c r="E233" s="268"/>
      <c r="F233" s="268"/>
      <c r="G233" s="268"/>
      <c r="H233" s="283"/>
      <c r="I233" s="276"/>
      <c r="J233" s="265"/>
      <c r="K233" s="265"/>
      <c r="L233" s="265"/>
      <c r="M233" s="265"/>
      <c r="N233" s="280"/>
      <c r="O233" s="265"/>
      <c r="P233" s="265"/>
      <c r="Q233" s="265"/>
      <c r="R233" s="265"/>
      <c r="S233" s="265"/>
      <c r="T233" s="265"/>
      <c r="U233" s="265"/>
      <c r="V233" s="265"/>
      <c r="W233" s="265"/>
      <c r="X233" s="265"/>
      <c r="Y233" s="265"/>
      <c r="Z233" s="265"/>
    </row>
    <row r="234">
      <c r="A234" s="265"/>
      <c r="B234" s="265"/>
      <c r="C234" s="268"/>
      <c r="D234" s="268"/>
      <c r="E234" s="268"/>
      <c r="F234" s="268"/>
      <c r="G234" s="268"/>
      <c r="H234" s="283"/>
      <c r="I234" s="276"/>
      <c r="J234" s="265"/>
      <c r="K234" s="265"/>
      <c r="L234" s="265"/>
      <c r="M234" s="265"/>
      <c r="N234" s="280"/>
      <c r="O234" s="265"/>
      <c r="P234" s="265"/>
      <c r="Q234" s="265"/>
      <c r="R234" s="265"/>
      <c r="S234" s="265"/>
      <c r="T234" s="265"/>
      <c r="U234" s="265"/>
      <c r="V234" s="265"/>
      <c r="W234" s="265"/>
      <c r="X234" s="265"/>
      <c r="Y234" s="265"/>
      <c r="Z234" s="265"/>
    </row>
    <row r="235">
      <c r="A235" s="265"/>
      <c r="B235" s="265"/>
      <c r="C235" s="268"/>
      <c r="D235" s="268"/>
      <c r="E235" s="268"/>
      <c r="F235" s="268"/>
      <c r="G235" s="268"/>
      <c r="H235" s="283"/>
      <c r="I235" s="276"/>
      <c r="J235" s="265"/>
      <c r="K235" s="265"/>
      <c r="L235" s="265"/>
      <c r="M235" s="265"/>
      <c r="N235" s="280"/>
      <c r="O235" s="265"/>
      <c r="P235" s="265"/>
      <c r="Q235" s="265"/>
      <c r="R235" s="265"/>
      <c r="S235" s="265"/>
      <c r="T235" s="265"/>
      <c r="U235" s="265"/>
      <c r="V235" s="265"/>
      <c r="W235" s="265"/>
      <c r="X235" s="265"/>
      <c r="Y235" s="265"/>
      <c r="Z235" s="265"/>
    </row>
    <row r="236">
      <c r="A236" s="265"/>
      <c r="B236" s="265"/>
      <c r="C236" s="268"/>
      <c r="D236" s="268"/>
      <c r="E236" s="268"/>
      <c r="F236" s="268"/>
      <c r="G236" s="268"/>
      <c r="H236" s="283"/>
      <c r="I236" s="276"/>
      <c r="J236" s="265"/>
      <c r="K236" s="265"/>
      <c r="L236" s="265"/>
      <c r="M236" s="265"/>
      <c r="N236" s="280"/>
      <c r="O236" s="265"/>
      <c r="P236" s="265"/>
      <c r="Q236" s="265"/>
      <c r="R236" s="265"/>
      <c r="S236" s="265"/>
      <c r="T236" s="265"/>
      <c r="U236" s="265"/>
      <c r="V236" s="265"/>
      <c r="W236" s="265"/>
      <c r="X236" s="265"/>
      <c r="Y236" s="265"/>
      <c r="Z236" s="265"/>
    </row>
    <row r="237">
      <c r="A237" s="265"/>
      <c r="B237" s="265"/>
      <c r="C237" s="268"/>
      <c r="D237" s="268"/>
      <c r="E237" s="268"/>
      <c r="F237" s="268"/>
      <c r="G237" s="268"/>
      <c r="H237" s="283"/>
      <c r="I237" s="276"/>
      <c r="J237" s="265"/>
      <c r="K237" s="265"/>
      <c r="L237" s="265"/>
      <c r="M237" s="265"/>
      <c r="N237" s="280"/>
      <c r="O237" s="265"/>
      <c r="P237" s="265"/>
      <c r="Q237" s="265"/>
      <c r="R237" s="265"/>
      <c r="S237" s="265"/>
      <c r="T237" s="265"/>
      <c r="U237" s="265"/>
      <c r="V237" s="265"/>
      <c r="W237" s="265"/>
      <c r="X237" s="265"/>
      <c r="Y237" s="265"/>
      <c r="Z237" s="265"/>
    </row>
    <row r="238">
      <c r="A238" s="265"/>
      <c r="B238" s="265"/>
      <c r="C238" s="268"/>
      <c r="D238" s="268"/>
      <c r="E238" s="268"/>
      <c r="F238" s="268"/>
      <c r="G238" s="268"/>
      <c r="H238" s="283"/>
      <c r="I238" s="276"/>
      <c r="J238" s="265"/>
      <c r="K238" s="265"/>
      <c r="L238" s="265"/>
      <c r="M238" s="265"/>
      <c r="N238" s="280"/>
      <c r="O238" s="265"/>
      <c r="P238" s="265"/>
      <c r="Q238" s="265"/>
      <c r="R238" s="265"/>
      <c r="S238" s="265"/>
      <c r="T238" s="265"/>
      <c r="U238" s="265"/>
      <c r="V238" s="265"/>
      <c r="W238" s="265"/>
      <c r="X238" s="265"/>
      <c r="Y238" s="265"/>
      <c r="Z238" s="265"/>
    </row>
    <row r="239">
      <c r="A239" s="265"/>
      <c r="B239" s="265"/>
      <c r="C239" s="268"/>
      <c r="D239" s="268"/>
      <c r="E239" s="268"/>
      <c r="F239" s="268"/>
      <c r="G239" s="268"/>
      <c r="H239" s="283"/>
      <c r="I239" s="276"/>
      <c r="J239" s="265"/>
      <c r="K239" s="265"/>
      <c r="L239" s="265"/>
      <c r="M239" s="265"/>
      <c r="N239" s="280"/>
      <c r="O239" s="265"/>
      <c r="P239" s="265"/>
      <c r="Q239" s="265"/>
      <c r="R239" s="265"/>
      <c r="S239" s="265"/>
      <c r="T239" s="265"/>
      <c r="U239" s="265"/>
      <c r="V239" s="265"/>
      <c r="W239" s="265"/>
      <c r="X239" s="265"/>
      <c r="Y239" s="265"/>
      <c r="Z239" s="265"/>
    </row>
    <row r="240">
      <c r="A240" s="265"/>
      <c r="B240" s="265"/>
      <c r="C240" s="268"/>
      <c r="D240" s="268"/>
      <c r="E240" s="268"/>
      <c r="F240" s="268"/>
      <c r="G240" s="268"/>
      <c r="H240" s="283"/>
      <c r="I240" s="276"/>
      <c r="J240" s="265"/>
      <c r="K240" s="265"/>
      <c r="L240" s="265"/>
      <c r="M240" s="265"/>
      <c r="N240" s="280"/>
      <c r="O240" s="265"/>
      <c r="P240" s="265"/>
      <c r="Q240" s="265"/>
      <c r="R240" s="265"/>
      <c r="S240" s="265"/>
      <c r="T240" s="265"/>
      <c r="U240" s="265"/>
      <c r="V240" s="265"/>
      <c r="W240" s="265"/>
      <c r="X240" s="265"/>
      <c r="Y240" s="265"/>
      <c r="Z240" s="265"/>
    </row>
    <row r="241">
      <c r="A241" s="265"/>
      <c r="B241" s="265"/>
      <c r="C241" s="268"/>
      <c r="D241" s="268"/>
      <c r="E241" s="268"/>
      <c r="F241" s="268"/>
      <c r="G241" s="268"/>
      <c r="H241" s="283"/>
      <c r="I241" s="276"/>
      <c r="J241" s="265"/>
      <c r="K241" s="265"/>
      <c r="L241" s="265"/>
      <c r="M241" s="265"/>
      <c r="N241" s="280"/>
      <c r="O241" s="265"/>
      <c r="P241" s="265"/>
      <c r="Q241" s="265"/>
      <c r="R241" s="265"/>
      <c r="S241" s="265"/>
      <c r="T241" s="265"/>
      <c r="U241" s="265"/>
      <c r="V241" s="265"/>
      <c r="W241" s="265"/>
      <c r="X241" s="265"/>
      <c r="Y241" s="265"/>
      <c r="Z241" s="265"/>
    </row>
    <row r="242">
      <c r="A242" s="265"/>
      <c r="B242" s="265"/>
      <c r="C242" s="268"/>
      <c r="D242" s="268"/>
      <c r="E242" s="268"/>
      <c r="F242" s="268"/>
      <c r="G242" s="268"/>
      <c r="H242" s="283"/>
      <c r="I242" s="276"/>
      <c r="J242" s="265"/>
      <c r="K242" s="265"/>
      <c r="L242" s="265"/>
      <c r="M242" s="265"/>
      <c r="N242" s="280"/>
      <c r="O242" s="265"/>
      <c r="P242" s="265"/>
      <c r="Q242" s="265"/>
      <c r="R242" s="265"/>
      <c r="S242" s="265"/>
      <c r="T242" s="265"/>
      <c r="U242" s="265"/>
      <c r="V242" s="265"/>
      <c r="W242" s="265"/>
      <c r="X242" s="265"/>
      <c r="Y242" s="265"/>
      <c r="Z242" s="265"/>
    </row>
    <row r="243">
      <c r="A243" s="265"/>
      <c r="B243" s="265"/>
      <c r="C243" s="268"/>
      <c r="D243" s="268"/>
      <c r="E243" s="268"/>
      <c r="F243" s="268"/>
      <c r="G243" s="268"/>
      <c r="H243" s="283"/>
      <c r="I243" s="276"/>
      <c r="J243" s="265"/>
      <c r="K243" s="265"/>
      <c r="L243" s="265"/>
      <c r="M243" s="265"/>
      <c r="N243" s="280"/>
      <c r="O243" s="265"/>
      <c r="P243" s="265"/>
      <c r="Q243" s="265"/>
      <c r="R243" s="265"/>
      <c r="S243" s="265"/>
      <c r="T243" s="265"/>
      <c r="U243" s="265"/>
      <c r="V243" s="265"/>
      <c r="W243" s="265"/>
      <c r="X243" s="265"/>
      <c r="Y243" s="265"/>
      <c r="Z243" s="265"/>
    </row>
    <row r="244">
      <c r="A244" s="265"/>
      <c r="B244" s="265"/>
      <c r="C244" s="268"/>
      <c r="D244" s="268"/>
      <c r="E244" s="268"/>
      <c r="F244" s="268"/>
      <c r="G244" s="268"/>
      <c r="H244" s="283"/>
      <c r="I244" s="276"/>
      <c r="J244" s="265"/>
      <c r="K244" s="265"/>
      <c r="L244" s="265"/>
      <c r="M244" s="265"/>
      <c r="N244" s="280"/>
      <c r="O244" s="265"/>
      <c r="P244" s="265"/>
      <c r="Q244" s="265"/>
      <c r="R244" s="265"/>
      <c r="S244" s="265"/>
      <c r="T244" s="265"/>
      <c r="U244" s="265"/>
      <c r="V244" s="265"/>
      <c r="W244" s="265"/>
      <c r="X244" s="265"/>
      <c r="Y244" s="265"/>
      <c r="Z244" s="265"/>
    </row>
    <row r="245">
      <c r="A245" s="265"/>
      <c r="B245" s="265"/>
      <c r="C245" s="268"/>
      <c r="D245" s="268"/>
      <c r="E245" s="268"/>
      <c r="F245" s="268"/>
      <c r="G245" s="268"/>
      <c r="H245" s="283"/>
      <c r="I245" s="276"/>
      <c r="J245" s="265"/>
      <c r="K245" s="265"/>
      <c r="L245" s="265"/>
      <c r="M245" s="265"/>
      <c r="N245" s="280"/>
      <c r="O245" s="265"/>
      <c r="P245" s="265"/>
      <c r="Q245" s="265"/>
      <c r="R245" s="265"/>
      <c r="S245" s="265"/>
      <c r="T245" s="265"/>
      <c r="U245" s="265"/>
      <c r="V245" s="265"/>
      <c r="W245" s="265"/>
      <c r="X245" s="265"/>
      <c r="Y245" s="265"/>
      <c r="Z245" s="265"/>
    </row>
    <row r="246">
      <c r="A246" s="265"/>
      <c r="B246" s="265"/>
      <c r="C246" s="268"/>
      <c r="D246" s="268"/>
      <c r="E246" s="268"/>
      <c r="F246" s="268"/>
      <c r="G246" s="268"/>
      <c r="H246" s="283"/>
      <c r="I246" s="276"/>
      <c r="J246" s="265"/>
      <c r="K246" s="265"/>
      <c r="L246" s="265"/>
      <c r="M246" s="265"/>
      <c r="N246" s="280"/>
      <c r="O246" s="265"/>
      <c r="P246" s="265"/>
      <c r="Q246" s="265"/>
      <c r="R246" s="265"/>
      <c r="S246" s="265"/>
      <c r="T246" s="265"/>
      <c r="U246" s="265"/>
      <c r="V246" s="265"/>
      <c r="W246" s="265"/>
      <c r="X246" s="265"/>
      <c r="Y246" s="265"/>
      <c r="Z246" s="265"/>
    </row>
    <row r="247">
      <c r="A247" s="265"/>
      <c r="B247" s="265"/>
      <c r="C247" s="268"/>
      <c r="D247" s="268"/>
      <c r="E247" s="268"/>
      <c r="F247" s="268"/>
      <c r="G247" s="268"/>
      <c r="H247" s="283"/>
      <c r="I247" s="276"/>
      <c r="J247" s="265"/>
      <c r="K247" s="265"/>
      <c r="L247" s="265"/>
      <c r="M247" s="265"/>
      <c r="N247" s="280"/>
      <c r="O247" s="265"/>
      <c r="P247" s="265"/>
      <c r="Q247" s="265"/>
      <c r="R247" s="265"/>
      <c r="S247" s="265"/>
      <c r="T247" s="265"/>
      <c r="U247" s="265"/>
      <c r="V247" s="265"/>
      <c r="W247" s="265"/>
      <c r="X247" s="265"/>
      <c r="Y247" s="265"/>
      <c r="Z247" s="265"/>
    </row>
    <row r="248">
      <c r="A248" s="265"/>
      <c r="B248" s="265"/>
      <c r="C248" s="268"/>
      <c r="D248" s="268"/>
      <c r="E248" s="268"/>
      <c r="F248" s="268"/>
      <c r="G248" s="268"/>
      <c r="H248" s="283"/>
      <c r="I248" s="276"/>
      <c r="J248" s="265"/>
      <c r="K248" s="265"/>
      <c r="L248" s="265"/>
      <c r="M248" s="265"/>
      <c r="N248" s="280"/>
      <c r="O248" s="265"/>
      <c r="P248" s="265"/>
      <c r="Q248" s="265"/>
      <c r="R248" s="265"/>
      <c r="S248" s="265"/>
      <c r="T248" s="265"/>
      <c r="U248" s="265"/>
      <c r="V248" s="265"/>
      <c r="W248" s="265"/>
      <c r="X248" s="265"/>
      <c r="Y248" s="265"/>
      <c r="Z248" s="265"/>
    </row>
    <row r="249">
      <c r="A249" s="265"/>
      <c r="B249" s="265"/>
      <c r="C249" s="268"/>
      <c r="D249" s="268"/>
      <c r="E249" s="268"/>
      <c r="F249" s="268"/>
      <c r="G249" s="268"/>
      <c r="H249" s="283"/>
      <c r="I249" s="276"/>
      <c r="J249" s="265"/>
      <c r="K249" s="265"/>
      <c r="L249" s="265"/>
      <c r="M249" s="265"/>
      <c r="N249" s="280"/>
      <c r="O249" s="265"/>
      <c r="P249" s="265"/>
      <c r="Q249" s="265"/>
      <c r="R249" s="265"/>
      <c r="S249" s="265"/>
      <c r="T249" s="265"/>
      <c r="U249" s="265"/>
      <c r="V249" s="265"/>
      <c r="W249" s="265"/>
      <c r="X249" s="265"/>
      <c r="Y249" s="265"/>
      <c r="Z249" s="265"/>
    </row>
    <row r="250">
      <c r="A250" s="265"/>
      <c r="B250" s="265"/>
      <c r="C250" s="268"/>
      <c r="D250" s="268"/>
      <c r="E250" s="268"/>
      <c r="F250" s="268"/>
      <c r="G250" s="268"/>
      <c r="H250" s="283"/>
      <c r="I250" s="276"/>
      <c r="J250" s="265"/>
      <c r="K250" s="265"/>
      <c r="L250" s="265"/>
      <c r="M250" s="265"/>
      <c r="N250" s="280"/>
      <c r="O250" s="265"/>
      <c r="P250" s="265"/>
      <c r="Q250" s="265"/>
      <c r="R250" s="265"/>
      <c r="S250" s="265"/>
      <c r="T250" s="265"/>
      <c r="U250" s="265"/>
      <c r="V250" s="265"/>
      <c r="W250" s="265"/>
      <c r="X250" s="265"/>
      <c r="Y250" s="265"/>
      <c r="Z250" s="265"/>
    </row>
    <row r="251">
      <c r="A251" s="265"/>
      <c r="B251" s="265"/>
      <c r="C251" s="268"/>
      <c r="D251" s="268"/>
      <c r="E251" s="268"/>
      <c r="F251" s="268"/>
      <c r="G251" s="268"/>
      <c r="H251" s="283"/>
      <c r="I251" s="276"/>
      <c r="J251" s="265"/>
      <c r="K251" s="265"/>
      <c r="L251" s="265"/>
      <c r="M251" s="265"/>
      <c r="N251" s="280"/>
      <c r="O251" s="265"/>
      <c r="P251" s="265"/>
      <c r="Q251" s="265"/>
      <c r="R251" s="265"/>
      <c r="S251" s="265"/>
      <c r="T251" s="265"/>
      <c r="U251" s="265"/>
      <c r="V251" s="265"/>
      <c r="W251" s="265"/>
      <c r="X251" s="265"/>
      <c r="Y251" s="265"/>
      <c r="Z251" s="265"/>
    </row>
    <row r="252">
      <c r="A252" s="265"/>
      <c r="B252" s="265"/>
      <c r="C252" s="268"/>
      <c r="D252" s="268"/>
      <c r="E252" s="268"/>
      <c r="F252" s="268"/>
      <c r="G252" s="268"/>
      <c r="H252" s="283"/>
      <c r="I252" s="276"/>
      <c r="J252" s="265"/>
      <c r="K252" s="265"/>
      <c r="L252" s="265"/>
      <c r="M252" s="265"/>
      <c r="N252" s="280"/>
      <c r="O252" s="265"/>
      <c r="P252" s="265"/>
      <c r="Q252" s="265"/>
      <c r="R252" s="265"/>
      <c r="S252" s="265"/>
      <c r="T252" s="265"/>
      <c r="U252" s="265"/>
      <c r="V252" s="265"/>
      <c r="W252" s="265"/>
      <c r="X252" s="265"/>
      <c r="Y252" s="265"/>
      <c r="Z252" s="265"/>
    </row>
    <row r="253">
      <c r="A253" s="265"/>
      <c r="B253" s="265"/>
      <c r="C253" s="268"/>
      <c r="D253" s="268"/>
      <c r="E253" s="268"/>
      <c r="F253" s="268"/>
      <c r="G253" s="268"/>
      <c r="H253" s="283"/>
      <c r="I253" s="276"/>
      <c r="J253" s="265"/>
      <c r="K253" s="265"/>
      <c r="L253" s="265"/>
      <c r="M253" s="265"/>
      <c r="N253" s="280"/>
      <c r="O253" s="265"/>
      <c r="P253" s="265"/>
      <c r="Q253" s="265"/>
      <c r="R253" s="265"/>
      <c r="S253" s="265"/>
      <c r="T253" s="265"/>
      <c r="U253" s="265"/>
      <c r="V253" s="265"/>
      <c r="W253" s="265"/>
      <c r="X253" s="265"/>
      <c r="Y253" s="265"/>
      <c r="Z253" s="265"/>
    </row>
    <row r="254">
      <c r="A254" s="265"/>
      <c r="B254" s="265"/>
      <c r="C254" s="268"/>
      <c r="D254" s="268"/>
      <c r="E254" s="268"/>
      <c r="F254" s="268"/>
      <c r="G254" s="268"/>
      <c r="H254" s="283"/>
      <c r="I254" s="276"/>
      <c r="J254" s="265"/>
      <c r="K254" s="265"/>
      <c r="L254" s="265"/>
      <c r="M254" s="265"/>
      <c r="N254" s="280"/>
      <c r="O254" s="265"/>
      <c r="P254" s="265"/>
      <c r="Q254" s="265"/>
      <c r="R254" s="265"/>
      <c r="S254" s="265"/>
      <c r="T254" s="265"/>
      <c r="U254" s="265"/>
      <c r="V254" s="265"/>
      <c r="W254" s="265"/>
      <c r="X254" s="265"/>
      <c r="Y254" s="265"/>
      <c r="Z254" s="265"/>
    </row>
    <row r="255">
      <c r="A255" s="265"/>
      <c r="B255" s="265"/>
      <c r="C255" s="268"/>
      <c r="D255" s="268"/>
      <c r="E255" s="268"/>
      <c r="F255" s="268"/>
      <c r="G255" s="268"/>
      <c r="H255" s="283"/>
      <c r="I255" s="276"/>
      <c r="J255" s="265"/>
      <c r="K255" s="265"/>
      <c r="L255" s="265"/>
      <c r="M255" s="265"/>
      <c r="N255" s="280"/>
      <c r="O255" s="265"/>
      <c r="P255" s="265"/>
      <c r="Q255" s="265"/>
      <c r="R255" s="265"/>
      <c r="S255" s="265"/>
      <c r="T255" s="265"/>
      <c r="U255" s="265"/>
      <c r="V255" s="265"/>
      <c r="W255" s="265"/>
      <c r="X255" s="265"/>
      <c r="Y255" s="265"/>
      <c r="Z255" s="265"/>
    </row>
    <row r="256">
      <c r="A256" s="265"/>
      <c r="B256" s="265"/>
      <c r="C256" s="268"/>
      <c r="D256" s="268"/>
      <c r="E256" s="268"/>
      <c r="F256" s="268"/>
      <c r="G256" s="268"/>
      <c r="H256" s="283"/>
      <c r="I256" s="276"/>
      <c r="J256" s="265"/>
      <c r="K256" s="265"/>
      <c r="L256" s="265"/>
      <c r="M256" s="265"/>
      <c r="N256" s="280"/>
      <c r="O256" s="265"/>
      <c r="P256" s="265"/>
      <c r="Q256" s="265"/>
      <c r="R256" s="265"/>
      <c r="S256" s="265"/>
      <c r="T256" s="265"/>
      <c r="U256" s="265"/>
      <c r="V256" s="265"/>
      <c r="W256" s="265"/>
      <c r="X256" s="265"/>
      <c r="Y256" s="265"/>
      <c r="Z256" s="265"/>
    </row>
    <row r="257">
      <c r="A257" s="265"/>
      <c r="B257" s="265"/>
      <c r="C257" s="268"/>
      <c r="D257" s="268"/>
      <c r="E257" s="268"/>
      <c r="F257" s="268"/>
      <c r="G257" s="268"/>
      <c r="H257" s="283"/>
      <c r="I257" s="276"/>
      <c r="J257" s="265"/>
      <c r="K257" s="265"/>
      <c r="L257" s="265"/>
      <c r="M257" s="265"/>
      <c r="N257" s="280"/>
      <c r="O257" s="265"/>
      <c r="P257" s="265"/>
      <c r="Q257" s="265"/>
      <c r="R257" s="265"/>
      <c r="S257" s="265"/>
      <c r="T257" s="265"/>
      <c r="U257" s="265"/>
      <c r="V257" s="265"/>
      <c r="W257" s="265"/>
      <c r="X257" s="265"/>
      <c r="Y257" s="265"/>
      <c r="Z257" s="265"/>
    </row>
    <row r="258">
      <c r="A258" s="265"/>
      <c r="B258" s="265"/>
      <c r="C258" s="268"/>
      <c r="D258" s="268"/>
      <c r="E258" s="268"/>
      <c r="F258" s="268"/>
      <c r="G258" s="268"/>
      <c r="H258" s="283"/>
      <c r="I258" s="276"/>
      <c r="J258" s="265"/>
      <c r="K258" s="265"/>
      <c r="L258" s="265"/>
      <c r="M258" s="265"/>
      <c r="N258" s="280"/>
      <c r="O258" s="265"/>
      <c r="P258" s="265"/>
      <c r="Q258" s="265"/>
      <c r="R258" s="265"/>
      <c r="S258" s="265"/>
      <c r="T258" s="265"/>
      <c r="U258" s="265"/>
      <c r="V258" s="265"/>
      <c r="W258" s="265"/>
      <c r="X258" s="265"/>
      <c r="Y258" s="265"/>
      <c r="Z258" s="265"/>
    </row>
    <row r="259">
      <c r="A259" s="265"/>
      <c r="B259" s="265"/>
      <c r="C259" s="268"/>
      <c r="D259" s="268"/>
      <c r="E259" s="268"/>
      <c r="F259" s="268"/>
      <c r="G259" s="268"/>
      <c r="H259" s="283"/>
      <c r="I259" s="276"/>
      <c r="J259" s="265"/>
      <c r="K259" s="265"/>
      <c r="L259" s="265"/>
      <c r="M259" s="265"/>
      <c r="N259" s="280"/>
      <c r="O259" s="265"/>
      <c r="P259" s="265"/>
      <c r="Q259" s="265"/>
      <c r="R259" s="265"/>
      <c r="S259" s="265"/>
      <c r="T259" s="265"/>
      <c r="U259" s="265"/>
      <c r="V259" s="265"/>
      <c r="W259" s="265"/>
      <c r="X259" s="265"/>
      <c r="Y259" s="265"/>
      <c r="Z259" s="265"/>
    </row>
    <row r="260">
      <c r="A260" s="265"/>
      <c r="B260" s="265"/>
      <c r="C260" s="268"/>
      <c r="D260" s="268"/>
      <c r="E260" s="268"/>
      <c r="F260" s="268"/>
      <c r="G260" s="268"/>
      <c r="H260" s="283"/>
      <c r="I260" s="276"/>
      <c r="J260" s="265"/>
      <c r="K260" s="265"/>
      <c r="L260" s="265"/>
      <c r="M260" s="265"/>
      <c r="N260" s="280"/>
      <c r="O260" s="265"/>
      <c r="P260" s="265"/>
      <c r="Q260" s="265"/>
      <c r="R260" s="265"/>
      <c r="S260" s="265"/>
      <c r="T260" s="265"/>
      <c r="U260" s="265"/>
      <c r="V260" s="265"/>
      <c r="W260" s="265"/>
      <c r="X260" s="265"/>
      <c r="Y260" s="265"/>
      <c r="Z260" s="265"/>
    </row>
    <row r="261">
      <c r="A261" s="265"/>
      <c r="B261" s="265"/>
      <c r="C261" s="268"/>
      <c r="D261" s="268"/>
      <c r="E261" s="268"/>
      <c r="F261" s="268"/>
      <c r="G261" s="268"/>
      <c r="H261" s="283"/>
      <c r="I261" s="276"/>
      <c r="J261" s="265"/>
      <c r="K261" s="265"/>
      <c r="L261" s="265"/>
      <c r="M261" s="265"/>
      <c r="N261" s="280"/>
      <c r="O261" s="265"/>
      <c r="P261" s="265"/>
      <c r="Q261" s="265"/>
      <c r="R261" s="265"/>
      <c r="S261" s="265"/>
      <c r="T261" s="265"/>
      <c r="U261" s="265"/>
      <c r="V261" s="265"/>
      <c r="W261" s="265"/>
      <c r="X261" s="265"/>
      <c r="Y261" s="265"/>
      <c r="Z261" s="265"/>
    </row>
    <row r="262">
      <c r="A262" s="265"/>
      <c r="B262" s="265"/>
      <c r="C262" s="268"/>
      <c r="D262" s="268"/>
      <c r="E262" s="268"/>
      <c r="F262" s="268"/>
      <c r="G262" s="268"/>
      <c r="H262" s="283"/>
      <c r="I262" s="276"/>
      <c r="J262" s="265"/>
      <c r="K262" s="265"/>
      <c r="L262" s="265"/>
      <c r="M262" s="265"/>
      <c r="N262" s="280"/>
      <c r="O262" s="265"/>
      <c r="P262" s="265"/>
      <c r="Q262" s="265"/>
      <c r="R262" s="265"/>
      <c r="S262" s="265"/>
      <c r="T262" s="265"/>
      <c r="U262" s="265"/>
      <c r="V262" s="265"/>
      <c r="W262" s="265"/>
      <c r="X262" s="265"/>
      <c r="Y262" s="265"/>
      <c r="Z262" s="265"/>
    </row>
    <row r="263">
      <c r="A263" s="265"/>
      <c r="B263" s="265"/>
      <c r="C263" s="268"/>
      <c r="D263" s="268"/>
      <c r="E263" s="268"/>
      <c r="F263" s="268"/>
      <c r="G263" s="268"/>
      <c r="H263" s="283"/>
      <c r="I263" s="276"/>
      <c r="J263" s="265"/>
      <c r="K263" s="265"/>
      <c r="L263" s="265"/>
      <c r="M263" s="265"/>
      <c r="N263" s="280"/>
      <c r="O263" s="265"/>
      <c r="P263" s="265"/>
      <c r="Q263" s="265"/>
      <c r="R263" s="265"/>
      <c r="S263" s="265"/>
      <c r="T263" s="265"/>
      <c r="U263" s="265"/>
      <c r="V263" s="265"/>
      <c r="W263" s="265"/>
      <c r="X263" s="265"/>
      <c r="Y263" s="265"/>
      <c r="Z263" s="265"/>
    </row>
    <row r="264">
      <c r="A264" s="265"/>
      <c r="B264" s="265"/>
      <c r="C264" s="268"/>
      <c r="D264" s="268"/>
      <c r="E264" s="268"/>
      <c r="F264" s="268"/>
      <c r="G264" s="268"/>
      <c r="H264" s="283"/>
      <c r="I264" s="276"/>
      <c r="J264" s="265"/>
      <c r="K264" s="265"/>
      <c r="L264" s="265"/>
      <c r="M264" s="265"/>
      <c r="N264" s="280"/>
      <c r="O264" s="265"/>
      <c r="P264" s="265"/>
      <c r="Q264" s="265"/>
      <c r="R264" s="265"/>
      <c r="S264" s="265"/>
      <c r="T264" s="265"/>
      <c r="U264" s="265"/>
      <c r="V264" s="265"/>
      <c r="W264" s="265"/>
      <c r="X264" s="265"/>
      <c r="Y264" s="265"/>
      <c r="Z264" s="265"/>
    </row>
    <row r="265">
      <c r="A265" s="265"/>
      <c r="B265" s="265"/>
      <c r="C265" s="268"/>
      <c r="D265" s="268"/>
      <c r="E265" s="268"/>
      <c r="F265" s="268"/>
      <c r="G265" s="268"/>
      <c r="H265" s="283"/>
      <c r="I265" s="276"/>
      <c r="J265" s="265"/>
      <c r="K265" s="265"/>
      <c r="L265" s="265"/>
      <c r="M265" s="265"/>
      <c r="N265" s="280"/>
      <c r="O265" s="265"/>
      <c r="P265" s="265"/>
      <c r="Q265" s="265"/>
      <c r="R265" s="265"/>
      <c r="S265" s="265"/>
      <c r="T265" s="265"/>
      <c r="U265" s="265"/>
      <c r="V265" s="265"/>
      <c r="W265" s="265"/>
      <c r="X265" s="265"/>
      <c r="Y265" s="265"/>
      <c r="Z265" s="265"/>
    </row>
    <row r="266">
      <c r="A266" s="265"/>
      <c r="B266" s="265"/>
      <c r="C266" s="268"/>
      <c r="D266" s="268"/>
      <c r="E266" s="268"/>
      <c r="F266" s="268"/>
      <c r="G266" s="268"/>
      <c r="H266" s="283"/>
      <c r="I266" s="276"/>
      <c r="J266" s="265"/>
      <c r="K266" s="265"/>
      <c r="L266" s="265"/>
      <c r="M266" s="265"/>
      <c r="N266" s="280"/>
      <c r="O266" s="265"/>
      <c r="P266" s="265"/>
      <c r="Q266" s="265"/>
      <c r="R266" s="265"/>
      <c r="S266" s="265"/>
      <c r="T266" s="265"/>
      <c r="U266" s="265"/>
      <c r="V266" s="265"/>
      <c r="W266" s="265"/>
      <c r="X266" s="265"/>
      <c r="Y266" s="265"/>
      <c r="Z266" s="265"/>
    </row>
    <row r="267">
      <c r="A267" s="265"/>
      <c r="B267" s="265"/>
      <c r="C267" s="268"/>
      <c r="D267" s="268"/>
      <c r="E267" s="268"/>
      <c r="F267" s="268"/>
      <c r="G267" s="268"/>
      <c r="H267" s="283"/>
      <c r="I267" s="276"/>
      <c r="J267" s="265"/>
      <c r="K267" s="265"/>
      <c r="L267" s="265"/>
      <c r="M267" s="265"/>
      <c r="N267" s="280"/>
      <c r="O267" s="265"/>
      <c r="P267" s="265"/>
      <c r="Q267" s="265"/>
      <c r="R267" s="265"/>
      <c r="S267" s="265"/>
      <c r="T267" s="265"/>
      <c r="U267" s="265"/>
      <c r="V267" s="265"/>
      <c r="W267" s="265"/>
      <c r="X267" s="265"/>
      <c r="Y267" s="265"/>
      <c r="Z267" s="265"/>
    </row>
    <row r="268">
      <c r="A268" s="265"/>
      <c r="B268" s="265"/>
      <c r="C268" s="268"/>
      <c r="D268" s="268"/>
      <c r="E268" s="268"/>
      <c r="F268" s="268"/>
      <c r="G268" s="268"/>
      <c r="H268" s="283"/>
      <c r="I268" s="276"/>
      <c r="J268" s="265"/>
      <c r="K268" s="265"/>
      <c r="L268" s="265"/>
      <c r="M268" s="265"/>
      <c r="N268" s="280"/>
      <c r="O268" s="265"/>
      <c r="P268" s="265"/>
      <c r="Q268" s="265"/>
      <c r="R268" s="265"/>
      <c r="S268" s="265"/>
      <c r="T268" s="265"/>
      <c r="U268" s="265"/>
      <c r="V268" s="265"/>
      <c r="W268" s="265"/>
      <c r="X268" s="265"/>
      <c r="Y268" s="265"/>
      <c r="Z268" s="265"/>
    </row>
    <row r="269">
      <c r="A269" s="265"/>
      <c r="B269" s="265"/>
      <c r="C269" s="268"/>
      <c r="D269" s="268"/>
      <c r="E269" s="268"/>
      <c r="F269" s="268"/>
      <c r="G269" s="268"/>
      <c r="H269" s="283"/>
      <c r="I269" s="276"/>
      <c r="J269" s="265"/>
      <c r="K269" s="265"/>
      <c r="L269" s="265"/>
      <c r="M269" s="265"/>
      <c r="N269" s="280"/>
      <c r="O269" s="265"/>
      <c r="P269" s="265"/>
      <c r="Q269" s="265"/>
      <c r="R269" s="265"/>
      <c r="S269" s="265"/>
      <c r="T269" s="265"/>
      <c r="U269" s="265"/>
      <c r="V269" s="265"/>
      <c r="W269" s="265"/>
      <c r="X269" s="265"/>
      <c r="Y269" s="265"/>
      <c r="Z269" s="265"/>
    </row>
    <row r="270">
      <c r="A270" s="265"/>
      <c r="B270" s="265"/>
      <c r="C270" s="268"/>
      <c r="D270" s="268"/>
      <c r="E270" s="268"/>
      <c r="F270" s="268"/>
      <c r="G270" s="268"/>
      <c r="H270" s="283"/>
      <c r="I270" s="276"/>
      <c r="J270" s="265"/>
      <c r="K270" s="265"/>
      <c r="L270" s="265"/>
      <c r="M270" s="265"/>
      <c r="N270" s="280"/>
      <c r="O270" s="265"/>
      <c r="P270" s="265"/>
      <c r="Q270" s="265"/>
      <c r="R270" s="265"/>
      <c r="S270" s="265"/>
      <c r="T270" s="265"/>
      <c r="U270" s="265"/>
      <c r="V270" s="265"/>
      <c r="W270" s="265"/>
      <c r="X270" s="265"/>
      <c r="Y270" s="265"/>
      <c r="Z270" s="265"/>
    </row>
    <row r="271">
      <c r="A271" s="265"/>
      <c r="B271" s="265"/>
      <c r="C271" s="268"/>
      <c r="D271" s="268"/>
      <c r="E271" s="268"/>
      <c r="F271" s="268"/>
      <c r="G271" s="268"/>
      <c r="H271" s="283"/>
      <c r="I271" s="276"/>
      <c r="J271" s="265"/>
      <c r="K271" s="265"/>
      <c r="L271" s="265"/>
      <c r="M271" s="265"/>
      <c r="N271" s="280"/>
      <c r="O271" s="265"/>
      <c r="P271" s="265"/>
      <c r="Q271" s="265"/>
      <c r="R271" s="265"/>
      <c r="S271" s="265"/>
      <c r="T271" s="265"/>
      <c r="U271" s="265"/>
      <c r="V271" s="265"/>
      <c r="W271" s="265"/>
      <c r="X271" s="265"/>
      <c r="Y271" s="265"/>
      <c r="Z271" s="265"/>
    </row>
    <row r="272">
      <c r="A272" s="265"/>
      <c r="B272" s="265"/>
      <c r="C272" s="268"/>
      <c r="D272" s="268"/>
      <c r="E272" s="268"/>
      <c r="F272" s="268"/>
      <c r="G272" s="268"/>
      <c r="H272" s="283"/>
      <c r="I272" s="276"/>
      <c r="J272" s="265"/>
      <c r="K272" s="265"/>
      <c r="L272" s="265"/>
      <c r="M272" s="265"/>
      <c r="N272" s="280"/>
      <c r="O272" s="265"/>
      <c r="P272" s="265"/>
      <c r="Q272" s="265"/>
      <c r="R272" s="265"/>
      <c r="S272" s="265"/>
      <c r="T272" s="265"/>
      <c r="U272" s="265"/>
      <c r="V272" s="265"/>
      <c r="W272" s="265"/>
      <c r="X272" s="265"/>
      <c r="Y272" s="265"/>
      <c r="Z272" s="265"/>
    </row>
    <row r="273">
      <c r="A273" s="265"/>
      <c r="B273" s="265"/>
      <c r="C273" s="268"/>
      <c r="D273" s="268"/>
      <c r="E273" s="268"/>
      <c r="F273" s="268"/>
      <c r="G273" s="268"/>
      <c r="H273" s="283"/>
      <c r="I273" s="276"/>
      <c r="J273" s="265"/>
      <c r="K273" s="265"/>
      <c r="L273" s="265"/>
      <c r="M273" s="265"/>
      <c r="N273" s="280"/>
      <c r="O273" s="265"/>
      <c r="P273" s="265"/>
      <c r="Q273" s="265"/>
      <c r="R273" s="265"/>
      <c r="S273" s="265"/>
      <c r="T273" s="265"/>
      <c r="U273" s="265"/>
      <c r="V273" s="265"/>
      <c r="W273" s="265"/>
      <c r="X273" s="265"/>
      <c r="Y273" s="265"/>
      <c r="Z273" s="265"/>
    </row>
    <row r="274">
      <c r="A274" s="265"/>
      <c r="B274" s="265"/>
      <c r="C274" s="268"/>
      <c r="D274" s="268"/>
      <c r="E274" s="268"/>
      <c r="F274" s="268"/>
      <c r="G274" s="268"/>
      <c r="H274" s="283"/>
      <c r="I274" s="276"/>
      <c r="J274" s="265"/>
      <c r="K274" s="265"/>
      <c r="L274" s="265"/>
      <c r="M274" s="265"/>
      <c r="N274" s="280"/>
      <c r="O274" s="265"/>
      <c r="P274" s="265"/>
      <c r="Q274" s="265"/>
      <c r="R274" s="265"/>
      <c r="S274" s="265"/>
      <c r="T274" s="265"/>
      <c r="U274" s="265"/>
      <c r="V274" s="265"/>
      <c r="W274" s="265"/>
      <c r="X274" s="265"/>
      <c r="Y274" s="265"/>
      <c r="Z274" s="265"/>
    </row>
    <row r="275">
      <c r="A275" s="265"/>
      <c r="B275" s="265"/>
      <c r="C275" s="268"/>
      <c r="D275" s="268"/>
      <c r="E275" s="268"/>
      <c r="F275" s="268"/>
      <c r="G275" s="268"/>
      <c r="H275" s="283"/>
      <c r="I275" s="276"/>
      <c r="J275" s="265"/>
      <c r="K275" s="265"/>
      <c r="L275" s="265"/>
      <c r="M275" s="265"/>
      <c r="N275" s="280"/>
      <c r="O275" s="265"/>
      <c r="P275" s="265"/>
      <c r="Q275" s="265"/>
      <c r="R275" s="265"/>
      <c r="S275" s="265"/>
      <c r="T275" s="265"/>
      <c r="U275" s="265"/>
      <c r="V275" s="265"/>
      <c r="W275" s="265"/>
      <c r="X275" s="265"/>
      <c r="Y275" s="265"/>
      <c r="Z275" s="265"/>
    </row>
    <row r="276">
      <c r="A276" s="265"/>
      <c r="B276" s="265"/>
      <c r="C276" s="268"/>
      <c r="D276" s="268"/>
      <c r="E276" s="268"/>
      <c r="F276" s="268"/>
      <c r="G276" s="268"/>
      <c r="H276" s="283"/>
      <c r="I276" s="276"/>
      <c r="J276" s="265"/>
      <c r="K276" s="265"/>
      <c r="L276" s="265"/>
      <c r="M276" s="265"/>
      <c r="N276" s="280"/>
      <c r="O276" s="265"/>
      <c r="P276" s="265"/>
      <c r="Q276" s="265"/>
      <c r="R276" s="265"/>
      <c r="S276" s="265"/>
      <c r="T276" s="265"/>
      <c r="U276" s="265"/>
      <c r="V276" s="265"/>
      <c r="W276" s="265"/>
      <c r="X276" s="265"/>
      <c r="Y276" s="265"/>
      <c r="Z276" s="265"/>
    </row>
    <row r="277">
      <c r="A277" s="265"/>
      <c r="B277" s="265"/>
      <c r="C277" s="268"/>
      <c r="D277" s="268"/>
      <c r="E277" s="268"/>
      <c r="F277" s="268"/>
      <c r="G277" s="268"/>
      <c r="H277" s="283"/>
      <c r="I277" s="276"/>
      <c r="J277" s="265"/>
      <c r="K277" s="265"/>
      <c r="L277" s="265"/>
      <c r="M277" s="265"/>
      <c r="N277" s="280"/>
      <c r="O277" s="265"/>
      <c r="P277" s="265"/>
      <c r="Q277" s="265"/>
      <c r="R277" s="265"/>
      <c r="S277" s="265"/>
      <c r="T277" s="265"/>
      <c r="U277" s="265"/>
      <c r="V277" s="265"/>
      <c r="W277" s="265"/>
      <c r="X277" s="265"/>
      <c r="Y277" s="265"/>
      <c r="Z277" s="265"/>
    </row>
    <row r="278">
      <c r="A278" s="265"/>
      <c r="B278" s="265"/>
      <c r="C278" s="268"/>
      <c r="D278" s="268"/>
      <c r="E278" s="268"/>
      <c r="F278" s="268"/>
      <c r="G278" s="268"/>
      <c r="H278" s="283"/>
      <c r="I278" s="276"/>
      <c r="J278" s="265"/>
      <c r="K278" s="265"/>
      <c r="L278" s="265"/>
      <c r="M278" s="265"/>
      <c r="N278" s="280"/>
      <c r="O278" s="265"/>
      <c r="P278" s="265"/>
      <c r="Q278" s="265"/>
      <c r="R278" s="265"/>
      <c r="S278" s="265"/>
      <c r="T278" s="265"/>
      <c r="U278" s="265"/>
      <c r="V278" s="265"/>
      <c r="W278" s="265"/>
      <c r="X278" s="265"/>
      <c r="Y278" s="265"/>
      <c r="Z278" s="265"/>
    </row>
    <row r="279">
      <c r="A279" s="265"/>
      <c r="B279" s="265"/>
      <c r="C279" s="268"/>
      <c r="D279" s="268"/>
      <c r="E279" s="268"/>
      <c r="F279" s="268"/>
      <c r="G279" s="268"/>
      <c r="H279" s="283"/>
      <c r="I279" s="276"/>
      <c r="J279" s="265"/>
      <c r="K279" s="265"/>
      <c r="L279" s="265"/>
      <c r="M279" s="265"/>
      <c r="N279" s="280"/>
      <c r="O279" s="265"/>
      <c r="P279" s="265"/>
      <c r="Q279" s="265"/>
      <c r="R279" s="265"/>
      <c r="S279" s="265"/>
      <c r="T279" s="265"/>
      <c r="U279" s="265"/>
      <c r="V279" s="265"/>
      <c r="W279" s="265"/>
      <c r="X279" s="265"/>
      <c r="Y279" s="265"/>
      <c r="Z279" s="265"/>
    </row>
    <row r="280">
      <c r="A280" s="265"/>
      <c r="B280" s="265"/>
      <c r="C280" s="268"/>
      <c r="D280" s="268"/>
      <c r="E280" s="268"/>
      <c r="F280" s="268"/>
      <c r="G280" s="268"/>
      <c r="H280" s="283"/>
      <c r="I280" s="276"/>
      <c r="J280" s="265"/>
      <c r="K280" s="265"/>
      <c r="L280" s="265"/>
      <c r="M280" s="265"/>
      <c r="N280" s="280"/>
      <c r="O280" s="265"/>
      <c r="P280" s="265"/>
      <c r="Q280" s="265"/>
      <c r="R280" s="265"/>
      <c r="S280" s="265"/>
      <c r="T280" s="265"/>
      <c r="U280" s="265"/>
      <c r="V280" s="265"/>
      <c r="W280" s="265"/>
      <c r="X280" s="265"/>
      <c r="Y280" s="265"/>
      <c r="Z280" s="265"/>
    </row>
    <row r="281">
      <c r="A281" s="265"/>
      <c r="B281" s="265"/>
      <c r="C281" s="268"/>
      <c r="D281" s="268"/>
      <c r="E281" s="268"/>
      <c r="F281" s="268"/>
      <c r="G281" s="268"/>
      <c r="H281" s="283"/>
      <c r="I281" s="276"/>
      <c r="J281" s="265"/>
      <c r="K281" s="265"/>
      <c r="L281" s="265"/>
      <c r="M281" s="265"/>
      <c r="N281" s="280"/>
      <c r="O281" s="265"/>
      <c r="P281" s="265"/>
      <c r="Q281" s="265"/>
      <c r="R281" s="265"/>
      <c r="S281" s="265"/>
      <c r="T281" s="265"/>
      <c r="U281" s="265"/>
      <c r="V281" s="265"/>
      <c r="W281" s="265"/>
      <c r="X281" s="265"/>
      <c r="Y281" s="265"/>
      <c r="Z281" s="265"/>
    </row>
    <row r="282">
      <c r="A282" s="265"/>
      <c r="B282" s="265"/>
      <c r="C282" s="268"/>
      <c r="D282" s="268"/>
      <c r="E282" s="268"/>
      <c r="F282" s="268"/>
      <c r="G282" s="268"/>
      <c r="H282" s="283"/>
      <c r="I282" s="276"/>
      <c r="J282" s="265"/>
      <c r="K282" s="265"/>
      <c r="L282" s="265"/>
      <c r="M282" s="265"/>
      <c r="N282" s="280"/>
      <c r="O282" s="265"/>
      <c r="P282" s="265"/>
      <c r="Q282" s="265"/>
      <c r="R282" s="265"/>
      <c r="S282" s="265"/>
      <c r="T282" s="265"/>
      <c r="U282" s="265"/>
      <c r="V282" s="265"/>
      <c r="W282" s="265"/>
      <c r="X282" s="265"/>
      <c r="Y282" s="265"/>
      <c r="Z282" s="265"/>
    </row>
    <row r="283">
      <c r="A283" s="265"/>
      <c r="B283" s="265"/>
      <c r="C283" s="268"/>
      <c r="D283" s="268"/>
      <c r="E283" s="268"/>
      <c r="F283" s="268"/>
      <c r="G283" s="268"/>
      <c r="H283" s="283"/>
      <c r="I283" s="276"/>
      <c r="J283" s="265"/>
      <c r="K283" s="265"/>
      <c r="L283" s="265"/>
      <c r="M283" s="265"/>
      <c r="N283" s="280"/>
      <c r="O283" s="265"/>
      <c r="P283" s="265"/>
      <c r="Q283" s="265"/>
      <c r="R283" s="265"/>
      <c r="S283" s="265"/>
      <c r="T283" s="265"/>
      <c r="U283" s="265"/>
      <c r="V283" s="265"/>
      <c r="W283" s="265"/>
      <c r="X283" s="265"/>
      <c r="Y283" s="265"/>
      <c r="Z283" s="265"/>
    </row>
    <row r="284">
      <c r="A284" s="265"/>
      <c r="B284" s="265"/>
      <c r="C284" s="268"/>
      <c r="D284" s="268"/>
      <c r="E284" s="268"/>
      <c r="F284" s="268"/>
      <c r="G284" s="268"/>
      <c r="H284" s="283"/>
      <c r="I284" s="276"/>
      <c r="J284" s="265"/>
      <c r="K284" s="265"/>
      <c r="L284" s="265"/>
      <c r="M284" s="265"/>
      <c r="N284" s="280"/>
      <c r="O284" s="265"/>
      <c r="P284" s="265"/>
      <c r="Q284" s="265"/>
      <c r="R284" s="265"/>
      <c r="S284" s="265"/>
      <c r="T284" s="265"/>
      <c r="U284" s="265"/>
      <c r="V284" s="265"/>
      <c r="W284" s="265"/>
      <c r="X284" s="265"/>
      <c r="Y284" s="265"/>
      <c r="Z284" s="265"/>
    </row>
    <row r="285">
      <c r="A285" s="265"/>
      <c r="B285" s="265"/>
      <c r="C285" s="268"/>
      <c r="D285" s="268"/>
      <c r="E285" s="268"/>
      <c r="F285" s="268"/>
      <c r="G285" s="268"/>
      <c r="H285" s="283"/>
      <c r="I285" s="276"/>
      <c r="J285" s="265"/>
      <c r="K285" s="265"/>
      <c r="L285" s="265"/>
      <c r="M285" s="265"/>
      <c r="N285" s="280"/>
      <c r="O285" s="265"/>
      <c r="P285" s="265"/>
      <c r="Q285" s="265"/>
      <c r="R285" s="265"/>
      <c r="S285" s="265"/>
      <c r="T285" s="265"/>
      <c r="U285" s="265"/>
      <c r="V285" s="265"/>
      <c r="W285" s="265"/>
      <c r="X285" s="265"/>
      <c r="Y285" s="265"/>
      <c r="Z285" s="265"/>
    </row>
    <row r="286">
      <c r="A286" s="265"/>
      <c r="B286" s="265"/>
      <c r="C286" s="268"/>
      <c r="D286" s="268"/>
      <c r="E286" s="268"/>
      <c r="F286" s="268"/>
      <c r="G286" s="268"/>
      <c r="H286" s="283"/>
      <c r="I286" s="276"/>
      <c r="J286" s="265"/>
      <c r="K286" s="265"/>
      <c r="L286" s="265"/>
      <c r="M286" s="265"/>
      <c r="N286" s="280"/>
      <c r="O286" s="265"/>
      <c r="P286" s="265"/>
      <c r="Q286" s="265"/>
      <c r="R286" s="265"/>
      <c r="S286" s="265"/>
      <c r="T286" s="265"/>
      <c r="U286" s="265"/>
      <c r="V286" s="265"/>
      <c r="W286" s="265"/>
      <c r="X286" s="265"/>
      <c r="Y286" s="265"/>
      <c r="Z286" s="265"/>
    </row>
    <row r="287">
      <c r="A287" s="265"/>
      <c r="B287" s="265"/>
      <c r="C287" s="268"/>
      <c r="D287" s="268"/>
      <c r="E287" s="268"/>
      <c r="F287" s="268"/>
      <c r="G287" s="268"/>
      <c r="H287" s="283"/>
      <c r="I287" s="276"/>
      <c r="J287" s="265"/>
      <c r="K287" s="265"/>
      <c r="L287" s="265"/>
      <c r="M287" s="265"/>
      <c r="N287" s="280"/>
      <c r="O287" s="265"/>
      <c r="P287" s="265"/>
      <c r="Q287" s="265"/>
      <c r="R287" s="265"/>
      <c r="S287" s="265"/>
      <c r="T287" s="265"/>
      <c r="U287" s="265"/>
      <c r="V287" s="265"/>
      <c r="W287" s="265"/>
      <c r="X287" s="265"/>
      <c r="Y287" s="265"/>
      <c r="Z287" s="265"/>
    </row>
    <row r="288">
      <c r="A288" s="265"/>
      <c r="B288" s="265"/>
      <c r="C288" s="268"/>
      <c r="D288" s="268"/>
      <c r="E288" s="268"/>
      <c r="F288" s="268"/>
      <c r="G288" s="268"/>
      <c r="H288" s="283"/>
      <c r="I288" s="276"/>
      <c r="J288" s="265"/>
      <c r="K288" s="265"/>
      <c r="L288" s="265"/>
      <c r="M288" s="265"/>
      <c r="N288" s="280"/>
      <c r="O288" s="265"/>
      <c r="P288" s="265"/>
      <c r="Q288" s="265"/>
      <c r="R288" s="265"/>
      <c r="S288" s="265"/>
      <c r="T288" s="265"/>
      <c r="U288" s="265"/>
      <c r="V288" s="265"/>
      <c r="W288" s="265"/>
      <c r="X288" s="265"/>
      <c r="Y288" s="265"/>
      <c r="Z288" s="265"/>
    </row>
    <row r="289">
      <c r="A289" s="265"/>
      <c r="B289" s="265"/>
      <c r="C289" s="268"/>
      <c r="D289" s="268"/>
      <c r="E289" s="268"/>
      <c r="F289" s="268"/>
      <c r="G289" s="268"/>
      <c r="H289" s="283"/>
      <c r="I289" s="276"/>
      <c r="J289" s="265"/>
      <c r="K289" s="265"/>
      <c r="L289" s="265"/>
      <c r="M289" s="265"/>
      <c r="N289" s="280"/>
      <c r="O289" s="265"/>
      <c r="P289" s="265"/>
      <c r="Q289" s="265"/>
      <c r="R289" s="265"/>
      <c r="S289" s="265"/>
      <c r="T289" s="265"/>
      <c r="U289" s="265"/>
      <c r="V289" s="265"/>
      <c r="W289" s="265"/>
      <c r="X289" s="265"/>
      <c r="Y289" s="265"/>
      <c r="Z289" s="265"/>
    </row>
    <row r="290">
      <c r="A290" s="265"/>
      <c r="B290" s="265"/>
      <c r="C290" s="268"/>
      <c r="D290" s="268"/>
      <c r="E290" s="268"/>
      <c r="F290" s="268"/>
      <c r="G290" s="268"/>
      <c r="H290" s="283"/>
      <c r="I290" s="276"/>
      <c r="J290" s="265"/>
      <c r="K290" s="265"/>
      <c r="L290" s="265"/>
      <c r="M290" s="265"/>
      <c r="N290" s="280"/>
      <c r="O290" s="265"/>
      <c r="P290" s="265"/>
      <c r="Q290" s="265"/>
      <c r="R290" s="265"/>
      <c r="S290" s="265"/>
      <c r="T290" s="265"/>
      <c r="U290" s="265"/>
      <c r="V290" s="265"/>
      <c r="W290" s="265"/>
      <c r="X290" s="265"/>
      <c r="Y290" s="265"/>
      <c r="Z290" s="265"/>
    </row>
    <row r="291">
      <c r="A291" s="265"/>
      <c r="B291" s="265"/>
      <c r="C291" s="268"/>
      <c r="D291" s="268"/>
      <c r="E291" s="268"/>
      <c r="F291" s="268"/>
      <c r="G291" s="268"/>
      <c r="H291" s="283"/>
      <c r="I291" s="276"/>
      <c r="J291" s="265"/>
      <c r="K291" s="265"/>
      <c r="L291" s="265"/>
      <c r="M291" s="265"/>
      <c r="N291" s="280"/>
      <c r="O291" s="265"/>
      <c r="P291" s="265"/>
      <c r="Q291" s="265"/>
      <c r="R291" s="265"/>
      <c r="S291" s="265"/>
      <c r="T291" s="265"/>
      <c r="U291" s="265"/>
      <c r="V291" s="265"/>
      <c r="W291" s="265"/>
      <c r="X291" s="265"/>
      <c r="Y291" s="265"/>
      <c r="Z291" s="265"/>
    </row>
    <row r="292">
      <c r="A292" s="265"/>
      <c r="B292" s="265"/>
      <c r="C292" s="268"/>
      <c r="D292" s="268"/>
      <c r="E292" s="268"/>
      <c r="F292" s="268"/>
      <c r="G292" s="268"/>
      <c r="H292" s="283"/>
      <c r="I292" s="276"/>
      <c r="J292" s="265"/>
      <c r="K292" s="265"/>
      <c r="L292" s="265"/>
      <c r="M292" s="265"/>
      <c r="N292" s="280"/>
      <c r="O292" s="265"/>
      <c r="P292" s="265"/>
      <c r="Q292" s="265"/>
      <c r="R292" s="265"/>
      <c r="S292" s="265"/>
      <c r="T292" s="265"/>
      <c r="U292" s="265"/>
      <c r="V292" s="265"/>
      <c r="W292" s="265"/>
      <c r="X292" s="265"/>
      <c r="Y292" s="265"/>
      <c r="Z292" s="265"/>
    </row>
    <row r="293">
      <c r="A293" s="265"/>
      <c r="B293" s="265"/>
      <c r="C293" s="268"/>
      <c r="D293" s="268"/>
      <c r="E293" s="268"/>
      <c r="F293" s="268"/>
      <c r="G293" s="268"/>
      <c r="H293" s="283"/>
      <c r="I293" s="276"/>
      <c r="J293" s="265"/>
      <c r="K293" s="265"/>
      <c r="L293" s="265"/>
      <c r="M293" s="265"/>
      <c r="N293" s="280"/>
      <c r="O293" s="265"/>
      <c r="P293" s="265"/>
      <c r="Q293" s="265"/>
      <c r="R293" s="265"/>
      <c r="S293" s="265"/>
      <c r="T293" s="265"/>
      <c r="U293" s="265"/>
      <c r="V293" s="265"/>
      <c r="W293" s="265"/>
      <c r="X293" s="265"/>
      <c r="Y293" s="265"/>
      <c r="Z293" s="265"/>
    </row>
    <row r="294">
      <c r="A294" s="265"/>
      <c r="B294" s="265"/>
      <c r="C294" s="268"/>
      <c r="D294" s="268"/>
      <c r="E294" s="268"/>
      <c r="F294" s="268"/>
      <c r="G294" s="268"/>
      <c r="H294" s="283"/>
      <c r="I294" s="276"/>
      <c r="J294" s="265"/>
      <c r="K294" s="265"/>
      <c r="L294" s="265"/>
      <c r="M294" s="265"/>
      <c r="N294" s="280"/>
      <c r="O294" s="265"/>
      <c r="P294" s="265"/>
      <c r="Q294" s="265"/>
      <c r="R294" s="265"/>
      <c r="S294" s="265"/>
      <c r="T294" s="265"/>
      <c r="U294" s="265"/>
      <c r="V294" s="265"/>
      <c r="W294" s="265"/>
      <c r="X294" s="265"/>
      <c r="Y294" s="265"/>
      <c r="Z294" s="265"/>
    </row>
    <row r="295">
      <c r="A295" s="265"/>
      <c r="B295" s="265"/>
      <c r="C295" s="268"/>
      <c r="D295" s="268"/>
      <c r="E295" s="268"/>
      <c r="F295" s="268"/>
      <c r="G295" s="268"/>
      <c r="H295" s="283"/>
      <c r="I295" s="276"/>
      <c r="J295" s="265"/>
      <c r="K295" s="265"/>
      <c r="L295" s="265"/>
      <c r="M295" s="265"/>
      <c r="N295" s="280"/>
      <c r="O295" s="265"/>
      <c r="P295" s="265"/>
      <c r="Q295" s="265"/>
      <c r="R295" s="265"/>
      <c r="S295" s="265"/>
      <c r="T295" s="265"/>
      <c r="U295" s="265"/>
      <c r="V295" s="265"/>
      <c r="W295" s="265"/>
      <c r="X295" s="265"/>
      <c r="Y295" s="265"/>
      <c r="Z295" s="265"/>
    </row>
    <row r="296">
      <c r="A296" s="265"/>
      <c r="B296" s="265"/>
      <c r="C296" s="268"/>
      <c r="D296" s="268"/>
      <c r="E296" s="268"/>
      <c r="F296" s="268"/>
      <c r="G296" s="268"/>
      <c r="H296" s="283"/>
      <c r="I296" s="276"/>
      <c r="J296" s="265"/>
      <c r="K296" s="265"/>
      <c r="L296" s="265"/>
      <c r="M296" s="265"/>
      <c r="N296" s="280"/>
      <c r="O296" s="265"/>
      <c r="P296" s="265"/>
      <c r="Q296" s="265"/>
      <c r="R296" s="265"/>
      <c r="S296" s="265"/>
      <c r="T296" s="265"/>
      <c r="U296" s="265"/>
      <c r="V296" s="265"/>
      <c r="W296" s="265"/>
      <c r="X296" s="265"/>
      <c r="Y296" s="265"/>
      <c r="Z296" s="265"/>
    </row>
    <row r="297">
      <c r="A297" s="265"/>
      <c r="B297" s="265"/>
      <c r="C297" s="268"/>
      <c r="D297" s="268"/>
      <c r="E297" s="268"/>
      <c r="F297" s="268"/>
      <c r="G297" s="268"/>
      <c r="H297" s="283"/>
      <c r="I297" s="276"/>
      <c r="J297" s="265"/>
      <c r="K297" s="265"/>
      <c r="L297" s="265"/>
      <c r="M297" s="265"/>
      <c r="N297" s="280"/>
      <c r="O297" s="265"/>
      <c r="P297" s="265"/>
      <c r="Q297" s="265"/>
      <c r="R297" s="265"/>
      <c r="S297" s="265"/>
      <c r="T297" s="265"/>
      <c r="U297" s="265"/>
      <c r="V297" s="265"/>
      <c r="W297" s="265"/>
      <c r="X297" s="265"/>
      <c r="Y297" s="265"/>
      <c r="Z297" s="265"/>
    </row>
    <row r="298">
      <c r="A298" s="265"/>
      <c r="B298" s="265"/>
      <c r="C298" s="268"/>
      <c r="D298" s="268"/>
      <c r="E298" s="268"/>
      <c r="F298" s="268"/>
      <c r="G298" s="268"/>
      <c r="H298" s="283"/>
      <c r="I298" s="276"/>
      <c r="J298" s="265"/>
      <c r="K298" s="265"/>
      <c r="L298" s="265"/>
      <c r="M298" s="265"/>
      <c r="N298" s="280"/>
      <c r="O298" s="265"/>
      <c r="P298" s="265"/>
      <c r="Q298" s="265"/>
      <c r="R298" s="265"/>
      <c r="S298" s="265"/>
      <c r="T298" s="265"/>
      <c r="U298" s="265"/>
      <c r="V298" s="265"/>
      <c r="W298" s="265"/>
      <c r="X298" s="265"/>
      <c r="Y298" s="265"/>
      <c r="Z298" s="265"/>
    </row>
    <row r="299">
      <c r="A299" s="265"/>
      <c r="B299" s="265"/>
      <c r="C299" s="268"/>
      <c r="D299" s="268"/>
      <c r="E299" s="268"/>
      <c r="F299" s="268"/>
      <c r="G299" s="268"/>
      <c r="H299" s="283"/>
      <c r="I299" s="276"/>
      <c r="J299" s="265"/>
      <c r="K299" s="265"/>
      <c r="L299" s="265"/>
      <c r="M299" s="265"/>
      <c r="N299" s="280"/>
      <c r="O299" s="265"/>
      <c r="P299" s="265"/>
      <c r="Q299" s="265"/>
      <c r="R299" s="265"/>
      <c r="S299" s="265"/>
      <c r="T299" s="265"/>
      <c r="U299" s="265"/>
      <c r="V299" s="265"/>
      <c r="W299" s="265"/>
      <c r="X299" s="265"/>
      <c r="Y299" s="265"/>
      <c r="Z299" s="265"/>
    </row>
    <row r="300">
      <c r="A300" s="265"/>
      <c r="B300" s="265"/>
      <c r="C300" s="268"/>
      <c r="D300" s="268"/>
      <c r="E300" s="268"/>
      <c r="F300" s="268"/>
      <c r="G300" s="268"/>
      <c r="H300" s="283"/>
      <c r="I300" s="276"/>
      <c r="J300" s="265"/>
      <c r="K300" s="265"/>
      <c r="L300" s="265"/>
      <c r="M300" s="265"/>
      <c r="N300" s="280"/>
      <c r="O300" s="265"/>
      <c r="P300" s="265"/>
      <c r="Q300" s="265"/>
      <c r="R300" s="265"/>
      <c r="S300" s="265"/>
      <c r="T300" s="265"/>
      <c r="U300" s="265"/>
      <c r="V300" s="265"/>
      <c r="W300" s="265"/>
      <c r="X300" s="265"/>
      <c r="Y300" s="265"/>
      <c r="Z300" s="265"/>
    </row>
    <row r="301">
      <c r="A301" s="265"/>
      <c r="B301" s="265"/>
      <c r="C301" s="268"/>
      <c r="D301" s="268"/>
      <c r="E301" s="268"/>
      <c r="F301" s="268"/>
      <c r="G301" s="268"/>
      <c r="H301" s="283"/>
      <c r="I301" s="276"/>
      <c r="J301" s="265"/>
      <c r="K301" s="265"/>
      <c r="L301" s="265"/>
      <c r="M301" s="265"/>
      <c r="N301" s="280"/>
      <c r="O301" s="265"/>
      <c r="P301" s="265"/>
      <c r="Q301" s="265"/>
      <c r="R301" s="265"/>
      <c r="S301" s="265"/>
      <c r="T301" s="265"/>
      <c r="U301" s="265"/>
      <c r="V301" s="265"/>
      <c r="W301" s="265"/>
      <c r="X301" s="265"/>
      <c r="Y301" s="265"/>
      <c r="Z301" s="265"/>
    </row>
    <row r="302">
      <c r="A302" s="265"/>
      <c r="B302" s="265"/>
      <c r="C302" s="268"/>
      <c r="D302" s="268"/>
      <c r="E302" s="268"/>
      <c r="F302" s="268"/>
      <c r="G302" s="268"/>
      <c r="H302" s="283"/>
      <c r="I302" s="276"/>
      <c r="J302" s="265"/>
      <c r="K302" s="265"/>
      <c r="L302" s="265"/>
      <c r="M302" s="265"/>
      <c r="N302" s="280"/>
      <c r="O302" s="265"/>
      <c r="P302" s="265"/>
      <c r="Q302" s="265"/>
      <c r="R302" s="265"/>
      <c r="S302" s="265"/>
      <c r="T302" s="265"/>
      <c r="U302" s="265"/>
      <c r="V302" s="265"/>
      <c r="W302" s="265"/>
      <c r="X302" s="265"/>
      <c r="Y302" s="265"/>
      <c r="Z302" s="265"/>
    </row>
    <row r="303">
      <c r="A303" s="265"/>
      <c r="B303" s="265"/>
      <c r="C303" s="268"/>
      <c r="D303" s="268"/>
      <c r="E303" s="268"/>
      <c r="F303" s="268"/>
      <c r="G303" s="268"/>
      <c r="H303" s="283"/>
      <c r="I303" s="276"/>
      <c r="J303" s="265"/>
      <c r="K303" s="265"/>
      <c r="L303" s="265"/>
      <c r="M303" s="265"/>
      <c r="N303" s="280"/>
      <c r="O303" s="265"/>
      <c r="P303" s="265"/>
      <c r="Q303" s="265"/>
      <c r="R303" s="265"/>
      <c r="S303" s="265"/>
      <c r="T303" s="265"/>
      <c r="U303" s="265"/>
      <c r="V303" s="265"/>
      <c r="W303" s="265"/>
      <c r="X303" s="265"/>
      <c r="Y303" s="265"/>
      <c r="Z303" s="265"/>
    </row>
    <row r="304">
      <c r="A304" s="265"/>
      <c r="B304" s="265"/>
      <c r="C304" s="268"/>
      <c r="D304" s="268"/>
      <c r="E304" s="268"/>
      <c r="F304" s="268"/>
      <c r="G304" s="268"/>
      <c r="H304" s="283"/>
      <c r="I304" s="276"/>
      <c r="J304" s="265"/>
      <c r="K304" s="265"/>
      <c r="L304" s="265"/>
      <c r="M304" s="265"/>
      <c r="N304" s="280"/>
      <c r="O304" s="265"/>
      <c r="P304" s="265"/>
      <c r="Q304" s="265"/>
      <c r="R304" s="265"/>
      <c r="S304" s="265"/>
      <c r="T304" s="265"/>
      <c r="U304" s="265"/>
      <c r="V304" s="265"/>
      <c r="W304" s="265"/>
      <c r="X304" s="265"/>
      <c r="Y304" s="265"/>
      <c r="Z304" s="265"/>
    </row>
    <row r="305">
      <c r="A305" s="265"/>
      <c r="B305" s="265"/>
      <c r="C305" s="268"/>
      <c r="D305" s="268"/>
      <c r="E305" s="268"/>
      <c r="F305" s="268"/>
      <c r="G305" s="268"/>
      <c r="H305" s="283"/>
      <c r="I305" s="276"/>
      <c r="J305" s="265"/>
      <c r="K305" s="265"/>
      <c r="L305" s="265"/>
      <c r="M305" s="265"/>
      <c r="N305" s="280"/>
      <c r="O305" s="265"/>
      <c r="P305" s="265"/>
      <c r="Q305" s="265"/>
      <c r="R305" s="265"/>
      <c r="S305" s="265"/>
      <c r="T305" s="265"/>
      <c r="U305" s="265"/>
      <c r="V305" s="265"/>
      <c r="W305" s="265"/>
      <c r="X305" s="265"/>
      <c r="Y305" s="265"/>
      <c r="Z305" s="265"/>
    </row>
    <row r="306">
      <c r="A306" s="265"/>
      <c r="B306" s="265"/>
      <c r="C306" s="268"/>
      <c r="D306" s="268"/>
      <c r="E306" s="268"/>
      <c r="F306" s="268"/>
      <c r="G306" s="268"/>
      <c r="H306" s="283"/>
      <c r="I306" s="276"/>
      <c r="J306" s="265"/>
      <c r="K306" s="265"/>
      <c r="L306" s="265"/>
      <c r="M306" s="265"/>
      <c r="N306" s="280"/>
      <c r="O306" s="265"/>
      <c r="P306" s="265"/>
      <c r="Q306" s="265"/>
      <c r="R306" s="265"/>
      <c r="S306" s="265"/>
      <c r="T306" s="265"/>
      <c r="U306" s="265"/>
      <c r="V306" s="265"/>
      <c r="W306" s="265"/>
      <c r="X306" s="265"/>
      <c r="Y306" s="265"/>
      <c r="Z306" s="265"/>
    </row>
    <row r="307">
      <c r="A307" s="265"/>
      <c r="B307" s="265"/>
      <c r="C307" s="268"/>
      <c r="D307" s="268"/>
      <c r="E307" s="268"/>
      <c r="F307" s="268"/>
      <c r="G307" s="268"/>
      <c r="H307" s="283"/>
      <c r="I307" s="276"/>
      <c r="J307" s="265"/>
      <c r="K307" s="265"/>
      <c r="L307" s="265"/>
      <c r="M307" s="265"/>
      <c r="N307" s="280"/>
      <c r="O307" s="265"/>
      <c r="P307" s="265"/>
      <c r="Q307" s="265"/>
      <c r="R307" s="265"/>
      <c r="S307" s="265"/>
      <c r="T307" s="265"/>
      <c r="U307" s="265"/>
      <c r="V307" s="265"/>
      <c r="W307" s="265"/>
      <c r="X307" s="265"/>
      <c r="Y307" s="265"/>
      <c r="Z307" s="265"/>
    </row>
    <row r="308">
      <c r="A308" s="265"/>
      <c r="B308" s="265"/>
      <c r="C308" s="268"/>
      <c r="D308" s="268"/>
      <c r="E308" s="268"/>
      <c r="F308" s="268"/>
      <c r="G308" s="268"/>
      <c r="H308" s="283"/>
      <c r="I308" s="276"/>
      <c r="J308" s="265"/>
      <c r="K308" s="265"/>
      <c r="L308" s="265"/>
      <c r="M308" s="265"/>
      <c r="N308" s="280"/>
      <c r="O308" s="265"/>
      <c r="P308" s="265"/>
      <c r="Q308" s="265"/>
      <c r="R308" s="265"/>
      <c r="S308" s="265"/>
      <c r="T308" s="265"/>
      <c r="U308" s="265"/>
      <c r="V308" s="265"/>
      <c r="W308" s="265"/>
      <c r="X308" s="265"/>
      <c r="Y308" s="265"/>
      <c r="Z308" s="265"/>
    </row>
    <row r="309">
      <c r="A309" s="265"/>
      <c r="B309" s="265"/>
      <c r="C309" s="268"/>
      <c r="D309" s="268"/>
      <c r="E309" s="268"/>
      <c r="F309" s="268"/>
      <c r="G309" s="268"/>
      <c r="H309" s="283"/>
      <c r="I309" s="276"/>
      <c r="J309" s="265"/>
      <c r="K309" s="265"/>
      <c r="L309" s="265"/>
      <c r="M309" s="265"/>
      <c r="N309" s="280"/>
      <c r="O309" s="265"/>
      <c r="P309" s="265"/>
      <c r="Q309" s="265"/>
      <c r="R309" s="265"/>
      <c r="S309" s="265"/>
      <c r="T309" s="265"/>
      <c r="U309" s="265"/>
      <c r="V309" s="265"/>
      <c r="W309" s="265"/>
      <c r="X309" s="265"/>
      <c r="Y309" s="265"/>
      <c r="Z309" s="265"/>
    </row>
    <row r="310">
      <c r="A310" s="265"/>
      <c r="B310" s="265"/>
      <c r="C310" s="268"/>
      <c r="D310" s="268"/>
      <c r="E310" s="268"/>
      <c r="F310" s="268"/>
      <c r="G310" s="268"/>
      <c r="H310" s="283"/>
      <c r="I310" s="276"/>
      <c r="J310" s="265"/>
      <c r="K310" s="265"/>
      <c r="L310" s="265"/>
      <c r="M310" s="265"/>
      <c r="N310" s="280"/>
      <c r="O310" s="265"/>
      <c r="P310" s="265"/>
      <c r="Q310" s="265"/>
      <c r="R310" s="265"/>
      <c r="S310" s="265"/>
      <c r="T310" s="265"/>
      <c r="U310" s="265"/>
      <c r="V310" s="265"/>
      <c r="W310" s="265"/>
      <c r="X310" s="265"/>
      <c r="Y310" s="265"/>
      <c r="Z310" s="265"/>
    </row>
  </sheetData>
  <autoFilter ref="$A$10:$U$310"/>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0.0" topLeftCell="A11" activePane="bottomLeft" state="frozen"/>
      <selection activeCell="B12" sqref="B12" pane="bottomLeft"/>
    </sheetView>
  </sheetViews>
  <sheetFormatPr customHeight="1" defaultColWidth="12.63" defaultRowHeight="15.75" outlineLevelRow="1"/>
  <cols>
    <col customWidth="1" min="1" max="1" width="5.63"/>
    <col customWidth="1" min="2" max="2" width="10.38"/>
    <col customWidth="1" min="3" max="3" width="8.5"/>
    <col customWidth="1" min="4" max="4" width="4.38"/>
    <col customWidth="1" min="5" max="7" width="23.0"/>
    <col customWidth="1" min="8" max="9" width="40.0"/>
    <col customWidth="1" min="10" max="10" width="8.75"/>
    <col customWidth="1" min="11" max="26" width="9.5"/>
  </cols>
  <sheetData>
    <row r="1" outlineLevel="1">
      <c r="A1" s="144"/>
      <c r="B1" s="144"/>
      <c r="C1" s="145" t="s">
        <v>0</v>
      </c>
      <c r="D1" s="8"/>
      <c r="E1" s="8"/>
      <c r="F1" s="144"/>
      <c r="G1" s="144"/>
      <c r="H1" s="8"/>
      <c r="I1" s="146"/>
      <c r="J1" s="146"/>
      <c r="K1" s="146"/>
      <c r="L1" s="146"/>
      <c r="M1" s="146"/>
      <c r="N1" s="146"/>
      <c r="O1" s="146"/>
      <c r="P1" s="146"/>
      <c r="Q1" s="146"/>
      <c r="R1" s="146"/>
      <c r="S1" s="146"/>
      <c r="T1" s="146"/>
      <c r="U1" s="146"/>
      <c r="V1" s="146"/>
      <c r="W1" s="146"/>
      <c r="X1" s="146"/>
      <c r="Y1" s="146"/>
      <c r="Z1" s="146"/>
    </row>
    <row r="2" outlineLevel="1">
      <c r="A2" s="144" t="s">
        <v>5</v>
      </c>
      <c r="B2" s="147" t="s">
        <v>234</v>
      </c>
      <c r="C2" s="148" t="s">
        <v>7</v>
      </c>
      <c r="D2" s="144" t="s">
        <v>2</v>
      </c>
      <c r="E2" s="149" t="s">
        <v>8</v>
      </c>
      <c r="F2" s="149" t="s">
        <v>17</v>
      </c>
      <c r="G2" s="149" t="s">
        <v>20</v>
      </c>
      <c r="H2" s="149" t="s">
        <v>10</v>
      </c>
      <c r="I2" s="150" t="s">
        <v>235</v>
      </c>
      <c r="J2" s="150"/>
      <c r="K2" s="150"/>
      <c r="L2" s="150"/>
      <c r="M2" s="150"/>
      <c r="N2" s="150"/>
      <c r="O2" s="150"/>
      <c r="P2" s="150"/>
      <c r="Q2" s="150"/>
      <c r="R2" s="150"/>
      <c r="S2" s="150"/>
      <c r="T2" s="150"/>
      <c r="U2" s="150"/>
      <c r="V2" s="150"/>
      <c r="W2" s="150"/>
      <c r="X2" s="150"/>
      <c r="Y2" s="150"/>
      <c r="Z2" s="150"/>
    </row>
    <row r="3" outlineLevel="1">
      <c r="A3" s="151" t="s">
        <v>25</v>
      </c>
      <c r="B3" s="152" t="s">
        <v>25</v>
      </c>
      <c r="C3" s="153" t="s">
        <v>236</v>
      </c>
      <c r="D3" s="153" t="s">
        <v>236</v>
      </c>
      <c r="E3" s="154" t="s">
        <v>236</v>
      </c>
      <c r="F3" s="144"/>
      <c r="G3" s="144"/>
      <c r="H3" s="154" t="s">
        <v>236</v>
      </c>
      <c r="I3" s="151"/>
      <c r="J3" s="151"/>
      <c r="K3" s="151"/>
      <c r="L3" s="151"/>
      <c r="M3" s="151"/>
      <c r="N3" s="151"/>
      <c r="O3" s="151"/>
      <c r="P3" s="151"/>
      <c r="Q3" s="151"/>
      <c r="R3" s="151"/>
      <c r="S3" s="151"/>
      <c r="T3" s="151"/>
      <c r="U3" s="151"/>
      <c r="V3" s="151"/>
      <c r="W3" s="151"/>
      <c r="X3" s="151"/>
      <c r="Y3" s="151"/>
      <c r="Z3" s="151"/>
    </row>
    <row r="4" outlineLevel="1">
      <c r="A4" s="144"/>
      <c r="B4" s="144"/>
      <c r="C4" s="155" t="s">
        <v>28</v>
      </c>
      <c r="D4" s="144"/>
      <c r="E4" s="144"/>
      <c r="F4" s="144"/>
      <c r="G4" s="144"/>
      <c r="H4" s="144"/>
      <c r="I4" s="144"/>
      <c r="J4" s="144"/>
      <c r="K4" s="144"/>
      <c r="L4" s="144"/>
      <c r="M4" s="144"/>
      <c r="N4" s="144"/>
      <c r="O4" s="144"/>
      <c r="P4" s="144"/>
      <c r="Q4" s="144"/>
      <c r="R4" s="144"/>
      <c r="S4" s="144"/>
      <c r="T4" s="144"/>
      <c r="U4" s="144"/>
      <c r="V4" s="144"/>
      <c r="W4" s="144"/>
      <c r="X4" s="144"/>
      <c r="Y4" s="144"/>
      <c r="Z4" s="144"/>
    </row>
    <row r="5" outlineLevel="1">
      <c r="A5" s="144"/>
      <c r="B5" s="144"/>
      <c r="C5" s="155" t="s">
        <v>31</v>
      </c>
      <c r="D5" s="144"/>
      <c r="E5" s="144"/>
      <c r="F5" s="144"/>
      <c r="G5" s="144"/>
      <c r="H5" s="144"/>
      <c r="I5" s="144"/>
      <c r="J5" s="144"/>
      <c r="K5" s="144"/>
      <c r="L5" s="144"/>
      <c r="M5" s="144"/>
      <c r="N5" s="144"/>
      <c r="O5" s="144"/>
      <c r="P5" s="144"/>
      <c r="Q5" s="144"/>
      <c r="R5" s="144"/>
      <c r="S5" s="144"/>
      <c r="T5" s="144"/>
      <c r="U5" s="144"/>
      <c r="V5" s="144"/>
      <c r="W5" s="144"/>
      <c r="X5" s="144"/>
      <c r="Y5" s="144"/>
      <c r="Z5" s="144"/>
    </row>
    <row r="6" outlineLevel="1">
      <c r="A6" s="144"/>
      <c r="B6" s="144"/>
      <c r="C6" s="155" t="s">
        <v>35</v>
      </c>
      <c r="D6" s="144"/>
      <c r="E6" s="144"/>
      <c r="F6" s="152"/>
      <c r="G6" s="8"/>
      <c r="H6" s="144"/>
      <c r="I6" s="156"/>
      <c r="J6" s="156"/>
      <c r="K6" s="156"/>
      <c r="L6" s="156"/>
      <c r="M6" s="156"/>
      <c r="N6" s="156"/>
      <c r="O6" s="156"/>
      <c r="P6" s="156"/>
      <c r="Q6" s="156"/>
      <c r="R6" s="156"/>
      <c r="S6" s="156"/>
      <c r="T6" s="156"/>
      <c r="U6" s="156"/>
      <c r="V6" s="156"/>
      <c r="W6" s="156"/>
      <c r="X6" s="156"/>
      <c r="Y6" s="156"/>
      <c r="Z6" s="156"/>
    </row>
    <row r="7" outlineLevel="1">
      <c r="A7" s="144" t="s">
        <v>237</v>
      </c>
      <c r="B7" s="147" t="s">
        <v>237</v>
      </c>
      <c r="C7" s="151" t="s">
        <v>37</v>
      </c>
      <c r="D7" s="151"/>
      <c r="E7" s="149"/>
      <c r="F7" s="151"/>
      <c r="G7" s="149"/>
      <c r="H7" s="157" t="s">
        <v>238</v>
      </c>
      <c r="I7" s="149"/>
      <c r="J7" s="149"/>
      <c r="K7" s="149"/>
      <c r="L7" s="149"/>
      <c r="M7" s="149"/>
      <c r="N7" s="149"/>
      <c r="O7" s="149"/>
      <c r="P7" s="149"/>
      <c r="Q7" s="149"/>
      <c r="R7" s="149"/>
      <c r="S7" s="149"/>
      <c r="T7" s="149"/>
      <c r="U7" s="149"/>
      <c r="V7" s="149"/>
      <c r="W7" s="149"/>
      <c r="X7" s="149"/>
      <c r="Y7" s="149"/>
      <c r="Z7" s="149"/>
    </row>
    <row r="8" outlineLevel="1">
      <c r="A8" s="144"/>
      <c r="B8" s="144"/>
      <c r="C8" s="151" t="s">
        <v>39</v>
      </c>
      <c r="D8" s="144"/>
      <c r="E8" s="144"/>
      <c r="F8" s="144"/>
      <c r="G8" s="144"/>
      <c r="H8" s="144"/>
      <c r="I8" s="144"/>
      <c r="J8" s="144"/>
      <c r="K8" s="144"/>
      <c r="L8" s="144"/>
      <c r="M8" s="144"/>
      <c r="N8" s="144"/>
      <c r="O8" s="144"/>
      <c r="P8" s="144"/>
      <c r="Q8" s="144"/>
      <c r="R8" s="144"/>
      <c r="S8" s="144"/>
      <c r="T8" s="144"/>
      <c r="U8" s="144"/>
      <c r="V8" s="144"/>
      <c r="W8" s="144"/>
      <c r="X8" s="144"/>
      <c r="Y8" s="144"/>
      <c r="Z8" s="144"/>
    </row>
    <row r="9" outlineLevel="1">
      <c r="A9" s="144"/>
      <c r="B9" s="144"/>
      <c r="C9" s="145" t="s">
        <v>44</v>
      </c>
      <c r="D9" s="144"/>
      <c r="E9" s="144"/>
      <c r="F9" s="144"/>
      <c r="G9" s="144"/>
      <c r="H9" s="144"/>
      <c r="I9" s="144"/>
      <c r="J9" s="144"/>
      <c r="K9" s="144"/>
      <c r="L9" s="144"/>
      <c r="M9" s="144"/>
      <c r="N9" s="144"/>
      <c r="O9" s="144"/>
      <c r="P9" s="144"/>
      <c r="Q9" s="144"/>
      <c r="R9" s="144"/>
      <c r="S9" s="144"/>
      <c r="T9" s="144"/>
      <c r="U9" s="144"/>
      <c r="V9" s="144"/>
      <c r="W9" s="144"/>
      <c r="X9" s="144"/>
      <c r="Y9" s="144"/>
      <c r="Z9" s="144"/>
    </row>
    <row r="10" ht="20.25" customHeight="1">
      <c r="A10" s="158"/>
      <c r="B10" s="158" t="str">
        <f t="array" ref="B10:B310">'5-1 Сбор КП Закупки'!$Y$10:$Y$310</f>
        <v>РазличиеМужду</v>
      </c>
      <c r="C10" s="159" t="str">
        <f>'1-0 Товары'!C10</f>
        <v>ID_Товара</v>
      </c>
      <c r="D10" s="161" t="str">
        <f>'5-1 Сбор КП Закупки'!D10</f>
        <v>№</v>
      </c>
      <c r="E10" s="161" t="str">
        <f>'5-1 Сбор КП Закупки'!E10</f>
        <v>Номенклатура</v>
      </c>
      <c r="F10" s="161" t="str">
        <f>'5-1 Сбор КП Закупки'!F10</f>
        <v>Название товара по договору</v>
      </c>
      <c r="G10" s="161" t="str">
        <f>'5-1 Сбор КП Закупки'!G10</f>
        <v>Изготовитель товара по договору</v>
      </c>
      <c r="H10" s="161" t="str">
        <f>'5-1 Сбор КП Закупки'!H10</f>
        <v>Характеристики</v>
      </c>
      <c r="I10" s="161" t="str">
        <f>'5-1 Сбор КП Закупки'!I10</f>
        <v>Состав поставляемой с продукцией технической документации</v>
      </c>
      <c r="J10" s="167" t="str">
        <f>'1-0 Товары'!G$10</f>
        <v>Ед. Изм</v>
      </c>
      <c r="K10" s="169" t="str">
        <f>'1-0 Товары'!H$10</f>
        <v>Кол-во</v>
      </c>
      <c r="L10" s="167" t="str">
        <f>'1-0 Товары'!I$10</f>
        <v>НМЦ</v>
      </c>
      <c r="M10" s="172" t="str">
        <f>'1-0 Товары'!N$10</f>
        <v>Срок поставки по договору</v>
      </c>
      <c r="N10" s="169" t="str">
        <f>'1-0 Товары'!O$10</f>
        <v>Нац режим 1875</v>
      </c>
      <c r="O10" s="169" t="str">
        <f>'1-0 Товары'!P$10</f>
        <v>Код ОКПД 2</v>
      </c>
      <c r="P10" s="177"/>
      <c r="Q10" s="177"/>
      <c r="R10" s="177"/>
      <c r="S10" s="177"/>
      <c r="T10" s="177"/>
      <c r="U10" s="177"/>
      <c r="V10" s="177"/>
      <c r="W10" s="177"/>
      <c r="X10" s="177"/>
      <c r="Y10" s="177"/>
      <c r="Z10" s="177"/>
    </row>
    <row r="11">
      <c r="A11" s="179"/>
      <c r="B11" s="181" t="s">
        <v>96</v>
      </c>
      <c r="C11" s="184" t="str">
        <f>'1-0 Товары'!C11</f>
        <v>ID_T001</v>
      </c>
      <c r="D11" s="186" t="str">
        <f>'1-0 Товары'!D11</f>
        <v>1</v>
      </c>
      <c r="E11" s="190" t="str">
        <f>'1-0 Товары'!E11</f>
        <v>Масляный фильтр - Артикул 89781969 ESG-315 зав.№ F010451</v>
      </c>
      <c r="F11" s="191"/>
      <c r="G11" s="191"/>
      <c r="H11" s="196"/>
      <c r="I11" s="196"/>
      <c r="J11" s="199" t="str">
        <f>'1-0 Товары'!$G11</f>
        <v>шт.</v>
      </c>
      <c r="K11" s="200">
        <f>'1-0 Товары'!$H11</f>
        <v>3</v>
      </c>
      <c r="L11" s="201" t="str">
        <f>'1-0 Товары'!$I11</f>
        <v/>
      </c>
      <c r="M11" s="203" t="str">
        <f>'1-0 Товары'!$N11</f>
        <v/>
      </c>
      <c r="N11" s="206" t="str">
        <f>'1-0 Товары'!$O11</f>
        <v/>
      </c>
      <c r="O11" s="206" t="str">
        <f>'1-0 Товары'!$P11</f>
        <v/>
      </c>
      <c r="P11" s="207"/>
      <c r="Q11" s="207"/>
      <c r="R11" s="207"/>
      <c r="S11" s="207"/>
      <c r="T11" s="207"/>
      <c r="U11" s="207"/>
      <c r="V11" s="207"/>
      <c r="W11" s="207"/>
      <c r="X11" s="207"/>
      <c r="Y11" s="207"/>
      <c r="Z11" s="207"/>
    </row>
    <row r="12">
      <c r="A12" s="179"/>
      <c r="B12" s="181" t="s">
        <v>96</v>
      </c>
      <c r="C12" s="184" t="str">
        <f>'1-0 Товары'!C12</f>
        <v>ID_T002</v>
      </c>
      <c r="D12" s="186" t="str">
        <f>'1-0 Товары'!D12</f>
        <v>2</v>
      </c>
      <c r="E12" s="190" t="str">
        <f>'1-0 Товары'!E12</f>
        <v>Масляный фильтр - Артикул 85062259</v>
      </c>
      <c r="F12" s="191"/>
      <c r="G12" s="191"/>
      <c r="H12" s="196"/>
      <c r="I12" s="196"/>
      <c r="J12" s="199" t="str">
        <f>'1-0 Товары'!$G12</f>
        <v>шт.</v>
      </c>
      <c r="K12" s="200">
        <f>'1-0 Товары'!$H12</f>
        <v>6</v>
      </c>
      <c r="L12" s="201" t="str">
        <f>'1-0 Товары'!$I12</f>
        <v/>
      </c>
      <c r="M12" s="203" t="str">
        <f>'1-0 Товары'!$N12</f>
        <v/>
      </c>
      <c r="N12" s="206" t="str">
        <f>'1-0 Товары'!$O12</f>
        <v/>
      </c>
      <c r="O12" s="206" t="str">
        <f>'1-0 Товары'!$P12</f>
        <v/>
      </c>
      <c r="P12" s="146"/>
      <c r="Q12" s="146"/>
      <c r="R12" s="146"/>
      <c r="S12" s="146"/>
      <c r="T12" s="146"/>
      <c r="U12" s="146"/>
      <c r="V12" s="146"/>
      <c r="W12" s="146"/>
      <c r="X12" s="146"/>
      <c r="Y12" s="146"/>
      <c r="Z12" s="146"/>
    </row>
    <row r="13">
      <c r="A13" s="179"/>
      <c r="B13" s="181" t="s">
        <v>96</v>
      </c>
      <c r="C13" s="184" t="str">
        <f>'1-0 Товары'!C13</f>
        <v>ID_T003</v>
      </c>
      <c r="D13" s="186" t="str">
        <f>'1-0 Товары'!D13</f>
        <v>3</v>
      </c>
      <c r="E13" s="190" t="str">
        <f>'1-0 Товары'!E13</f>
        <v>Воздушный фильтр - Артикул 85067179 </v>
      </c>
      <c r="F13" s="191"/>
      <c r="G13" s="191"/>
      <c r="H13" s="196"/>
      <c r="I13" s="196"/>
      <c r="J13" s="199" t="str">
        <f>'1-0 Товары'!$G13</f>
        <v>шт.</v>
      </c>
      <c r="K13" s="200">
        <f>'1-0 Товары'!$H13</f>
        <v>16</v>
      </c>
      <c r="L13" s="201" t="str">
        <f>'1-0 Товары'!$I13</f>
        <v/>
      </c>
      <c r="M13" s="203" t="str">
        <f>'1-0 Товары'!$N13</f>
        <v/>
      </c>
      <c r="N13" s="206" t="str">
        <f>'1-0 Товары'!$O13</f>
        <v/>
      </c>
      <c r="O13" s="206" t="str">
        <f>'1-0 Товары'!$P13</f>
        <v/>
      </c>
      <c r="P13" s="146"/>
      <c r="Q13" s="146"/>
      <c r="R13" s="146"/>
      <c r="S13" s="146"/>
      <c r="T13" s="146"/>
      <c r="U13" s="146"/>
      <c r="V13" s="146"/>
      <c r="W13" s="146"/>
      <c r="X13" s="146"/>
      <c r="Y13" s="146"/>
      <c r="Z13" s="146"/>
    </row>
    <row r="14">
      <c r="A14" s="146"/>
      <c r="B14" s="226" t="s">
        <v>96</v>
      </c>
      <c r="C14" s="184" t="str">
        <f>'1-0 Товары'!C14</f>
        <v>ID_T004</v>
      </c>
      <c r="D14" s="186" t="str">
        <f>'1-0 Товары'!D14</f>
        <v>4</v>
      </c>
      <c r="E14" s="190" t="str">
        <f>'1-0 Товары'!E14</f>
        <v>Термостат в сборе ESM-200; «Gardner Denver»</v>
      </c>
      <c r="F14" s="191"/>
      <c r="G14" s="191"/>
      <c r="H14" s="196"/>
      <c r="I14" s="196"/>
      <c r="J14" s="199" t="str">
        <f>'1-0 Товары'!$G14</f>
        <v>шт.</v>
      </c>
      <c r="K14" s="200">
        <f>'1-0 Товары'!$H14</f>
        <v>2</v>
      </c>
      <c r="L14" s="201" t="str">
        <f>'1-0 Товары'!$I14</f>
        <v/>
      </c>
      <c r="M14" s="203" t="str">
        <f>'1-0 Товары'!$N14</f>
        <v/>
      </c>
      <c r="N14" s="206" t="str">
        <f>'1-0 Товары'!$O14</f>
        <v/>
      </c>
      <c r="O14" s="206" t="str">
        <f>'1-0 Товары'!$P14</f>
        <v/>
      </c>
      <c r="P14" s="146"/>
      <c r="Q14" s="146"/>
      <c r="R14" s="146"/>
      <c r="S14" s="146"/>
      <c r="T14" s="146"/>
      <c r="U14" s="146"/>
      <c r="V14" s="146"/>
      <c r="W14" s="146"/>
      <c r="X14" s="146"/>
      <c r="Y14" s="146"/>
      <c r="Z14" s="146"/>
    </row>
    <row r="15">
      <c r="A15" s="179"/>
      <c r="B15" s="233" t="s">
        <v>96</v>
      </c>
      <c r="C15" s="184" t="str">
        <f>'1-0 Товары'!C15</f>
        <v>ID_T005</v>
      </c>
      <c r="D15" s="186" t="str">
        <f>'1-0 Товары'!D15</f>
        <v>5</v>
      </c>
      <c r="E15" s="190" t="str">
        <f>'1-0 Товары'!E15</f>
        <v>Масляный сепаратор Артикул 03498328</v>
      </c>
      <c r="F15" s="191"/>
      <c r="G15" s="191"/>
      <c r="H15" s="196"/>
      <c r="I15" s="196"/>
      <c r="J15" s="199" t="str">
        <f>'1-0 Товары'!$G15</f>
        <v>шт.</v>
      </c>
      <c r="K15" s="200">
        <f>'1-0 Товары'!$H15</f>
        <v>3</v>
      </c>
      <c r="L15" s="201" t="str">
        <f>'1-0 Товары'!$I15</f>
        <v/>
      </c>
      <c r="M15" s="203" t="str">
        <f>'1-0 Товары'!$N15</f>
        <v/>
      </c>
      <c r="N15" s="206" t="str">
        <f>'1-0 Товары'!$O15</f>
        <v/>
      </c>
      <c r="O15" s="206" t="str">
        <f>'1-0 Товары'!$P15</f>
        <v/>
      </c>
      <c r="P15" s="146"/>
      <c r="Q15" s="146"/>
      <c r="R15" s="146"/>
      <c r="S15" s="146"/>
      <c r="T15" s="146"/>
      <c r="U15" s="146"/>
      <c r="V15" s="146"/>
      <c r="W15" s="146"/>
      <c r="X15" s="146"/>
      <c r="Y15" s="146"/>
      <c r="Z15" s="146"/>
    </row>
    <row r="16">
      <c r="A16" s="236"/>
      <c r="B16" s="237" t="s">
        <v>96</v>
      </c>
      <c r="C16" s="184" t="str">
        <f>'1-0 Товары'!C16</f>
        <v>ID_T006</v>
      </c>
      <c r="D16" s="186" t="str">
        <f>'1-0 Товары'!D16</f>
        <v>6</v>
      </c>
      <c r="E16" s="190" t="str">
        <f>'1-0 Товары'!E16</f>
        <v>Масляный фильтр Артикул 89675429</v>
      </c>
      <c r="F16" s="191"/>
      <c r="G16" s="191"/>
      <c r="H16" s="196"/>
      <c r="I16" s="196"/>
      <c r="J16" s="199" t="str">
        <f>'1-0 Товары'!$G16</f>
        <v>шт.</v>
      </c>
      <c r="K16" s="200">
        <f>'1-0 Товары'!$H16</f>
        <v>3</v>
      </c>
      <c r="L16" s="201" t="str">
        <f>'1-0 Товары'!$I16</f>
        <v/>
      </c>
      <c r="M16" s="203" t="str">
        <f>'1-0 Товары'!$N16</f>
        <v/>
      </c>
      <c r="N16" s="206" t="str">
        <f>'1-0 Товары'!$O16</f>
        <v/>
      </c>
      <c r="O16" s="206" t="str">
        <f>'1-0 Товары'!$P16</f>
        <v/>
      </c>
      <c r="P16" s="146"/>
      <c r="Q16" s="146"/>
      <c r="R16" s="146"/>
      <c r="S16" s="146"/>
      <c r="T16" s="146"/>
      <c r="U16" s="146"/>
      <c r="V16" s="146"/>
      <c r="W16" s="146"/>
      <c r="X16" s="146"/>
      <c r="Y16" s="146"/>
      <c r="Z16" s="146"/>
    </row>
    <row r="17">
      <c r="A17" s="236"/>
      <c r="B17" s="239" t="s">
        <v>96</v>
      </c>
      <c r="C17" s="184" t="str">
        <f>'1-0 Товары'!C17</f>
        <v>ID_T007</v>
      </c>
      <c r="D17" s="186" t="str">
        <f>'1-0 Товары'!D17</f>
        <v>7</v>
      </c>
      <c r="E17" s="190" t="str">
        <f>'1-0 Товары'!E17</f>
        <v>Воздушный фильтр - Артикул 81166609</v>
      </c>
      <c r="F17" s="191"/>
      <c r="G17" s="191"/>
      <c r="H17" s="196"/>
      <c r="I17" s="196"/>
      <c r="J17" s="199" t="str">
        <f>'1-0 Товары'!$G17</f>
        <v>шт.</v>
      </c>
      <c r="K17" s="200">
        <f>'1-0 Товары'!$H17</f>
        <v>3</v>
      </c>
      <c r="L17" s="201" t="str">
        <f>'1-0 Товары'!$I17</f>
        <v/>
      </c>
      <c r="M17" s="203" t="str">
        <f>'1-0 Товары'!$N17</f>
        <v/>
      </c>
      <c r="N17" s="206" t="str">
        <f>'1-0 Товары'!$O17</f>
        <v/>
      </c>
      <c r="O17" s="206" t="str">
        <f>'1-0 Товары'!$P17</f>
        <v/>
      </c>
      <c r="P17" s="146"/>
      <c r="Q17" s="146"/>
      <c r="R17" s="146"/>
      <c r="S17" s="146"/>
      <c r="T17" s="146"/>
      <c r="U17" s="146"/>
      <c r="V17" s="146"/>
      <c r="W17" s="146"/>
      <c r="X17" s="146"/>
      <c r="Y17" s="146"/>
      <c r="Z17" s="146"/>
    </row>
    <row r="18">
      <c r="A18" s="236"/>
      <c r="B18" s="241" t="s">
        <v>96</v>
      </c>
      <c r="C18" s="184" t="str">
        <f>'1-0 Товары'!C18</f>
        <v>ID_T008</v>
      </c>
      <c r="D18" s="186" t="str">
        <f>'1-0 Товары'!D18</f>
        <v>8</v>
      </c>
      <c r="E18" s="190" t="str">
        <f>'1-0 Товары'!E18</f>
        <v>Сервисный набор арт. 2906020000 </v>
      </c>
      <c r="F18" s="191"/>
      <c r="G18" s="191"/>
      <c r="H18" s="196"/>
      <c r="I18" s="196"/>
      <c r="J18" s="199" t="str">
        <f>'1-0 Товары'!$G18</f>
        <v>шт.</v>
      </c>
      <c r="K18" s="200">
        <f>'1-0 Товары'!$H18</f>
        <v>3</v>
      </c>
      <c r="L18" s="201" t="str">
        <f>'1-0 Товары'!$I18</f>
        <v/>
      </c>
      <c r="M18" s="203" t="str">
        <f>'1-0 Товары'!$N18</f>
        <v/>
      </c>
      <c r="N18" s="206" t="str">
        <f>'1-0 Товары'!$O18</f>
        <v/>
      </c>
      <c r="O18" s="206" t="str">
        <f>'1-0 Товары'!$P18</f>
        <v/>
      </c>
      <c r="P18" s="146"/>
      <c r="Q18" s="146"/>
      <c r="R18" s="146"/>
      <c r="S18" s="146"/>
      <c r="T18" s="146"/>
      <c r="U18" s="146"/>
      <c r="V18" s="146"/>
      <c r="W18" s="146"/>
      <c r="X18" s="146"/>
      <c r="Y18" s="146"/>
      <c r="Z18" s="146"/>
    </row>
    <row r="19">
      <c r="A19" s="144"/>
      <c r="B19" s="244" t="s">
        <v>96</v>
      </c>
      <c r="C19" s="184" t="str">
        <f>'1-0 Товары'!C19</f>
        <v>ID_T009</v>
      </c>
      <c r="D19" s="186" t="str">
        <f>'1-0 Товары'!D19</f>
        <v>9</v>
      </c>
      <c r="E19" s="190" t="str">
        <f>'1-0 Товары'!E19</f>
        <v>Сервисный набор 8000 ч. арт. 2906075700</v>
      </c>
      <c r="F19" s="191"/>
      <c r="G19" s="191"/>
      <c r="H19" s="196"/>
      <c r="I19" s="196"/>
      <c r="J19" s="199" t="str">
        <f>'1-0 Товары'!$G19</f>
        <v>шт.</v>
      </c>
      <c r="K19" s="200">
        <f>'1-0 Товары'!$H19</f>
        <v>3</v>
      </c>
      <c r="L19" s="201" t="str">
        <f>'1-0 Товары'!$I19</f>
        <v/>
      </c>
      <c r="M19" s="203" t="str">
        <f>'1-0 Товары'!$N19</f>
        <v/>
      </c>
      <c r="N19" s="206" t="str">
        <f>'1-0 Товары'!$O19</f>
        <v/>
      </c>
      <c r="O19" s="206" t="str">
        <f>'1-0 Товары'!$P19</f>
        <v/>
      </c>
      <c r="P19" s="146"/>
      <c r="Q19" s="146"/>
      <c r="R19" s="146"/>
      <c r="S19" s="146"/>
      <c r="T19" s="146"/>
      <c r="U19" s="146"/>
      <c r="V19" s="146"/>
      <c r="W19" s="146"/>
      <c r="X19" s="146"/>
      <c r="Y19" s="146"/>
      <c r="Z19" s="146"/>
    </row>
    <row r="20">
      <c r="A20" s="144"/>
      <c r="B20" s="244" t="s">
        <v>96</v>
      </c>
      <c r="C20" s="184" t="str">
        <f>'1-0 Товары'!C20</f>
        <v>ID_T010</v>
      </c>
      <c r="D20" s="186" t="str">
        <f>'1-0 Товары'!D20</f>
        <v>10</v>
      </c>
      <c r="E20" s="190" t="str">
        <f>'1-0 Товары'!E20</f>
        <v>Масляный сепаратор </v>
      </c>
      <c r="F20" s="191"/>
      <c r="G20" s="191"/>
      <c r="H20" s="196"/>
      <c r="I20" s="196"/>
      <c r="J20" s="199" t="str">
        <f>'1-0 Товары'!$G20</f>
        <v>шт.</v>
      </c>
      <c r="K20" s="200">
        <f>'1-0 Товары'!$H20</f>
        <v>3</v>
      </c>
      <c r="L20" s="201" t="str">
        <f>'1-0 Товары'!$I20</f>
        <v/>
      </c>
      <c r="M20" s="203" t="str">
        <f>'1-0 Товары'!$N20</f>
        <v/>
      </c>
      <c r="N20" s="206" t="str">
        <f>'1-0 Товары'!$O20</f>
        <v/>
      </c>
      <c r="O20" s="206" t="str">
        <f>'1-0 Товары'!$P20</f>
        <v/>
      </c>
      <c r="P20" s="146"/>
      <c r="Q20" s="146"/>
      <c r="R20" s="146"/>
      <c r="S20" s="146"/>
      <c r="T20" s="146"/>
      <c r="U20" s="146"/>
      <c r="V20" s="146"/>
      <c r="W20" s="146"/>
      <c r="X20" s="146"/>
      <c r="Y20" s="146"/>
      <c r="Z20" s="146"/>
    </row>
    <row r="21">
      <c r="A21" s="144"/>
      <c r="B21" s="244" t="s">
        <v>96</v>
      </c>
      <c r="C21" s="184" t="str">
        <f>'1-0 Товары'!C21</f>
        <v>ID_T011</v>
      </c>
      <c r="D21" s="186" t="str">
        <f>'1-0 Товары'!D21</f>
        <v>11</v>
      </c>
      <c r="E21" s="190" t="str">
        <f>'1-0 Товары'!E21</f>
        <v>Воздушный фильтр</v>
      </c>
      <c r="F21" s="191"/>
      <c r="G21" s="191"/>
      <c r="H21" s="196"/>
      <c r="I21" s="196"/>
      <c r="J21" s="199" t="str">
        <f>'1-0 Товары'!$G21</f>
        <v>шт.</v>
      </c>
      <c r="K21" s="200">
        <f>'1-0 Товары'!$H21</f>
        <v>6</v>
      </c>
      <c r="L21" s="201" t="str">
        <f>'1-0 Товары'!$I21</f>
        <v/>
      </c>
      <c r="M21" s="203" t="str">
        <f>'1-0 Товары'!$N21</f>
        <v/>
      </c>
      <c r="N21" s="206" t="str">
        <f>'1-0 Товары'!$O21</f>
        <v/>
      </c>
      <c r="O21" s="206" t="str">
        <f>'1-0 Товары'!$P21</f>
        <v/>
      </c>
      <c r="P21" s="146"/>
      <c r="Q21" s="146"/>
      <c r="R21" s="146"/>
      <c r="S21" s="146"/>
      <c r="T21" s="146"/>
      <c r="U21" s="146"/>
      <c r="V21" s="146"/>
      <c r="W21" s="146"/>
      <c r="X21" s="146"/>
      <c r="Y21" s="146"/>
      <c r="Z21" s="146"/>
    </row>
    <row r="22">
      <c r="A22" s="144"/>
      <c r="B22" s="244" t="s">
        <v>96</v>
      </c>
      <c r="C22" s="184" t="str">
        <f>'1-0 Товары'!C22</f>
        <v>ID_T012</v>
      </c>
      <c r="D22" s="186" t="str">
        <f>'1-0 Товары'!D22</f>
        <v>12</v>
      </c>
      <c r="E22" s="190" t="str">
        <f>'1-0 Товары'!E22</f>
        <v>Масляный фильтр</v>
      </c>
      <c r="F22" s="191"/>
      <c r="G22" s="191"/>
      <c r="H22" s="196"/>
      <c r="I22" s="196"/>
      <c r="J22" s="199" t="str">
        <f>'1-0 Товары'!$G22</f>
        <v>шт.</v>
      </c>
      <c r="K22" s="200">
        <f>'1-0 Товары'!$H22</f>
        <v>6</v>
      </c>
      <c r="L22" s="201" t="str">
        <f>'1-0 Товары'!$I22</f>
        <v/>
      </c>
      <c r="M22" s="203" t="str">
        <f>'1-0 Товары'!$N22</f>
        <v/>
      </c>
      <c r="N22" s="206" t="str">
        <f>'1-0 Товары'!$O22</f>
        <v/>
      </c>
      <c r="O22" s="206" t="str">
        <f>'1-0 Товары'!$P22</f>
        <v/>
      </c>
      <c r="P22" s="146"/>
      <c r="Q22" s="146"/>
      <c r="R22" s="146"/>
      <c r="S22" s="146"/>
      <c r="T22" s="146"/>
      <c r="U22" s="146"/>
      <c r="V22" s="146"/>
      <c r="W22" s="146"/>
      <c r="X22" s="146"/>
      <c r="Y22" s="146"/>
      <c r="Z22" s="146"/>
    </row>
    <row r="23">
      <c r="A23" s="144"/>
      <c r="B23" s="244" t="s">
        <v>96</v>
      </c>
      <c r="C23" s="184" t="str">
        <f>'1-0 Товары'!C23</f>
        <v>ID_T013</v>
      </c>
      <c r="D23" s="186" t="str">
        <f>'1-0 Товары'!D23</f>
        <v>13</v>
      </c>
      <c r="E23" s="190" t="str">
        <f>'1-0 Товары'!E23</f>
        <v>Масляный сепаратор DS 3084 </v>
      </c>
      <c r="F23" s="191"/>
      <c r="G23" s="191"/>
      <c r="H23" s="196"/>
      <c r="I23" s="196"/>
      <c r="J23" s="199" t="str">
        <f>'1-0 Товары'!$G23</f>
        <v>шт.</v>
      </c>
      <c r="K23" s="200">
        <f>'1-0 Товары'!$H23</f>
        <v>2</v>
      </c>
      <c r="L23" s="201" t="str">
        <f>'1-0 Товары'!$I23</f>
        <v/>
      </c>
      <c r="M23" s="203" t="str">
        <f>'1-0 Товары'!$N23</f>
        <v/>
      </c>
      <c r="N23" s="206" t="str">
        <f>'1-0 Товары'!$O23</f>
        <v/>
      </c>
      <c r="O23" s="206" t="str">
        <f>'1-0 Товары'!$P23</f>
        <v/>
      </c>
      <c r="P23" s="146"/>
      <c r="Q23" s="146"/>
      <c r="R23" s="146"/>
      <c r="S23" s="146"/>
      <c r="T23" s="146"/>
      <c r="U23" s="146"/>
      <c r="V23" s="146"/>
      <c r="W23" s="146"/>
      <c r="X23" s="146"/>
      <c r="Y23" s="146"/>
      <c r="Z23" s="146"/>
    </row>
    <row r="24">
      <c r="A24" s="144"/>
      <c r="B24" s="244" t="s">
        <v>96</v>
      </c>
      <c r="C24" s="184" t="str">
        <f>'1-0 Товары'!C24</f>
        <v>ID_T014</v>
      </c>
      <c r="D24" s="186" t="str">
        <f>'1-0 Товары'!D24</f>
        <v>14</v>
      </c>
      <c r="E24" s="190" t="str">
        <f>'1-0 Товары'!E24</f>
        <v>Воздушный фильтр ЛААЗ ЭФВ 721.1109560 (7405. 1109560)</v>
      </c>
      <c r="F24" s="191"/>
      <c r="G24" s="191"/>
      <c r="H24" s="196"/>
      <c r="I24" s="196"/>
      <c r="J24" s="199" t="str">
        <f>'1-0 Товары'!$G24</f>
        <v>шт.</v>
      </c>
      <c r="K24" s="200">
        <f>'1-0 Товары'!$H24</f>
        <v>4</v>
      </c>
      <c r="L24" s="201" t="str">
        <f>'1-0 Товары'!$I24</f>
        <v/>
      </c>
      <c r="M24" s="203" t="str">
        <f>'1-0 Товары'!$N24</f>
        <v/>
      </c>
      <c r="N24" s="206" t="str">
        <f>'1-0 Товары'!$O24</f>
        <v/>
      </c>
      <c r="O24" s="206" t="str">
        <f>'1-0 Товары'!$P24</f>
        <v/>
      </c>
      <c r="P24" s="146"/>
      <c r="Q24" s="146"/>
      <c r="R24" s="146"/>
      <c r="S24" s="146"/>
      <c r="T24" s="146"/>
      <c r="U24" s="146"/>
      <c r="V24" s="146"/>
      <c r="W24" s="146"/>
      <c r="X24" s="146"/>
      <c r="Y24" s="146"/>
      <c r="Z24" s="146"/>
    </row>
    <row r="25">
      <c r="A25" s="144"/>
      <c r="B25" s="244" t="s">
        <v>96</v>
      </c>
      <c r="C25" s="184" t="str">
        <f>'1-0 Товары'!C25</f>
        <v>ID_T015</v>
      </c>
      <c r="D25" s="186" t="str">
        <f>'1-0 Товары'!D25</f>
        <v>15</v>
      </c>
      <c r="E25" s="190" t="str">
        <f>'1-0 Товары'!E25</f>
        <v>Масляный фильтр W13145/3</v>
      </c>
      <c r="F25" s="191"/>
      <c r="G25" s="191"/>
      <c r="H25" s="196"/>
      <c r="I25" s="196"/>
      <c r="J25" s="199" t="str">
        <f>'1-0 Товары'!$G25</f>
        <v>шт.</v>
      </c>
      <c r="K25" s="200">
        <f>'1-0 Товары'!$H25</f>
        <v>4</v>
      </c>
      <c r="L25" s="201" t="str">
        <f>'1-0 Товары'!$I25</f>
        <v/>
      </c>
      <c r="M25" s="203" t="str">
        <f>'1-0 Товары'!$N25</f>
        <v/>
      </c>
      <c r="N25" s="206" t="str">
        <f>'1-0 Товары'!$O25</f>
        <v/>
      </c>
      <c r="O25" s="206" t="str">
        <f>'1-0 Товары'!$P25</f>
        <v/>
      </c>
      <c r="P25" s="146"/>
      <c r="Q25" s="146"/>
      <c r="R25" s="146"/>
      <c r="S25" s="146"/>
      <c r="T25" s="146"/>
      <c r="U25" s="146"/>
      <c r="V25" s="146"/>
      <c r="W25" s="146"/>
      <c r="X25" s="146"/>
      <c r="Y25" s="146"/>
      <c r="Z25" s="146"/>
    </row>
    <row r="26">
      <c r="A26" s="144"/>
      <c r="B26" s="244" t="s">
        <v>96</v>
      </c>
      <c r="C26" s="184" t="str">
        <f>'1-0 Товары'!C26</f>
        <v>ID_T016</v>
      </c>
      <c r="D26" s="186" t="str">
        <f>'1-0 Товары'!D26</f>
        <v>16</v>
      </c>
      <c r="E26" s="190" t="str">
        <f>'1-0 Товары'!E26</f>
        <v/>
      </c>
      <c r="F26" s="191"/>
      <c r="G26" s="191"/>
      <c r="H26" s="196"/>
      <c r="I26" s="196"/>
      <c r="J26" s="199" t="str">
        <f>'1-0 Товары'!$G26</f>
        <v/>
      </c>
      <c r="K26" s="200" t="str">
        <f>'1-0 Товары'!$H26</f>
        <v/>
      </c>
      <c r="L26" s="201" t="str">
        <f>'1-0 Товары'!$I26</f>
        <v/>
      </c>
      <c r="M26" s="203" t="str">
        <f>'1-0 Товары'!$N26</f>
        <v/>
      </c>
      <c r="N26" s="206" t="str">
        <f>'1-0 Товары'!$O26</f>
        <v/>
      </c>
      <c r="O26" s="206" t="str">
        <f>'1-0 Товары'!$P26</f>
        <v/>
      </c>
      <c r="P26" s="146"/>
      <c r="Q26" s="146"/>
      <c r="R26" s="146"/>
      <c r="S26" s="146"/>
      <c r="T26" s="146"/>
      <c r="U26" s="146"/>
      <c r="V26" s="146"/>
      <c r="W26" s="146"/>
      <c r="X26" s="146"/>
      <c r="Y26" s="146"/>
      <c r="Z26" s="146"/>
    </row>
    <row r="27">
      <c r="A27" s="144"/>
      <c r="B27" s="244" t="s">
        <v>96</v>
      </c>
      <c r="C27" s="184" t="str">
        <f>'1-0 Товары'!C27</f>
        <v>ID_T017</v>
      </c>
      <c r="D27" s="186" t="str">
        <f>'1-0 Товары'!D27</f>
        <v>17</v>
      </c>
      <c r="E27" s="190" t="str">
        <f>'1-0 Товары'!E27</f>
        <v/>
      </c>
      <c r="F27" s="191"/>
      <c r="G27" s="191"/>
      <c r="H27" s="196"/>
      <c r="I27" s="196"/>
      <c r="J27" s="199" t="str">
        <f>'1-0 Товары'!$G27</f>
        <v/>
      </c>
      <c r="K27" s="200" t="str">
        <f>'1-0 Товары'!$H27</f>
        <v/>
      </c>
      <c r="L27" s="201" t="str">
        <f>'1-0 Товары'!$I27</f>
        <v/>
      </c>
      <c r="M27" s="203" t="str">
        <f>'1-0 Товары'!$N27</f>
        <v/>
      </c>
      <c r="N27" s="206" t="str">
        <f>'1-0 Товары'!$O27</f>
        <v/>
      </c>
      <c r="O27" s="206" t="str">
        <f>'1-0 Товары'!$P27</f>
        <v/>
      </c>
      <c r="P27" s="146"/>
      <c r="Q27" s="146"/>
      <c r="R27" s="146"/>
      <c r="S27" s="146"/>
      <c r="T27" s="146"/>
      <c r="U27" s="146"/>
      <c r="V27" s="146"/>
      <c r="W27" s="146"/>
      <c r="X27" s="146"/>
      <c r="Y27" s="146"/>
      <c r="Z27" s="146"/>
    </row>
    <row r="28">
      <c r="A28" s="144"/>
      <c r="B28" s="244" t="s">
        <v>96</v>
      </c>
      <c r="C28" s="184" t="str">
        <f>'1-0 Товары'!C28</f>
        <v>ID_T018</v>
      </c>
      <c r="D28" s="186" t="str">
        <f>'1-0 Товары'!D28</f>
        <v>18</v>
      </c>
      <c r="E28" s="190" t="str">
        <f>'1-0 Товары'!E28</f>
        <v/>
      </c>
      <c r="F28" s="191"/>
      <c r="G28" s="191"/>
      <c r="H28" s="196"/>
      <c r="I28" s="196"/>
      <c r="J28" s="199" t="str">
        <f>'1-0 Товары'!$G28</f>
        <v/>
      </c>
      <c r="K28" s="200" t="str">
        <f>'1-0 Товары'!$H28</f>
        <v/>
      </c>
      <c r="L28" s="201" t="str">
        <f>'1-0 Товары'!$I28</f>
        <v/>
      </c>
      <c r="M28" s="203" t="str">
        <f>'1-0 Товары'!$N28</f>
        <v/>
      </c>
      <c r="N28" s="206" t="str">
        <f>'1-0 Товары'!$O28</f>
        <v/>
      </c>
      <c r="O28" s="206" t="str">
        <f>'1-0 Товары'!$P28</f>
        <v/>
      </c>
      <c r="P28" s="146"/>
      <c r="Q28" s="146"/>
      <c r="R28" s="146"/>
      <c r="S28" s="146"/>
      <c r="T28" s="146"/>
      <c r="U28" s="146"/>
      <c r="V28" s="146"/>
      <c r="W28" s="146"/>
      <c r="X28" s="146"/>
      <c r="Y28" s="146"/>
      <c r="Z28" s="146"/>
    </row>
    <row r="29">
      <c r="A29" s="144"/>
      <c r="B29" s="244" t="s">
        <v>96</v>
      </c>
      <c r="C29" s="184" t="str">
        <f>'1-0 Товары'!C29</f>
        <v>ID_T019</v>
      </c>
      <c r="D29" s="186" t="str">
        <f>'1-0 Товары'!D29</f>
        <v>19</v>
      </c>
      <c r="E29" s="190" t="str">
        <f>'1-0 Товары'!E29</f>
        <v/>
      </c>
      <c r="F29" s="191"/>
      <c r="G29" s="191"/>
      <c r="H29" s="196"/>
      <c r="I29" s="196"/>
      <c r="J29" s="199" t="str">
        <f>'1-0 Товары'!$G29</f>
        <v/>
      </c>
      <c r="K29" s="200" t="str">
        <f>'1-0 Товары'!$H29</f>
        <v/>
      </c>
      <c r="L29" s="201" t="str">
        <f>'1-0 Товары'!$I29</f>
        <v/>
      </c>
      <c r="M29" s="203" t="str">
        <f>'1-0 Товары'!$N29</f>
        <v/>
      </c>
      <c r="N29" s="206" t="str">
        <f>'1-0 Товары'!$O29</f>
        <v/>
      </c>
      <c r="O29" s="206" t="str">
        <f>'1-0 Товары'!$P29</f>
        <v/>
      </c>
      <c r="P29" s="146"/>
      <c r="Q29" s="146"/>
      <c r="R29" s="146"/>
      <c r="S29" s="146"/>
      <c r="T29" s="146"/>
      <c r="U29" s="146"/>
      <c r="V29" s="146"/>
      <c r="W29" s="146"/>
      <c r="X29" s="146"/>
      <c r="Y29" s="146"/>
      <c r="Z29" s="146"/>
    </row>
    <row r="30">
      <c r="A30" s="144"/>
      <c r="B30" s="244" t="s">
        <v>96</v>
      </c>
      <c r="C30" s="184" t="str">
        <f>'1-0 Товары'!C30</f>
        <v>ID_T020</v>
      </c>
      <c r="D30" s="186" t="str">
        <f>'1-0 Товары'!D30</f>
        <v>20</v>
      </c>
      <c r="E30" s="190" t="str">
        <f>'1-0 Товары'!E30</f>
        <v/>
      </c>
      <c r="F30" s="191"/>
      <c r="G30" s="191"/>
      <c r="H30" s="196"/>
      <c r="I30" s="196"/>
      <c r="J30" s="199" t="str">
        <f>'1-0 Товары'!$G30</f>
        <v/>
      </c>
      <c r="K30" s="200" t="str">
        <f>'1-0 Товары'!$H30</f>
        <v/>
      </c>
      <c r="L30" s="201" t="str">
        <f>'1-0 Товары'!$I30</f>
        <v/>
      </c>
      <c r="M30" s="203" t="str">
        <f>'1-0 Товары'!$N30</f>
        <v/>
      </c>
      <c r="N30" s="206" t="str">
        <f>'1-0 Товары'!$O30</f>
        <v/>
      </c>
      <c r="O30" s="206" t="str">
        <f>'1-0 Товары'!$P30</f>
        <v/>
      </c>
      <c r="P30" s="146"/>
      <c r="Q30" s="146"/>
      <c r="R30" s="146"/>
      <c r="S30" s="146"/>
      <c r="T30" s="146"/>
      <c r="U30" s="146"/>
      <c r="V30" s="146"/>
      <c r="W30" s="146"/>
      <c r="X30" s="146"/>
      <c r="Y30" s="146"/>
      <c r="Z30" s="146"/>
    </row>
    <row r="31">
      <c r="A31" s="144"/>
      <c r="B31" s="244" t="s">
        <v>96</v>
      </c>
      <c r="C31" s="184" t="str">
        <f>'1-0 Товары'!C31</f>
        <v/>
      </c>
      <c r="D31" s="186" t="str">
        <f>'1-0 Товары'!D31</f>
        <v/>
      </c>
      <c r="E31" s="190" t="str">
        <f>'1-0 Товары'!E31</f>
        <v/>
      </c>
      <c r="F31" s="191"/>
      <c r="G31" s="191"/>
      <c r="H31" s="196"/>
      <c r="I31" s="196"/>
      <c r="J31" s="199" t="str">
        <f>'1-0 Товары'!$G31</f>
        <v/>
      </c>
      <c r="K31" s="200" t="str">
        <f>'1-0 Товары'!$H31</f>
        <v/>
      </c>
      <c r="L31" s="201" t="str">
        <f>'1-0 Товары'!$I31</f>
        <v/>
      </c>
      <c r="M31" s="203" t="str">
        <f>'1-0 Товары'!$N31</f>
        <v/>
      </c>
      <c r="N31" s="206" t="str">
        <f>'1-0 Товары'!$O31</f>
        <v/>
      </c>
      <c r="O31" s="206" t="str">
        <f>'1-0 Товары'!$P31</f>
        <v/>
      </c>
      <c r="P31" s="146"/>
      <c r="Q31" s="146"/>
      <c r="R31" s="146"/>
      <c r="S31" s="146"/>
      <c r="T31" s="146"/>
      <c r="U31" s="146"/>
      <c r="V31" s="146"/>
      <c r="W31" s="146"/>
      <c r="X31" s="146"/>
      <c r="Y31" s="146"/>
      <c r="Z31" s="146"/>
    </row>
    <row r="32">
      <c r="A32" s="144"/>
      <c r="B32" s="244" t="s">
        <v>96</v>
      </c>
      <c r="C32" s="184" t="str">
        <f>'1-0 Товары'!C32</f>
        <v/>
      </c>
      <c r="D32" s="186" t="str">
        <f>'1-0 Товары'!D32</f>
        <v/>
      </c>
      <c r="E32" s="190" t="str">
        <f>'1-0 Товары'!E32</f>
        <v/>
      </c>
      <c r="F32" s="191"/>
      <c r="G32" s="191"/>
      <c r="H32" s="196"/>
      <c r="I32" s="196"/>
      <c r="J32" s="199" t="str">
        <f>'1-0 Товары'!$G32</f>
        <v/>
      </c>
      <c r="K32" s="200" t="str">
        <f>'1-0 Товары'!$H32</f>
        <v/>
      </c>
      <c r="L32" s="201" t="str">
        <f>'1-0 Товары'!$I32</f>
        <v/>
      </c>
      <c r="M32" s="203" t="str">
        <f>'1-0 Товары'!$N32</f>
        <v/>
      </c>
      <c r="N32" s="206" t="str">
        <f>'1-0 Товары'!$O32</f>
        <v/>
      </c>
      <c r="O32" s="206" t="str">
        <f>'1-0 Товары'!$P32</f>
        <v/>
      </c>
      <c r="P32" s="146"/>
      <c r="Q32" s="146"/>
      <c r="R32" s="146"/>
      <c r="S32" s="146"/>
      <c r="T32" s="146"/>
      <c r="U32" s="146"/>
      <c r="V32" s="146"/>
      <c r="W32" s="146"/>
      <c r="X32" s="146"/>
      <c r="Y32" s="146"/>
      <c r="Z32" s="146"/>
    </row>
    <row r="33">
      <c r="A33" s="144"/>
      <c r="B33" s="244" t="s">
        <v>96</v>
      </c>
      <c r="C33" s="184" t="str">
        <f>'1-0 Товары'!C33</f>
        <v/>
      </c>
      <c r="D33" s="186" t="str">
        <f>'1-0 Товары'!D33</f>
        <v/>
      </c>
      <c r="E33" s="190" t="str">
        <f>'1-0 Товары'!E33</f>
        <v/>
      </c>
      <c r="F33" s="191"/>
      <c r="G33" s="191"/>
      <c r="H33" s="196"/>
      <c r="I33" s="196"/>
      <c r="J33" s="199" t="str">
        <f>'1-0 Товары'!$G33</f>
        <v/>
      </c>
      <c r="K33" s="200" t="str">
        <f>'1-0 Товары'!$H33</f>
        <v/>
      </c>
      <c r="L33" s="201" t="str">
        <f>'1-0 Товары'!$I33</f>
        <v/>
      </c>
      <c r="M33" s="203" t="str">
        <f>'1-0 Товары'!$N33</f>
        <v/>
      </c>
      <c r="N33" s="206" t="str">
        <f>'1-0 Товары'!$O33</f>
        <v/>
      </c>
      <c r="O33" s="206" t="str">
        <f>'1-0 Товары'!$P33</f>
        <v/>
      </c>
      <c r="P33" s="146"/>
      <c r="Q33" s="146"/>
      <c r="R33" s="146"/>
      <c r="S33" s="146"/>
      <c r="T33" s="146"/>
      <c r="U33" s="146"/>
      <c r="V33" s="146"/>
      <c r="W33" s="146"/>
      <c r="X33" s="146"/>
      <c r="Y33" s="146"/>
      <c r="Z33" s="146"/>
    </row>
    <row r="34">
      <c r="A34" s="144"/>
      <c r="B34" s="244" t="s">
        <v>96</v>
      </c>
      <c r="C34" s="184" t="str">
        <f>'1-0 Товары'!C34</f>
        <v/>
      </c>
      <c r="D34" s="186" t="str">
        <f>'1-0 Товары'!D34</f>
        <v/>
      </c>
      <c r="E34" s="190" t="str">
        <f>'1-0 Товары'!E34</f>
        <v/>
      </c>
      <c r="F34" s="191"/>
      <c r="G34" s="191"/>
      <c r="H34" s="196"/>
      <c r="I34" s="196"/>
      <c r="J34" s="199" t="str">
        <f>'1-0 Товары'!$G34</f>
        <v/>
      </c>
      <c r="K34" s="200" t="str">
        <f>'1-0 Товары'!$H34</f>
        <v/>
      </c>
      <c r="L34" s="201" t="str">
        <f>'1-0 Товары'!$I34</f>
        <v/>
      </c>
      <c r="M34" s="203" t="str">
        <f>'1-0 Товары'!$N34</f>
        <v/>
      </c>
      <c r="N34" s="206" t="str">
        <f>'1-0 Товары'!$O34</f>
        <v/>
      </c>
      <c r="O34" s="206" t="str">
        <f>'1-0 Товары'!$P34</f>
        <v/>
      </c>
      <c r="P34" s="146"/>
      <c r="Q34" s="146"/>
      <c r="R34" s="146"/>
      <c r="S34" s="146"/>
      <c r="T34" s="146"/>
      <c r="U34" s="146"/>
      <c r="V34" s="146"/>
      <c r="W34" s="146"/>
      <c r="X34" s="146"/>
      <c r="Y34" s="146"/>
      <c r="Z34" s="146"/>
    </row>
    <row r="35">
      <c r="A35" s="144"/>
      <c r="B35" s="244" t="s">
        <v>96</v>
      </c>
      <c r="C35" s="184" t="str">
        <f>'1-0 Товары'!C35</f>
        <v/>
      </c>
      <c r="D35" s="186" t="str">
        <f>'1-0 Товары'!D35</f>
        <v/>
      </c>
      <c r="E35" s="190" t="str">
        <f>'1-0 Товары'!E35</f>
        <v/>
      </c>
      <c r="F35" s="191"/>
      <c r="G35" s="191"/>
      <c r="H35" s="196"/>
      <c r="I35" s="196"/>
      <c r="J35" s="199" t="str">
        <f>'1-0 Товары'!$G35</f>
        <v/>
      </c>
      <c r="K35" s="200" t="str">
        <f>'1-0 Товары'!$H35</f>
        <v/>
      </c>
      <c r="L35" s="201" t="str">
        <f>'1-0 Товары'!$I35</f>
        <v/>
      </c>
      <c r="M35" s="203" t="str">
        <f>'1-0 Товары'!$N35</f>
        <v/>
      </c>
      <c r="N35" s="206" t="str">
        <f>'1-0 Товары'!$O35</f>
        <v/>
      </c>
      <c r="O35" s="206" t="str">
        <f>'1-0 Товары'!$P35</f>
        <v/>
      </c>
      <c r="P35" s="146"/>
      <c r="Q35" s="146"/>
      <c r="R35" s="146"/>
      <c r="S35" s="146"/>
      <c r="T35" s="146"/>
      <c r="U35" s="146"/>
      <c r="V35" s="146"/>
      <c r="W35" s="146"/>
      <c r="X35" s="146"/>
      <c r="Y35" s="146"/>
      <c r="Z35" s="146"/>
    </row>
    <row r="36">
      <c r="A36" s="144"/>
      <c r="B36" s="244" t="s">
        <v>96</v>
      </c>
      <c r="C36" s="184" t="str">
        <f>'1-0 Товары'!C36</f>
        <v/>
      </c>
      <c r="D36" s="186" t="str">
        <f>'1-0 Товары'!D36</f>
        <v/>
      </c>
      <c r="E36" s="190" t="str">
        <f>'1-0 Товары'!E36</f>
        <v/>
      </c>
      <c r="F36" s="191"/>
      <c r="G36" s="191"/>
      <c r="H36" s="196"/>
      <c r="I36" s="196"/>
      <c r="J36" s="199" t="str">
        <f>'1-0 Товары'!$G36</f>
        <v/>
      </c>
      <c r="K36" s="200" t="str">
        <f>'1-0 Товары'!$H36</f>
        <v/>
      </c>
      <c r="L36" s="201" t="str">
        <f>'1-0 Товары'!$I36</f>
        <v/>
      </c>
      <c r="M36" s="203" t="str">
        <f>'1-0 Товары'!$N36</f>
        <v/>
      </c>
      <c r="N36" s="206" t="str">
        <f>'1-0 Товары'!$O36</f>
        <v/>
      </c>
      <c r="O36" s="206" t="str">
        <f>'1-0 Товары'!$P36</f>
        <v/>
      </c>
      <c r="P36" s="146"/>
      <c r="Q36" s="146"/>
      <c r="R36" s="146"/>
      <c r="S36" s="146"/>
      <c r="T36" s="146"/>
      <c r="U36" s="146"/>
      <c r="V36" s="146"/>
      <c r="W36" s="146"/>
      <c r="X36" s="146"/>
      <c r="Y36" s="146"/>
      <c r="Z36" s="146"/>
    </row>
    <row r="37">
      <c r="A37" s="144"/>
      <c r="B37" s="244" t="s">
        <v>96</v>
      </c>
      <c r="C37" s="184" t="str">
        <f>'1-0 Товары'!C37</f>
        <v/>
      </c>
      <c r="D37" s="186" t="str">
        <f>'1-0 Товары'!D37</f>
        <v/>
      </c>
      <c r="E37" s="190" t="str">
        <f>'1-0 Товары'!E37</f>
        <v/>
      </c>
      <c r="F37" s="191"/>
      <c r="G37" s="191"/>
      <c r="H37" s="196"/>
      <c r="I37" s="196"/>
      <c r="J37" s="199" t="str">
        <f>'1-0 Товары'!$G37</f>
        <v/>
      </c>
      <c r="K37" s="200" t="str">
        <f>'1-0 Товары'!$H37</f>
        <v/>
      </c>
      <c r="L37" s="201" t="str">
        <f>'1-0 Товары'!$I37</f>
        <v/>
      </c>
      <c r="M37" s="203" t="str">
        <f>'1-0 Товары'!$N37</f>
        <v/>
      </c>
      <c r="N37" s="206" t="str">
        <f>'1-0 Товары'!$O37</f>
        <v/>
      </c>
      <c r="O37" s="206" t="str">
        <f>'1-0 Товары'!$P37</f>
        <v/>
      </c>
      <c r="P37" s="146"/>
      <c r="Q37" s="146"/>
      <c r="R37" s="146"/>
      <c r="S37" s="146"/>
      <c r="T37" s="146"/>
      <c r="U37" s="146"/>
      <c r="V37" s="146"/>
      <c r="W37" s="146"/>
      <c r="X37" s="146"/>
      <c r="Y37" s="146"/>
      <c r="Z37" s="146"/>
    </row>
    <row r="38">
      <c r="A38" s="144"/>
      <c r="B38" s="244" t="s">
        <v>96</v>
      </c>
      <c r="C38" s="184" t="str">
        <f>'1-0 Товары'!C38</f>
        <v/>
      </c>
      <c r="D38" s="186" t="str">
        <f>'1-0 Товары'!D38</f>
        <v/>
      </c>
      <c r="E38" s="190" t="str">
        <f>'1-0 Товары'!E38</f>
        <v/>
      </c>
      <c r="F38" s="191"/>
      <c r="G38" s="191"/>
      <c r="H38" s="196"/>
      <c r="I38" s="196"/>
      <c r="J38" s="199" t="str">
        <f>'1-0 Товары'!$G38</f>
        <v/>
      </c>
      <c r="K38" s="200" t="str">
        <f>'1-0 Товары'!$H38</f>
        <v/>
      </c>
      <c r="L38" s="201" t="str">
        <f>'1-0 Товары'!$I38</f>
        <v/>
      </c>
      <c r="M38" s="203" t="str">
        <f>'1-0 Товары'!$N38</f>
        <v/>
      </c>
      <c r="N38" s="206" t="str">
        <f>'1-0 Товары'!$O38</f>
        <v/>
      </c>
      <c r="O38" s="206" t="str">
        <f>'1-0 Товары'!$P38</f>
        <v/>
      </c>
      <c r="P38" s="146"/>
      <c r="Q38" s="146"/>
      <c r="R38" s="146"/>
      <c r="S38" s="146"/>
      <c r="T38" s="146"/>
      <c r="U38" s="146"/>
      <c r="V38" s="146"/>
      <c r="W38" s="146"/>
      <c r="X38" s="146"/>
      <c r="Y38" s="146"/>
      <c r="Z38" s="146"/>
    </row>
    <row r="39">
      <c r="A39" s="144"/>
      <c r="B39" s="244" t="s">
        <v>96</v>
      </c>
      <c r="C39" s="184" t="str">
        <f>'1-0 Товары'!C39</f>
        <v/>
      </c>
      <c r="D39" s="186" t="str">
        <f>'1-0 Товары'!D39</f>
        <v/>
      </c>
      <c r="E39" s="190" t="str">
        <f>'1-0 Товары'!E39</f>
        <v/>
      </c>
      <c r="F39" s="191"/>
      <c r="G39" s="191"/>
      <c r="H39" s="196"/>
      <c r="I39" s="196"/>
      <c r="J39" s="199" t="str">
        <f>'1-0 Товары'!$G39</f>
        <v/>
      </c>
      <c r="K39" s="200" t="str">
        <f>'1-0 Товары'!$H39</f>
        <v/>
      </c>
      <c r="L39" s="201" t="str">
        <f>'1-0 Товары'!$I39</f>
        <v/>
      </c>
      <c r="M39" s="203" t="str">
        <f>'1-0 Товары'!$N39</f>
        <v/>
      </c>
      <c r="N39" s="206" t="str">
        <f>'1-0 Товары'!$O39</f>
        <v/>
      </c>
      <c r="O39" s="206" t="str">
        <f>'1-0 Товары'!$P39</f>
        <v/>
      </c>
      <c r="P39" s="146"/>
      <c r="Q39" s="146"/>
      <c r="R39" s="146"/>
      <c r="S39" s="146"/>
      <c r="T39" s="146"/>
      <c r="U39" s="146"/>
      <c r="V39" s="146"/>
      <c r="W39" s="146"/>
      <c r="X39" s="146"/>
      <c r="Y39" s="146"/>
      <c r="Z39" s="146"/>
    </row>
    <row r="40">
      <c r="A40" s="144"/>
      <c r="B40" s="244" t="s">
        <v>96</v>
      </c>
      <c r="C40" s="184" t="str">
        <f>'1-0 Товары'!C40</f>
        <v/>
      </c>
      <c r="D40" s="186" t="str">
        <f>'1-0 Товары'!D40</f>
        <v/>
      </c>
      <c r="E40" s="190" t="str">
        <f>'1-0 Товары'!E40</f>
        <v/>
      </c>
      <c r="F40" s="191"/>
      <c r="G40" s="191"/>
      <c r="H40" s="196"/>
      <c r="I40" s="196"/>
      <c r="J40" s="199" t="str">
        <f>'1-0 Товары'!$G40</f>
        <v/>
      </c>
      <c r="K40" s="200" t="str">
        <f>'1-0 Товары'!$H40</f>
        <v/>
      </c>
      <c r="L40" s="201" t="str">
        <f>'1-0 Товары'!$I40</f>
        <v/>
      </c>
      <c r="M40" s="203" t="str">
        <f>'1-0 Товары'!$N40</f>
        <v/>
      </c>
      <c r="N40" s="206" t="str">
        <f>'1-0 Товары'!$O40</f>
        <v/>
      </c>
      <c r="O40" s="206" t="str">
        <f>'1-0 Товары'!$P40</f>
        <v/>
      </c>
      <c r="P40" s="146"/>
      <c r="Q40" s="146"/>
      <c r="R40" s="146"/>
      <c r="S40" s="146"/>
      <c r="T40" s="146"/>
      <c r="U40" s="146"/>
      <c r="V40" s="146"/>
      <c r="W40" s="146"/>
      <c r="X40" s="146"/>
      <c r="Y40" s="146"/>
      <c r="Z40" s="146"/>
    </row>
    <row r="41">
      <c r="A41" s="144"/>
      <c r="B41" s="244" t="s">
        <v>96</v>
      </c>
      <c r="C41" s="184" t="str">
        <f>'1-0 Товары'!C41</f>
        <v/>
      </c>
      <c r="D41" s="186" t="str">
        <f>'1-0 Товары'!D41</f>
        <v/>
      </c>
      <c r="E41" s="190" t="str">
        <f>'1-0 Товары'!E41</f>
        <v/>
      </c>
      <c r="F41" s="191"/>
      <c r="G41" s="191"/>
      <c r="H41" s="196"/>
      <c r="I41" s="196"/>
      <c r="J41" s="199" t="str">
        <f>'1-0 Товары'!$G41</f>
        <v/>
      </c>
      <c r="K41" s="200" t="str">
        <f>'1-0 Товары'!$H41</f>
        <v/>
      </c>
      <c r="L41" s="201" t="str">
        <f>'1-0 Товары'!$I41</f>
        <v/>
      </c>
      <c r="M41" s="203" t="str">
        <f>'1-0 Товары'!$N41</f>
        <v/>
      </c>
      <c r="N41" s="206" t="str">
        <f>'1-0 Товары'!$O41</f>
        <v/>
      </c>
      <c r="O41" s="206" t="str">
        <f>'1-0 Товары'!$P41</f>
        <v/>
      </c>
      <c r="P41" s="146"/>
      <c r="Q41" s="146"/>
      <c r="R41" s="146"/>
      <c r="S41" s="146"/>
      <c r="T41" s="146"/>
      <c r="U41" s="146"/>
      <c r="V41" s="146"/>
      <c r="W41" s="146"/>
      <c r="X41" s="146"/>
      <c r="Y41" s="146"/>
      <c r="Z41" s="146"/>
    </row>
    <row r="42">
      <c r="A42" s="144"/>
      <c r="B42" s="244" t="s">
        <v>96</v>
      </c>
      <c r="C42" s="184" t="str">
        <f>'1-0 Товары'!C42</f>
        <v/>
      </c>
      <c r="D42" s="186" t="str">
        <f>'1-0 Товары'!D42</f>
        <v/>
      </c>
      <c r="E42" s="190" t="str">
        <f>'1-0 Товары'!E42</f>
        <v/>
      </c>
      <c r="F42" s="191"/>
      <c r="G42" s="191"/>
      <c r="H42" s="196"/>
      <c r="I42" s="196"/>
      <c r="J42" s="199" t="str">
        <f>'1-0 Товары'!$G42</f>
        <v/>
      </c>
      <c r="K42" s="200" t="str">
        <f>'1-0 Товары'!$H42</f>
        <v/>
      </c>
      <c r="L42" s="201" t="str">
        <f>'1-0 Товары'!$I42</f>
        <v/>
      </c>
      <c r="M42" s="203" t="str">
        <f>'1-0 Товары'!$N42</f>
        <v/>
      </c>
      <c r="N42" s="206" t="str">
        <f>'1-0 Товары'!$O42</f>
        <v/>
      </c>
      <c r="O42" s="206" t="str">
        <f>'1-0 Товары'!$P42</f>
        <v/>
      </c>
      <c r="P42" s="146"/>
      <c r="Q42" s="146"/>
      <c r="R42" s="146"/>
      <c r="S42" s="146"/>
      <c r="T42" s="146"/>
      <c r="U42" s="146"/>
      <c r="V42" s="146"/>
      <c r="W42" s="146"/>
      <c r="X42" s="146"/>
      <c r="Y42" s="146"/>
      <c r="Z42" s="146"/>
    </row>
    <row r="43">
      <c r="A43" s="144"/>
      <c r="B43" s="244" t="s">
        <v>96</v>
      </c>
      <c r="C43" s="184" t="str">
        <f>'1-0 Товары'!C43</f>
        <v/>
      </c>
      <c r="D43" s="186" t="str">
        <f>'1-0 Товары'!D43</f>
        <v/>
      </c>
      <c r="E43" s="190" t="str">
        <f>'1-0 Товары'!E43</f>
        <v/>
      </c>
      <c r="F43" s="191"/>
      <c r="G43" s="191"/>
      <c r="H43" s="196"/>
      <c r="I43" s="196"/>
      <c r="J43" s="199" t="str">
        <f>'1-0 Товары'!$G43</f>
        <v/>
      </c>
      <c r="K43" s="200" t="str">
        <f>'1-0 Товары'!$H43</f>
        <v/>
      </c>
      <c r="L43" s="201" t="str">
        <f>'1-0 Товары'!$I43</f>
        <v/>
      </c>
      <c r="M43" s="203" t="str">
        <f>'1-0 Товары'!$N43</f>
        <v/>
      </c>
      <c r="N43" s="206" t="str">
        <f>'1-0 Товары'!$O43</f>
        <v/>
      </c>
      <c r="O43" s="206" t="str">
        <f>'1-0 Товары'!$P43</f>
        <v/>
      </c>
      <c r="P43" s="146"/>
      <c r="Q43" s="146"/>
      <c r="R43" s="146"/>
      <c r="S43" s="146"/>
      <c r="T43" s="146"/>
      <c r="U43" s="146"/>
      <c r="V43" s="146"/>
      <c r="W43" s="146"/>
      <c r="X43" s="146"/>
      <c r="Y43" s="146"/>
      <c r="Z43" s="146"/>
    </row>
    <row r="44">
      <c r="A44" s="144"/>
      <c r="B44" s="244" t="s">
        <v>96</v>
      </c>
      <c r="C44" s="184" t="str">
        <f>'1-0 Товары'!C44</f>
        <v/>
      </c>
      <c r="D44" s="186" t="str">
        <f>'1-0 Товары'!D44</f>
        <v/>
      </c>
      <c r="E44" s="190" t="str">
        <f>'1-0 Товары'!E44</f>
        <v/>
      </c>
      <c r="F44" s="191"/>
      <c r="G44" s="191"/>
      <c r="H44" s="196"/>
      <c r="I44" s="196"/>
      <c r="J44" s="199" t="str">
        <f>'1-0 Товары'!$G44</f>
        <v/>
      </c>
      <c r="K44" s="200" t="str">
        <f>'1-0 Товары'!$H44</f>
        <v/>
      </c>
      <c r="L44" s="201" t="str">
        <f>'1-0 Товары'!$I44</f>
        <v/>
      </c>
      <c r="M44" s="203" t="str">
        <f>'1-0 Товары'!$N44</f>
        <v/>
      </c>
      <c r="N44" s="206" t="str">
        <f>'1-0 Товары'!$O44</f>
        <v/>
      </c>
      <c r="O44" s="206" t="str">
        <f>'1-0 Товары'!$P44</f>
        <v/>
      </c>
      <c r="P44" s="146"/>
      <c r="Q44" s="146"/>
      <c r="R44" s="146"/>
      <c r="S44" s="146"/>
      <c r="T44" s="146"/>
      <c r="U44" s="146"/>
      <c r="V44" s="146"/>
      <c r="W44" s="146"/>
      <c r="X44" s="146"/>
      <c r="Y44" s="146"/>
      <c r="Z44" s="146"/>
    </row>
    <row r="45">
      <c r="A45" s="144"/>
      <c r="B45" s="244" t="s">
        <v>96</v>
      </c>
      <c r="C45" s="184" t="str">
        <f>'1-0 Товары'!C45</f>
        <v/>
      </c>
      <c r="D45" s="186" t="str">
        <f>'1-0 Товары'!D45</f>
        <v/>
      </c>
      <c r="E45" s="277" t="str">
        <f>'1-0 Товары'!E45</f>
        <v/>
      </c>
      <c r="F45" s="191"/>
      <c r="G45" s="191"/>
      <c r="H45" s="196"/>
      <c r="I45" s="196"/>
      <c r="J45" s="199" t="str">
        <f>'1-0 Товары'!$G45</f>
        <v/>
      </c>
      <c r="K45" s="200" t="str">
        <f>'1-0 Товары'!$H45</f>
        <v/>
      </c>
      <c r="L45" s="201" t="str">
        <f>'1-0 Товары'!$I45</f>
        <v/>
      </c>
      <c r="M45" s="203" t="str">
        <f>'1-0 Товары'!$N45</f>
        <v/>
      </c>
      <c r="N45" s="206" t="str">
        <f>'1-0 Товары'!$O45</f>
        <v/>
      </c>
      <c r="O45" s="206" t="str">
        <f>'1-0 Товары'!$P45</f>
        <v/>
      </c>
      <c r="P45" s="146"/>
      <c r="Q45" s="146"/>
      <c r="R45" s="146"/>
      <c r="S45" s="146"/>
      <c r="T45" s="146"/>
      <c r="U45" s="146"/>
      <c r="V45" s="146"/>
      <c r="W45" s="146"/>
      <c r="X45" s="146"/>
      <c r="Y45" s="146"/>
      <c r="Z45" s="146"/>
    </row>
    <row r="46">
      <c r="A46" s="144"/>
      <c r="B46" s="244" t="s">
        <v>96</v>
      </c>
      <c r="C46" s="184" t="str">
        <f>'1-0 Товары'!C46</f>
        <v/>
      </c>
      <c r="D46" s="186" t="str">
        <f>'1-0 Товары'!D46</f>
        <v/>
      </c>
      <c r="E46" s="277" t="str">
        <f>'1-0 Товары'!E46</f>
        <v/>
      </c>
      <c r="F46" s="191"/>
      <c r="G46" s="191"/>
      <c r="H46" s="196"/>
      <c r="I46" s="196"/>
      <c r="J46" s="199" t="str">
        <f>'1-0 Товары'!$G46</f>
        <v/>
      </c>
      <c r="K46" s="200" t="str">
        <f>'1-0 Товары'!$H46</f>
        <v/>
      </c>
      <c r="L46" s="201" t="str">
        <f>'1-0 Товары'!$I46</f>
        <v/>
      </c>
      <c r="M46" s="203" t="str">
        <f>'1-0 Товары'!$N46</f>
        <v/>
      </c>
      <c r="N46" s="206" t="str">
        <f>'1-0 Товары'!$O46</f>
        <v/>
      </c>
      <c r="O46" s="206" t="str">
        <f>'1-0 Товары'!$P46</f>
        <v/>
      </c>
      <c r="P46" s="146"/>
      <c r="Q46" s="146"/>
      <c r="R46" s="146"/>
      <c r="S46" s="146"/>
      <c r="T46" s="146"/>
      <c r="U46" s="146"/>
      <c r="V46" s="146"/>
      <c r="W46" s="146"/>
      <c r="X46" s="146"/>
      <c r="Y46" s="146"/>
      <c r="Z46" s="146"/>
    </row>
    <row r="47">
      <c r="A47" s="144"/>
      <c r="B47" s="244" t="s">
        <v>96</v>
      </c>
      <c r="C47" s="184" t="str">
        <f>'1-0 Товары'!C47</f>
        <v/>
      </c>
      <c r="D47" s="186" t="str">
        <f>'1-0 Товары'!D47</f>
        <v/>
      </c>
      <c r="E47" s="277" t="str">
        <f>'1-0 Товары'!E47</f>
        <v/>
      </c>
      <c r="F47" s="191"/>
      <c r="G47" s="191"/>
      <c r="H47" s="196"/>
      <c r="I47" s="196"/>
      <c r="J47" s="199" t="str">
        <f>'1-0 Товары'!$G47</f>
        <v/>
      </c>
      <c r="K47" s="200" t="str">
        <f>'1-0 Товары'!$H47</f>
        <v/>
      </c>
      <c r="L47" s="201" t="str">
        <f>'1-0 Товары'!$I47</f>
        <v/>
      </c>
      <c r="M47" s="203" t="str">
        <f>'1-0 Товары'!$N47</f>
        <v/>
      </c>
      <c r="N47" s="206" t="str">
        <f>'1-0 Товары'!$O47</f>
        <v/>
      </c>
      <c r="O47" s="206" t="str">
        <f>'1-0 Товары'!$P47</f>
        <v/>
      </c>
      <c r="P47" s="146"/>
      <c r="Q47" s="146"/>
      <c r="R47" s="146"/>
      <c r="S47" s="146"/>
      <c r="T47" s="146"/>
      <c r="U47" s="146"/>
      <c r="V47" s="146"/>
      <c r="W47" s="146"/>
      <c r="X47" s="146"/>
      <c r="Y47" s="146"/>
      <c r="Z47" s="146"/>
    </row>
    <row r="48">
      <c r="A48" s="144"/>
      <c r="B48" s="244" t="s">
        <v>96</v>
      </c>
      <c r="C48" s="184" t="str">
        <f>'1-0 Товары'!C48</f>
        <v/>
      </c>
      <c r="D48" s="186" t="str">
        <f>'1-0 Товары'!D48</f>
        <v/>
      </c>
      <c r="E48" s="277" t="str">
        <f>'1-0 Товары'!E48</f>
        <v/>
      </c>
      <c r="F48" s="191"/>
      <c r="G48" s="191"/>
      <c r="H48" s="196"/>
      <c r="I48" s="196"/>
      <c r="J48" s="199" t="str">
        <f>'1-0 Товары'!$G48</f>
        <v/>
      </c>
      <c r="K48" s="200" t="str">
        <f>'1-0 Товары'!$H48</f>
        <v/>
      </c>
      <c r="L48" s="201" t="str">
        <f>'1-0 Товары'!$I48</f>
        <v/>
      </c>
      <c r="M48" s="203" t="str">
        <f>'1-0 Товары'!$N48</f>
        <v/>
      </c>
      <c r="N48" s="206" t="str">
        <f>'1-0 Товары'!$O48</f>
        <v/>
      </c>
      <c r="O48" s="206" t="str">
        <f>'1-0 Товары'!$P48</f>
        <v/>
      </c>
      <c r="P48" s="146"/>
      <c r="Q48" s="146"/>
      <c r="R48" s="146"/>
      <c r="S48" s="146"/>
      <c r="T48" s="146"/>
      <c r="U48" s="146"/>
      <c r="V48" s="146"/>
      <c r="W48" s="146"/>
      <c r="X48" s="146"/>
      <c r="Y48" s="146"/>
      <c r="Z48" s="146"/>
    </row>
    <row r="49">
      <c r="A49" s="144"/>
      <c r="B49" s="244" t="s">
        <v>96</v>
      </c>
      <c r="C49" s="184" t="str">
        <f>'1-0 Товары'!C49</f>
        <v/>
      </c>
      <c r="D49" s="186" t="str">
        <f>'1-0 Товары'!D49</f>
        <v/>
      </c>
      <c r="E49" s="277" t="str">
        <f>'1-0 Товары'!E49</f>
        <v/>
      </c>
      <c r="F49" s="191"/>
      <c r="G49" s="191"/>
      <c r="H49" s="196"/>
      <c r="I49" s="196"/>
      <c r="J49" s="199" t="str">
        <f>'1-0 Товары'!$G49</f>
        <v/>
      </c>
      <c r="K49" s="200" t="str">
        <f>'1-0 Товары'!$H49</f>
        <v/>
      </c>
      <c r="L49" s="201" t="str">
        <f>'1-0 Товары'!$I49</f>
        <v/>
      </c>
      <c r="M49" s="203" t="str">
        <f>'1-0 Товары'!$N49</f>
        <v/>
      </c>
      <c r="N49" s="206" t="str">
        <f>'1-0 Товары'!$O49</f>
        <v/>
      </c>
      <c r="O49" s="206" t="str">
        <f>'1-0 Товары'!$P49</f>
        <v/>
      </c>
      <c r="P49" s="146"/>
      <c r="Q49" s="146"/>
      <c r="R49" s="146"/>
      <c r="S49" s="146"/>
      <c r="T49" s="146"/>
      <c r="U49" s="146"/>
      <c r="V49" s="146"/>
      <c r="W49" s="146"/>
      <c r="X49" s="146"/>
      <c r="Y49" s="146"/>
      <c r="Z49" s="146"/>
    </row>
    <row r="50">
      <c r="A50" s="144"/>
      <c r="B50" s="244" t="s">
        <v>96</v>
      </c>
      <c r="C50" s="184" t="str">
        <f>'1-0 Товары'!C50</f>
        <v/>
      </c>
      <c r="D50" s="186" t="str">
        <f>'1-0 Товары'!D50</f>
        <v/>
      </c>
      <c r="E50" s="277" t="str">
        <f>'1-0 Товары'!E50</f>
        <v/>
      </c>
      <c r="F50" s="191"/>
      <c r="G50" s="191"/>
      <c r="H50" s="196"/>
      <c r="I50" s="196"/>
      <c r="J50" s="199" t="str">
        <f>'1-0 Товары'!$G50</f>
        <v/>
      </c>
      <c r="K50" s="200" t="str">
        <f>'1-0 Товары'!$H50</f>
        <v/>
      </c>
      <c r="L50" s="201" t="str">
        <f>'1-0 Товары'!$I50</f>
        <v/>
      </c>
      <c r="M50" s="203" t="str">
        <f>'1-0 Товары'!$N50</f>
        <v/>
      </c>
      <c r="N50" s="206" t="str">
        <f>'1-0 Товары'!$O50</f>
        <v/>
      </c>
      <c r="O50" s="206" t="str">
        <f>'1-0 Товары'!$P50</f>
        <v/>
      </c>
      <c r="P50" s="146"/>
      <c r="Q50" s="146"/>
      <c r="R50" s="146"/>
      <c r="S50" s="146"/>
      <c r="T50" s="146"/>
      <c r="U50" s="146"/>
      <c r="V50" s="146"/>
      <c r="W50" s="146"/>
      <c r="X50" s="146"/>
      <c r="Y50" s="146"/>
      <c r="Z50" s="146"/>
    </row>
    <row r="51">
      <c r="A51" s="144"/>
      <c r="B51" s="244" t="s">
        <v>96</v>
      </c>
      <c r="C51" s="184" t="str">
        <f>'1-0 Товары'!C51</f>
        <v/>
      </c>
      <c r="D51" s="186" t="str">
        <f>'1-0 Товары'!D51</f>
        <v/>
      </c>
      <c r="E51" s="277" t="str">
        <f>'1-0 Товары'!E51</f>
        <v/>
      </c>
      <c r="F51" s="191"/>
      <c r="G51" s="191"/>
      <c r="H51" s="196"/>
      <c r="I51" s="196"/>
      <c r="J51" s="199" t="str">
        <f>'1-0 Товары'!$G51</f>
        <v/>
      </c>
      <c r="K51" s="200" t="str">
        <f>'1-0 Товары'!$H51</f>
        <v/>
      </c>
      <c r="L51" s="201" t="str">
        <f>'1-0 Товары'!$I51</f>
        <v/>
      </c>
      <c r="M51" s="203" t="str">
        <f>'1-0 Товары'!$N51</f>
        <v/>
      </c>
      <c r="N51" s="206" t="str">
        <f>'1-0 Товары'!$O51</f>
        <v/>
      </c>
      <c r="O51" s="206" t="str">
        <f>'1-0 Товары'!$P51</f>
        <v/>
      </c>
      <c r="P51" s="146"/>
      <c r="Q51" s="146"/>
      <c r="R51" s="146"/>
      <c r="S51" s="146"/>
      <c r="T51" s="146"/>
      <c r="U51" s="146"/>
      <c r="V51" s="146"/>
      <c r="W51" s="146"/>
      <c r="X51" s="146"/>
      <c r="Y51" s="146"/>
      <c r="Z51" s="146"/>
    </row>
    <row r="52">
      <c r="A52" s="144"/>
      <c r="B52" s="244" t="s">
        <v>96</v>
      </c>
      <c r="C52" s="184" t="str">
        <f>'1-0 Товары'!C52</f>
        <v/>
      </c>
      <c r="D52" s="186" t="str">
        <f>'1-0 Товары'!D52</f>
        <v/>
      </c>
      <c r="E52" s="277" t="str">
        <f>'1-0 Товары'!E52</f>
        <v/>
      </c>
      <c r="F52" s="191"/>
      <c r="G52" s="191"/>
      <c r="H52" s="196"/>
      <c r="I52" s="196"/>
      <c r="J52" s="199" t="str">
        <f>'1-0 Товары'!$G52</f>
        <v/>
      </c>
      <c r="K52" s="200" t="str">
        <f>'1-0 Товары'!$H52</f>
        <v/>
      </c>
      <c r="L52" s="201" t="str">
        <f>'1-0 Товары'!$I52</f>
        <v/>
      </c>
      <c r="M52" s="203" t="str">
        <f>'1-0 Товары'!$N52</f>
        <v/>
      </c>
      <c r="N52" s="206" t="str">
        <f>'1-0 Товары'!$O52</f>
        <v/>
      </c>
      <c r="O52" s="206" t="str">
        <f>'1-0 Товары'!$P52</f>
        <v/>
      </c>
      <c r="P52" s="146"/>
      <c r="Q52" s="146"/>
      <c r="R52" s="146"/>
      <c r="S52" s="146"/>
      <c r="T52" s="146"/>
      <c r="U52" s="146"/>
      <c r="V52" s="146"/>
      <c r="W52" s="146"/>
      <c r="X52" s="146"/>
      <c r="Y52" s="146"/>
      <c r="Z52" s="146"/>
    </row>
    <row r="53">
      <c r="A53" s="144"/>
      <c r="B53" s="244" t="s">
        <v>96</v>
      </c>
      <c r="C53" s="184" t="str">
        <f>'1-0 Товары'!C53</f>
        <v/>
      </c>
      <c r="D53" s="186" t="str">
        <f>'1-0 Товары'!D53</f>
        <v/>
      </c>
      <c r="E53" s="277" t="str">
        <f>'1-0 Товары'!E53</f>
        <v/>
      </c>
      <c r="F53" s="191"/>
      <c r="G53" s="191"/>
      <c r="H53" s="196"/>
      <c r="I53" s="196"/>
      <c r="J53" s="199" t="str">
        <f>'1-0 Товары'!$G53</f>
        <v/>
      </c>
      <c r="K53" s="200" t="str">
        <f>'1-0 Товары'!$H53</f>
        <v/>
      </c>
      <c r="L53" s="201" t="str">
        <f>'1-0 Товары'!$I53</f>
        <v/>
      </c>
      <c r="M53" s="203" t="str">
        <f>'1-0 Товары'!$N53</f>
        <v/>
      </c>
      <c r="N53" s="206" t="str">
        <f>'1-0 Товары'!$O53</f>
        <v/>
      </c>
      <c r="O53" s="206" t="str">
        <f>'1-0 Товары'!$P53</f>
        <v/>
      </c>
      <c r="P53" s="146"/>
      <c r="Q53" s="146"/>
      <c r="R53" s="146"/>
      <c r="S53" s="146"/>
      <c r="T53" s="146"/>
      <c r="U53" s="146"/>
      <c r="V53" s="146"/>
      <c r="W53" s="146"/>
      <c r="X53" s="146"/>
      <c r="Y53" s="146"/>
      <c r="Z53" s="146"/>
    </row>
    <row r="54">
      <c r="A54" s="144"/>
      <c r="B54" s="244" t="s">
        <v>96</v>
      </c>
      <c r="C54" s="184" t="str">
        <f>'1-0 Товары'!C54</f>
        <v/>
      </c>
      <c r="D54" s="186" t="str">
        <f>'1-0 Товары'!D54</f>
        <v/>
      </c>
      <c r="E54" s="277" t="str">
        <f>'1-0 Товары'!E54</f>
        <v/>
      </c>
      <c r="F54" s="191"/>
      <c r="G54" s="191"/>
      <c r="H54" s="196"/>
      <c r="I54" s="196"/>
      <c r="J54" s="199" t="str">
        <f>'1-0 Товары'!$G54</f>
        <v/>
      </c>
      <c r="K54" s="200" t="str">
        <f>'1-0 Товары'!$H54</f>
        <v/>
      </c>
      <c r="L54" s="201" t="str">
        <f>'1-0 Товары'!$I54</f>
        <v/>
      </c>
      <c r="M54" s="203" t="str">
        <f>'1-0 Товары'!$N54</f>
        <v/>
      </c>
      <c r="N54" s="206" t="str">
        <f>'1-0 Товары'!$O54</f>
        <v/>
      </c>
      <c r="O54" s="206" t="str">
        <f>'1-0 Товары'!$P54</f>
        <v/>
      </c>
      <c r="P54" s="146"/>
      <c r="Q54" s="146"/>
      <c r="R54" s="146"/>
      <c r="S54" s="146"/>
      <c r="T54" s="146"/>
      <c r="U54" s="146"/>
      <c r="V54" s="146"/>
      <c r="W54" s="146"/>
      <c r="X54" s="146"/>
      <c r="Y54" s="146"/>
      <c r="Z54" s="146"/>
    </row>
    <row r="55">
      <c r="A55" s="144"/>
      <c r="B55" s="244" t="s">
        <v>96</v>
      </c>
      <c r="C55" s="184" t="str">
        <f>'1-0 Товары'!C55</f>
        <v/>
      </c>
      <c r="D55" s="186" t="str">
        <f>'1-0 Товары'!D55</f>
        <v/>
      </c>
      <c r="E55" s="277" t="str">
        <f>'1-0 Товары'!E55</f>
        <v/>
      </c>
      <c r="F55" s="191"/>
      <c r="G55" s="191"/>
      <c r="H55" s="196"/>
      <c r="I55" s="196"/>
      <c r="J55" s="199" t="str">
        <f>'1-0 Товары'!$G55</f>
        <v/>
      </c>
      <c r="K55" s="200" t="str">
        <f>'1-0 Товары'!$H55</f>
        <v/>
      </c>
      <c r="L55" s="201" t="str">
        <f>'1-0 Товары'!$I55</f>
        <v/>
      </c>
      <c r="M55" s="203" t="str">
        <f>'1-0 Товары'!$N55</f>
        <v/>
      </c>
      <c r="N55" s="206" t="str">
        <f>'1-0 Товары'!$O55</f>
        <v/>
      </c>
      <c r="O55" s="206" t="str">
        <f>'1-0 Товары'!$P55</f>
        <v/>
      </c>
      <c r="P55" s="146"/>
      <c r="Q55" s="146"/>
      <c r="R55" s="146"/>
      <c r="S55" s="146"/>
      <c r="T55" s="146"/>
      <c r="U55" s="146"/>
      <c r="V55" s="146"/>
      <c r="W55" s="146"/>
      <c r="X55" s="146"/>
      <c r="Y55" s="146"/>
      <c r="Z55" s="146"/>
    </row>
    <row r="56">
      <c r="A56" s="144"/>
      <c r="B56" s="244" t="s">
        <v>96</v>
      </c>
      <c r="C56" s="184" t="str">
        <f>'1-0 Товары'!C56</f>
        <v/>
      </c>
      <c r="D56" s="186" t="str">
        <f>'1-0 Товары'!D56</f>
        <v/>
      </c>
      <c r="E56" s="277" t="str">
        <f>'1-0 Товары'!E56</f>
        <v/>
      </c>
      <c r="F56" s="191"/>
      <c r="G56" s="191"/>
      <c r="H56" s="196"/>
      <c r="I56" s="196"/>
      <c r="J56" s="199" t="str">
        <f>'1-0 Товары'!$G56</f>
        <v/>
      </c>
      <c r="K56" s="200" t="str">
        <f>'1-0 Товары'!$H56</f>
        <v/>
      </c>
      <c r="L56" s="201" t="str">
        <f>'1-0 Товары'!$I56</f>
        <v/>
      </c>
      <c r="M56" s="203" t="str">
        <f>'1-0 Товары'!$N56</f>
        <v/>
      </c>
      <c r="N56" s="206" t="str">
        <f>'1-0 Товары'!$O56</f>
        <v/>
      </c>
      <c r="O56" s="206" t="str">
        <f>'1-0 Товары'!$P56</f>
        <v/>
      </c>
      <c r="P56" s="146"/>
      <c r="Q56" s="146"/>
      <c r="R56" s="146"/>
      <c r="S56" s="146"/>
      <c r="T56" s="146"/>
      <c r="U56" s="146"/>
      <c r="V56" s="146"/>
      <c r="W56" s="146"/>
      <c r="X56" s="146"/>
      <c r="Y56" s="146"/>
      <c r="Z56" s="146"/>
    </row>
    <row r="57">
      <c r="A57" s="144"/>
      <c r="B57" s="244" t="s">
        <v>96</v>
      </c>
      <c r="C57" s="184" t="str">
        <f>'1-0 Товары'!C57</f>
        <v/>
      </c>
      <c r="D57" s="186" t="str">
        <f>'1-0 Товары'!D57</f>
        <v/>
      </c>
      <c r="E57" s="277" t="str">
        <f>'1-0 Товары'!E57</f>
        <v/>
      </c>
      <c r="F57" s="191"/>
      <c r="G57" s="191"/>
      <c r="H57" s="196"/>
      <c r="I57" s="196"/>
      <c r="J57" s="199" t="str">
        <f>'1-0 Товары'!$G57</f>
        <v/>
      </c>
      <c r="K57" s="200" t="str">
        <f>'1-0 Товары'!$H57</f>
        <v/>
      </c>
      <c r="L57" s="201" t="str">
        <f>'1-0 Товары'!$I57</f>
        <v/>
      </c>
      <c r="M57" s="203" t="str">
        <f>'1-0 Товары'!$N57</f>
        <v/>
      </c>
      <c r="N57" s="206" t="str">
        <f>'1-0 Товары'!$O57</f>
        <v/>
      </c>
      <c r="O57" s="206" t="str">
        <f>'1-0 Товары'!$P57</f>
        <v/>
      </c>
      <c r="P57" s="146"/>
      <c r="Q57" s="146"/>
      <c r="R57" s="146"/>
      <c r="S57" s="146"/>
      <c r="T57" s="146"/>
      <c r="U57" s="146"/>
      <c r="V57" s="146"/>
      <c r="W57" s="146"/>
      <c r="X57" s="146"/>
      <c r="Y57" s="146"/>
      <c r="Z57" s="146"/>
    </row>
    <row r="58">
      <c r="A58" s="144"/>
      <c r="B58" s="244" t="s">
        <v>96</v>
      </c>
      <c r="C58" s="184" t="str">
        <f>'1-0 Товары'!C58</f>
        <v/>
      </c>
      <c r="D58" s="186" t="str">
        <f>'1-0 Товары'!D58</f>
        <v/>
      </c>
      <c r="E58" s="277" t="str">
        <f>'1-0 Товары'!E58</f>
        <v/>
      </c>
      <c r="F58" s="191"/>
      <c r="G58" s="191"/>
      <c r="H58" s="196"/>
      <c r="I58" s="196"/>
      <c r="J58" s="199" t="str">
        <f>'1-0 Товары'!$G58</f>
        <v/>
      </c>
      <c r="K58" s="200" t="str">
        <f>'1-0 Товары'!$H58</f>
        <v/>
      </c>
      <c r="L58" s="201" t="str">
        <f>'1-0 Товары'!$I58</f>
        <v/>
      </c>
      <c r="M58" s="203" t="str">
        <f>'1-0 Товары'!$N58</f>
        <v/>
      </c>
      <c r="N58" s="206" t="str">
        <f>'1-0 Товары'!$O58</f>
        <v/>
      </c>
      <c r="O58" s="206" t="str">
        <f>'1-0 Товары'!$P58</f>
        <v/>
      </c>
      <c r="P58" s="146"/>
      <c r="Q58" s="146"/>
      <c r="R58" s="146"/>
      <c r="S58" s="146"/>
      <c r="T58" s="146"/>
      <c r="U58" s="146"/>
      <c r="V58" s="146"/>
      <c r="W58" s="146"/>
      <c r="X58" s="146"/>
      <c r="Y58" s="146"/>
      <c r="Z58" s="146"/>
    </row>
    <row r="59">
      <c r="A59" s="144"/>
      <c r="B59" s="244" t="s">
        <v>96</v>
      </c>
      <c r="C59" s="184" t="str">
        <f>'1-0 Товары'!C59</f>
        <v/>
      </c>
      <c r="D59" s="186" t="str">
        <f>'1-0 Товары'!D59</f>
        <v/>
      </c>
      <c r="E59" s="277" t="str">
        <f>'1-0 Товары'!E59</f>
        <v/>
      </c>
      <c r="F59" s="191"/>
      <c r="G59" s="191"/>
      <c r="H59" s="196"/>
      <c r="I59" s="196"/>
      <c r="J59" s="199" t="str">
        <f>'1-0 Товары'!$G59</f>
        <v/>
      </c>
      <c r="K59" s="200" t="str">
        <f>'1-0 Товары'!$H59</f>
        <v/>
      </c>
      <c r="L59" s="201" t="str">
        <f>'1-0 Товары'!$I59</f>
        <v/>
      </c>
      <c r="M59" s="203" t="str">
        <f>'1-0 Товары'!$N59</f>
        <v/>
      </c>
      <c r="N59" s="206" t="str">
        <f>'1-0 Товары'!$O59</f>
        <v/>
      </c>
      <c r="O59" s="206" t="str">
        <f>'1-0 Товары'!$P59</f>
        <v/>
      </c>
      <c r="P59" s="146"/>
      <c r="Q59" s="146"/>
      <c r="R59" s="146"/>
      <c r="S59" s="146"/>
      <c r="T59" s="146"/>
      <c r="U59" s="146"/>
      <c r="V59" s="146"/>
      <c r="W59" s="146"/>
      <c r="X59" s="146"/>
      <c r="Y59" s="146"/>
      <c r="Z59" s="146"/>
    </row>
    <row r="60">
      <c r="A60" s="144"/>
      <c r="B60" s="244" t="s">
        <v>96</v>
      </c>
      <c r="C60" s="184" t="str">
        <f>'1-0 Товары'!C60</f>
        <v/>
      </c>
      <c r="D60" s="186" t="str">
        <f>'1-0 Товары'!D60</f>
        <v/>
      </c>
      <c r="E60" s="277" t="str">
        <f>'1-0 Товары'!E60</f>
        <v/>
      </c>
      <c r="F60" s="191"/>
      <c r="G60" s="191"/>
      <c r="H60" s="196"/>
      <c r="I60" s="196"/>
      <c r="J60" s="199" t="str">
        <f>'1-0 Товары'!$G60</f>
        <v/>
      </c>
      <c r="K60" s="200" t="str">
        <f>'1-0 Товары'!$H60</f>
        <v/>
      </c>
      <c r="L60" s="201" t="str">
        <f>'1-0 Товары'!$I60</f>
        <v/>
      </c>
      <c r="M60" s="203" t="str">
        <f>'1-0 Товары'!$N60</f>
        <v/>
      </c>
      <c r="N60" s="206" t="str">
        <f>'1-0 Товары'!$O60</f>
        <v/>
      </c>
      <c r="O60" s="206" t="str">
        <f>'1-0 Товары'!$P60</f>
        <v/>
      </c>
      <c r="P60" s="146"/>
      <c r="Q60" s="146"/>
      <c r="R60" s="146"/>
      <c r="S60" s="146"/>
      <c r="T60" s="146"/>
      <c r="U60" s="146"/>
      <c r="V60" s="146"/>
      <c r="W60" s="146"/>
      <c r="X60" s="146"/>
      <c r="Y60" s="146"/>
      <c r="Z60" s="146"/>
    </row>
    <row r="61">
      <c r="A61" s="144"/>
      <c r="B61" s="244" t="s">
        <v>96</v>
      </c>
      <c r="C61" s="184" t="str">
        <f>'1-0 Товары'!C61</f>
        <v/>
      </c>
      <c r="D61" s="186" t="str">
        <f>'1-0 Товары'!D61</f>
        <v/>
      </c>
      <c r="E61" s="277" t="str">
        <f>'1-0 Товары'!E61</f>
        <v/>
      </c>
      <c r="F61" s="191"/>
      <c r="G61" s="191"/>
      <c r="H61" s="196"/>
      <c r="I61" s="196"/>
      <c r="J61" s="199" t="str">
        <f>'1-0 Товары'!$G61</f>
        <v/>
      </c>
      <c r="K61" s="200" t="str">
        <f>'1-0 Товары'!$H61</f>
        <v/>
      </c>
      <c r="L61" s="201" t="str">
        <f>'1-0 Товары'!$I61</f>
        <v/>
      </c>
      <c r="M61" s="203" t="str">
        <f>'1-0 Товары'!$N61</f>
        <v/>
      </c>
      <c r="N61" s="206" t="str">
        <f>'1-0 Товары'!$O61</f>
        <v/>
      </c>
      <c r="O61" s="206" t="str">
        <f>'1-0 Товары'!$P61</f>
        <v/>
      </c>
      <c r="P61" s="146"/>
      <c r="Q61" s="146"/>
      <c r="R61" s="146"/>
      <c r="S61" s="146"/>
      <c r="T61" s="146"/>
      <c r="U61" s="146"/>
      <c r="V61" s="146"/>
      <c r="W61" s="146"/>
      <c r="X61" s="146"/>
      <c r="Y61" s="146"/>
      <c r="Z61" s="146"/>
    </row>
    <row r="62">
      <c r="A62" s="144"/>
      <c r="B62" s="244" t="s">
        <v>96</v>
      </c>
      <c r="C62" s="184" t="str">
        <f>'1-0 Товары'!C62</f>
        <v/>
      </c>
      <c r="D62" s="186" t="str">
        <f>'1-0 Товары'!D62</f>
        <v/>
      </c>
      <c r="E62" s="277" t="str">
        <f>'1-0 Товары'!E62</f>
        <v/>
      </c>
      <c r="F62" s="191"/>
      <c r="G62" s="191"/>
      <c r="H62" s="196"/>
      <c r="I62" s="196"/>
      <c r="J62" s="199" t="str">
        <f>'1-0 Товары'!$G62</f>
        <v/>
      </c>
      <c r="K62" s="200" t="str">
        <f>'1-0 Товары'!$H62</f>
        <v/>
      </c>
      <c r="L62" s="201" t="str">
        <f>'1-0 Товары'!$I62</f>
        <v/>
      </c>
      <c r="M62" s="203" t="str">
        <f>'1-0 Товары'!$N62</f>
        <v/>
      </c>
      <c r="N62" s="206" t="str">
        <f>'1-0 Товары'!$O62</f>
        <v/>
      </c>
      <c r="O62" s="206" t="str">
        <f>'1-0 Товары'!$P62</f>
        <v/>
      </c>
      <c r="P62" s="146"/>
      <c r="Q62" s="146"/>
      <c r="R62" s="146"/>
      <c r="S62" s="146"/>
      <c r="T62" s="146"/>
      <c r="U62" s="146"/>
      <c r="V62" s="146"/>
      <c r="W62" s="146"/>
      <c r="X62" s="146"/>
      <c r="Y62" s="146"/>
      <c r="Z62" s="146"/>
    </row>
    <row r="63">
      <c r="A63" s="144"/>
      <c r="B63" s="244" t="s">
        <v>96</v>
      </c>
      <c r="C63" s="184" t="str">
        <f>'1-0 Товары'!C63</f>
        <v/>
      </c>
      <c r="D63" s="186" t="str">
        <f>'1-0 Товары'!D63</f>
        <v/>
      </c>
      <c r="E63" s="277" t="str">
        <f>'1-0 Товары'!E63</f>
        <v/>
      </c>
      <c r="F63" s="191"/>
      <c r="G63" s="191"/>
      <c r="H63" s="196"/>
      <c r="I63" s="196"/>
      <c r="J63" s="199" t="str">
        <f>'1-0 Товары'!$G63</f>
        <v/>
      </c>
      <c r="K63" s="200" t="str">
        <f>'1-0 Товары'!$H63</f>
        <v/>
      </c>
      <c r="L63" s="201" t="str">
        <f>'1-0 Товары'!$I63</f>
        <v/>
      </c>
      <c r="M63" s="203" t="str">
        <f>'1-0 Товары'!$N63</f>
        <v/>
      </c>
      <c r="N63" s="206" t="str">
        <f>'1-0 Товары'!$O63</f>
        <v/>
      </c>
      <c r="O63" s="206" t="str">
        <f>'1-0 Товары'!$P63</f>
        <v/>
      </c>
      <c r="P63" s="146"/>
      <c r="Q63" s="146"/>
      <c r="R63" s="146"/>
      <c r="S63" s="146"/>
      <c r="T63" s="146"/>
      <c r="U63" s="146"/>
      <c r="V63" s="146"/>
      <c r="W63" s="146"/>
      <c r="X63" s="146"/>
      <c r="Y63" s="146"/>
      <c r="Z63" s="146"/>
    </row>
    <row r="64">
      <c r="A64" s="144"/>
      <c r="B64" s="244" t="s">
        <v>96</v>
      </c>
      <c r="C64" s="184" t="str">
        <f>'1-0 Товары'!C64</f>
        <v/>
      </c>
      <c r="D64" s="186" t="str">
        <f>'1-0 Товары'!D64</f>
        <v/>
      </c>
      <c r="E64" s="277" t="str">
        <f>'1-0 Товары'!E64</f>
        <v/>
      </c>
      <c r="F64" s="191"/>
      <c r="G64" s="191"/>
      <c r="H64" s="196"/>
      <c r="I64" s="196"/>
      <c r="J64" s="199" t="str">
        <f>'1-0 Товары'!$G64</f>
        <v/>
      </c>
      <c r="K64" s="200" t="str">
        <f>'1-0 Товары'!$H64</f>
        <v/>
      </c>
      <c r="L64" s="201" t="str">
        <f>'1-0 Товары'!$I64</f>
        <v/>
      </c>
      <c r="M64" s="203" t="str">
        <f>'1-0 Товары'!$N64</f>
        <v/>
      </c>
      <c r="N64" s="206" t="str">
        <f>'1-0 Товары'!$O64</f>
        <v/>
      </c>
      <c r="O64" s="206" t="str">
        <f>'1-0 Товары'!$P64</f>
        <v/>
      </c>
      <c r="P64" s="146"/>
      <c r="Q64" s="146"/>
      <c r="R64" s="146"/>
      <c r="S64" s="146"/>
      <c r="T64" s="146"/>
      <c r="U64" s="146"/>
      <c r="V64" s="146"/>
      <c r="W64" s="146"/>
      <c r="X64" s="146"/>
      <c r="Y64" s="146"/>
      <c r="Z64" s="146"/>
    </row>
    <row r="65">
      <c r="A65" s="144"/>
      <c r="B65" s="244" t="s">
        <v>96</v>
      </c>
      <c r="C65" s="184" t="str">
        <f>'1-0 Товары'!C65</f>
        <v/>
      </c>
      <c r="D65" s="186" t="str">
        <f>'1-0 Товары'!D65</f>
        <v/>
      </c>
      <c r="E65" s="277" t="str">
        <f>'1-0 Товары'!E65</f>
        <v/>
      </c>
      <c r="F65" s="191"/>
      <c r="G65" s="191"/>
      <c r="H65" s="196"/>
      <c r="I65" s="196"/>
      <c r="J65" s="199" t="str">
        <f>'1-0 Товары'!$G65</f>
        <v/>
      </c>
      <c r="K65" s="200" t="str">
        <f>'1-0 Товары'!$H65</f>
        <v/>
      </c>
      <c r="L65" s="201" t="str">
        <f>'1-0 Товары'!$I65</f>
        <v/>
      </c>
      <c r="M65" s="203" t="str">
        <f>'1-0 Товары'!$N65</f>
        <v/>
      </c>
      <c r="N65" s="206" t="str">
        <f>'1-0 Товары'!$O65</f>
        <v/>
      </c>
      <c r="O65" s="206" t="str">
        <f>'1-0 Товары'!$P65</f>
        <v/>
      </c>
      <c r="P65" s="146"/>
      <c r="Q65" s="146"/>
      <c r="R65" s="146"/>
      <c r="S65" s="146"/>
      <c r="T65" s="146"/>
      <c r="U65" s="146"/>
      <c r="V65" s="146"/>
      <c r="W65" s="146"/>
      <c r="X65" s="146"/>
      <c r="Y65" s="146"/>
      <c r="Z65" s="146"/>
    </row>
    <row r="66">
      <c r="A66" s="144"/>
      <c r="B66" s="244" t="s">
        <v>96</v>
      </c>
      <c r="C66" s="184" t="str">
        <f>'1-0 Товары'!C66</f>
        <v/>
      </c>
      <c r="D66" s="186" t="str">
        <f>'1-0 Товары'!D66</f>
        <v/>
      </c>
      <c r="E66" s="277" t="str">
        <f>'1-0 Товары'!E66</f>
        <v/>
      </c>
      <c r="F66" s="191"/>
      <c r="G66" s="191"/>
      <c r="H66" s="196"/>
      <c r="I66" s="196"/>
      <c r="J66" s="199" t="str">
        <f>'1-0 Товары'!$G66</f>
        <v/>
      </c>
      <c r="K66" s="200" t="str">
        <f>'1-0 Товары'!$H66</f>
        <v/>
      </c>
      <c r="L66" s="201" t="str">
        <f>'1-0 Товары'!$I66</f>
        <v/>
      </c>
      <c r="M66" s="203" t="str">
        <f>'1-0 Товары'!$N66</f>
        <v/>
      </c>
      <c r="N66" s="206" t="str">
        <f>'1-0 Товары'!$O66</f>
        <v/>
      </c>
      <c r="O66" s="206" t="str">
        <f>'1-0 Товары'!$P66</f>
        <v/>
      </c>
      <c r="P66" s="146"/>
      <c r="Q66" s="146"/>
      <c r="R66" s="146"/>
      <c r="S66" s="146"/>
      <c r="T66" s="146"/>
      <c r="U66" s="146"/>
      <c r="V66" s="146"/>
      <c r="W66" s="146"/>
      <c r="X66" s="146"/>
      <c r="Y66" s="146"/>
      <c r="Z66" s="146"/>
    </row>
    <row r="67">
      <c r="A67" s="144"/>
      <c r="B67" s="244" t="s">
        <v>96</v>
      </c>
      <c r="C67" s="184" t="str">
        <f>'1-0 Товары'!C67</f>
        <v/>
      </c>
      <c r="D67" s="186" t="str">
        <f>'1-0 Товары'!D67</f>
        <v/>
      </c>
      <c r="E67" s="277" t="str">
        <f>'1-0 Товары'!E67</f>
        <v/>
      </c>
      <c r="F67" s="191"/>
      <c r="G67" s="191"/>
      <c r="H67" s="196"/>
      <c r="I67" s="196"/>
      <c r="J67" s="199" t="str">
        <f>'1-0 Товары'!$G67</f>
        <v/>
      </c>
      <c r="K67" s="200" t="str">
        <f>'1-0 Товары'!$H67</f>
        <v/>
      </c>
      <c r="L67" s="201" t="str">
        <f>'1-0 Товары'!$I67</f>
        <v/>
      </c>
      <c r="M67" s="203" t="str">
        <f>'1-0 Товары'!$N67</f>
        <v/>
      </c>
      <c r="N67" s="206" t="str">
        <f>'1-0 Товары'!$O67</f>
        <v/>
      </c>
      <c r="O67" s="206" t="str">
        <f>'1-0 Товары'!$P67</f>
        <v/>
      </c>
      <c r="P67" s="146"/>
      <c r="Q67" s="146"/>
      <c r="R67" s="146"/>
      <c r="S67" s="146"/>
      <c r="T67" s="146"/>
      <c r="U67" s="146"/>
      <c r="V67" s="146"/>
      <c r="W67" s="146"/>
      <c r="X67" s="146"/>
      <c r="Y67" s="146"/>
      <c r="Z67" s="146"/>
    </row>
    <row r="68">
      <c r="A68" s="144"/>
      <c r="B68" s="244" t="s">
        <v>96</v>
      </c>
      <c r="C68" s="184" t="str">
        <f>'1-0 Товары'!C68</f>
        <v/>
      </c>
      <c r="D68" s="186" t="str">
        <f>'1-0 Товары'!D68</f>
        <v/>
      </c>
      <c r="E68" s="277" t="str">
        <f>'1-0 Товары'!E68</f>
        <v/>
      </c>
      <c r="F68" s="191"/>
      <c r="G68" s="191"/>
      <c r="H68" s="196"/>
      <c r="I68" s="196"/>
      <c r="J68" s="199" t="str">
        <f>'1-0 Товары'!$G68</f>
        <v/>
      </c>
      <c r="K68" s="200" t="str">
        <f>'1-0 Товары'!$H68</f>
        <v/>
      </c>
      <c r="L68" s="201" t="str">
        <f>'1-0 Товары'!$I68</f>
        <v/>
      </c>
      <c r="M68" s="203" t="str">
        <f>'1-0 Товары'!$N68</f>
        <v/>
      </c>
      <c r="N68" s="206" t="str">
        <f>'1-0 Товары'!$O68</f>
        <v/>
      </c>
      <c r="O68" s="206" t="str">
        <f>'1-0 Товары'!$P68</f>
        <v/>
      </c>
      <c r="P68" s="146"/>
      <c r="Q68" s="146"/>
      <c r="R68" s="146"/>
      <c r="S68" s="146"/>
      <c r="T68" s="146"/>
      <c r="U68" s="146"/>
      <c r="V68" s="146"/>
      <c r="W68" s="146"/>
      <c r="X68" s="146"/>
      <c r="Y68" s="146"/>
      <c r="Z68" s="146"/>
    </row>
    <row r="69">
      <c r="A69" s="144"/>
      <c r="B69" s="244" t="s">
        <v>96</v>
      </c>
      <c r="C69" s="184" t="str">
        <f>'1-0 Товары'!C69</f>
        <v/>
      </c>
      <c r="D69" s="186" t="str">
        <f>'1-0 Товары'!D69</f>
        <v/>
      </c>
      <c r="E69" s="277" t="str">
        <f>'1-0 Товары'!E69</f>
        <v/>
      </c>
      <c r="F69" s="191"/>
      <c r="G69" s="191"/>
      <c r="H69" s="196"/>
      <c r="I69" s="196"/>
      <c r="J69" s="199" t="str">
        <f>'1-0 Товары'!$G69</f>
        <v/>
      </c>
      <c r="K69" s="200" t="str">
        <f>'1-0 Товары'!$H69</f>
        <v/>
      </c>
      <c r="L69" s="201" t="str">
        <f>'1-0 Товары'!$I69</f>
        <v/>
      </c>
      <c r="M69" s="203" t="str">
        <f>'1-0 Товары'!$N69</f>
        <v/>
      </c>
      <c r="N69" s="206" t="str">
        <f>'1-0 Товары'!$O69</f>
        <v/>
      </c>
      <c r="O69" s="206" t="str">
        <f>'1-0 Товары'!$P69</f>
        <v/>
      </c>
      <c r="P69" s="146"/>
      <c r="Q69" s="146"/>
      <c r="R69" s="146"/>
      <c r="S69" s="146"/>
      <c r="T69" s="146"/>
      <c r="U69" s="146"/>
      <c r="V69" s="146"/>
      <c r="W69" s="146"/>
      <c r="X69" s="146"/>
      <c r="Y69" s="146"/>
      <c r="Z69" s="146"/>
    </row>
    <row r="70">
      <c r="A70" s="144"/>
      <c r="B70" s="244" t="s">
        <v>96</v>
      </c>
      <c r="C70" s="184" t="str">
        <f>'1-0 Товары'!C70</f>
        <v/>
      </c>
      <c r="D70" s="186" t="str">
        <f>'1-0 Товары'!D70</f>
        <v/>
      </c>
      <c r="E70" s="277" t="str">
        <f>'1-0 Товары'!E70</f>
        <v/>
      </c>
      <c r="F70" s="191"/>
      <c r="G70" s="191"/>
      <c r="H70" s="196"/>
      <c r="I70" s="196"/>
      <c r="J70" s="199" t="str">
        <f>'1-0 Товары'!$G70</f>
        <v/>
      </c>
      <c r="K70" s="200" t="str">
        <f>'1-0 Товары'!$H70</f>
        <v/>
      </c>
      <c r="L70" s="201" t="str">
        <f>'1-0 Товары'!$I70</f>
        <v/>
      </c>
      <c r="M70" s="203" t="str">
        <f>'1-0 Товары'!$N70</f>
        <v/>
      </c>
      <c r="N70" s="206" t="str">
        <f>'1-0 Товары'!$O70</f>
        <v/>
      </c>
      <c r="O70" s="206" t="str">
        <f>'1-0 Товары'!$P70</f>
        <v/>
      </c>
      <c r="P70" s="146"/>
      <c r="Q70" s="146"/>
      <c r="R70" s="146"/>
      <c r="S70" s="146"/>
      <c r="T70" s="146"/>
      <c r="U70" s="146"/>
      <c r="V70" s="146"/>
      <c r="W70" s="146"/>
      <c r="X70" s="146"/>
      <c r="Y70" s="146"/>
      <c r="Z70" s="146"/>
    </row>
    <row r="71">
      <c r="A71" s="144"/>
      <c r="B71" s="244" t="s">
        <v>96</v>
      </c>
      <c r="C71" s="184" t="str">
        <f>'1-0 Товары'!C71</f>
        <v/>
      </c>
      <c r="D71" s="186" t="str">
        <f>'1-0 Товары'!D71</f>
        <v/>
      </c>
      <c r="E71" s="277" t="str">
        <f>'1-0 Товары'!E71</f>
        <v/>
      </c>
      <c r="F71" s="191"/>
      <c r="G71" s="191"/>
      <c r="H71" s="196"/>
      <c r="I71" s="196"/>
      <c r="J71" s="199" t="str">
        <f>'1-0 Товары'!$G71</f>
        <v/>
      </c>
      <c r="K71" s="200" t="str">
        <f>'1-0 Товары'!$H71</f>
        <v/>
      </c>
      <c r="L71" s="201" t="str">
        <f>'1-0 Товары'!$I71</f>
        <v/>
      </c>
      <c r="M71" s="203" t="str">
        <f>'1-0 Товары'!$N71</f>
        <v/>
      </c>
      <c r="N71" s="206" t="str">
        <f>'1-0 Товары'!$O71</f>
        <v/>
      </c>
      <c r="O71" s="206" t="str">
        <f>'1-0 Товары'!$P71</f>
        <v/>
      </c>
      <c r="P71" s="146"/>
      <c r="Q71" s="146"/>
      <c r="R71" s="146"/>
      <c r="S71" s="146"/>
      <c r="T71" s="146"/>
      <c r="U71" s="146"/>
      <c r="V71" s="146"/>
      <c r="W71" s="146"/>
      <c r="X71" s="146"/>
      <c r="Y71" s="146"/>
      <c r="Z71" s="146"/>
    </row>
    <row r="72">
      <c r="A72" s="144"/>
      <c r="B72" s="244" t="s">
        <v>96</v>
      </c>
      <c r="C72" s="184" t="str">
        <f>'1-0 Товары'!C72</f>
        <v/>
      </c>
      <c r="D72" s="186" t="str">
        <f>'1-0 Товары'!D72</f>
        <v/>
      </c>
      <c r="E72" s="277" t="str">
        <f>'1-0 Товары'!E72</f>
        <v/>
      </c>
      <c r="F72" s="191"/>
      <c r="G72" s="191"/>
      <c r="H72" s="196"/>
      <c r="I72" s="196"/>
      <c r="J72" s="199" t="str">
        <f>'1-0 Товары'!$G72</f>
        <v/>
      </c>
      <c r="K72" s="200" t="str">
        <f>'1-0 Товары'!$H72</f>
        <v/>
      </c>
      <c r="L72" s="201" t="str">
        <f>'1-0 Товары'!$I72</f>
        <v/>
      </c>
      <c r="M72" s="203" t="str">
        <f>'1-0 Товары'!$N72</f>
        <v/>
      </c>
      <c r="N72" s="206" t="str">
        <f>'1-0 Товары'!$O72</f>
        <v/>
      </c>
      <c r="O72" s="206" t="str">
        <f>'1-0 Товары'!$P72</f>
        <v/>
      </c>
      <c r="P72" s="146"/>
      <c r="Q72" s="146"/>
      <c r="R72" s="146"/>
      <c r="S72" s="146"/>
      <c r="T72" s="146"/>
      <c r="U72" s="146"/>
      <c r="V72" s="146"/>
      <c r="W72" s="146"/>
      <c r="X72" s="146"/>
      <c r="Y72" s="146"/>
      <c r="Z72" s="146"/>
    </row>
    <row r="73">
      <c r="A73" s="144"/>
      <c r="B73" s="244" t="s">
        <v>96</v>
      </c>
      <c r="C73" s="184" t="str">
        <f>'1-0 Товары'!C73</f>
        <v/>
      </c>
      <c r="D73" s="186" t="str">
        <f>'1-0 Товары'!D73</f>
        <v/>
      </c>
      <c r="E73" s="277" t="str">
        <f>'1-0 Товары'!E73</f>
        <v/>
      </c>
      <c r="F73" s="191"/>
      <c r="G73" s="191"/>
      <c r="H73" s="196"/>
      <c r="I73" s="196"/>
      <c r="J73" s="199" t="str">
        <f>'1-0 Товары'!$G73</f>
        <v/>
      </c>
      <c r="K73" s="200" t="str">
        <f>'1-0 Товары'!$H73</f>
        <v/>
      </c>
      <c r="L73" s="201" t="str">
        <f>'1-0 Товары'!$I73</f>
        <v/>
      </c>
      <c r="M73" s="203" t="str">
        <f>'1-0 Товары'!$N73</f>
        <v/>
      </c>
      <c r="N73" s="206" t="str">
        <f>'1-0 Товары'!$O73</f>
        <v/>
      </c>
      <c r="O73" s="206" t="str">
        <f>'1-0 Товары'!$P73</f>
        <v/>
      </c>
      <c r="P73" s="146"/>
      <c r="Q73" s="146"/>
      <c r="R73" s="146"/>
      <c r="S73" s="146"/>
      <c r="T73" s="146"/>
      <c r="U73" s="146"/>
      <c r="V73" s="146"/>
      <c r="W73" s="146"/>
      <c r="X73" s="146"/>
      <c r="Y73" s="146"/>
      <c r="Z73" s="146"/>
    </row>
    <row r="74">
      <c r="A74" s="144"/>
      <c r="B74" s="244" t="s">
        <v>96</v>
      </c>
      <c r="C74" s="184" t="str">
        <f>'1-0 Товары'!C74</f>
        <v/>
      </c>
      <c r="D74" s="186" t="str">
        <f>'1-0 Товары'!D74</f>
        <v/>
      </c>
      <c r="E74" s="277" t="str">
        <f>'1-0 Товары'!E74</f>
        <v/>
      </c>
      <c r="F74" s="191"/>
      <c r="G74" s="191"/>
      <c r="H74" s="196"/>
      <c r="I74" s="196"/>
      <c r="J74" s="199" t="str">
        <f>'1-0 Товары'!$G74</f>
        <v/>
      </c>
      <c r="K74" s="200" t="str">
        <f>'1-0 Товары'!$H74</f>
        <v/>
      </c>
      <c r="L74" s="201" t="str">
        <f>'1-0 Товары'!$I74</f>
        <v/>
      </c>
      <c r="M74" s="203" t="str">
        <f>'1-0 Товары'!$N74</f>
        <v/>
      </c>
      <c r="N74" s="206" t="str">
        <f>'1-0 Товары'!$O74</f>
        <v/>
      </c>
      <c r="O74" s="206" t="str">
        <f>'1-0 Товары'!$P74</f>
        <v/>
      </c>
      <c r="P74" s="146"/>
      <c r="Q74" s="146"/>
      <c r="R74" s="146"/>
      <c r="S74" s="146"/>
      <c r="T74" s="146"/>
      <c r="U74" s="146"/>
      <c r="V74" s="146"/>
      <c r="W74" s="146"/>
      <c r="X74" s="146"/>
      <c r="Y74" s="146"/>
      <c r="Z74" s="146"/>
    </row>
    <row r="75">
      <c r="A75" s="144"/>
      <c r="B75" s="244" t="s">
        <v>96</v>
      </c>
      <c r="C75" s="184" t="str">
        <f>'1-0 Товары'!C75</f>
        <v/>
      </c>
      <c r="D75" s="186" t="str">
        <f>'1-0 Товары'!D75</f>
        <v/>
      </c>
      <c r="E75" s="277" t="str">
        <f>'1-0 Товары'!E75</f>
        <v/>
      </c>
      <c r="F75" s="191"/>
      <c r="G75" s="191"/>
      <c r="H75" s="196"/>
      <c r="I75" s="196"/>
      <c r="J75" s="199" t="str">
        <f>'1-0 Товары'!$G75</f>
        <v/>
      </c>
      <c r="K75" s="200" t="str">
        <f>'1-0 Товары'!$H75</f>
        <v/>
      </c>
      <c r="L75" s="201" t="str">
        <f>'1-0 Товары'!$I75</f>
        <v/>
      </c>
      <c r="M75" s="203" t="str">
        <f>'1-0 Товары'!$N75</f>
        <v/>
      </c>
      <c r="N75" s="206" t="str">
        <f>'1-0 Товары'!$O75</f>
        <v/>
      </c>
      <c r="O75" s="206" t="str">
        <f>'1-0 Товары'!$P75</f>
        <v/>
      </c>
      <c r="P75" s="146"/>
      <c r="Q75" s="146"/>
      <c r="R75" s="146"/>
      <c r="S75" s="146"/>
      <c r="T75" s="146"/>
      <c r="U75" s="146"/>
      <c r="V75" s="146"/>
      <c r="W75" s="146"/>
      <c r="X75" s="146"/>
      <c r="Y75" s="146"/>
      <c r="Z75" s="146"/>
    </row>
    <row r="76">
      <c r="A76" s="144"/>
      <c r="B76" s="244" t="s">
        <v>96</v>
      </c>
      <c r="C76" s="184" t="str">
        <f>'1-0 Товары'!C76</f>
        <v/>
      </c>
      <c r="D76" s="186" t="str">
        <f>'1-0 Товары'!D76</f>
        <v/>
      </c>
      <c r="E76" s="277" t="str">
        <f>'1-0 Товары'!E76</f>
        <v/>
      </c>
      <c r="F76" s="191"/>
      <c r="G76" s="191"/>
      <c r="H76" s="196"/>
      <c r="I76" s="196"/>
      <c r="J76" s="199" t="str">
        <f>'1-0 Товары'!$G76</f>
        <v/>
      </c>
      <c r="K76" s="200" t="str">
        <f>'1-0 Товары'!$H76</f>
        <v/>
      </c>
      <c r="L76" s="201" t="str">
        <f>'1-0 Товары'!$I76</f>
        <v/>
      </c>
      <c r="M76" s="203" t="str">
        <f>'1-0 Товары'!$N76</f>
        <v/>
      </c>
      <c r="N76" s="206" t="str">
        <f>'1-0 Товары'!$O76</f>
        <v/>
      </c>
      <c r="O76" s="206" t="str">
        <f>'1-0 Товары'!$P76</f>
        <v/>
      </c>
      <c r="P76" s="146"/>
      <c r="Q76" s="146"/>
      <c r="R76" s="146"/>
      <c r="S76" s="146"/>
      <c r="T76" s="146"/>
      <c r="U76" s="146"/>
      <c r="V76" s="146"/>
      <c r="W76" s="146"/>
      <c r="X76" s="146"/>
      <c r="Y76" s="146"/>
      <c r="Z76" s="146"/>
    </row>
    <row r="77">
      <c r="A77" s="144"/>
      <c r="B77" s="244" t="s">
        <v>96</v>
      </c>
      <c r="C77" s="184" t="str">
        <f>'1-0 Товары'!C77</f>
        <v/>
      </c>
      <c r="D77" s="186" t="str">
        <f>'1-0 Товары'!D77</f>
        <v/>
      </c>
      <c r="E77" s="277" t="str">
        <f>'1-0 Товары'!E77</f>
        <v/>
      </c>
      <c r="F77" s="191"/>
      <c r="G77" s="191"/>
      <c r="H77" s="196"/>
      <c r="I77" s="196"/>
      <c r="J77" s="199" t="str">
        <f>'1-0 Товары'!$G77</f>
        <v/>
      </c>
      <c r="K77" s="200" t="str">
        <f>'1-0 Товары'!$H77</f>
        <v/>
      </c>
      <c r="L77" s="201" t="str">
        <f>'1-0 Товары'!$I77</f>
        <v/>
      </c>
      <c r="M77" s="203" t="str">
        <f>'1-0 Товары'!$N77</f>
        <v/>
      </c>
      <c r="N77" s="206" t="str">
        <f>'1-0 Товары'!$O77</f>
        <v/>
      </c>
      <c r="O77" s="206" t="str">
        <f>'1-0 Товары'!$P77</f>
        <v/>
      </c>
      <c r="P77" s="146"/>
      <c r="Q77" s="146"/>
      <c r="R77" s="146"/>
      <c r="S77" s="146"/>
      <c r="T77" s="146"/>
      <c r="U77" s="146"/>
      <c r="V77" s="146"/>
      <c r="W77" s="146"/>
      <c r="X77" s="146"/>
      <c r="Y77" s="146"/>
      <c r="Z77" s="146"/>
    </row>
    <row r="78">
      <c r="A78" s="144"/>
      <c r="B78" s="244" t="s">
        <v>96</v>
      </c>
      <c r="C78" s="184" t="str">
        <f>'1-0 Товары'!C78</f>
        <v/>
      </c>
      <c r="D78" s="186" t="str">
        <f>'1-0 Товары'!D78</f>
        <v/>
      </c>
      <c r="E78" s="277" t="str">
        <f>'1-0 Товары'!E78</f>
        <v/>
      </c>
      <c r="F78" s="191"/>
      <c r="G78" s="191"/>
      <c r="H78" s="196"/>
      <c r="I78" s="196"/>
      <c r="J78" s="199" t="str">
        <f>'1-0 Товары'!$G78</f>
        <v/>
      </c>
      <c r="K78" s="200" t="str">
        <f>'1-0 Товары'!$H78</f>
        <v/>
      </c>
      <c r="L78" s="201" t="str">
        <f>'1-0 Товары'!$I78</f>
        <v/>
      </c>
      <c r="M78" s="203" t="str">
        <f>'1-0 Товары'!$N78</f>
        <v/>
      </c>
      <c r="N78" s="206" t="str">
        <f>'1-0 Товары'!$O78</f>
        <v/>
      </c>
      <c r="O78" s="206" t="str">
        <f>'1-0 Товары'!$P78</f>
        <v/>
      </c>
      <c r="P78" s="146"/>
      <c r="Q78" s="146"/>
      <c r="R78" s="146"/>
      <c r="S78" s="146"/>
      <c r="T78" s="146"/>
      <c r="U78" s="146"/>
      <c r="V78" s="146"/>
      <c r="W78" s="146"/>
      <c r="X78" s="146"/>
      <c r="Y78" s="146"/>
      <c r="Z78" s="146"/>
    </row>
    <row r="79">
      <c r="A79" s="144"/>
      <c r="B79" s="244" t="s">
        <v>96</v>
      </c>
      <c r="C79" s="184" t="str">
        <f>'1-0 Товары'!C79</f>
        <v/>
      </c>
      <c r="D79" s="186" t="str">
        <f>'1-0 Товары'!D79</f>
        <v/>
      </c>
      <c r="E79" s="277" t="str">
        <f>'1-0 Товары'!E79</f>
        <v/>
      </c>
      <c r="F79" s="191"/>
      <c r="G79" s="191"/>
      <c r="H79" s="196"/>
      <c r="I79" s="196"/>
      <c r="J79" s="199" t="str">
        <f>'1-0 Товары'!$G79</f>
        <v/>
      </c>
      <c r="K79" s="200" t="str">
        <f>'1-0 Товары'!$H79</f>
        <v/>
      </c>
      <c r="L79" s="201" t="str">
        <f>'1-0 Товары'!$I79</f>
        <v/>
      </c>
      <c r="M79" s="203" t="str">
        <f>'1-0 Товары'!$N79</f>
        <v/>
      </c>
      <c r="N79" s="206" t="str">
        <f>'1-0 Товары'!$O79</f>
        <v/>
      </c>
      <c r="O79" s="206" t="str">
        <f>'1-0 Товары'!$P79</f>
        <v/>
      </c>
      <c r="P79" s="146"/>
      <c r="Q79" s="146"/>
      <c r="R79" s="146"/>
      <c r="S79" s="146"/>
      <c r="T79" s="146"/>
      <c r="U79" s="146"/>
      <c r="V79" s="146"/>
      <c r="W79" s="146"/>
      <c r="X79" s="146"/>
      <c r="Y79" s="146"/>
      <c r="Z79" s="146"/>
    </row>
    <row r="80">
      <c r="A80" s="144"/>
      <c r="B80" s="244" t="s">
        <v>96</v>
      </c>
      <c r="C80" s="184" t="str">
        <f>'1-0 Товары'!C80</f>
        <v/>
      </c>
      <c r="D80" s="186" t="str">
        <f>'1-0 Товары'!D80</f>
        <v/>
      </c>
      <c r="E80" s="277" t="str">
        <f>'1-0 Товары'!E80</f>
        <v/>
      </c>
      <c r="F80" s="191"/>
      <c r="G80" s="191"/>
      <c r="H80" s="196"/>
      <c r="I80" s="196"/>
      <c r="J80" s="199" t="str">
        <f>'1-0 Товары'!$G80</f>
        <v/>
      </c>
      <c r="K80" s="200" t="str">
        <f>'1-0 Товары'!$H80</f>
        <v/>
      </c>
      <c r="L80" s="201" t="str">
        <f>'1-0 Товары'!$I80</f>
        <v/>
      </c>
      <c r="M80" s="203" t="str">
        <f>'1-0 Товары'!$N80</f>
        <v/>
      </c>
      <c r="N80" s="206" t="str">
        <f>'1-0 Товары'!$O80</f>
        <v/>
      </c>
      <c r="O80" s="206" t="str">
        <f>'1-0 Товары'!$P80</f>
        <v/>
      </c>
      <c r="P80" s="146"/>
      <c r="Q80" s="146"/>
      <c r="R80" s="146"/>
      <c r="S80" s="146"/>
      <c r="T80" s="146"/>
      <c r="U80" s="146"/>
      <c r="V80" s="146"/>
      <c r="W80" s="146"/>
      <c r="X80" s="146"/>
      <c r="Y80" s="146"/>
      <c r="Z80" s="146"/>
    </row>
    <row r="81">
      <c r="A81" s="144"/>
      <c r="B81" s="244" t="s">
        <v>96</v>
      </c>
      <c r="C81" s="184" t="str">
        <f>'1-0 Товары'!C81</f>
        <v/>
      </c>
      <c r="D81" s="186" t="str">
        <f>'1-0 Товары'!D81</f>
        <v/>
      </c>
      <c r="E81" s="277" t="str">
        <f>'1-0 Товары'!E81</f>
        <v/>
      </c>
      <c r="F81" s="191"/>
      <c r="G81" s="191"/>
      <c r="H81" s="196"/>
      <c r="I81" s="196"/>
      <c r="J81" s="199" t="str">
        <f>'1-0 Товары'!$G81</f>
        <v/>
      </c>
      <c r="K81" s="200" t="str">
        <f>'1-0 Товары'!$H81</f>
        <v/>
      </c>
      <c r="L81" s="201" t="str">
        <f>'1-0 Товары'!$I81</f>
        <v/>
      </c>
      <c r="M81" s="203" t="str">
        <f>'1-0 Товары'!$N81</f>
        <v/>
      </c>
      <c r="N81" s="206" t="str">
        <f>'1-0 Товары'!$O81</f>
        <v/>
      </c>
      <c r="O81" s="206" t="str">
        <f>'1-0 Товары'!$P81</f>
        <v/>
      </c>
      <c r="P81" s="146"/>
      <c r="Q81" s="146"/>
      <c r="R81" s="146"/>
      <c r="S81" s="146"/>
      <c r="T81" s="146"/>
      <c r="U81" s="146"/>
      <c r="V81" s="146"/>
      <c r="W81" s="146"/>
      <c r="X81" s="146"/>
      <c r="Y81" s="146"/>
      <c r="Z81" s="146"/>
    </row>
    <row r="82">
      <c r="A82" s="144"/>
      <c r="B82" s="244" t="s">
        <v>96</v>
      </c>
      <c r="C82" s="184" t="str">
        <f>'1-0 Товары'!C82</f>
        <v/>
      </c>
      <c r="D82" s="186" t="str">
        <f>'1-0 Товары'!D82</f>
        <v/>
      </c>
      <c r="E82" s="277" t="str">
        <f>'1-0 Товары'!E82</f>
        <v/>
      </c>
      <c r="F82" s="191"/>
      <c r="G82" s="191"/>
      <c r="H82" s="196"/>
      <c r="I82" s="196"/>
      <c r="J82" s="199" t="str">
        <f>'1-0 Товары'!$G82</f>
        <v/>
      </c>
      <c r="K82" s="200" t="str">
        <f>'1-0 Товары'!$H82</f>
        <v/>
      </c>
      <c r="L82" s="201" t="str">
        <f>'1-0 Товары'!$I82</f>
        <v/>
      </c>
      <c r="M82" s="203" t="str">
        <f>'1-0 Товары'!$N82</f>
        <v/>
      </c>
      <c r="N82" s="206" t="str">
        <f>'1-0 Товары'!$O82</f>
        <v/>
      </c>
      <c r="O82" s="206" t="str">
        <f>'1-0 Товары'!$P82</f>
        <v/>
      </c>
      <c r="P82" s="146"/>
      <c r="Q82" s="146"/>
      <c r="R82" s="146"/>
      <c r="S82" s="146"/>
      <c r="T82" s="146"/>
      <c r="U82" s="146"/>
      <c r="V82" s="146"/>
      <c r="W82" s="146"/>
      <c r="X82" s="146"/>
      <c r="Y82" s="146"/>
      <c r="Z82" s="146"/>
    </row>
    <row r="83">
      <c r="A83" s="144"/>
      <c r="B83" s="244" t="s">
        <v>96</v>
      </c>
      <c r="C83" s="184" t="str">
        <f>'1-0 Товары'!C83</f>
        <v/>
      </c>
      <c r="D83" s="186" t="str">
        <f>'1-0 Товары'!D83</f>
        <v/>
      </c>
      <c r="E83" s="277" t="str">
        <f>'1-0 Товары'!E83</f>
        <v/>
      </c>
      <c r="F83" s="191"/>
      <c r="G83" s="191"/>
      <c r="H83" s="196"/>
      <c r="I83" s="196"/>
      <c r="J83" s="199" t="str">
        <f>'1-0 Товары'!$G83</f>
        <v/>
      </c>
      <c r="K83" s="200" t="str">
        <f>'1-0 Товары'!$H83</f>
        <v/>
      </c>
      <c r="L83" s="201" t="str">
        <f>'1-0 Товары'!$I83</f>
        <v/>
      </c>
      <c r="M83" s="203" t="str">
        <f>'1-0 Товары'!$N83</f>
        <v/>
      </c>
      <c r="N83" s="206" t="str">
        <f>'1-0 Товары'!$O83</f>
        <v/>
      </c>
      <c r="O83" s="206" t="str">
        <f>'1-0 Товары'!$P83</f>
        <v/>
      </c>
      <c r="P83" s="146"/>
      <c r="Q83" s="146"/>
      <c r="R83" s="146"/>
      <c r="S83" s="146"/>
      <c r="T83" s="146"/>
      <c r="U83" s="146"/>
      <c r="V83" s="146"/>
      <c r="W83" s="146"/>
      <c r="X83" s="146"/>
      <c r="Y83" s="146"/>
      <c r="Z83" s="146"/>
    </row>
    <row r="84">
      <c r="A84" s="144"/>
      <c r="B84" s="244" t="s">
        <v>96</v>
      </c>
      <c r="C84" s="184" t="str">
        <f>'1-0 Товары'!C84</f>
        <v/>
      </c>
      <c r="D84" s="186" t="str">
        <f>'1-0 Товары'!D84</f>
        <v/>
      </c>
      <c r="E84" s="277" t="str">
        <f>'1-0 Товары'!E84</f>
        <v/>
      </c>
      <c r="F84" s="191"/>
      <c r="G84" s="191"/>
      <c r="H84" s="196"/>
      <c r="I84" s="196"/>
      <c r="J84" s="199" t="str">
        <f>'1-0 Товары'!$G84</f>
        <v/>
      </c>
      <c r="K84" s="200" t="str">
        <f>'1-0 Товары'!$H84</f>
        <v/>
      </c>
      <c r="L84" s="201" t="str">
        <f>'1-0 Товары'!$I84</f>
        <v/>
      </c>
      <c r="M84" s="203" t="str">
        <f>'1-0 Товары'!$N84</f>
        <v/>
      </c>
      <c r="N84" s="206" t="str">
        <f>'1-0 Товары'!$O84</f>
        <v/>
      </c>
      <c r="O84" s="206" t="str">
        <f>'1-0 Товары'!$P84</f>
        <v/>
      </c>
      <c r="P84" s="146"/>
      <c r="Q84" s="146"/>
      <c r="R84" s="146"/>
      <c r="S84" s="146"/>
      <c r="T84" s="146"/>
      <c r="U84" s="146"/>
      <c r="V84" s="146"/>
      <c r="W84" s="146"/>
      <c r="X84" s="146"/>
      <c r="Y84" s="146"/>
      <c r="Z84" s="146"/>
    </row>
    <row r="85">
      <c r="A85" s="144"/>
      <c r="B85" s="244" t="s">
        <v>96</v>
      </c>
      <c r="C85" s="184" t="str">
        <f>'1-0 Товары'!C85</f>
        <v/>
      </c>
      <c r="D85" s="186" t="str">
        <f>'1-0 Товары'!D85</f>
        <v/>
      </c>
      <c r="E85" s="277" t="str">
        <f>'1-0 Товары'!E85</f>
        <v/>
      </c>
      <c r="F85" s="191"/>
      <c r="G85" s="191"/>
      <c r="H85" s="196"/>
      <c r="I85" s="196"/>
      <c r="J85" s="199" t="str">
        <f>'1-0 Товары'!$G85</f>
        <v/>
      </c>
      <c r="K85" s="200" t="str">
        <f>'1-0 Товары'!$H85</f>
        <v/>
      </c>
      <c r="L85" s="201" t="str">
        <f>'1-0 Товары'!$I85</f>
        <v/>
      </c>
      <c r="M85" s="203" t="str">
        <f>'1-0 Товары'!$N85</f>
        <v/>
      </c>
      <c r="N85" s="206" t="str">
        <f>'1-0 Товары'!$O85</f>
        <v/>
      </c>
      <c r="O85" s="206" t="str">
        <f>'1-0 Товары'!$P85</f>
        <v/>
      </c>
      <c r="P85" s="146"/>
      <c r="Q85" s="146"/>
      <c r="R85" s="146"/>
      <c r="S85" s="146"/>
      <c r="T85" s="146"/>
      <c r="U85" s="146"/>
      <c r="V85" s="146"/>
      <c r="W85" s="146"/>
      <c r="X85" s="146"/>
      <c r="Y85" s="146"/>
      <c r="Z85" s="146"/>
    </row>
    <row r="86">
      <c r="A86" s="144"/>
      <c r="B86" s="244" t="s">
        <v>96</v>
      </c>
      <c r="C86" s="184" t="str">
        <f>'1-0 Товары'!C86</f>
        <v/>
      </c>
      <c r="D86" s="186" t="str">
        <f>'1-0 Товары'!D86</f>
        <v/>
      </c>
      <c r="E86" s="277" t="str">
        <f>'1-0 Товары'!E86</f>
        <v/>
      </c>
      <c r="F86" s="191"/>
      <c r="G86" s="191"/>
      <c r="H86" s="196"/>
      <c r="I86" s="196"/>
      <c r="J86" s="199" t="str">
        <f>'1-0 Товары'!$G86</f>
        <v/>
      </c>
      <c r="K86" s="200" t="str">
        <f>'1-0 Товары'!$H86</f>
        <v/>
      </c>
      <c r="L86" s="201" t="str">
        <f>'1-0 Товары'!$I86</f>
        <v/>
      </c>
      <c r="M86" s="203" t="str">
        <f>'1-0 Товары'!$N86</f>
        <v/>
      </c>
      <c r="N86" s="206" t="str">
        <f>'1-0 Товары'!$O86</f>
        <v/>
      </c>
      <c r="O86" s="206" t="str">
        <f>'1-0 Товары'!$P86</f>
        <v/>
      </c>
      <c r="P86" s="146"/>
      <c r="Q86" s="146"/>
      <c r="R86" s="146"/>
      <c r="S86" s="146"/>
      <c r="T86" s="146"/>
      <c r="U86" s="146"/>
      <c r="V86" s="146"/>
      <c r="W86" s="146"/>
      <c r="X86" s="146"/>
      <c r="Y86" s="146"/>
      <c r="Z86" s="146"/>
    </row>
    <row r="87">
      <c r="A87" s="144"/>
      <c r="B87" s="244" t="s">
        <v>96</v>
      </c>
      <c r="C87" s="184" t="str">
        <f>'1-0 Товары'!C87</f>
        <v/>
      </c>
      <c r="D87" s="186" t="str">
        <f>'1-0 Товары'!D87</f>
        <v/>
      </c>
      <c r="E87" s="277" t="str">
        <f>'1-0 Товары'!E87</f>
        <v/>
      </c>
      <c r="F87" s="191"/>
      <c r="G87" s="191"/>
      <c r="H87" s="196"/>
      <c r="I87" s="196"/>
      <c r="J87" s="199" t="str">
        <f>'1-0 Товары'!$G87</f>
        <v/>
      </c>
      <c r="K87" s="200" t="str">
        <f>'1-0 Товары'!$H87</f>
        <v/>
      </c>
      <c r="L87" s="201" t="str">
        <f>'1-0 Товары'!$I87</f>
        <v/>
      </c>
      <c r="M87" s="203" t="str">
        <f>'1-0 Товары'!$N87</f>
        <v/>
      </c>
      <c r="N87" s="206" t="str">
        <f>'1-0 Товары'!$O87</f>
        <v/>
      </c>
      <c r="O87" s="206" t="str">
        <f>'1-0 Товары'!$P87</f>
        <v/>
      </c>
      <c r="P87" s="146"/>
      <c r="Q87" s="146"/>
      <c r="R87" s="146"/>
      <c r="S87" s="146"/>
      <c r="T87" s="146"/>
      <c r="U87" s="146"/>
      <c r="V87" s="146"/>
      <c r="W87" s="146"/>
      <c r="X87" s="146"/>
      <c r="Y87" s="146"/>
      <c r="Z87" s="146"/>
    </row>
    <row r="88">
      <c r="A88" s="144"/>
      <c r="B88" s="244" t="s">
        <v>96</v>
      </c>
      <c r="C88" s="184" t="str">
        <f>'1-0 Товары'!C88</f>
        <v/>
      </c>
      <c r="D88" s="186" t="str">
        <f>'1-0 Товары'!D88</f>
        <v/>
      </c>
      <c r="E88" s="277" t="str">
        <f>'1-0 Товары'!E88</f>
        <v/>
      </c>
      <c r="F88" s="191"/>
      <c r="G88" s="191"/>
      <c r="H88" s="196"/>
      <c r="I88" s="196"/>
      <c r="J88" s="199" t="str">
        <f>'1-0 Товары'!$G88</f>
        <v/>
      </c>
      <c r="K88" s="200" t="str">
        <f>'1-0 Товары'!$H88</f>
        <v/>
      </c>
      <c r="L88" s="201" t="str">
        <f>'1-0 Товары'!$I88</f>
        <v/>
      </c>
      <c r="M88" s="203" t="str">
        <f>'1-0 Товары'!$N88</f>
        <v/>
      </c>
      <c r="N88" s="206" t="str">
        <f>'1-0 Товары'!$O88</f>
        <v/>
      </c>
      <c r="O88" s="206" t="str">
        <f>'1-0 Товары'!$P88</f>
        <v/>
      </c>
      <c r="P88" s="146"/>
      <c r="Q88" s="146"/>
      <c r="R88" s="146"/>
      <c r="S88" s="146"/>
      <c r="T88" s="146"/>
      <c r="U88" s="146"/>
      <c r="V88" s="146"/>
      <c r="W88" s="146"/>
      <c r="X88" s="146"/>
      <c r="Y88" s="146"/>
      <c r="Z88" s="146"/>
    </row>
    <row r="89">
      <c r="A89" s="144"/>
      <c r="B89" s="244" t="s">
        <v>96</v>
      </c>
      <c r="C89" s="184" t="str">
        <f>'1-0 Товары'!C89</f>
        <v/>
      </c>
      <c r="D89" s="186" t="str">
        <f>'1-0 Товары'!D89</f>
        <v/>
      </c>
      <c r="E89" s="277" t="str">
        <f>'1-0 Товары'!E89</f>
        <v/>
      </c>
      <c r="F89" s="191"/>
      <c r="G89" s="191"/>
      <c r="H89" s="196"/>
      <c r="I89" s="196"/>
      <c r="J89" s="199" t="str">
        <f>'1-0 Товары'!$G89</f>
        <v/>
      </c>
      <c r="K89" s="200" t="str">
        <f>'1-0 Товары'!$H89</f>
        <v/>
      </c>
      <c r="L89" s="201" t="str">
        <f>'1-0 Товары'!$I89</f>
        <v/>
      </c>
      <c r="M89" s="203" t="str">
        <f>'1-0 Товары'!$N89</f>
        <v/>
      </c>
      <c r="N89" s="206" t="str">
        <f>'1-0 Товары'!$O89</f>
        <v/>
      </c>
      <c r="O89" s="206" t="str">
        <f>'1-0 Товары'!$P89</f>
        <v/>
      </c>
      <c r="P89" s="146"/>
      <c r="Q89" s="146"/>
      <c r="R89" s="146"/>
      <c r="S89" s="146"/>
      <c r="T89" s="146"/>
      <c r="U89" s="146"/>
      <c r="V89" s="146"/>
      <c r="W89" s="146"/>
      <c r="X89" s="146"/>
      <c r="Y89" s="146"/>
      <c r="Z89" s="146"/>
    </row>
    <row r="90">
      <c r="A90" s="144"/>
      <c r="B90" s="244" t="s">
        <v>96</v>
      </c>
      <c r="C90" s="184" t="str">
        <f>'1-0 Товары'!C90</f>
        <v/>
      </c>
      <c r="D90" s="186" t="str">
        <f>'1-0 Товары'!D90</f>
        <v/>
      </c>
      <c r="E90" s="277" t="str">
        <f>'1-0 Товары'!E90</f>
        <v/>
      </c>
      <c r="F90" s="191"/>
      <c r="G90" s="191"/>
      <c r="H90" s="196"/>
      <c r="I90" s="196"/>
      <c r="J90" s="199" t="str">
        <f>'1-0 Товары'!$G90</f>
        <v/>
      </c>
      <c r="K90" s="200" t="str">
        <f>'1-0 Товары'!$H90</f>
        <v/>
      </c>
      <c r="L90" s="201" t="str">
        <f>'1-0 Товары'!$I90</f>
        <v/>
      </c>
      <c r="M90" s="203" t="str">
        <f>'1-0 Товары'!$N90</f>
        <v/>
      </c>
      <c r="N90" s="206" t="str">
        <f>'1-0 Товары'!$O90</f>
        <v/>
      </c>
      <c r="O90" s="206" t="str">
        <f>'1-0 Товары'!$P90</f>
        <v/>
      </c>
      <c r="P90" s="146"/>
      <c r="Q90" s="146"/>
      <c r="R90" s="146"/>
      <c r="S90" s="146"/>
      <c r="T90" s="146"/>
      <c r="U90" s="146"/>
      <c r="V90" s="146"/>
      <c r="W90" s="146"/>
      <c r="X90" s="146"/>
      <c r="Y90" s="146"/>
      <c r="Z90" s="146"/>
    </row>
    <row r="91">
      <c r="A91" s="144"/>
      <c r="B91" s="244" t="s">
        <v>96</v>
      </c>
      <c r="C91" s="184" t="str">
        <f>'1-0 Товары'!C91</f>
        <v/>
      </c>
      <c r="D91" s="186" t="str">
        <f>'1-0 Товары'!D91</f>
        <v/>
      </c>
      <c r="E91" s="277" t="str">
        <f>'1-0 Товары'!E91</f>
        <v/>
      </c>
      <c r="F91" s="191"/>
      <c r="G91" s="191"/>
      <c r="H91" s="196"/>
      <c r="I91" s="196"/>
      <c r="J91" s="199" t="str">
        <f>'1-0 Товары'!$G91</f>
        <v/>
      </c>
      <c r="K91" s="200" t="str">
        <f>'1-0 Товары'!$H91</f>
        <v/>
      </c>
      <c r="L91" s="201" t="str">
        <f>'1-0 Товары'!$I91</f>
        <v/>
      </c>
      <c r="M91" s="203" t="str">
        <f>'1-0 Товары'!$N91</f>
        <v/>
      </c>
      <c r="N91" s="206" t="str">
        <f>'1-0 Товары'!$O91</f>
        <v/>
      </c>
      <c r="O91" s="206" t="str">
        <f>'1-0 Товары'!$P91</f>
        <v/>
      </c>
      <c r="P91" s="146"/>
      <c r="Q91" s="146"/>
      <c r="R91" s="146"/>
      <c r="S91" s="146"/>
      <c r="T91" s="146"/>
      <c r="U91" s="146"/>
      <c r="V91" s="146"/>
      <c r="W91" s="146"/>
      <c r="X91" s="146"/>
      <c r="Y91" s="146"/>
      <c r="Z91" s="146"/>
    </row>
    <row r="92">
      <c r="A92" s="144"/>
      <c r="B92" s="244" t="s">
        <v>96</v>
      </c>
      <c r="C92" s="184" t="str">
        <f>'1-0 Товары'!C92</f>
        <v/>
      </c>
      <c r="D92" s="186" t="str">
        <f>'1-0 Товары'!D92</f>
        <v/>
      </c>
      <c r="E92" s="277" t="str">
        <f>'1-0 Товары'!E92</f>
        <v/>
      </c>
      <c r="F92" s="191"/>
      <c r="G92" s="191"/>
      <c r="H92" s="196"/>
      <c r="I92" s="196"/>
      <c r="J92" s="199" t="str">
        <f>'1-0 Товары'!$G92</f>
        <v/>
      </c>
      <c r="K92" s="200" t="str">
        <f>'1-0 Товары'!$H92</f>
        <v/>
      </c>
      <c r="L92" s="201" t="str">
        <f>'1-0 Товары'!$I92</f>
        <v/>
      </c>
      <c r="M92" s="203" t="str">
        <f>'1-0 Товары'!$N92</f>
        <v/>
      </c>
      <c r="N92" s="206" t="str">
        <f>'1-0 Товары'!$O92</f>
        <v/>
      </c>
      <c r="O92" s="206" t="str">
        <f>'1-0 Товары'!$P92</f>
        <v/>
      </c>
      <c r="P92" s="146"/>
      <c r="Q92" s="146"/>
      <c r="R92" s="146"/>
      <c r="S92" s="146"/>
      <c r="T92" s="146"/>
      <c r="U92" s="146"/>
      <c r="V92" s="146"/>
      <c r="W92" s="146"/>
      <c r="X92" s="146"/>
      <c r="Y92" s="146"/>
      <c r="Z92" s="146"/>
    </row>
    <row r="93">
      <c r="A93" s="144"/>
      <c r="B93" s="244" t="s">
        <v>96</v>
      </c>
      <c r="C93" s="184" t="str">
        <f>'1-0 Товары'!C93</f>
        <v/>
      </c>
      <c r="D93" s="186" t="str">
        <f>'1-0 Товары'!D93</f>
        <v/>
      </c>
      <c r="E93" s="277" t="str">
        <f>'1-0 Товары'!E93</f>
        <v/>
      </c>
      <c r="F93" s="191"/>
      <c r="G93" s="191"/>
      <c r="H93" s="196"/>
      <c r="I93" s="196"/>
      <c r="J93" s="199" t="str">
        <f>'1-0 Товары'!$G93</f>
        <v/>
      </c>
      <c r="K93" s="200" t="str">
        <f>'1-0 Товары'!$H93</f>
        <v/>
      </c>
      <c r="L93" s="201" t="str">
        <f>'1-0 Товары'!$I93</f>
        <v/>
      </c>
      <c r="M93" s="203" t="str">
        <f>'1-0 Товары'!$N93</f>
        <v/>
      </c>
      <c r="N93" s="206" t="str">
        <f>'1-0 Товары'!$O93</f>
        <v/>
      </c>
      <c r="O93" s="206" t="str">
        <f>'1-0 Товары'!$P93</f>
        <v/>
      </c>
      <c r="P93" s="146"/>
      <c r="Q93" s="146"/>
      <c r="R93" s="146"/>
      <c r="S93" s="146"/>
      <c r="T93" s="146"/>
      <c r="U93" s="146"/>
      <c r="V93" s="146"/>
      <c r="W93" s="146"/>
      <c r="X93" s="146"/>
      <c r="Y93" s="146"/>
      <c r="Z93" s="146"/>
    </row>
    <row r="94">
      <c r="A94" s="144"/>
      <c r="B94" s="244" t="s">
        <v>96</v>
      </c>
      <c r="C94" s="184" t="str">
        <f>'1-0 Товары'!C94</f>
        <v/>
      </c>
      <c r="D94" s="186" t="str">
        <f>'1-0 Товары'!D94</f>
        <v/>
      </c>
      <c r="E94" s="277" t="str">
        <f>'1-0 Товары'!E94</f>
        <v/>
      </c>
      <c r="F94" s="191"/>
      <c r="G94" s="191"/>
      <c r="H94" s="196"/>
      <c r="I94" s="196"/>
      <c r="J94" s="199" t="str">
        <f>'1-0 Товары'!$G94</f>
        <v/>
      </c>
      <c r="K94" s="200" t="str">
        <f>'1-0 Товары'!$H94</f>
        <v/>
      </c>
      <c r="L94" s="201" t="str">
        <f>'1-0 Товары'!$I94</f>
        <v/>
      </c>
      <c r="M94" s="203" t="str">
        <f>'1-0 Товары'!$N94</f>
        <v/>
      </c>
      <c r="N94" s="206" t="str">
        <f>'1-0 Товары'!$O94</f>
        <v/>
      </c>
      <c r="O94" s="206" t="str">
        <f>'1-0 Товары'!$P94</f>
        <v/>
      </c>
      <c r="P94" s="146"/>
      <c r="Q94" s="146"/>
      <c r="R94" s="146"/>
      <c r="S94" s="146"/>
      <c r="T94" s="146"/>
      <c r="U94" s="146"/>
      <c r="V94" s="146"/>
      <c r="W94" s="146"/>
      <c r="X94" s="146"/>
      <c r="Y94" s="146"/>
      <c r="Z94" s="146"/>
    </row>
    <row r="95">
      <c r="A95" s="144"/>
      <c r="B95" s="244" t="s">
        <v>96</v>
      </c>
      <c r="C95" s="184" t="str">
        <f>'1-0 Товары'!C95</f>
        <v/>
      </c>
      <c r="D95" s="186" t="str">
        <f>'1-0 Товары'!D95</f>
        <v/>
      </c>
      <c r="E95" s="277" t="str">
        <f>'1-0 Товары'!E95</f>
        <v/>
      </c>
      <c r="F95" s="191"/>
      <c r="G95" s="191"/>
      <c r="H95" s="196"/>
      <c r="I95" s="196"/>
      <c r="J95" s="199" t="str">
        <f>'1-0 Товары'!$G95</f>
        <v/>
      </c>
      <c r="K95" s="200" t="str">
        <f>'1-0 Товары'!$H95</f>
        <v/>
      </c>
      <c r="L95" s="201" t="str">
        <f>'1-0 Товары'!$I95</f>
        <v/>
      </c>
      <c r="M95" s="203" t="str">
        <f>'1-0 Товары'!$N95</f>
        <v/>
      </c>
      <c r="N95" s="206" t="str">
        <f>'1-0 Товары'!$O95</f>
        <v/>
      </c>
      <c r="O95" s="206" t="str">
        <f>'1-0 Товары'!$P95</f>
        <v/>
      </c>
      <c r="P95" s="146"/>
      <c r="Q95" s="146"/>
      <c r="R95" s="146"/>
      <c r="S95" s="146"/>
      <c r="T95" s="146"/>
      <c r="U95" s="146"/>
      <c r="V95" s="146"/>
      <c r="W95" s="146"/>
      <c r="X95" s="146"/>
      <c r="Y95" s="146"/>
      <c r="Z95" s="146"/>
    </row>
    <row r="96">
      <c r="A96" s="144"/>
      <c r="B96" s="244" t="s">
        <v>96</v>
      </c>
      <c r="C96" s="184" t="str">
        <f>'1-0 Товары'!C96</f>
        <v/>
      </c>
      <c r="D96" s="186" t="str">
        <f>'1-0 Товары'!D96</f>
        <v/>
      </c>
      <c r="E96" s="277" t="str">
        <f>'1-0 Товары'!E96</f>
        <v/>
      </c>
      <c r="F96" s="191"/>
      <c r="G96" s="191"/>
      <c r="H96" s="196"/>
      <c r="I96" s="196"/>
      <c r="J96" s="199" t="str">
        <f>'1-0 Товары'!$G96</f>
        <v/>
      </c>
      <c r="K96" s="200" t="str">
        <f>'1-0 Товары'!$H96</f>
        <v/>
      </c>
      <c r="L96" s="201" t="str">
        <f>'1-0 Товары'!$I96</f>
        <v/>
      </c>
      <c r="M96" s="203" t="str">
        <f>'1-0 Товары'!$N96</f>
        <v/>
      </c>
      <c r="N96" s="206" t="str">
        <f>'1-0 Товары'!$O96</f>
        <v/>
      </c>
      <c r="O96" s="206" t="str">
        <f>'1-0 Товары'!$P96</f>
        <v/>
      </c>
      <c r="P96" s="146"/>
      <c r="Q96" s="146"/>
      <c r="R96" s="146"/>
      <c r="S96" s="146"/>
      <c r="T96" s="146"/>
      <c r="U96" s="146"/>
      <c r="V96" s="146"/>
      <c r="W96" s="146"/>
      <c r="X96" s="146"/>
      <c r="Y96" s="146"/>
      <c r="Z96" s="146"/>
    </row>
    <row r="97">
      <c r="A97" s="144"/>
      <c r="B97" s="244" t="s">
        <v>96</v>
      </c>
      <c r="C97" s="184" t="str">
        <f>'1-0 Товары'!C97</f>
        <v/>
      </c>
      <c r="D97" s="186" t="str">
        <f>'1-0 Товары'!D97</f>
        <v/>
      </c>
      <c r="E97" s="277" t="str">
        <f>'1-0 Товары'!E97</f>
        <v/>
      </c>
      <c r="F97" s="191"/>
      <c r="G97" s="191"/>
      <c r="H97" s="196"/>
      <c r="I97" s="196"/>
      <c r="J97" s="199" t="str">
        <f>'1-0 Товары'!$G97</f>
        <v/>
      </c>
      <c r="K97" s="200" t="str">
        <f>'1-0 Товары'!$H97</f>
        <v/>
      </c>
      <c r="L97" s="201" t="str">
        <f>'1-0 Товары'!$I97</f>
        <v/>
      </c>
      <c r="M97" s="203" t="str">
        <f>'1-0 Товары'!$N97</f>
        <v/>
      </c>
      <c r="N97" s="206" t="str">
        <f>'1-0 Товары'!$O97</f>
        <v/>
      </c>
      <c r="O97" s="206" t="str">
        <f>'1-0 Товары'!$P97</f>
        <v/>
      </c>
      <c r="P97" s="146"/>
      <c r="Q97" s="146"/>
      <c r="R97" s="146"/>
      <c r="S97" s="146"/>
      <c r="T97" s="146"/>
      <c r="U97" s="146"/>
      <c r="V97" s="146"/>
      <c r="W97" s="146"/>
      <c r="X97" s="146"/>
      <c r="Y97" s="146"/>
      <c r="Z97" s="146"/>
    </row>
    <row r="98">
      <c r="A98" s="144"/>
      <c r="B98" s="244" t="s">
        <v>96</v>
      </c>
      <c r="C98" s="184" t="str">
        <f>'1-0 Товары'!C98</f>
        <v/>
      </c>
      <c r="D98" s="186" t="str">
        <f>'1-0 Товары'!D98</f>
        <v/>
      </c>
      <c r="E98" s="277" t="str">
        <f>'1-0 Товары'!E98</f>
        <v/>
      </c>
      <c r="F98" s="191"/>
      <c r="G98" s="191"/>
      <c r="H98" s="196"/>
      <c r="I98" s="196"/>
      <c r="J98" s="199" t="str">
        <f>'1-0 Товары'!$G98</f>
        <v/>
      </c>
      <c r="K98" s="200" t="str">
        <f>'1-0 Товары'!$H98</f>
        <v/>
      </c>
      <c r="L98" s="201" t="str">
        <f>'1-0 Товары'!$I98</f>
        <v/>
      </c>
      <c r="M98" s="203" t="str">
        <f>'1-0 Товары'!$N98</f>
        <v/>
      </c>
      <c r="N98" s="206" t="str">
        <f>'1-0 Товары'!$O98</f>
        <v/>
      </c>
      <c r="O98" s="206" t="str">
        <f>'1-0 Товары'!$P98</f>
        <v/>
      </c>
      <c r="P98" s="146"/>
      <c r="Q98" s="146"/>
      <c r="R98" s="146"/>
      <c r="S98" s="146"/>
      <c r="T98" s="146"/>
      <c r="U98" s="146"/>
      <c r="V98" s="146"/>
      <c r="W98" s="146"/>
      <c r="X98" s="146"/>
      <c r="Y98" s="146"/>
      <c r="Z98" s="146"/>
    </row>
    <row r="99">
      <c r="A99" s="144"/>
      <c r="B99" s="244" t="s">
        <v>96</v>
      </c>
      <c r="C99" s="184" t="str">
        <f>'1-0 Товары'!C99</f>
        <v/>
      </c>
      <c r="D99" s="186" t="str">
        <f>'1-0 Товары'!D99</f>
        <v/>
      </c>
      <c r="E99" s="277" t="str">
        <f>'1-0 Товары'!E99</f>
        <v/>
      </c>
      <c r="F99" s="191"/>
      <c r="G99" s="191"/>
      <c r="H99" s="196"/>
      <c r="I99" s="196"/>
      <c r="J99" s="199" t="str">
        <f>'1-0 Товары'!$G99</f>
        <v/>
      </c>
      <c r="K99" s="200" t="str">
        <f>'1-0 Товары'!$H99</f>
        <v/>
      </c>
      <c r="L99" s="201" t="str">
        <f>'1-0 Товары'!$I99</f>
        <v/>
      </c>
      <c r="M99" s="203" t="str">
        <f>'1-0 Товары'!$N99</f>
        <v/>
      </c>
      <c r="N99" s="206" t="str">
        <f>'1-0 Товары'!$O99</f>
        <v/>
      </c>
      <c r="O99" s="206" t="str">
        <f>'1-0 Товары'!$P99</f>
        <v/>
      </c>
      <c r="P99" s="146"/>
      <c r="Q99" s="146"/>
      <c r="R99" s="146"/>
      <c r="S99" s="146"/>
      <c r="T99" s="146"/>
      <c r="U99" s="146"/>
      <c r="V99" s="146"/>
      <c r="W99" s="146"/>
      <c r="X99" s="146"/>
      <c r="Y99" s="146"/>
      <c r="Z99" s="146"/>
    </row>
    <row r="100">
      <c r="A100" s="144"/>
      <c r="B100" s="244" t="s">
        <v>96</v>
      </c>
      <c r="C100" s="184" t="str">
        <f>'1-0 Товары'!C100</f>
        <v/>
      </c>
      <c r="D100" s="186" t="str">
        <f>'1-0 Товары'!D100</f>
        <v/>
      </c>
      <c r="E100" s="277" t="str">
        <f>'1-0 Товары'!E100</f>
        <v/>
      </c>
      <c r="F100" s="191"/>
      <c r="G100" s="191"/>
      <c r="H100" s="196"/>
      <c r="I100" s="196"/>
      <c r="J100" s="199" t="str">
        <f>'1-0 Товары'!$G100</f>
        <v/>
      </c>
      <c r="K100" s="200" t="str">
        <f>'1-0 Товары'!$H100</f>
        <v/>
      </c>
      <c r="L100" s="201" t="str">
        <f>'1-0 Товары'!$I100</f>
        <v/>
      </c>
      <c r="M100" s="203" t="str">
        <f>'1-0 Товары'!$N100</f>
        <v/>
      </c>
      <c r="N100" s="206" t="str">
        <f>'1-0 Товары'!$O100</f>
        <v/>
      </c>
      <c r="O100" s="206" t="str">
        <f>'1-0 Товары'!$P100</f>
        <v/>
      </c>
      <c r="P100" s="146"/>
      <c r="Q100" s="146"/>
      <c r="R100" s="146"/>
      <c r="S100" s="146"/>
      <c r="T100" s="146"/>
      <c r="U100" s="146"/>
      <c r="V100" s="146"/>
      <c r="W100" s="146"/>
      <c r="X100" s="146"/>
      <c r="Y100" s="146"/>
      <c r="Z100" s="146"/>
    </row>
    <row r="101">
      <c r="A101" s="144"/>
      <c r="B101" s="244" t="s">
        <v>96</v>
      </c>
      <c r="C101" s="184" t="str">
        <f>'1-0 Товары'!C101</f>
        <v/>
      </c>
      <c r="D101" s="186" t="str">
        <f>'1-0 Товары'!D101</f>
        <v/>
      </c>
      <c r="E101" s="277" t="str">
        <f>'1-0 Товары'!E101</f>
        <v/>
      </c>
      <c r="F101" s="191"/>
      <c r="G101" s="191"/>
      <c r="H101" s="196"/>
      <c r="I101" s="196"/>
      <c r="J101" s="199" t="str">
        <f>'1-0 Товары'!$G101</f>
        <v/>
      </c>
      <c r="K101" s="200" t="str">
        <f>'1-0 Товары'!$H101</f>
        <v/>
      </c>
      <c r="L101" s="201" t="str">
        <f>'1-0 Товары'!$I101</f>
        <v/>
      </c>
      <c r="M101" s="203" t="str">
        <f>'1-0 Товары'!$N101</f>
        <v/>
      </c>
      <c r="N101" s="206" t="str">
        <f>'1-0 Товары'!$O101</f>
        <v/>
      </c>
      <c r="O101" s="206" t="str">
        <f>'1-0 Товары'!$P101</f>
        <v/>
      </c>
      <c r="P101" s="146"/>
      <c r="Q101" s="146"/>
      <c r="R101" s="146"/>
      <c r="S101" s="146"/>
      <c r="T101" s="146"/>
      <c r="U101" s="146"/>
      <c r="V101" s="146"/>
      <c r="W101" s="146"/>
      <c r="X101" s="146"/>
      <c r="Y101" s="146"/>
      <c r="Z101" s="146"/>
    </row>
    <row r="102">
      <c r="A102" s="144"/>
      <c r="B102" s="244" t="s">
        <v>96</v>
      </c>
      <c r="C102" s="184" t="str">
        <f>'1-0 Товары'!C102</f>
        <v/>
      </c>
      <c r="D102" s="186" t="str">
        <f>'1-0 Товары'!D102</f>
        <v/>
      </c>
      <c r="E102" s="277" t="str">
        <f>'1-0 Товары'!E102</f>
        <v/>
      </c>
      <c r="F102" s="191"/>
      <c r="G102" s="191"/>
      <c r="H102" s="196"/>
      <c r="I102" s="196"/>
      <c r="J102" s="199" t="str">
        <f>'1-0 Товары'!$G102</f>
        <v/>
      </c>
      <c r="K102" s="200" t="str">
        <f>'1-0 Товары'!$H102</f>
        <v/>
      </c>
      <c r="L102" s="201" t="str">
        <f>'1-0 Товары'!$I102</f>
        <v/>
      </c>
      <c r="M102" s="203" t="str">
        <f>'1-0 Товары'!$N102</f>
        <v/>
      </c>
      <c r="N102" s="206" t="str">
        <f>'1-0 Товары'!$O102</f>
        <v/>
      </c>
      <c r="O102" s="206" t="str">
        <f>'1-0 Товары'!$P102</f>
        <v/>
      </c>
      <c r="P102" s="146"/>
      <c r="Q102" s="146"/>
      <c r="R102" s="146"/>
      <c r="S102" s="146"/>
      <c r="T102" s="146"/>
      <c r="U102" s="146"/>
      <c r="V102" s="146"/>
      <c r="W102" s="146"/>
      <c r="X102" s="146"/>
      <c r="Y102" s="146"/>
      <c r="Z102" s="146"/>
    </row>
    <row r="103">
      <c r="A103" s="144"/>
      <c r="B103" s="244" t="s">
        <v>96</v>
      </c>
      <c r="C103" s="184" t="str">
        <f>'1-0 Товары'!C103</f>
        <v/>
      </c>
      <c r="D103" s="186" t="str">
        <f>'1-0 Товары'!D103</f>
        <v/>
      </c>
      <c r="E103" s="277" t="str">
        <f>'1-0 Товары'!E103</f>
        <v/>
      </c>
      <c r="F103" s="191"/>
      <c r="G103" s="191"/>
      <c r="H103" s="196"/>
      <c r="I103" s="196"/>
      <c r="J103" s="199" t="str">
        <f>'1-0 Товары'!$G103</f>
        <v/>
      </c>
      <c r="K103" s="200" t="str">
        <f>'1-0 Товары'!$H103</f>
        <v/>
      </c>
      <c r="L103" s="201" t="str">
        <f>'1-0 Товары'!$I103</f>
        <v/>
      </c>
      <c r="M103" s="203" t="str">
        <f>'1-0 Товары'!$N103</f>
        <v/>
      </c>
      <c r="N103" s="206" t="str">
        <f>'1-0 Товары'!$O103</f>
        <v/>
      </c>
      <c r="O103" s="206" t="str">
        <f>'1-0 Товары'!$P103</f>
        <v/>
      </c>
      <c r="P103" s="146"/>
      <c r="Q103" s="146"/>
      <c r="R103" s="146"/>
      <c r="S103" s="146"/>
      <c r="T103" s="146"/>
      <c r="U103" s="146"/>
      <c r="V103" s="146"/>
      <c r="W103" s="146"/>
      <c r="X103" s="146"/>
      <c r="Y103" s="146"/>
      <c r="Z103" s="146"/>
    </row>
    <row r="104">
      <c r="A104" s="144"/>
      <c r="B104" s="244" t="s">
        <v>96</v>
      </c>
      <c r="C104" s="184" t="str">
        <f>'1-0 Товары'!C104</f>
        <v/>
      </c>
      <c r="D104" s="186" t="str">
        <f>'1-0 Товары'!D104</f>
        <v/>
      </c>
      <c r="E104" s="277" t="str">
        <f>'1-0 Товары'!E104</f>
        <v/>
      </c>
      <c r="F104" s="191"/>
      <c r="G104" s="191"/>
      <c r="H104" s="196"/>
      <c r="I104" s="196"/>
      <c r="J104" s="199" t="str">
        <f>'1-0 Товары'!$G104</f>
        <v/>
      </c>
      <c r="K104" s="200" t="str">
        <f>'1-0 Товары'!$H104</f>
        <v/>
      </c>
      <c r="L104" s="201" t="str">
        <f>'1-0 Товары'!$I104</f>
        <v/>
      </c>
      <c r="M104" s="203" t="str">
        <f>'1-0 Товары'!$N104</f>
        <v/>
      </c>
      <c r="N104" s="206" t="str">
        <f>'1-0 Товары'!$O104</f>
        <v/>
      </c>
      <c r="O104" s="206" t="str">
        <f>'1-0 Товары'!$P104</f>
        <v/>
      </c>
      <c r="P104" s="146"/>
      <c r="Q104" s="146"/>
      <c r="R104" s="146"/>
      <c r="S104" s="146"/>
      <c r="T104" s="146"/>
      <c r="U104" s="146"/>
      <c r="V104" s="146"/>
      <c r="W104" s="146"/>
      <c r="X104" s="146"/>
      <c r="Y104" s="146"/>
      <c r="Z104" s="146"/>
    </row>
    <row r="105">
      <c r="A105" s="144"/>
      <c r="B105" s="244" t="s">
        <v>96</v>
      </c>
      <c r="C105" s="184" t="str">
        <f>'1-0 Товары'!C105</f>
        <v/>
      </c>
      <c r="D105" s="186" t="str">
        <f>'1-0 Товары'!D105</f>
        <v/>
      </c>
      <c r="E105" s="277" t="str">
        <f>'1-0 Товары'!E105</f>
        <v/>
      </c>
      <c r="F105" s="191"/>
      <c r="G105" s="191"/>
      <c r="H105" s="196"/>
      <c r="I105" s="196"/>
      <c r="J105" s="199" t="str">
        <f>'1-0 Товары'!$G105</f>
        <v/>
      </c>
      <c r="K105" s="200" t="str">
        <f>'1-0 Товары'!$H105</f>
        <v/>
      </c>
      <c r="L105" s="201" t="str">
        <f>'1-0 Товары'!$I105</f>
        <v/>
      </c>
      <c r="M105" s="203" t="str">
        <f>'1-0 Товары'!$N105</f>
        <v/>
      </c>
      <c r="N105" s="206" t="str">
        <f>'1-0 Товары'!$O105</f>
        <v/>
      </c>
      <c r="O105" s="206" t="str">
        <f>'1-0 Товары'!$P105</f>
        <v/>
      </c>
      <c r="P105" s="146"/>
      <c r="Q105" s="146"/>
      <c r="R105" s="146"/>
      <c r="S105" s="146"/>
      <c r="T105" s="146"/>
      <c r="U105" s="146"/>
      <c r="V105" s="146"/>
      <c r="W105" s="146"/>
      <c r="X105" s="146"/>
      <c r="Y105" s="146"/>
      <c r="Z105" s="146"/>
    </row>
    <row r="106">
      <c r="A106" s="144"/>
      <c r="B106" s="244" t="s">
        <v>96</v>
      </c>
      <c r="C106" s="184" t="str">
        <f>'1-0 Товары'!C106</f>
        <v/>
      </c>
      <c r="D106" s="186" t="str">
        <f>'1-0 Товары'!D106</f>
        <v/>
      </c>
      <c r="E106" s="277" t="str">
        <f>'1-0 Товары'!E106</f>
        <v/>
      </c>
      <c r="F106" s="191"/>
      <c r="G106" s="191"/>
      <c r="H106" s="196"/>
      <c r="I106" s="196"/>
      <c r="J106" s="199" t="str">
        <f>'1-0 Товары'!$G106</f>
        <v/>
      </c>
      <c r="K106" s="200" t="str">
        <f>'1-0 Товары'!$H106</f>
        <v/>
      </c>
      <c r="L106" s="201" t="str">
        <f>'1-0 Товары'!$I106</f>
        <v/>
      </c>
      <c r="M106" s="203" t="str">
        <f>'1-0 Товары'!$N106</f>
        <v/>
      </c>
      <c r="N106" s="206" t="str">
        <f>'1-0 Товары'!$O106</f>
        <v/>
      </c>
      <c r="O106" s="206" t="str">
        <f>'1-0 Товары'!$P106</f>
        <v/>
      </c>
      <c r="P106" s="146"/>
      <c r="Q106" s="146"/>
      <c r="R106" s="146"/>
      <c r="S106" s="146"/>
      <c r="T106" s="146"/>
      <c r="U106" s="146"/>
      <c r="V106" s="146"/>
      <c r="W106" s="146"/>
      <c r="X106" s="146"/>
      <c r="Y106" s="146"/>
      <c r="Z106" s="146"/>
    </row>
    <row r="107">
      <c r="A107" s="144"/>
      <c r="B107" s="244" t="s">
        <v>96</v>
      </c>
      <c r="C107" s="184" t="str">
        <f>'1-0 Товары'!C107</f>
        <v/>
      </c>
      <c r="D107" s="186" t="str">
        <f>'1-0 Товары'!D107</f>
        <v/>
      </c>
      <c r="E107" s="277" t="str">
        <f>'1-0 Товары'!E107</f>
        <v/>
      </c>
      <c r="F107" s="191"/>
      <c r="G107" s="191"/>
      <c r="H107" s="196"/>
      <c r="I107" s="196"/>
      <c r="J107" s="199" t="str">
        <f>'1-0 Товары'!$G107</f>
        <v/>
      </c>
      <c r="K107" s="200" t="str">
        <f>'1-0 Товары'!$H107</f>
        <v/>
      </c>
      <c r="L107" s="201" t="str">
        <f>'1-0 Товары'!$I107</f>
        <v/>
      </c>
      <c r="M107" s="203" t="str">
        <f>'1-0 Товары'!$N107</f>
        <v/>
      </c>
      <c r="N107" s="206" t="str">
        <f>'1-0 Товары'!$O107</f>
        <v/>
      </c>
      <c r="O107" s="206" t="str">
        <f>'1-0 Товары'!$P107</f>
        <v/>
      </c>
      <c r="P107" s="146"/>
      <c r="Q107" s="146"/>
      <c r="R107" s="146"/>
      <c r="S107" s="146"/>
      <c r="T107" s="146"/>
      <c r="U107" s="146"/>
      <c r="V107" s="146"/>
      <c r="W107" s="146"/>
      <c r="X107" s="146"/>
      <c r="Y107" s="146"/>
      <c r="Z107" s="146"/>
    </row>
    <row r="108">
      <c r="A108" s="144"/>
      <c r="B108" s="244" t="s">
        <v>96</v>
      </c>
      <c r="C108" s="184" t="str">
        <f>'1-0 Товары'!C108</f>
        <v/>
      </c>
      <c r="D108" s="186" t="str">
        <f>'1-0 Товары'!D108</f>
        <v/>
      </c>
      <c r="E108" s="277" t="str">
        <f>'1-0 Товары'!E108</f>
        <v/>
      </c>
      <c r="F108" s="191"/>
      <c r="G108" s="191"/>
      <c r="H108" s="196"/>
      <c r="I108" s="196"/>
      <c r="J108" s="199" t="str">
        <f>'1-0 Товары'!$G108</f>
        <v/>
      </c>
      <c r="K108" s="200" t="str">
        <f>'1-0 Товары'!$H108</f>
        <v/>
      </c>
      <c r="L108" s="201" t="str">
        <f>'1-0 Товары'!$I108</f>
        <v/>
      </c>
      <c r="M108" s="203" t="str">
        <f>'1-0 Товары'!$N108</f>
        <v/>
      </c>
      <c r="N108" s="206" t="str">
        <f>'1-0 Товары'!$O108</f>
        <v/>
      </c>
      <c r="O108" s="206" t="str">
        <f>'1-0 Товары'!$P108</f>
        <v/>
      </c>
      <c r="P108" s="146"/>
      <c r="Q108" s="146"/>
      <c r="R108" s="146"/>
      <c r="S108" s="146"/>
      <c r="T108" s="146"/>
      <c r="U108" s="146"/>
      <c r="V108" s="146"/>
      <c r="W108" s="146"/>
      <c r="X108" s="146"/>
      <c r="Y108" s="146"/>
      <c r="Z108" s="146"/>
    </row>
    <row r="109">
      <c r="A109" s="144"/>
      <c r="B109" s="244" t="s">
        <v>96</v>
      </c>
      <c r="C109" s="184" t="str">
        <f>'1-0 Товары'!C109</f>
        <v/>
      </c>
      <c r="D109" s="186" t="str">
        <f>'1-0 Товары'!D109</f>
        <v/>
      </c>
      <c r="E109" s="277" t="str">
        <f>'1-0 Товары'!E109</f>
        <v/>
      </c>
      <c r="F109" s="191"/>
      <c r="G109" s="191"/>
      <c r="H109" s="196"/>
      <c r="I109" s="196"/>
      <c r="J109" s="199" t="str">
        <f>'1-0 Товары'!$G109</f>
        <v/>
      </c>
      <c r="K109" s="200" t="str">
        <f>'1-0 Товары'!$H109</f>
        <v/>
      </c>
      <c r="L109" s="201" t="str">
        <f>'1-0 Товары'!$I109</f>
        <v/>
      </c>
      <c r="M109" s="203" t="str">
        <f>'1-0 Товары'!$N109</f>
        <v/>
      </c>
      <c r="N109" s="206" t="str">
        <f>'1-0 Товары'!$O109</f>
        <v/>
      </c>
      <c r="O109" s="206" t="str">
        <f>'1-0 Товары'!$P109</f>
        <v/>
      </c>
      <c r="P109" s="146"/>
      <c r="Q109" s="146"/>
      <c r="R109" s="146"/>
      <c r="S109" s="146"/>
      <c r="T109" s="146"/>
      <c r="U109" s="146"/>
      <c r="V109" s="146"/>
      <c r="W109" s="146"/>
      <c r="X109" s="146"/>
      <c r="Y109" s="146"/>
      <c r="Z109" s="146"/>
    </row>
    <row r="110">
      <c r="A110" s="144"/>
      <c r="B110" s="244" t="s">
        <v>96</v>
      </c>
      <c r="C110" s="184" t="str">
        <f>'1-0 Товары'!C110</f>
        <v/>
      </c>
      <c r="D110" s="186" t="str">
        <f>'1-0 Товары'!D110</f>
        <v/>
      </c>
      <c r="E110" s="277" t="str">
        <f>'1-0 Товары'!E110</f>
        <v/>
      </c>
      <c r="F110" s="191"/>
      <c r="G110" s="191"/>
      <c r="H110" s="196"/>
      <c r="I110" s="196"/>
      <c r="J110" s="199" t="str">
        <f>'1-0 Товары'!$G110</f>
        <v/>
      </c>
      <c r="K110" s="200" t="str">
        <f>'1-0 Товары'!$H110</f>
        <v/>
      </c>
      <c r="L110" s="201" t="str">
        <f>'1-0 Товары'!$I110</f>
        <v/>
      </c>
      <c r="M110" s="203" t="str">
        <f>'1-0 Товары'!$N110</f>
        <v/>
      </c>
      <c r="N110" s="206" t="str">
        <f>'1-0 Товары'!$O110</f>
        <v/>
      </c>
      <c r="O110" s="206" t="str">
        <f>'1-0 Товары'!$P110</f>
        <v/>
      </c>
      <c r="P110" s="146"/>
      <c r="Q110" s="146"/>
      <c r="R110" s="146"/>
      <c r="S110" s="146"/>
      <c r="T110" s="146"/>
      <c r="U110" s="146"/>
      <c r="V110" s="146"/>
      <c r="W110" s="146"/>
      <c r="X110" s="146"/>
      <c r="Y110" s="146"/>
      <c r="Z110" s="146"/>
    </row>
    <row r="111">
      <c r="A111" s="144"/>
      <c r="B111" s="244" t="s">
        <v>96</v>
      </c>
      <c r="C111" s="184" t="str">
        <f>'1-0 Товары'!C111</f>
        <v/>
      </c>
      <c r="D111" s="186" t="str">
        <f>'1-0 Товары'!D111</f>
        <v/>
      </c>
      <c r="E111" s="277" t="str">
        <f>'1-0 Товары'!E111</f>
        <v/>
      </c>
      <c r="F111" s="191"/>
      <c r="G111" s="191"/>
      <c r="H111" s="196"/>
      <c r="I111" s="196"/>
      <c r="J111" s="199" t="str">
        <f>'1-0 Товары'!$G111</f>
        <v/>
      </c>
      <c r="K111" s="200" t="str">
        <f>'1-0 Товары'!$H111</f>
        <v/>
      </c>
      <c r="L111" s="201" t="str">
        <f>'1-0 Товары'!$I111</f>
        <v/>
      </c>
      <c r="M111" s="203" t="str">
        <f>'1-0 Товары'!$N111</f>
        <v/>
      </c>
      <c r="N111" s="206" t="str">
        <f>'1-0 Товары'!$O111</f>
        <v/>
      </c>
      <c r="O111" s="206" t="str">
        <f>'1-0 Товары'!$P111</f>
        <v/>
      </c>
      <c r="P111" s="146"/>
      <c r="Q111" s="146"/>
      <c r="R111" s="146"/>
      <c r="S111" s="146"/>
      <c r="T111" s="146"/>
      <c r="U111" s="146"/>
      <c r="V111" s="146"/>
      <c r="W111" s="146"/>
      <c r="X111" s="146"/>
      <c r="Y111" s="146"/>
      <c r="Z111" s="146"/>
    </row>
    <row r="112">
      <c r="A112" s="144"/>
      <c r="B112" s="244" t="s">
        <v>96</v>
      </c>
      <c r="C112" s="184" t="str">
        <f>'1-0 Товары'!C112</f>
        <v/>
      </c>
      <c r="D112" s="186" t="str">
        <f>'1-0 Товары'!D112</f>
        <v/>
      </c>
      <c r="E112" s="277" t="str">
        <f>'1-0 Товары'!E112</f>
        <v/>
      </c>
      <c r="F112" s="191"/>
      <c r="G112" s="191"/>
      <c r="H112" s="196"/>
      <c r="I112" s="196"/>
      <c r="J112" s="199" t="str">
        <f>'1-0 Товары'!$G112</f>
        <v/>
      </c>
      <c r="K112" s="200" t="str">
        <f>'1-0 Товары'!$H112</f>
        <v/>
      </c>
      <c r="L112" s="201" t="str">
        <f>'1-0 Товары'!$I112</f>
        <v/>
      </c>
      <c r="M112" s="203" t="str">
        <f>'1-0 Товары'!$N112</f>
        <v/>
      </c>
      <c r="N112" s="206" t="str">
        <f>'1-0 Товары'!$O112</f>
        <v/>
      </c>
      <c r="O112" s="206" t="str">
        <f>'1-0 Товары'!$P112</f>
        <v/>
      </c>
      <c r="P112" s="146"/>
      <c r="Q112" s="146"/>
      <c r="R112" s="146"/>
      <c r="S112" s="146"/>
      <c r="T112" s="146"/>
      <c r="U112" s="146"/>
      <c r="V112" s="146"/>
      <c r="W112" s="146"/>
      <c r="X112" s="146"/>
      <c r="Y112" s="146"/>
      <c r="Z112" s="146"/>
    </row>
    <row r="113">
      <c r="A113" s="144"/>
      <c r="B113" s="244" t="s">
        <v>96</v>
      </c>
      <c r="C113" s="184" t="str">
        <f>'1-0 Товары'!C113</f>
        <v/>
      </c>
      <c r="D113" s="186" t="str">
        <f>'1-0 Товары'!D113</f>
        <v/>
      </c>
      <c r="E113" s="277" t="str">
        <f>'1-0 Товары'!E113</f>
        <v/>
      </c>
      <c r="F113" s="191"/>
      <c r="G113" s="191"/>
      <c r="H113" s="196"/>
      <c r="I113" s="196"/>
      <c r="J113" s="199" t="str">
        <f>'1-0 Товары'!$G113</f>
        <v/>
      </c>
      <c r="K113" s="200" t="str">
        <f>'1-0 Товары'!$H113</f>
        <v/>
      </c>
      <c r="L113" s="201" t="str">
        <f>'1-0 Товары'!$I113</f>
        <v/>
      </c>
      <c r="M113" s="203" t="str">
        <f>'1-0 Товары'!$N113</f>
        <v/>
      </c>
      <c r="N113" s="206" t="str">
        <f>'1-0 Товары'!$O113</f>
        <v/>
      </c>
      <c r="O113" s="206" t="str">
        <f>'1-0 Товары'!$P113</f>
        <v/>
      </c>
      <c r="P113" s="146"/>
      <c r="Q113" s="146"/>
      <c r="R113" s="146"/>
      <c r="S113" s="146"/>
      <c r="T113" s="146"/>
      <c r="U113" s="146"/>
      <c r="V113" s="146"/>
      <c r="W113" s="146"/>
      <c r="X113" s="146"/>
      <c r="Y113" s="146"/>
      <c r="Z113" s="146"/>
    </row>
    <row r="114">
      <c r="A114" s="144"/>
      <c r="B114" s="244" t="s">
        <v>96</v>
      </c>
      <c r="C114" s="184" t="str">
        <f>'1-0 Товары'!C114</f>
        <v/>
      </c>
      <c r="D114" s="186" t="str">
        <f>'1-0 Товары'!D114</f>
        <v/>
      </c>
      <c r="E114" s="277" t="str">
        <f>'1-0 Товары'!E114</f>
        <v/>
      </c>
      <c r="F114" s="191"/>
      <c r="G114" s="191"/>
      <c r="H114" s="196"/>
      <c r="I114" s="196"/>
      <c r="J114" s="199" t="str">
        <f>'1-0 Товары'!$G114</f>
        <v/>
      </c>
      <c r="K114" s="200" t="str">
        <f>'1-0 Товары'!$H114</f>
        <v/>
      </c>
      <c r="L114" s="201" t="str">
        <f>'1-0 Товары'!$I114</f>
        <v/>
      </c>
      <c r="M114" s="203" t="str">
        <f>'1-0 Товары'!$N114</f>
        <v/>
      </c>
      <c r="N114" s="206" t="str">
        <f>'1-0 Товары'!$O114</f>
        <v/>
      </c>
      <c r="O114" s="206" t="str">
        <f>'1-0 Товары'!$P114</f>
        <v/>
      </c>
      <c r="P114" s="146"/>
      <c r="Q114" s="146"/>
      <c r="R114" s="146"/>
      <c r="S114" s="146"/>
      <c r="T114" s="146"/>
      <c r="U114" s="146"/>
      <c r="V114" s="146"/>
      <c r="W114" s="146"/>
      <c r="X114" s="146"/>
      <c r="Y114" s="146"/>
      <c r="Z114" s="146"/>
    </row>
    <row r="115">
      <c r="A115" s="144"/>
      <c r="B115" s="244" t="s">
        <v>96</v>
      </c>
      <c r="C115" s="184" t="str">
        <f>'1-0 Товары'!C115</f>
        <v/>
      </c>
      <c r="D115" s="186" t="str">
        <f>'1-0 Товары'!D115</f>
        <v/>
      </c>
      <c r="E115" s="277" t="str">
        <f>'1-0 Товары'!E115</f>
        <v/>
      </c>
      <c r="F115" s="191"/>
      <c r="G115" s="191"/>
      <c r="H115" s="196"/>
      <c r="I115" s="196"/>
      <c r="J115" s="199" t="str">
        <f>'1-0 Товары'!$G115</f>
        <v/>
      </c>
      <c r="K115" s="200" t="str">
        <f>'1-0 Товары'!$H115</f>
        <v/>
      </c>
      <c r="L115" s="201" t="str">
        <f>'1-0 Товары'!$I115</f>
        <v/>
      </c>
      <c r="M115" s="203" t="str">
        <f>'1-0 Товары'!$N115</f>
        <v/>
      </c>
      <c r="N115" s="206" t="str">
        <f>'1-0 Товары'!$O115</f>
        <v/>
      </c>
      <c r="O115" s="206" t="str">
        <f>'1-0 Товары'!$P115</f>
        <v/>
      </c>
      <c r="P115" s="146"/>
      <c r="Q115" s="146"/>
      <c r="R115" s="146"/>
      <c r="S115" s="146"/>
      <c r="T115" s="146"/>
      <c r="U115" s="146"/>
      <c r="V115" s="146"/>
      <c r="W115" s="146"/>
      <c r="X115" s="146"/>
      <c r="Y115" s="146"/>
      <c r="Z115" s="146"/>
    </row>
    <row r="116">
      <c r="A116" s="144"/>
      <c r="B116" s="244" t="s">
        <v>96</v>
      </c>
      <c r="C116" s="184" t="str">
        <f>'1-0 Товары'!C116</f>
        <v/>
      </c>
      <c r="D116" s="186" t="str">
        <f>'1-0 Товары'!D116</f>
        <v/>
      </c>
      <c r="E116" s="277" t="str">
        <f>'1-0 Товары'!E116</f>
        <v/>
      </c>
      <c r="F116" s="191"/>
      <c r="G116" s="191"/>
      <c r="H116" s="196"/>
      <c r="I116" s="196"/>
      <c r="J116" s="199" t="str">
        <f>'1-0 Товары'!$G116</f>
        <v/>
      </c>
      <c r="K116" s="200" t="str">
        <f>'1-0 Товары'!$H116</f>
        <v/>
      </c>
      <c r="L116" s="201" t="str">
        <f>'1-0 Товары'!$I116</f>
        <v/>
      </c>
      <c r="M116" s="203" t="str">
        <f>'1-0 Товары'!$N116</f>
        <v/>
      </c>
      <c r="N116" s="206" t="str">
        <f>'1-0 Товары'!$O116</f>
        <v/>
      </c>
      <c r="O116" s="206" t="str">
        <f>'1-0 Товары'!$P116</f>
        <v/>
      </c>
      <c r="P116" s="146"/>
      <c r="Q116" s="146"/>
      <c r="R116" s="146"/>
      <c r="S116" s="146"/>
      <c r="T116" s="146"/>
      <c r="U116" s="146"/>
      <c r="V116" s="146"/>
      <c r="W116" s="146"/>
      <c r="X116" s="146"/>
      <c r="Y116" s="146"/>
      <c r="Z116" s="146"/>
    </row>
    <row r="117">
      <c r="A117" s="144"/>
      <c r="B117" s="244" t="s">
        <v>96</v>
      </c>
      <c r="C117" s="184" t="str">
        <f>'1-0 Товары'!C117</f>
        <v/>
      </c>
      <c r="D117" s="186" t="str">
        <f>'1-0 Товары'!D117</f>
        <v/>
      </c>
      <c r="E117" s="277" t="str">
        <f>'1-0 Товары'!E117</f>
        <v/>
      </c>
      <c r="F117" s="191"/>
      <c r="G117" s="191"/>
      <c r="H117" s="196"/>
      <c r="I117" s="196"/>
      <c r="J117" s="199" t="str">
        <f>'1-0 Товары'!$G117</f>
        <v/>
      </c>
      <c r="K117" s="200" t="str">
        <f>'1-0 Товары'!$H117</f>
        <v/>
      </c>
      <c r="L117" s="201" t="str">
        <f>'1-0 Товары'!$I117</f>
        <v/>
      </c>
      <c r="M117" s="203" t="str">
        <f>'1-0 Товары'!$N117</f>
        <v/>
      </c>
      <c r="N117" s="206" t="str">
        <f>'1-0 Товары'!$O117</f>
        <v/>
      </c>
      <c r="O117" s="206" t="str">
        <f>'1-0 Товары'!$P117</f>
        <v/>
      </c>
      <c r="P117" s="146"/>
      <c r="Q117" s="146"/>
      <c r="R117" s="146"/>
      <c r="S117" s="146"/>
      <c r="T117" s="146"/>
      <c r="U117" s="146"/>
      <c r="V117" s="146"/>
      <c r="W117" s="146"/>
      <c r="X117" s="146"/>
      <c r="Y117" s="146"/>
      <c r="Z117" s="146"/>
    </row>
    <row r="118">
      <c r="A118" s="144"/>
      <c r="B118" s="244" t="s">
        <v>96</v>
      </c>
      <c r="C118" s="184" t="str">
        <f>'1-0 Товары'!C118</f>
        <v/>
      </c>
      <c r="D118" s="186" t="str">
        <f>'1-0 Товары'!D118</f>
        <v/>
      </c>
      <c r="E118" s="277" t="str">
        <f>'1-0 Товары'!E118</f>
        <v/>
      </c>
      <c r="F118" s="191"/>
      <c r="G118" s="191"/>
      <c r="H118" s="196"/>
      <c r="I118" s="196"/>
      <c r="J118" s="199" t="str">
        <f>'1-0 Товары'!$G118</f>
        <v/>
      </c>
      <c r="K118" s="200" t="str">
        <f>'1-0 Товары'!$H118</f>
        <v/>
      </c>
      <c r="L118" s="201" t="str">
        <f>'1-0 Товары'!$I118</f>
        <v/>
      </c>
      <c r="M118" s="203" t="str">
        <f>'1-0 Товары'!$N118</f>
        <v/>
      </c>
      <c r="N118" s="206" t="str">
        <f>'1-0 Товары'!$O118</f>
        <v/>
      </c>
      <c r="O118" s="206" t="str">
        <f>'1-0 Товары'!$P118</f>
        <v/>
      </c>
      <c r="P118" s="146"/>
      <c r="Q118" s="146"/>
      <c r="R118" s="146"/>
      <c r="S118" s="146"/>
      <c r="T118" s="146"/>
      <c r="U118" s="146"/>
      <c r="V118" s="146"/>
      <c r="W118" s="146"/>
      <c r="X118" s="146"/>
      <c r="Y118" s="146"/>
      <c r="Z118" s="146"/>
    </row>
    <row r="119">
      <c r="A119" s="144"/>
      <c r="B119" s="244" t="s">
        <v>96</v>
      </c>
      <c r="C119" s="184" t="str">
        <f>'1-0 Товары'!C119</f>
        <v/>
      </c>
      <c r="D119" s="186" t="str">
        <f>'1-0 Товары'!D119</f>
        <v/>
      </c>
      <c r="E119" s="277" t="str">
        <f>'1-0 Товары'!E119</f>
        <v/>
      </c>
      <c r="F119" s="191"/>
      <c r="G119" s="191"/>
      <c r="H119" s="196"/>
      <c r="I119" s="196"/>
      <c r="J119" s="199" t="str">
        <f>'1-0 Товары'!$G119</f>
        <v/>
      </c>
      <c r="K119" s="200" t="str">
        <f>'1-0 Товары'!$H119</f>
        <v/>
      </c>
      <c r="L119" s="201" t="str">
        <f>'1-0 Товары'!$I119</f>
        <v/>
      </c>
      <c r="M119" s="203" t="str">
        <f>'1-0 Товары'!$N119</f>
        <v/>
      </c>
      <c r="N119" s="206" t="str">
        <f>'1-0 Товары'!$O119</f>
        <v/>
      </c>
      <c r="O119" s="206" t="str">
        <f>'1-0 Товары'!$P119</f>
        <v/>
      </c>
      <c r="P119" s="146"/>
      <c r="Q119" s="146"/>
      <c r="R119" s="146"/>
      <c r="S119" s="146"/>
      <c r="T119" s="146"/>
      <c r="U119" s="146"/>
      <c r="V119" s="146"/>
      <c r="W119" s="146"/>
      <c r="X119" s="146"/>
      <c r="Y119" s="146"/>
      <c r="Z119" s="146"/>
    </row>
    <row r="120">
      <c r="A120" s="144"/>
      <c r="B120" s="244" t="s">
        <v>96</v>
      </c>
      <c r="C120" s="184" t="str">
        <f>'1-0 Товары'!C120</f>
        <v/>
      </c>
      <c r="D120" s="186" t="str">
        <f>'1-0 Товары'!D120</f>
        <v/>
      </c>
      <c r="E120" s="277" t="str">
        <f>'1-0 Товары'!E120</f>
        <v/>
      </c>
      <c r="F120" s="191"/>
      <c r="G120" s="191"/>
      <c r="H120" s="196"/>
      <c r="I120" s="196"/>
      <c r="J120" s="199" t="str">
        <f>'1-0 Товары'!$G120</f>
        <v/>
      </c>
      <c r="K120" s="200" t="str">
        <f>'1-0 Товары'!$H120</f>
        <v/>
      </c>
      <c r="L120" s="201" t="str">
        <f>'1-0 Товары'!$I120</f>
        <v/>
      </c>
      <c r="M120" s="203" t="str">
        <f>'1-0 Товары'!$N120</f>
        <v/>
      </c>
      <c r="N120" s="206" t="str">
        <f>'1-0 Товары'!$O120</f>
        <v/>
      </c>
      <c r="O120" s="206" t="str">
        <f>'1-0 Товары'!$P120</f>
        <v/>
      </c>
      <c r="P120" s="146"/>
      <c r="Q120" s="146"/>
      <c r="R120" s="146"/>
      <c r="S120" s="146"/>
      <c r="T120" s="146"/>
      <c r="U120" s="146"/>
      <c r="V120" s="146"/>
      <c r="W120" s="146"/>
      <c r="X120" s="146"/>
      <c r="Y120" s="146"/>
      <c r="Z120" s="146"/>
    </row>
    <row r="121">
      <c r="A121" s="144"/>
      <c r="B121" s="244" t="s">
        <v>96</v>
      </c>
      <c r="C121" s="184" t="str">
        <f>'1-0 Товары'!C121</f>
        <v/>
      </c>
      <c r="D121" s="186" t="str">
        <f>'1-0 Товары'!D121</f>
        <v/>
      </c>
      <c r="E121" s="277" t="str">
        <f>'1-0 Товары'!E121</f>
        <v/>
      </c>
      <c r="F121" s="191"/>
      <c r="G121" s="191"/>
      <c r="H121" s="196"/>
      <c r="I121" s="196"/>
      <c r="J121" s="199" t="str">
        <f>'1-0 Товары'!$G121</f>
        <v/>
      </c>
      <c r="K121" s="200" t="str">
        <f>'1-0 Товары'!$H121</f>
        <v/>
      </c>
      <c r="L121" s="201" t="str">
        <f>'1-0 Товары'!$I121</f>
        <v/>
      </c>
      <c r="M121" s="203" t="str">
        <f>'1-0 Товары'!$N121</f>
        <v/>
      </c>
      <c r="N121" s="206" t="str">
        <f>'1-0 Товары'!$O121</f>
        <v/>
      </c>
      <c r="O121" s="206" t="str">
        <f>'1-0 Товары'!$P121</f>
        <v/>
      </c>
      <c r="P121" s="146"/>
      <c r="Q121" s="146"/>
      <c r="R121" s="146"/>
      <c r="S121" s="146"/>
      <c r="T121" s="146"/>
      <c r="U121" s="146"/>
      <c r="V121" s="146"/>
      <c r="W121" s="146"/>
      <c r="X121" s="146"/>
      <c r="Y121" s="146"/>
      <c r="Z121" s="146"/>
    </row>
    <row r="122">
      <c r="A122" s="144"/>
      <c r="B122" s="244" t="s">
        <v>96</v>
      </c>
      <c r="C122" s="184" t="str">
        <f>'1-0 Товары'!C122</f>
        <v/>
      </c>
      <c r="D122" s="186" t="str">
        <f>'1-0 Товары'!D122</f>
        <v/>
      </c>
      <c r="E122" s="277" t="str">
        <f>'1-0 Товары'!E122</f>
        <v/>
      </c>
      <c r="F122" s="191"/>
      <c r="G122" s="191"/>
      <c r="H122" s="196"/>
      <c r="I122" s="196"/>
      <c r="J122" s="199" t="str">
        <f>'1-0 Товары'!$G122</f>
        <v/>
      </c>
      <c r="K122" s="200" t="str">
        <f>'1-0 Товары'!$H122</f>
        <v/>
      </c>
      <c r="L122" s="201" t="str">
        <f>'1-0 Товары'!$I122</f>
        <v/>
      </c>
      <c r="M122" s="203" t="str">
        <f>'1-0 Товары'!$N122</f>
        <v/>
      </c>
      <c r="N122" s="206" t="str">
        <f>'1-0 Товары'!$O122</f>
        <v/>
      </c>
      <c r="O122" s="206" t="str">
        <f>'1-0 Товары'!$P122</f>
        <v/>
      </c>
      <c r="P122" s="146"/>
      <c r="Q122" s="146"/>
      <c r="R122" s="146"/>
      <c r="S122" s="146"/>
      <c r="T122" s="146"/>
      <c r="U122" s="146"/>
      <c r="V122" s="146"/>
      <c r="W122" s="146"/>
      <c r="X122" s="146"/>
      <c r="Y122" s="146"/>
      <c r="Z122" s="146"/>
    </row>
    <row r="123">
      <c r="A123" s="144"/>
      <c r="B123" s="244" t="s">
        <v>96</v>
      </c>
      <c r="C123" s="184" t="str">
        <f>'1-0 Товары'!C123</f>
        <v/>
      </c>
      <c r="D123" s="186" t="str">
        <f>'1-0 Товары'!D123</f>
        <v/>
      </c>
      <c r="E123" s="277" t="str">
        <f>'1-0 Товары'!E123</f>
        <v/>
      </c>
      <c r="F123" s="191"/>
      <c r="G123" s="191"/>
      <c r="H123" s="196"/>
      <c r="I123" s="196"/>
      <c r="J123" s="199" t="str">
        <f>'1-0 Товары'!$G123</f>
        <v/>
      </c>
      <c r="K123" s="200" t="str">
        <f>'1-0 Товары'!$H123</f>
        <v/>
      </c>
      <c r="L123" s="201" t="str">
        <f>'1-0 Товары'!$I123</f>
        <v/>
      </c>
      <c r="M123" s="203" t="str">
        <f>'1-0 Товары'!$N123</f>
        <v/>
      </c>
      <c r="N123" s="206" t="str">
        <f>'1-0 Товары'!$O123</f>
        <v/>
      </c>
      <c r="O123" s="206" t="str">
        <f>'1-0 Товары'!$P123</f>
        <v/>
      </c>
      <c r="P123" s="146"/>
      <c r="Q123" s="146"/>
      <c r="R123" s="146"/>
      <c r="S123" s="146"/>
      <c r="T123" s="146"/>
      <c r="U123" s="146"/>
      <c r="V123" s="146"/>
      <c r="W123" s="146"/>
      <c r="X123" s="146"/>
      <c r="Y123" s="146"/>
      <c r="Z123" s="146"/>
    </row>
    <row r="124">
      <c r="A124" s="144"/>
      <c r="B124" s="244" t="s">
        <v>96</v>
      </c>
      <c r="C124" s="184" t="str">
        <f>'1-0 Товары'!C124</f>
        <v/>
      </c>
      <c r="D124" s="186" t="str">
        <f>'1-0 Товары'!D124</f>
        <v/>
      </c>
      <c r="E124" s="277" t="str">
        <f>'1-0 Товары'!E124</f>
        <v/>
      </c>
      <c r="F124" s="191"/>
      <c r="G124" s="191"/>
      <c r="H124" s="196"/>
      <c r="I124" s="196"/>
      <c r="J124" s="199" t="str">
        <f>'1-0 Товары'!$G124</f>
        <v/>
      </c>
      <c r="K124" s="200" t="str">
        <f>'1-0 Товары'!$H124</f>
        <v/>
      </c>
      <c r="L124" s="201" t="str">
        <f>'1-0 Товары'!$I124</f>
        <v/>
      </c>
      <c r="M124" s="203" t="str">
        <f>'1-0 Товары'!$N124</f>
        <v/>
      </c>
      <c r="N124" s="206" t="str">
        <f>'1-0 Товары'!$O124</f>
        <v/>
      </c>
      <c r="O124" s="206" t="str">
        <f>'1-0 Товары'!$P124</f>
        <v/>
      </c>
      <c r="P124" s="146"/>
      <c r="Q124" s="146"/>
      <c r="R124" s="146"/>
      <c r="S124" s="146"/>
      <c r="T124" s="146"/>
      <c r="U124" s="146"/>
      <c r="V124" s="146"/>
      <c r="W124" s="146"/>
      <c r="X124" s="146"/>
      <c r="Y124" s="146"/>
      <c r="Z124" s="146"/>
    </row>
    <row r="125">
      <c r="A125" s="144"/>
      <c r="B125" s="244" t="s">
        <v>96</v>
      </c>
      <c r="C125" s="184" t="str">
        <f>'1-0 Товары'!C125</f>
        <v/>
      </c>
      <c r="D125" s="186" t="str">
        <f>'1-0 Товары'!D125</f>
        <v/>
      </c>
      <c r="E125" s="277" t="str">
        <f>'1-0 Товары'!E125</f>
        <v/>
      </c>
      <c r="F125" s="191"/>
      <c r="G125" s="191"/>
      <c r="H125" s="196"/>
      <c r="I125" s="196"/>
      <c r="J125" s="199" t="str">
        <f>'1-0 Товары'!$G125</f>
        <v/>
      </c>
      <c r="K125" s="200" t="str">
        <f>'1-0 Товары'!$H125</f>
        <v/>
      </c>
      <c r="L125" s="201" t="str">
        <f>'1-0 Товары'!$I125</f>
        <v/>
      </c>
      <c r="M125" s="203" t="str">
        <f>'1-0 Товары'!$N125</f>
        <v/>
      </c>
      <c r="N125" s="206" t="str">
        <f>'1-0 Товары'!$O125</f>
        <v/>
      </c>
      <c r="O125" s="206" t="str">
        <f>'1-0 Товары'!$P125</f>
        <v/>
      </c>
      <c r="P125" s="146"/>
      <c r="Q125" s="146"/>
      <c r="R125" s="146"/>
      <c r="S125" s="146"/>
      <c r="T125" s="146"/>
      <c r="U125" s="146"/>
      <c r="V125" s="146"/>
      <c r="W125" s="146"/>
      <c r="X125" s="146"/>
      <c r="Y125" s="146"/>
      <c r="Z125" s="146"/>
    </row>
    <row r="126">
      <c r="A126" s="144"/>
      <c r="B126" s="244" t="s">
        <v>96</v>
      </c>
      <c r="C126" s="184" t="str">
        <f>'1-0 Товары'!C126</f>
        <v/>
      </c>
      <c r="D126" s="186" t="str">
        <f>'1-0 Товары'!D126</f>
        <v/>
      </c>
      <c r="E126" s="277" t="str">
        <f>'1-0 Товары'!E126</f>
        <v/>
      </c>
      <c r="F126" s="191"/>
      <c r="G126" s="191"/>
      <c r="H126" s="196"/>
      <c r="I126" s="196"/>
      <c r="J126" s="199" t="str">
        <f>'1-0 Товары'!$G126</f>
        <v/>
      </c>
      <c r="K126" s="200" t="str">
        <f>'1-0 Товары'!$H126</f>
        <v/>
      </c>
      <c r="L126" s="201" t="str">
        <f>'1-0 Товары'!$I126</f>
        <v/>
      </c>
      <c r="M126" s="203" t="str">
        <f>'1-0 Товары'!$N126</f>
        <v/>
      </c>
      <c r="N126" s="206" t="str">
        <f>'1-0 Товары'!$O126</f>
        <v/>
      </c>
      <c r="O126" s="206" t="str">
        <f>'1-0 Товары'!$P126</f>
        <v/>
      </c>
      <c r="P126" s="146"/>
      <c r="Q126" s="146"/>
      <c r="R126" s="146"/>
      <c r="S126" s="146"/>
      <c r="T126" s="146"/>
      <c r="U126" s="146"/>
      <c r="V126" s="146"/>
      <c r="W126" s="146"/>
      <c r="X126" s="146"/>
      <c r="Y126" s="146"/>
      <c r="Z126" s="146"/>
    </row>
    <row r="127">
      <c r="A127" s="144"/>
      <c r="B127" s="244" t="s">
        <v>96</v>
      </c>
      <c r="C127" s="184" t="str">
        <f>'1-0 Товары'!C127</f>
        <v/>
      </c>
      <c r="D127" s="186" t="str">
        <f>'1-0 Товары'!D127</f>
        <v/>
      </c>
      <c r="E127" s="277" t="str">
        <f>'1-0 Товары'!E127</f>
        <v/>
      </c>
      <c r="F127" s="191"/>
      <c r="G127" s="191"/>
      <c r="H127" s="196"/>
      <c r="I127" s="196"/>
      <c r="J127" s="199" t="str">
        <f>'1-0 Товары'!$G127</f>
        <v/>
      </c>
      <c r="K127" s="200" t="str">
        <f>'1-0 Товары'!$H127</f>
        <v/>
      </c>
      <c r="L127" s="201" t="str">
        <f>'1-0 Товары'!$I127</f>
        <v/>
      </c>
      <c r="M127" s="203" t="str">
        <f>'1-0 Товары'!$N127</f>
        <v/>
      </c>
      <c r="N127" s="206" t="str">
        <f>'1-0 Товары'!$O127</f>
        <v/>
      </c>
      <c r="O127" s="206" t="str">
        <f>'1-0 Товары'!$P127</f>
        <v/>
      </c>
      <c r="P127" s="146"/>
      <c r="Q127" s="146"/>
      <c r="R127" s="146"/>
      <c r="S127" s="146"/>
      <c r="T127" s="146"/>
      <c r="U127" s="146"/>
      <c r="V127" s="146"/>
      <c r="W127" s="146"/>
      <c r="X127" s="146"/>
      <c r="Y127" s="146"/>
      <c r="Z127" s="146"/>
    </row>
    <row r="128">
      <c r="A128" s="144"/>
      <c r="B128" s="244" t="s">
        <v>96</v>
      </c>
      <c r="C128" s="184" t="str">
        <f>'1-0 Товары'!C128</f>
        <v/>
      </c>
      <c r="D128" s="186" t="str">
        <f>'1-0 Товары'!D128</f>
        <v/>
      </c>
      <c r="E128" s="277" t="str">
        <f>'1-0 Товары'!E128</f>
        <v/>
      </c>
      <c r="F128" s="191"/>
      <c r="G128" s="191"/>
      <c r="H128" s="196"/>
      <c r="I128" s="196"/>
      <c r="J128" s="199" t="str">
        <f>'1-0 Товары'!$G128</f>
        <v/>
      </c>
      <c r="K128" s="200" t="str">
        <f>'1-0 Товары'!$H128</f>
        <v/>
      </c>
      <c r="L128" s="201" t="str">
        <f>'1-0 Товары'!$I128</f>
        <v/>
      </c>
      <c r="M128" s="203" t="str">
        <f>'1-0 Товары'!$N128</f>
        <v/>
      </c>
      <c r="N128" s="206" t="str">
        <f>'1-0 Товары'!$O128</f>
        <v/>
      </c>
      <c r="O128" s="206" t="str">
        <f>'1-0 Товары'!$P128</f>
        <v/>
      </c>
      <c r="P128" s="146"/>
      <c r="Q128" s="146"/>
      <c r="R128" s="146"/>
      <c r="S128" s="146"/>
      <c r="T128" s="146"/>
      <c r="U128" s="146"/>
      <c r="V128" s="146"/>
      <c r="W128" s="146"/>
      <c r="X128" s="146"/>
      <c r="Y128" s="146"/>
      <c r="Z128" s="146"/>
    </row>
    <row r="129">
      <c r="A129" s="144"/>
      <c r="B129" s="244" t="s">
        <v>96</v>
      </c>
      <c r="C129" s="184" t="str">
        <f>'1-0 Товары'!C129</f>
        <v/>
      </c>
      <c r="D129" s="186" t="str">
        <f>'1-0 Товары'!D129</f>
        <v/>
      </c>
      <c r="E129" s="277" t="str">
        <f>'1-0 Товары'!E129</f>
        <v/>
      </c>
      <c r="F129" s="191"/>
      <c r="G129" s="191"/>
      <c r="H129" s="196"/>
      <c r="I129" s="196"/>
      <c r="J129" s="199" t="str">
        <f>'1-0 Товары'!$G129</f>
        <v/>
      </c>
      <c r="K129" s="200" t="str">
        <f>'1-0 Товары'!$H129</f>
        <v/>
      </c>
      <c r="L129" s="201" t="str">
        <f>'1-0 Товары'!$I129</f>
        <v/>
      </c>
      <c r="M129" s="203" t="str">
        <f>'1-0 Товары'!$N129</f>
        <v/>
      </c>
      <c r="N129" s="206" t="str">
        <f>'1-0 Товары'!$O129</f>
        <v/>
      </c>
      <c r="O129" s="206" t="str">
        <f>'1-0 Товары'!$P129</f>
        <v/>
      </c>
      <c r="P129" s="146"/>
      <c r="Q129" s="146"/>
      <c r="R129" s="146"/>
      <c r="S129" s="146"/>
      <c r="T129" s="146"/>
      <c r="U129" s="146"/>
      <c r="V129" s="146"/>
      <c r="W129" s="146"/>
      <c r="X129" s="146"/>
      <c r="Y129" s="146"/>
      <c r="Z129" s="146"/>
    </row>
    <row r="130">
      <c r="A130" s="144"/>
      <c r="B130" s="244" t="s">
        <v>96</v>
      </c>
      <c r="C130" s="184" t="str">
        <f>'1-0 Товары'!C130</f>
        <v/>
      </c>
      <c r="D130" s="186" t="str">
        <f>'1-0 Товары'!D130</f>
        <v/>
      </c>
      <c r="E130" s="277" t="str">
        <f>'1-0 Товары'!E130</f>
        <v/>
      </c>
      <c r="F130" s="191"/>
      <c r="G130" s="191"/>
      <c r="H130" s="196"/>
      <c r="I130" s="196"/>
      <c r="J130" s="199" t="str">
        <f>'1-0 Товары'!$G130</f>
        <v/>
      </c>
      <c r="K130" s="200" t="str">
        <f>'1-0 Товары'!$H130</f>
        <v/>
      </c>
      <c r="L130" s="201" t="str">
        <f>'1-0 Товары'!$I130</f>
        <v/>
      </c>
      <c r="M130" s="203" t="str">
        <f>'1-0 Товары'!$N130</f>
        <v/>
      </c>
      <c r="N130" s="206" t="str">
        <f>'1-0 Товары'!$O130</f>
        <v/>
      </c>
      <c r="O130" s="206" t="str">
        <f>'1-0 Товары'!$P130</f>
        <v/>
      </c>
      <c r="P130" s="146"/>
      <c r="Q130" s="146"/>
      <c r="R130" s="146"/>
      <c r="S130" s="146"/>
      <c r="T130" s="146"/>
      <c r="U130" s="146"/>
      <c r="V130" s="146"/>
      <c r="W130" s="146"/>
      <c r="X130" s="146"/>
      <c r="Y130" s="146"/>
      <c r="Z130" s="146"/>
    </row>
    <row r="131">
      <c r="A131" s="144"/>
      <c r="B131" s="244" t="s">
        <v>96</v>
      </c>
      <c r="C131" s="184" t="str">
        <f>'1-0 Товары'!C131</f>
        <v/>
      </c>
      <c r="D131" s="186" t="str">
        <f>'1-0 Товары'!D131</f>
        <v/>
      </c>
      <c r="E131" s="277" t="str">
        <f>'1-0 Товары'!E131</f>
        <v/>
      </c>
      <c r="F131" s="191"/>
      <c r="G131" s="191"/>
      <c r="H131" s="196"/>
      <c r="I131" s="196"/>
      <c r="J131" s="199" t="str">
        <f>'1-0 Товары'!$G131</f>
        <v/>
      </c>
      <c r="K131" s="200" t="str">
        <f>'1-0 Товары'!$H131</f>
        <v/>
      </c>
      <c r="L131" s="201" t="str">
        <f>'1-0 Товары'!$I131</f>
        <v/>
      </c>
      <c r="M131" s="203" t="str">
        <f>'1-0 Товары'!$N131</f>
        <v/>
      </c>
      <c r="N131" s="206" t="str">
        <f>'1-0 Товары'!$O131</f>
        <v/>
      </c>
      <c r="O131" s="206" t="str">
        <f>'1-0 Товары'!$P131</f>
        <v/>
      </c>
      <c r="P131" s="146"/>
      <c r="Q131" s="146"/>
      <c r="R131" s="146"/>
      <c r="S131" s="146"/>
      <c r="T131" s="146"/>
      <c r="U131" s="146"/>
      <c r="V131" s="146"/>
      <c r="W131" s="146"/>
      <c r="X131" s="146"/>
      <c r="Y131" s="146"/>
      <c r="Z131" s="146"/>
    </row>
    <row r="132">
      <c r="A132" s="144"/>
      <c r="B132" s="244" t="s">
        <v>96</v>
      </c>
      <c r="C132" s="184" t="str">
        <f>'1-0 Товары'!C132</f>
        <v/>
      </c>
      <c r="D132" s="186" t="str">
        <f>'1-0 Товары'!D132</f>
        <v/>
      </c>
      <c r="E132" s="277" t="str">
        <f>'1-0 Товары'!E132</f>
        <v/>
      </c>
      <c r="F132" s="191"/>
      <c r="G132" s="191"/>
      <c r="H132" s="196"/>
      <c r="I132" s="196"/>
      <c r="J132" s="199" t="str">
        <f>'1-0 Товары'!$G132</f>
        <v/>
      </c>
      <c r="K132" s="200" t="str">
        <f>'1-0 Товары'!$H132</f>
        <v/>
      </c>
      <c r="L132" s="201" t="str">
        <f>'1-0 Товары'!$I132</f>
        <v/>
      </c>
      <c r="M132" s="203" t="str">
        <f>'1-0 Товары'!$N132</f>
        <v/>
      </c>
      <c r="N132" s="206" t="str">
        <f>'1-0 Товары'!$O132</f>
        <v/>
      </c>
      <c r="O132" s="206" t="str">
        <f>'1-0 Товары'!$P132</f>
        <v/>
      </c>
      <c r="P132" s="146"/>
      <c r="Q132" s="146"/>
      <c r="R132" s="146"/>
      <c r="S132" s="146"/>
      <c r="T132" s="146"/>
      <c r="U132" s="146"/>
      <c r="V132" s="146"/>
      <c r="W132" s="146"/>
      <c r="X132" s="146"/>
      <c r="Y132" s="146"/>
      <c r="Z132" s="146"/>
    </row>
    <row r="133">
      <c r="A133" s="144"/>
      <c r="B133" s="244" t="s">
        <v>96</v>
      </c>
      <c r="C133" s="184" t="str">
        <f>'1-0 Товары'!C133</f>
        <v/>
      </c>
      <c r="D133" s="186" t="str">
        <f>'1-0 Товары'!D133</f>
        <v/>
      </c>
      <c r="E133" s="277" t="str">
        <f>'1-0 Товары'!E133</f>
        <v/>
      </c>
      <c r="F133" s="191"/>
      <c r="G133" s="191"/>
      <c r="H133" s="196"/>
      <c r="I133" s="196"/>
      <c r="J133" s="199" t="str">
        <f>'1-0 Товары'!$G133</f>
        <v/>
      </c>
      <c r="K133" s="200" t="str">
        <f>'1-0 Товары'!$H133</f>
        <v/>
      </c>
      <c r="L133" s="201" t="str">
        <f>'1-0 Товары'!$I133</f>
        <v/>
      </c>
      <c r="M133" s="203" t="str">
        <f>'1-0 Товары'!$N133</f>
        <v/>
      </c>
      <c r="N133" s="206" t="str">
        <f>'1-0 Товары'!$O133</f>
        <v/>
      </c>
      <c r="O133" s="206" t="str">
        <f>'1-0 Товары'!$P133</f>
        <v/>
      </c>
      <c r="P133" s="146"/>
      <c r="Q133" s="146"/>
      <c r="R133" s="146"/>
      <c r="S133" s="146"/>
      <c r="T133" s="146"/>
      <c r="U133" s="146"/>
      <c r="V133" s="146"/>
      <c r="W133" s="146"/>
      <c r="X133" s="146"/>
      <c r="Y133" s="146"/>
      <c r="Z133" s="146"/>
    </row>
    <row r="134">
      <c r="A134" s="144"/>
      <c r="B134" s="244" t="s">
        <v>96</v>
      </c>
      <c r="C134" s="184" t="str">
        <f>'1-0 Товары'!C134</f>
        <v/>
      </c>
      <c r="D134" s="186" t="str">
        <f>'1-0 Товары'!D134</f>
        <v/>
      </c>
      <c r="E134" s="277" t="str">
        <f>'1-0 Товары'!E134</f>
        <v/>
      </c>
      <c r="F134" s="191"/>
      <c r="G134" s="191"/>
      <c r="H134" s="196"/>
      <c r="I134" s="196"/>
      <c r="J134" s="199" t="str">
        <f>'1-0 Товары'!$G134</f>
        <v/>
      </c>
      <c r="K134" s="200" t="str">
        <f>'1-0 Товары'!$H134</f>
        <v/>
      </c>
      <c r="L134" s="201" t="str">
        <f>'1-0 Товары'!$I134</f>
        <v/>
      </c>
      <c r="M134" s="203" t="str">
        <f>'1-0 Товары'!$N134</f>
        <v/>
      </c>
      <c r="N134" s="206" t="str">
        <f>'1-0 Товары'!$O134</f>
        <v/>
      </c>
      <c r="O134" s="206" t="str">
        <f>'1-0 Товары'!$P134</f>
        <v/>
      </c>
      <c r="P134" s="146"/>
      <c r="Q134" s="146"/>
      <c r="R134" s="146"/>
      <c r="S134" s="146"/>
      <c r="T134" s="146"/>
      <c r="U134" s="146"/>
      <c r="V134" s="146"/>
      <c r="W134" s="146"/>
      <c r="X134" s="146"/>
      <c r="Y134" s="146"/>
      <c r="Z134" s="146"/>
    </row>
    <row r="135">
      <c r="A135" s="144"/>
      <c r="B135" s="244" t="s">
        <v>96</v>
      </c>
      <c r="C135" s="184" t="str">
        <f>'1-0 Товары'!C135</f>
        <v/>
      </c>
      <c r="D135" s="186" t="str">
        <f>'1-0 Товары'!D135</f>
        <v/>
      </c>
      <c r="E135" s="277" t="str">
        <f>'1-0 Товары'!E135</f>
        <v/>
      </c>
      <c r="F135" s="191"/>
      <c r="G135" s="191"/>
      <c r="H135" s="196"/>
      <c r="I135" s="196"/>
      <c r="J135" s="199" t="str">
        <f>'1-0 Товары'!$G135</f>
        <v/>
      </c>
      <c r="K135" s="200" t="str">
        <f>'1-0 Товары'!$H135</f>
        <v/>
      </c>
      <c r="L135" s="201" t="str">
        <f>'1-0 Товары'!$I135</f>
        <v/>
      </c>
      <c r="M135" s="203" t="str">
        <f>'1-0 Товары'!$N135</f>
        <v/>
      </c>
      <c r="N135" s="206" t="str">
        <f>'1-0 Товары'!$O135</f>
        <v/>
      </c>
      <c r="O135" s="206" t="str">
        <f>'1-0 Товары'!$P135</f>
        <v/>
      </c>
      <c r="P135" s="146"/>
      <c r="Q135" s="146"/>
      <c r="R135" s="146"/>
      <c r="S135" s="146"/>
      <c r="T135" s="146"/>
      <c r="U135" s="146"/>
      <c r="V135" s="146"/>
      <c r="W135" s="146"/>
      <c r="X135" s="146"/>
      <c r="Y135" s="146"/>
      <c r="Z135" s="146"/>
    </row>
    <row r="136">
      <c r="A136" s="144"/>
      <c r="B136" s="244" t="s">
        <v>96</v>
      </c>
      <c r="C136" s="184" t="str">
        <f>'1-0 Товары'!C136</f>
        <v/>
      </c>
      <c r="D136" s="186" t="str">
        <f>'1-0 Товары'!D136</f>
        <v/>
      </c>
      <c r="E136" s="277" t="str">
        <f>'1-0 Товары'!E136</f>
        <v/>
      </c>
      <c r="F136" s="191"/>
      <c r="G136" s="191"/>
      <c r="H136" s="196"/>
      <c r="I136" s="196"/>
      <c r="J136" s="199" t="str">
        <f>'1-0 Товары'!$G136</f>
        <v/>
      </c>
      <c r="K136" s="200" t="str">
        <f>'1-0 Товары'!$H136</f>
        <v/>
      </c>
      <c r="L136" s="201" t="str">
        <f>'1-0 Товары'!$I136</f>
        <v/>
      </c>
      <c r="M136" s="203" t="str">
        <f>'1-0 Товары'!$N136</f>
        <v/>
      </c>
      <c r="N136" s="206" t="str">
        <f>'1-0 Товары'!$O136</f>
        <v/>
      </c>
      <c r="O136" s="206" t="str">
        <f>'1-0 Товары'!$P136</f>
        <v/>
      </c>
      <c r="P136" s="146"/>
      <c r="Q136" s="146"/>
      <c r="R136" s="146"/>
      <c r="S136" s="146"/>
      <c r="T136" s="146"/>
      <c r="U136" s="146"/>
      <c r="V136" s="146"/>
      <c r="W136" s="146"/>
      <c r="X136" s="146"/>
      <c r="Y136" s="146"/>
      <c r="Z136" s="146"/>
    </row>
    <row r="137">
      <c r="A137" s="144"/>
      <c r="B137" s="244" t="s">
        <v>96</v>
      </c>
      <c r="C137" s="184" t="str">
        <f>'1-0 Товары'!C137</f>
        <v/>
      </c>
      <c r="D137" s="186" t="str">
        <f>'1-0 Товары'!D137</f>
        <v/>
      </c>
      <c r="E137" s="277" t="str">
        <f>'1-0 Товары'!E137</f>
        <v/>
      </c>
      <c r="F137" s="191"/>
      <c r="G137" s="191"/>
      <c r="H137" s="196"/>
      <c r="I137" s="196"/>
      <c r="J137" s="199" t="str">
        <f>'1-0 Товары'!$G137</f>
        <v/>
      </c>
      <c r="K137" s="200" t="str">
        <f>'1-0 Товары'!$H137</f>
        <v/>
      </c>
      <c r="L137" s="201" t="str">
        <f>'1-0 Товары'!$I137</f>
        <v/>
      </c>
      <c r="M137" s="203" t="str">
        <f>'1-0 Товары'!$N137</f>
        <v/>
      </c>
      <c r="N137" s="206" t="str">
        <f>'1-0 Товары'!$O137</f>
        <v/>
      </c>
      <c r="O137" s="206" t="str">
        <f>'1-0 Товары'!$P137</f>
        <v/>
      </c>
      <c r="P137" s="146"/>
      <c r="Q137" s="146"/>
      <c r="R137" s="146"/>
      <c r="S137" s="146"/>
      <c r="T137" s="146"/>
      <c r="U137" s="146"/>
      <c r="V137" s="146"/>
      <c r="W137" s="146"/>
      <c r="X137" s="146"/>
      <c r="Y137" s="146"/>
      <c r="Z137" s="146"/>
    </row>
    <row r="138">
      <c r="A138" s="144"/>
      <c r="B138" s="244" t="s">
        <v>96</v>
      </c>
      <c r="C138" s="184" t="str">
        <f>'1-0 Товары'!C138</f>
        <v/>
      </c>
      <c r="D138" s="186" t="str">
        <f>'1-0 Товары'!D138</f>
        <v/>
      </c>
      <c r="E138" s="277" t="str">
        <f>'1-0 Товары'!E138</f>
        <v/>
      </c>
      <c r="F138" s="191"/>
      <c r="G138" s="191"/>
      <c r="H138" s="196"/>
      <c r="I138" s="196"/>
      <c r="J138" s="199" t="str">
        <f>'1-0 Товары'!$G138</f>
        <v/>
      </c>
      <c r="K138" s="200" t="str">
        <f>'1-0 Товары'!$H138</f>
        <v/>
      </c>
      <c r="L138" s="201" t="str">
        <f>'1-0 Товары'!$I138</f>
        <v/>
      </c>
      <c r="M138" s="203" t="str">
        <f>'1-0 Товары'!$N138</f>
        <v/>
      </c>
      <c r="N138" s="206" t="str">
        <f>'1-0 Товары'!$O138</f>
        <v/>
      </c>
      <c r="O138" s="206" t="str">
        <f>'1-0 Товары'!$P138</f>
        <v/>
      </c>
      <c r="P138" s="146"/>
      <c r="Q138" s="146"/>
      <c r="R138" s="146"/>
      <c r="S138" s="146"/>
      <c r="T138" s="146"/>
      <c r="U138" s="146"/>
      <c r="V138" s="146"/>
      <c r="W138" s="146"/>
      <c r="X138" s="146"/>
      <c r="Y138" s="146"/>
      <c r="Z138" s="146"/>
    </row>
    <row r="139">
      <c r="A139" s="144"/>
      <c r="B139" s="244" t="s">
        <v>96</v>
      </c>
      <c r="C139" s="184" t="str">
        <f>'1-0 Товары'!C139</f>
        <v/>
      </c>
      <c r="D139" s="186" t="str">
        <f>'1-0 Товары'!D139</f>
        <v/>
      </c>
      <c r="E139" s="277" t="str">
        <f>'1-0 Товары'!E139</f>
        <v/>
      </c>
      <c r="F139" s="191"/>
      <c r="G139" s="191"/>
      <c r="H139" s="196"/>
      <c r="I139" s="196"/>
      <c r="J139" s="199" t="str">
        <f>'1-0 Товары'!$G139</f>
        <v/>
      </c>
      <c r="K139" s="200" t="str">
        <f>'1-0 Товары'!$H139</f>
        <v/>
      </c>
      <c r="L139" s="201" t="str">
        <f>'1-0 Товары'!$I139</f>
        <v/>
      </c>
      <c r="M139" s="203" t="str">
        <f>'1-0 Товары'!$N139</f>
        <v/>
      </c>
      <c r="N139" s="206" t="str">
        <f>'1-0 Товары'!$O139</f>
        <v/>
      </c>
      <c r="O139" s="206" t="str">
        <f>'1-0 Товары'!$P139</f>
        <v/>
      </c>
      <c r="P139" s="146"/>
      <c r="Q139" s="146"/>
      <c r="R139" s="146"/>
      <c r="S139" s="146"/>
      <c r="T139" s="146"/>
      <c r="U139" s="146"/>
      <c r="V139" s="146"/>
      <c r="W139" s="146"/>
      <c r="X139" s="146"/>
      <c r="Y139" s="146"/>
      <c r="Z139" s="146"/>
    </row>
    <row r="140">
      <c r="A140" s="144"/>
      <c r="B140" s="244" t="s">
        <v>96</v>
      </c>
      <c r="C140" s="184" t="str">
        <f>'1-0 Товары'!C140</f>
        <v/>
      </c>
      <c r="D140" s="186" t="str">
        <f>'1-0 Товары'!D140</f>
        <v/>
      </c>
      <c r="E140" s="277" t="str">
        <f>'1-0 Товары'!E140</f>
        <v/>
      </c>
      <c r="F140" s="191"/>
      <c r="G140" s="191"/>
      <c r="H140" s="196"/>
      <c r="I140" s="196"/>
      <c r="J140" s="199" t="str">
        <f>'1-0 Товары'!$G140</f>
        <v/>
      </c>
      <c r="K140" s="200" t="str">
        <f>'1-0 Товары'!$H140</f>
        <v/>
      </c>
      <c r="L140" s="201" t="str">
        <f>'1-0 Товары'!$I140</f>
        <v/>
      </c>
      <c r="M140" s="203" t="str">
        <f>'1-0 Товары'!$N140</f>
        <v/>
      </c>
      <c r="N140" s="206" t="str">
        <f>'1-0 Товары'!$O140</f>
        <v/>
      </c>
      <c r="O140" s="206" t="str">
        <f>'1-0 Товары'!$P140</f>
        <v/>
      </c>
      <c r="P140" s="146"/>
      <c r="Q140" s="146"/>
      <c r="R140" s="146"/>
      <c r="S140" s="146"/>
      <c r="T140" s="146"/>
      <c r="U140" s="146"/>
      <c r="V140" s="146"/>
      <c r="W140" s="146"/>
      <c r="X140" s="146"/>
      <c r="Y140" s="146"/>
      <c r="Z140" s="146"/>
    </row>
    <row r="141">
      <c r="A141" s="144"/>
      <c r="B141" s="244" t="s">
        <v>96</v>
      </c>
      <c r="C141" s="184" t="str">
        <f>'1-0 Товары'!C141</f>
        <v/>
      </c>
      <c r="D141" s="186" t="str">
        <f>'1-0 Товары'!D141</f>
        <v/>
      </c>
      <c r="E141" s="277" t="str">
        <f>'1-0 Товары'!E141</f>
        <v/>
      </c>
      <c r="F141" s="191"/>
      <c r="G141" s="191"/>
      <c r="H141" s="196"/>
      <c r="I141" s="196"/>
      <c r="J141" s="199" t="str">
        <f>'1-0 Товары'!$G141</f>
        <v/>
      </c>
      <c r="K141" s="200" t="str">
        <f>'1-0 Товары'!$H141</f>
        <v/>
      </c>
      <c r="L141" s="201" t="str">
        <f>'1-0 Товары'!$I141</f>
        <v/>
      </c>
      <c r="M141" s="203" t="str">
        <f>'1-0 Товары'!$N141</f>
        <v/>
      </c>
      <c r="N141" s="206" t="str">
        <f>'1-0 Товары'!$O141</f>
        <v/>
      </c>
      <c r="O141" s="206" t="str">
        <f>'1-0 Товары'!$P141</f>
        <v/>
      </c>
      <c r="P141" s="146"/>
      <c r="Q141" s="146"/>
      <c r="R141" s="146"/>
      <c r="S141" s="146"/>
      <c r="T141" s="146"/>
      <c r="U141" s="146"/>
      <c r="V141" s="146"/>
      <c r="W141" s="146"/>
      <c r="X141" s="146"/>
      <c r="Y141" s="146"/>
      <c r="Z141" s="146"/>
    </row>
    <row r="142">
      <c r="A142" s="144"/>
      <c r="B142" s="244" t="s">
        <v>96</v>
      </c>
      <c r="C142" s="184" t="str">
        <f>'1-0 Товары'!C142</f>
        <v/>
      </c>
      <c r="D142" s="186" t="str">
        <f>'1-0 Товары'!D142</f>
        <v/>
      </c>
      <c r="E142" s="277" t="str">
        <f>'1-0 Товары'!E142</f>
        <v/>
      </c>
      <c r="F142" s="191"/>
      <c r="G142" s="191"/>
      <c r="H142" s="196"/>
      <c r="I142" s="196"/>
      <c r="J142" s="199" t="str">
        <f>'1-0 Товары'!$G142</f>
        <v/>
      </c>
      <c r="K142" s="200" t="str">
        <f>'1-0 Товары'!$H142</f>
        <v/>
      </c>
      <c r="L142" s="201" t="str">
        <f>'1-0 Товары'!$I142</f>
        <v/>
      </c>
      <c r="M142" s="203" t="str">
        <f>'1-0 Товары'!$N142</f>
        <v/>
      </c>
      <c r="N142" s="206" t="str">
        <f>'1-0 Товары'!$O142</f>
        <v/>
      </c>
      <c r="O142" s="206" t="str">
        <f>'1-0 Товары'!$P142</f>
        <v/>
      </c>
      <c r="P142" s="146"/>
      <c r="Q142" s="146"/>
      <c r="R142" s="146"/>
      <c r="S142" s="146"/>
      <c r="T142" s="146"/>
      <c r="U142" s="146"/>
      <c r="V142" s="146"/>
      <c r="W142" s="146"/>
      <c r="X142" s="146"/>
      <c r="Y142" s="146"/>
      <c r="Z142" s="146"/>
    </row>
    <row r="143">
      <c r="A143" s="144"/>
      <c r="B143" s="244" t="s">
        <v>96</v>
      </c>
      <c r="C143" s="184" t="str">
        <f>'1-0 Товары'!C143</f>
        <v/>
      </c>
      <c r="D143" s="186" t="str">
        <f>'1-0 Товары'!D143</f>
        <v/>
      </c>
      <c r="E143" s="277" t="str">
        <f>'1-0 Товары'!E143</f>
        <v/>
      </c>
      <c r="F143" s="191"/>
      <c r="G143" s="191"/>
      <c r="H143" s="196"/>
      <c r="I143" s="196"/>
      <c r="J143" s="199" t="str">
        <f>'1-0 Товары'!$G143</f>
        <v/>
      </c>
      <c r="K143" s="200" t="str">
        <f>'1-0 Товары'!$H143</f>
        <v/>
      </c>
      <c r="L143" s="201" t="str">
        <f>'1-0 Товары'!$I143</f>
        <v/>
      </c>
      <c r="M143" s="203" t="str">
        <f>'1-0 Товары'!$N143</f>
        <v/>
      </c>
      <c r="N143" s="206" t="str">
        <f>'1-0 Товары'!$O143</f>
        <v/>
      </c>
      <c r="O143" s="206" t="str">
        <f>'1-0 Товары'!$P143</f>
        <v/>
      </c>
      <c r="P143" s="146"/>
      <c r="Q143" s="146"/>
      <c r="R143" s="146"/>
      <c r="S143" s="146"/>
      <c r="T143" s="146"/>
      <c r="U143" s="146"/>
      <c r="V143" s="146"/>
      <c r="W143" s="146"/>
      <c r="X143" s="146"/>
      <c r="Y143" s="146"/>
      <c r="Z143" s="146"/>
    </row>
    <row r="144">
      <c r="A144" s="144"/>
      <c r="B144" s="244" t="s">
        <v>96</v>
      </c>
      <c r="C144" s="184" t="str">
        <f>'1-0 Товары'!C144</f>
        <v/>
      </c>
      <c r="D144" s="186" t="str">
        <f>'1-0 Товары'!D144</f>
        <v/>
      </c>
      <c r="E144" s="277" t="str">
        <f>'1-0 Товары'!E144</f>
        <v/>
      </c>
      <c r="F144" s="191"/>
      <c r="G144" s="191"/>
      <c r="H144" s="196"/>
      <c r="I144" s="196"/>
      <c r="J144" s="199" t="str">
        <f>'1-0 Товары'!$G144</f>
        <v/>
      </c>
      <c r="K144" s="200" t="str">
        <f>'1-0 Товары'!$H144</f>
        <v/>
      </c>
      <c r="L144" s="201" t="str">
        <f>'1-0 Товары'!$I144</f>
        <v/>
      </c>
      <c r="M144" s="203" t="str">
        <f>'1-0 Товары'!$N144</f>
        <v/>
      </c>
      <c r="N144" s="206" t="str">
        <f>'1-0 Товары'!$O144</f>
        <v/>
      </c>
      <c r="O144" s="206" t="str">
        <f>'1-0 Товары'!$P144</f>
        <v/>
      </c>
      <c r="P144" s="146"/>
      <c r="Q144" s="146"/>
      <c r="R144" s="146"/>
      <c r="S144" s="146"/>
      <c r="T144" s="146"/>
      <c r="U144" s="146"/>
      <c r="V144" s="146"/>
      <c r="W144" s="146"/>
      <c r="X144" s="146"/>
      <c r="Y144" s="146"/>
      <c r="Z144" s="146"/>
    </row>
    <row r="145">
      <c r="A145" s="144"/>
      <c r="B145" s="244" t="s">
        <v>96</v>
      </c>
      <c r="C145" s="184" t="str">
        <f>'1-0 Товары'!C145</f>
        <v/>
      </c>
      <c r="D145" s="186" t="str">
        <f>'1-0 Товары'!D145</f>
        <v/>
      </c>
      <c r="E145" s="277" t="str">
        <f>'1-0 Товары'!E145</f>
        <v/>
      </c>
      <c r="F145" s="191"/>
      <c r="G145" s="191"/>
      <c r="H145" s="196"/>
      <c r="I145" s="196"/>
      <c r="J145" s="199" t="str">
        <f>'1-0 Товары'!$G145</f>
        <v/>
      </c>
      <c r="K145" s="200" t="str">
        <f>'1-0 Товары'!$H145</f>
        <v/>
      </c>
      <c r="L145" s="201" t="str">
        <f>'1-0 Товары'!$I145</f>
        <v/>
      </c>
      <c r="M145" s="203" t="str">
        <f>'1-0 Товары'!$N145</f>
        <v/>
      </c>
      <c r="N145" s="206" t="str">
        <f>'1-0 Товары'!$O145</f>
        <v/>
      </c>
      <c r="O145" s="206" t="str">
        <f>'1-0 Товары'!$P145</f>
        <v/>
      </c>
      <c r="P145" s="146"/>
      <c r="Q145" s="146"/>
      <c r="R145" s="146"/>
      <c r="S145" s="146"/>
      <c r="T145" s="146"/>
      <c r="U145" s="146"/>
      <c r="V145" s="146"/>
      <c r="W145" s="146"/>
      <c r="X145" s="146"/>
      <c r="Y145" s="146"/>
      <c r="Z145" s="146"/>
    </row>
    <row r="146">
      <c r="A146" s="144"/>
      <c r="B146" s="244" t="s">
        <v>96</v>
      </c>
      <c r="C146" s="184" t="str">
        <f>'1-0 Товары'!C146</f>
        <v/>
      </c>
      <c r="D146" s="186" t="str">
        <f>'1-0 Товары'!D146</f>
        <v/>
      </c>
      <c r="E146" s="277" t="str">
        <f>'1-0 Товары'!E146</f>
        <v/>
      </c>
      <c r="F146" s="191"/>
      <c r="G146" s="191"/>
      <c r="H146" s="196"/>
      <c r="I146" s="196"/>
      <c r="J146" s="199" t="str">
        <f>'1-0 Товары'!$G146</f>
        <v/>
      </c>
      <c r="K146" s="200" t="str">
        <f>'1-0 Товары'!$H146</f>
        <v/>
      </c>
      <c r="L146" s="201" t="str">
        <f>'1-0 Товары'!$I146</f>
        <v/>
      </c>
      <c r="M146" s="203" t="str">
        <f>'1-0 Товары'!$N146</f>
        <v/>
      </c>
      <c r="N146" s="206" t="str">
        <f>'1-0 Товары'!$O146</f>
        <v/>
      </c>
      <c r="O146" s="206" t="str">
        <f>'1-0 Товары'!$P146</f>
        <v/>
      </c>
      <c r="P146" s="146"/>
      <c r="Q146" s="146"/>
      <c r="R146" s="146"/>
      <c r="S146" s="146"/>
      <c r="T146" s="146"/>
      <c r="U146" s="146"/>
      <c r="V146" s="146"/>
      <c r="W146" s="146"/>
      <c r="X146" s="146"/>
      <c r="Y146" s="146"/>
      <c r="Z146" s="146"/>
    </row>
    <row r="147">
      <c r="A147" s="144"/>
      <c r="B147" s="244" t="s">
        <v>96</v>
      </c>
      <c r="C147" s="184" t="str">
        <f>'1-0 Товары'!C147</f>
        <v/>
      </c>
      <c r="D147" s="186" t="str">
        <f>'1-0 Товары'!D147</f>
        <v/>
      </c>
      <c r="E147" s="277" t="str">
        <f>'1-0 Товары'!E147</f>
        <v/>
      </c>
      <c r="F147" s="191"/>
      <c r="G147" s="191"/>
      <c r="H147" s="196"/>
      <c r="I147" s="196"/>
      <c r="J147" s="199" t="str">
        <f>'1-0 Товары'!$G147</f>
        <v/>
      </c>
      <c r="K147" s="200" t="str">
        <f>'1-0 Товары'!$H147</f>
        <v/>
      </c>
      <c r="L147" s="201" t="str">
        <f>'1-0 Товары'!$I147</f>
        <v/>
      </c>
      <c r="M147" s="203" t="str">
        <f>'1-0 Товары'!$N147</f>
        <v/>
      </c>
      <c r="N147" s="206" t="str">
        <f>'1-0 Товары'!$O147</f>
        <v/>
      </c>
      <c r="O147" s="206" t="str">
        <f>'1-0 Товары'!$P147</f>
        <v/>
      </c>
      <c r="P147" s="146"/>
      <c r="Q147" s="146"/>
      <c r="R147" s="146"/>
      <c r="S147" s="146"/>
      <c r="T147" s="146"/>
      <c r="U147" s="146"/>
      <c r="V147" s="146"/>
      <c r="W147" s="146"/>
      <c r="X147" s="146"/>
      <c r="Y147" s="146"/>
      <c r="Z147" s="146"/>
    </row>
    <row r="148">
      <c r="A148" s="144"/>
      <c r="B148" s="244" t="s">
        <v>96</v>
      </c>
      <c r="C148" s="184" t="str">
        <f>'1-0 Товары'!C148</f>
        <v/>
      </c>
      <c r="D148" s="186" t="str">
        <f>'1-0 Товары'!D148</f>
        <v/>
      </c>
      <c r="E148" s="277" t="str">
        <f>'1-0 Товары'!E148</f>
        <v/>
      </c>
      <c r="F148" s="191"/>
      <c r="G148" s="191"/>
      <c r="H148" s="196"/>
      <c r="I148" s="196"/>
      <c r="J148" s="199" t="str">
        <f>'1-0 Товары'!$G148</f>
        <v/>
      </c>
      <c r="K148" s="200" t="str">
        <f>'1-0 Товары'!$H148</f>
        <v/>
      </c>
      <c r="L148" s="201" t="str">
        <f>'1-0 Товары'!$I148</f>
        <v/>
      </c>
      <c r="M148" s="203" t="str">
        <f>'1-0 Товары'!$N148</f>
        <v/>
      </c>
      <c r="N148" s="206" t="str">
        <f>'1-0 Товары'!$O148</f>
        <v/>
      </c>
      <c r="O148" s="206" t="str">
        <f>'1-0 Товары'!$P148</f>
        <v/>
      </c>
      <c r="P148" s="146"/>
      <c r="Q148" s="146"/>
      <c r="R148" s="146"/>
      <c r="S148" s="146"/>
      <c r="T148" s="146"/>
      <c r="U148" s="146"/>
      <c r="V148" s="146"/>
      <c r="W148" s="146"/>
      <c r="X148" s="146"/>
      <c r="Y148" s="146"/>
      <c r="Z148" s="146"/>
    </row>
    <row r="149">
      <c r="A149" s="144"/>
      <c r="B149" s="244" t="s">
        <v>96</v>
      </c>
      <c r="C149" s="184" t="str">
        <f>'1-0 Товары'!C149</f>
        <v/>
      </c>
      <c r="D149" s="186" t="str">
        <f>'1-0 Товары'!D149</f>
        <v/>
      </c>
      <c r="E149" s="277" t="str">
        <f>'1-0 Товары'!E149</f>
        <v/>
      </c>
      <c r="F149" s="191"/>
      <c r="G149" s="191"/>
      <c r="H149" s="196"/>
      <c r="I149" s="196"/>
      <c r="J149" s="199" t="str">
        <f>'1-0 Товары'!$G149</f>
        <v/>
      </c>
      <c r="K149" s="200" t="str">
        <f>'1-0 Товары'!$H149</f>
        <v/>
      </c>
      <c r="L149" s="201" t="str">
        <f>'1-0 Товары'!$I149</f>
        <v/>
      </c>
      <c r="M149" s="203" t="str">
        <f>'1-0 Товары'!$N149</f>
        <v/>
      </c>
      <c r="N149" s="206" t="str">
        <f>'1-0 Товары'!$O149</f>
        <v/>
      </c>
      <c r="O149" s="206" t="str">
        <f>'1-0 Товары'!$P149</f>
        <v/>
      </c>
      <c r="P149" s="146"/>
      <c r="Q149" s="146"/>
      <c r="R149" s="146"/>
      <c r="S149" s="146"/>
      <c r="T149" s="146"/>
      <c r="U149" s="146"/>
      <c r="V149" s="146"/>
      <c r="W149" s="146"/>
      <c r="X149" s="146"/>
      <c r="Y149" s="146"/>
      <c r="Z149" s="146"/>
    </row>
    <row r="150">
      <c r="A150" s="144"/>
      <c r="B150" s="244" t="s">
        <v>96</v>
      </c>
      <c r="C150" s="184" t="str">
        <f>'1-0 Товары'!C150</f>
        <v/>
      </c>
      <c r="D150" s="186" t="str">
        <f>'1-0 Товары'!D150</f>
        <v/>
      </c>
      <c r="E150" s="277" t="str">
        <f>'1-0 Товары'!E150</f>
        <v/>
      </c>
      <c r="F150" s="191"/>
      <c r="G150" s="191"/>
      <c r="H150" s="196"/>
      <c r="I150" s="196"/>
      <c r="J150" s="199" t="str">
        <f>'1-0 Товары'!$G150</f>
        <v/>
      </c>
      <c r="K150" s="200" t="str">
        <f>'1-0 Товары'!$H150</f>
        <v/>
      </c>
      <c r="L150" s="201" t="str">
        <f>'1-0 Товары'!$I150</f>
        <v/>
      </c>
      <c r="M150" s="203" t="str">
        <f>'1-0 Товары'!$N150</f>
        <v/>
      </c>
      <c r="N150" s="206" t="str">
        <f>'1-0 Товары'!$O150</f>
        <v/>
      </c>
      <c r="O150" s="206" t="str">
        <f>'1-0 Товары'!$P150</f>
        <v/>
      </c>
      <c r="P150" s="146"/>
      <c r="Q150" s="146"/>
      <c r="R150" s="146"/>
      <c r="S150" s="146"/>
      <c r="T150" s="146"/>
      <c r="U150" s="146"/>
      <c r="V150" s="146"/>
      <c r="W150" s="146"/>
      <c r="X150" s="146"/>
      <c r="Y150" s="146"/>
      <c r="Z150" s="146"/>
    </row>
    <row r="151">
      <c r="A151" s="144"/>
      <c r="B151" s="244" t="s">
        <v>96</v>
      </c>
      <c r="C151" s="184" t="str">
        <f>'1-0 Товары'!C151</f>
        <v/>
      </c>
      <c r="D151" s="186" t="str">
        <f>'1-0 Товары'!D151</f>
        <v/>
      </c>
      <c r="E151" s="277" t="str">
        <f>'1-0 Товары'!E151</f>
        <v/>
      </c>
      <c r="F151" s="191"/>
      <c r="G151" s="191"/>
      <c r="H151" s="196"/>
      <c r="I151" s="196"/>
      <c r="J151" s="199" t="str">
        <f>'1-0 Товары'!$G151</f>
        <v/>
      </c>
      <c r="K151" s="200" t="str">
        <f>'1-0 Товары'!$H151</f>
        <v/>
      </c>
      <c r="L151" s="201" t="str">
        <f>'1-0 Товары'!$I151</f>
        <v/>
      </c>
      <c r="M151" s="203" t="str">
        <f>'1-0 Товары'!$N151</f>
        <v/>
      </c>
      <c r="N151" s="206" t="str">
        <f>'1-0 Товары'!$O151</f>
        <v/>
      </c>
      <c r="O151" s="206" t="str">
        <f>'1-0 Товары'!$P151</f>
        <v/>
      </c>
      <c r="P151" s="146"/>
      <c r="Q151" s="146"/>
      <c r="R151" s="146"/>
      <c r="S151" s="146"/>
      <c r="T151" s="146"/>
      <c r="U151" s="146"/>
      <c r="V151" s="146"/>
      <c r="W151" s="146"/>
      <c r="X151" s="146"/>
      <c r="Y151" s="146"/>
      <c r="Z151" s="146"/>
    </row>
    <row r="152">
      <c r="A152" s="144"/>
      <c r="B152" s="244" t="s">
        <v>96</v>
      </c>
      <c r="C152" s="184" t="str">
        <f>'1-0 Товары'!C152</f>
        <v/>
      </c>
      <c r="D152" s="186" t="str">
        <f>'1-0 Товары'!D152</f>
        <v/>
      </c>
      <c r="E152" s="277" t="str">
        <f>'1-0 Товары'!E152</f>
        <v/>
      </c>
      <c r="F152" s="191"/>
      <c r="G152" s="191"/>
      <c r="H152" s="196"/>
      <c r="I152" s="196"/>
      <c r="J152" s="199" t="str">
        <f>'1-0 Товары'!$G152</f>
        <v/>
      </c>
      <c r="K152" s="200" t="str">
        <f>'1-0 Товары'!$H152</f>
        <v/>
      </c>
      <c r="L152" s="201" t="str">
        <f>'1-0 Товары'!$I152</f>
        <v/>
      </c>
      <c r="M152" s="203" t="str">
        <f>'1-0 Товары'!$N152</f>
        <v/>
      </c>
      <c r="N152" s="206" t="str">
        <f>'1-0 Товары'!$O152</f>
        <v/>
      </c>
      <c r="O152" s="206" t="str">
        <f>'1-0 Товары'!$P152</f>
        <v/>
      </c>
      <c r="P152" s="146"/>
      <c r="Q152" s="146"/>
      <c r="R152" s="146"/>
      <c r="S152" s="146"/>
      <c r="T152" s="146"/>
      <c r="U152" s="146"/>
      <c r="V152" s="146"/>
      <c r="W152" s="146"/>
      <c r="X152" s="146"/>
      <c r="Y152" s="146"/>
      <c r="Z152" s="146"/>
    </row>
    <row r="153">
      <c r="A153" s="144"/>
      <c r="B153" s="244" t="s">
        <v>96</v>
      </c>
      <c r="C153" s="184" t="str">
        <f>'1-0 Товары'!C153</f>
        <v/>
      </c>
      <c r="D153" s="186" t="str">
        <f>'1-0 Товары'!D153</f>
        <v/>
      </c>
      <c r="E153" s="277" t="str">
        <f>'1-0 Товары'!E153</f>
        <v/>
      </c>
      <c r="F153" s="191"/>
      <c r="G153" s="191"/>
      <c r="H153" s="196"/>
      <c r="I153" s="196"/>
      <c r="J153" s="199" t="str">
        <f>'1-0 Товары'!$G153</f>
        <v/>
      </c>
      <c r="K153" s="200" t="str">
        <f>'1-0 Товары'!$H153</f>
        <v/>
      </c>
      <c r="L153" s="201" t="str">
        <f>'1-0 Товары'!$I153</f>
        <v/>
      </c>
      <c r="M153" s="203" t="str">
        <f>'1-0 Товары'!$N153</f>
        <v/>
      </c>
      <c r="N153" s="206" t="str">
        <f>'1-0 Товары'!$O153</f>
        <v/>
      </c>
      <c r="O153" s="206" t="str">
        <f>'1-0 Товары'!$P153</f>
        <v/>
      </c>
      <c r="P153" s="146"/>
      <c r="Q153" s="146"/>
      <c r="R153" s="146"/>
      <c r="S153" s="146"/>
      <c r="T153" s="146"/>
      <c r="U153" s="146"/>
      <c r="V153" s="146"/>
      <c r="W153" s="146"/>
      <c r="X153" s="146"/>
      <c r="Y153" s="146"/>
      <c r="Z153" s="146"/>
    </row>
    <row r="154">
      <c r="A154" s="144"/>
      <c r="B154" s="244" t="s">
        <v>96</v>
      </c>
      <c r="C154" s="184" t="str">
        <f>'1-0 Товары'!C154</f>
        <v/>
      </c>
      <c r="D154" s="186" t="str">
        <f>'1-0 Товары'!D154</f>
        <v/>
      </c>
      <c r="E154" s="277" t="str">
        <f>'1-0 Товары'!E154</f>
        <v/>
      </c>
      <c r="F154" s="191"/>
      <c r="G154" s="191"/>
      <c r="H154" s="196"/>
      <c r="I154" s="196"/>
      <c r="J154" s="199" t="str">
        <f>'1-0 Товары'!$G154</f>
        <v/>
      </c>
      <c r="K154" s="200" t="str">
        <f>'1-0 Товары'!$H154</f>
        <v/>
      </c>
      <c r="L154" s="201" t="str">
        <f>'1-0 Товары'!$I154</f>
        <v/>
      </c>
      <c r="M154" s="203" t="str">
        <f>'1-0 Товары'!$N154</f>
        <v/>
      </c>
      <c r="N154" s="206" t="str">
        <f>'1-0 Товары'!$O154</f>
        <v/>
      </c>
      <c r="O154" s="206" t="str">
        <f>'1-0 Товары'!$P154</f>
        <v/>
      </c>
      <c r="P154" s="146"/>
      <c r="Q154" s="146"/>
      <c r="R154" s="146"/>
      <c r="S154" s="146"/>
      <c r="T154" s="146"/>
      <c r="U154" s="146"/>
      <c r="V154" s="146"/>
      <c r="W154" s="146"/>
      <c r="X154" s="146"/>
      <c r="Y154" s="146"/>
      <c r="Z154" s="146"/>
    </row>
    <row r="155">
      <c r="A155" s="144"/>
      <c r="B155" s="244" t="s">
        <v>96</v>
      </c>
      <c r="C155" s="184" t="str">
        <f>'1-0 Товары'!C155</f>
        <v/>
      </c>
      <c r="D155" s="186" t="str">
        <f>'1-0 Товары'!D155</f>
        <v/>
      </c>
      <c r="E155" s="277" t="str">
        <f>'1-0 Товары'!E155</f>
        <v/>
      </c>
      <c r="F155" s="191"/>
      <c r="G155" s="191"/>
      <c r="H155" s="196"/>
      <c r="I155" s="196"/>
      <c r="J155" s="199" t="str">
        <f>'1-0 Товары'!$G155</f>
        <v/>
      </c>
      <c r="K155" s="200" t="str">
        <f>'1-0 Товары'!$H155</f>
        <v/>
      </c>
      <c r="L155" s="201" t="str">
        <f>'1-0 Товары'!$I155</f>
        <v/>
      </c>
      <c r="M155" s="203" t="str">
        <f>'1-0 Товары'!$N155</f>
        <v/>
      </c>
      <c r="N155" s="206" t="str">
        <f>'1-0 Товары'!$O155</f>
        <v/>
      </c>
      <c r="O155" s="206" t="str">
        <f>'1-0 Товары'!$P155</f>
        <v/>
      </c>
      <c r="P155" s="146"/>
      <c r="Q155" s="146"/>
      <c r="R155" s="146"/>
      <c r="S155" s="146"/>
      <c r="T155" s="146"/>
      <c r="U155" s="146"/>
      <c r="V155" s="146"/>
      <c r="W155" s="146"/>
      <c r="X155" s="146"/>
      <c r="Y155" s="146"/>
      <c r="Z155" s="146"/>
    </row>
    <row r="156">
      <c r="A156" s="144"/>
      <c r="B156" s="244" t="s">
        <v>96</v>
      </c>
      <c r="C156" s="184" t="str">
        <f>'1-0 Товары'!C156</f>
        <v/>
      </c>
      <c r="D156" s="186" t="str">
        <f>'1-0 Товары'!D156</f>
        <v/>
      </c>
      <c r="E156" s="277" t="str">
        <f>'1-0 Товары'!E156</f>
        <v/>
      </c>
      <c r="F156" s="191"/>
      <c r="G156" s="191"/>
      <c r="H156" s="196"/>
      <c r="I156" s="196"/>
      <c r="J156" s="199" t="str">
        <f>'1-0 Товары'!$G156</f>
        <v/>
      </c>
      <c r="K156" s="200" t="str">
        <f>'1-0 Товары'!$H156</f>
        <v/>
      </c>
      <c r="L156" s="201" t="str">
        <f>'1-0 Товары'!$I156</f>
        <v/>
      </c>
      <c r="M156" s="203" t="str">
        <f>'1-0 Товары'!$N156</f>
        <v/>
      </c>
      <c r="N156" s="206" t="str">
        <f>'1-0 Товары'!$O156</f>
        <v/>
      </c>
      <c r="O156" s="206" t="str">
        <f>'1-0 Товары'!$P156</f>
        <v/>
      </c>
      <c r="P156" s="146"/>
      <c r="Q156" s="146"/>
      <c r="R156" s="146"/>
      <c r="S156" s="146"/>
      <c r="T156" s="146"/>
      <c r="U156" s="146"/>
      <c r="V156" s="146"/>
      <c r="W156" s="146"/>
      <c r="X156" s="146"/>
      <c r="Y156" s="146"/>
      <c r="Z156" s="146"/>
    </row>
    <row r="157">
      <c r="A157" s="144"/>
      <c r="B157" s="244" t="s">
        <v>96</v>
      </c>
      <c r="C157" s="184" t="str">
        <f>'1-0 Товары'!C157</f>
        <v/>
      </c>
      <c r="D157" s="186" t="str">
        <f>'1-0 Товары'!D157</f>
        <v/>
      </c>
      <c r="E157" s="277" t="str">
        <f>'1-0 Товары'!E157</f>
        <v/>
      </c>
      <c r="F157" s="191"/>
      <c r="G157" s="191"/>
      <c r="H157" s="196"/>
      <c r="I157" s="196"/>
      <c r="J157" s="199" t="str">
        <f>'1-0 Товары'!$G157</f>
        <v/>
      </c>
      <c r="K157" s="200" t="str">
        <f>'1-0 Товары'!$H157</f>
        <v/>
      </c>
      <c r="L157" s="201" t="str">
        <f>'1-0 Товары'!$I157</f>
        <v/>
      </c>
      <c r="M157" s="203" t="str">
        <f>'1-0 Товары'!$N157</f>
        <v/>
      </c>
      <c r="N157" s="206" t="str">
        <f>'1-0 Товары'!$O157</f>
        <v/>
      </c>
      <c r="O157" s="206" t="str">
        <f>'1-0 Товары'!$P157</f>
        <v/>
      </c>
      <c r="P157" s="146"/>
      <c r="Q157" s="146"/>
      <c r="R157" s="146"/>
      <c r="S157" s="146"/>
      <c r="T157" s="146"/>
      <c r="U157" s="146"/>
      <c r="V157" s="146"/>
      <c r="W157" s="146"/>
      <c r="X157" s="146"/>
      <c r="Y157" s="146"/>
      <c r="Z157" s="146"/>
    </row>
    <row r="158">
      <c r="A158" s="144"/>
      <c r="B158" s="244" t="s">
        <v>96</v>
      </c>
      <c r="C158" s="184" t="str">
        <f>'1-0 Товары'!C158</f>
        <v/>
      </c>
      <c r="D158" s="186" t="str">
        <f>'1-0 Товары'!D158</f>
        <v/>
      </c>
      <c r="E158" s="277" t="str">
        <f>'1-0 Товары'!E158</f>
        <v/>
      </c>
      <c r="F158" s="191"/>
      <c r="G158" s="191"/>
      <c r="H158" s="196"/>
      <c r="I158" s="196"/>
      <c r="J158" s="199" t="str">
        <f>'1-0 Товары'!$G158</f>
        <v/>
      </c>
      <c r="K158" s="200" t="str">
        <f>'1-0 Товары'!$H158</f>
        <v/>
      </c>
      <c r="L158" s="201" t="str">
        <f>'1-0 Товары'!$I158</f>
        <v/>
      </c>
      <c r="M158" s="203" t="str">
        <f>'1-0 Товары'!$N158</f>
        <v/>
      </c>
      <c r="N158" s="206" t="str">
        <f>'1-0 Товары'!$O158</f>
        <v/>
      </c>
      <c r="O158" s="206" t="str">
        <f>'1-0 Товары'!$P158</f>
        <v/>
      </c>
      <c r="P158" s="146"/>
      <c r="Q158" s="146"/>
      <c r="R158" s="146"/>
      <c r="S158" s="146"/>
      <c r="T158" s="146"/>
      <c r="U158" s="146"/>
      <c r="V158" s="146"/>
      <c r="W158" s="146"/>
      <c r="X158" s="146"/>
      <c r="Y158" s="146"/>
      <c r="Z158" s="146"/>
    </row>
    <row r="159">
      <c r="A159" s="144"/>
      <c r="B159" s="244" t="s">
        <v>96</v>
      </c>
      <c r="C159" s="184" t="str">
        <f>'1-0 Товары'!C159</f>
        <v/>
      </c>
      <c r="D159" s="186" t="str">
        <f>'1-0 Товары'!D159</f>
        <v/>
      </c>
      <c r="E159" s="277" t="str">
        <f>'1-0 Товары'!E159</f>
        <v/>
      </c>
      <c r="F159" s="191"/>
      <c r="G159" s="191"/>
      <c r="H159" s="196"/>
      <c r="I159" s="196"/>
      <c r="J159" s="199" t="str">
        <f>'1-0 Товары'!$G159</f>
        <v/>
      </c>
      <c r="K159" s="200" t="str">
        <f>'1-0 Товары'!$H159</f>
        <v/>
      </c>
      <c r="L159" s="201" t="str">
        <f>'1-0 Товары'!$I159</f>
        <v/>
      </c>
      <c r="M159" s="203" t="str">
        <f>'1-0 Товары'!$N159</f>
        <v/>
      </c>
      <c r="N159" s="206" t="str">
        <f>'1-0 Товары'!$O159</f>
        <v/>
      </c>
      <c r="O159" s="206" t="str">
        <f>'1-0 Товары'!$P159</f>
        <v/>
      </c>
      <c r="P159" s="146"/>
      <c r="Q159" s="146"/>
      <c r="R159" s="146"/>
      <c r="S159" s="146"/>
      <c r="T159" s="146"/>
      <c r="U159" s="146"/>
      <c r="V159" s="146"/>
      <c r="W159" s="146"/>
      <c r="X159" s="146"/>
      <c r="Y159" s="146"/>
      <c r="Z159" s="146"/>
    </row>
    <row r="160">
      <c r="A160" s="144"/>
      <c r="B160" s="244" t="s">
        <v>96</v>
      </c>
      <c r="C160" s="184" t="str">
        <f>'1-0 Товары'!C160</f>
        <v/>
      </c>
      <c r="D160" s="186" t="str">
        <f>'1-0 Товары'!D160</f>
        <v/>
      </c>
      <c r="E160" s="277" t="str">
        <f>'1-0 Товары'!E160</f>
        <v/>
      </c>
      <c r="F160" s="191"/>
      <c r="G160" s="191"/>
      <c r="H160" s="196"/>
      <c r="I160" s="196"/>
      <c r="J160" s="199" t="str">
        <f>'1-0 Товары'!$G160</f>
        <v/>
      </c>
      <c r="K160" s="200" t="str">
        <f>'1-0 Товары'!$H160</f>
        <v/>
      </c>
      <c r="L160" s="201" t="str">
        <f>'1-0 Товары'!$I160</f>
        <v/>
      </c>
      <c r="M160" s="203" t="str">
        <f>'1-0 Товары'!$N160</f>
        <v/>
      </c>
      <c r="N160" s="206" t="str">
        <f>'1-0 Товары'!$O160</f>
        <v/>
      </c>
      <c r="O160" s="206" t="str">
        <f>'1-0 Товары'!$P160</f>
        <v/>
      </c>
      <c r="P160" s="146"/>
      <c r="Q160" s="146"/>
      <c r="R160" s="146"/>
      <c r="S160" s="146"/>
      <c r="T160" s="146"/>
      <c r="U160" s="146"/>
      <c r="V160" s="146"/>
      <c r="W160" s="146"/>
      <c r="X160" s="146"/>
      <c r="Y160" s="146"/>
      <c r="Z160" s="146"/>
    </row>
    <row r="161">
      <c r="A161" s="144"/>
      <c r="B161" s="244" t="s">
        <v>96</v>
      </c>
      <c r="C161" s="184" t="str">
        <f>'1-0 Товары'!C161</f>
        <v/>
      </c>
      <c r="D161" s="186" t="str">
        <f>'1-0 Товары'!D161</f>
        <v/>
      </c>
      <c r="E161" s="277" t="str">
        <f>'1-0 Товары'!E161</f>
        <v/>
      </c>
      <c r="F161" s="191"/>
      <c r="G161" s="191"/>
      <c r="H161" s="196"/>
      <c r="I161" s="196"/>
      <c r="J161" s="199" t="str">
        <f>'1-0 Товары'!$G161</f>
        <v/>
      </c>
      <c r="K161" s="200" t="str">
        <f>'1-0 Товары'!$H161</f>
        <v/>
      </c>
      <c r="L161" s="201" t="str">
        <f>'1-0 Товары'!$I161</f>
        <v/>
      </c>
      <c r="M161" s="203" t="str">
        <f>'1-0 Товары'!$N161</f>
        <v/>
      </c>
      <c r="N161" s="206" t="str">
        <f>'1-0 Товары'!$O161</f>
        <v/>
      </c>
      <c r="O161" s="206" t="str">
        <f>'1-0 Товары'!$P161</f>
        <v/>
      </c>
      <c r="P161" s="146"/>
      <c r="Q161" s="146"/>
      <c r="R161" s="146"/>
      <c r="S161" s="146"/>
      <c r="T161" s="146"/>
      <c r="U161" s="146"/>
      <c r="V161" s="146"/>
      <c r="W161" s="146"/>
      <c r="X161" s="146"/>
      <c r="Y161" s="146"/>
      <c r="Z161" s="146"/>
    </row>
    <row r="162">
      <c r="A162" s="144"/>
      <c r="B162" s="244" t="s">
        <v>96</v>
      </c>
      <c r="C162" s="184" t="str">
        <f>'1-0 Товары'!C162</f>
        <v/>
      </c>
      <c r="D162" s="186" t="str">
        <f>'1-0 Товары'!D162</f>
        <v/>
      </c>
      <c r="E162" s="277" t="str">
        <f>'1-0 Товары'!E162</f>
        <v/>
      </c>
      <c r="F162" s="191"/>
      <c r="G162" s="191"/>
      <c r="H162" s="196"/>
      <c r="I162" s="196"/>
      <c r="J162" s="199" t="str">
        <f>'1-0 Товары'!$G162</f>
        <v/>
      </c>
      <c r="K162" s="200" t="str">
        <f>'1-0 Товары'!$H162</f>
        <v/>
      </c>
      <c r="L162" s="201" t="str">
        <f>'1-0 Товары'!$I162</f>
        <v/>
      </c>
      <c r="M162" s="203" t="str">
        <f>'1-0 Товары'!$N162</f>
        <v/>
      </c>
      <c r="N162" s="206" t="str">
        <f>'1-0 Товары'!$O162</f>
        <v/>
      </c>
      <c r="O162" s="206" t="str">
        <f>'1-0 Товары'!$P162</f>
        <v/>
      </c>
      <c r="P162" s="146"/>
      <c r="Q162" s="146"/>
      <c r="R162" s="146"/>
      <c r="S162" s="146"/>
      <c r="T162" s="146"/>
      <c r="U162" s="146"/>
      <c r="V162" s="146"/>
      <c r="W162" s="146"/>
      <c r="X162" s="146"/>
      <c r="Y162" s="146"/>
      <c r="Z162" s="146"/>
    </row>
    <row r="163">
      <c r="A163" s="144"/>
      <c r="B163" s="244" t="s">
        <v>96</v>
      </c>
      <c r="C163" s="184" t="str">
        <f>'1-0 Товары'!C163</f>
        <v/>
      </c>
      <c r="D163" s="186" t="str">
        <f>'1-0 Товары'!D163</f>
        <v/>
      </c>
      <c r="E163" s="277" t="str">
        <f>'1-0 Товары'!E163</f>
        <v/>
      </c>
      <c r="F163" s="191"/>
      <c r="G163" s="191"/>
      <c r="H163" s="196"/>
      <c r="I163" s="196"/>
      <c r="J163" s="199" t="str">
        <f>'1-0 Товары'!$G163</f>
        <v/>
      </c>
      <c r="K163" s="200" t="str">
        <f>'1-0 Товары'!$H163</f>
        <v/>
      </c>
      <c r="L163" s="201" t="str">
        <f>'1-0 Товары'!$I163</f>
        <v/>
      </c>
      <c r="M163" s="203" t="str">
        <f>'1-0 Товары'!$N163</f>
        <v/>
      </c>
      <c r="N163" s="206" t="str">
        <f>'1-0 Товары'!$O163</f>
        <v/>
      </c>
      <c r="O163" s="206" t="str">
        <f>'1-0 Товары'!$P163</f>
        <v/>
      </c>
      <c r="P163" s="146"/>
      <c r="Q163" s="146"/>
      <c r="R163" s="146"/>
      <c r="S163" s="146"/>
      <c r="T163" s="146"/>
      <c r="U163" s="146"/>
      <c r="V163" s="146"/>
      <c r="W163" s="146"/>
      <c r="X163" s="146"/>
      <c r="Y163" s="146"/>
      <c r="Z163" s="146"/>
    </row>
    <row r="164">
      <c r="A164" s="144"/>
      <c r="B164" s="244" t="s">
        <v>96</v>
      </c>
      <c r="C164" s="184" t="str">
        <f>'1-0 Товары'!C164</f>
        <v/>
      </c>
      <c r="D164" s="186" t="str">
        <f>'1-0 Товары'!D164</f>
        <v/>
      </c>
      <c r="E164" s="277" t="str">
        <f>'1-0 Товары'!E164</f>
        <v/>
      </c>
      <c r="F164" s="191"/>
      <c r="G164" s="191"/>
      <c r="H164" s="196"/>
      <c r="I164" s="196"/>
      <c r="J164" s="199" t="str">
        <f>'1-0 Товары'!$G164</f>
        <v/>
      </c>
      <c r="K164" s="200" t="str">
        <f>'1-0 Товары'!$H164</f>
        <v/>
      </c>
      <c r="L164" s="201" t="str">
        <f>'1-0 Товары'!$I164</f>
        <v/>
      </c>
      <c r="M164" s="203" t="str">
        <f>'1-0 Товары'!$N164</f>
        <v/>
      </c>
      <c r="N164" s="206" t="str">
        <f>'1-0 Товары'!$O164</f>
        <v/>
      </c>
      <c r="O164" s="206" t="str">
        <f>'1-0 Товары'!$P164</f>
        <v/>
      </c>
      <c r="P164" s="146"/>
      <c r="Q164" s="146"/>
      <c r="R164" s="146"/>
      <c r="S164" s="146"/>
      <c r="T164" s="146"/>
      <c r="U164" s="146"/>
      <c r="V164" s="146"/>
      <c r="W164" s="146"/>
      <c r="X164" s="146"/>
      <c r="Y164" s="146"/>
      <c r="Z164" s="146"/>
    </row>
    <row r="165">
      <c r="A165" s="144"/>
      <c r="B165" s="244" t="s">
        <v>96</v>
      </c>
      <c r="C165" s="184" t="str">
        <f>'1-0 Товары'!C165</f>
        <v/>
      </c>
      <c r="D165" s="186" t="str">
        <f>'1-0 Товары'!D165</f>
        <v/>
      </c>
      <c r="E165" s="277" t="str">
        <f>'1-0 Товары'!E165</f>
        <v/>
      </c>
      <c r="F165" s="191"/>
      <c r="G165" s="191"/>
      <c r="H165" s="196"/>
      <c r="I165" s="196"/>
      <c r="J165" s="199" t="str">
        <f>'1-0 Товары'!$G165</f>
        <v/>
      </c>
      <c r="K165" s="200" t="str">
        <f>'1-0 Товары'!$H165</f>
        <v/>
      </c>
      <c r="L165" s="201" t="str">
        <f>'1-0 Товары'!$I165</f>
        <v/>
      </c>
      <c r="M165" s="203" t="str">
        <f>'1-0 Товары'!$N165</f>
        <v/>
      </c>
      <c r="N165" s="206" t="str">
        <f>'1-0 Товары'!$O165</f>
        <v/>
      </c>
      <c r="O165" s="206" t="str">
        <f>'1-0 Товары'!$P165</f>
        <v/>
      </c>
      <c r="P165" s="146"/>
      <c r="Q165" s="146"/>
      <c r="R165" s="146"/>
      <c r="S165" s="146"/>
      <c r="T165" s="146"/>
      <c r="U165" s="146"/>
      <c r="V165" s="146"/>
      <c r="W165" s="146"/>
      <c r="X165" s="146"/>
      <c r="Y165" s="146"/>
      <c r="Z165" s="146"/>
    </row>
    <row r="166">
      <c r="A166" s="144"/>
      <c r="B166" s="244" t="s">
        <v>96</v>
      </c>
      <c r="C166" s="184" t="str">
        <f>'1-0 Товары'!C166</f>
        <v/>
      </c>
      <c r="D166" s="186" t="str">
        <f>'1-0 Товары'!D166</f>
        <v/>
      </c>
      <c r="E166" s="277" t="str">
        <f>'1-0 Товары'!E166</f>
        <v/>
      </c>
      <c r="F166" s="191"/>
      <c r="G166" s="191"/>
      <c r="H166" s="196"/>
      <c r="I166" s="196"/>
      <c r="J166" s="199" t="str">
        <f>'1-0 Товары'!$G166</f>
        <v/>
      </c>
      <c r="K166" s="200" t="str">
        <f>'1-0 Товары'!$H166</f>
        <v/>
      </c>
      <c r="L166" s="201" t="str">
        <f>'1-0 Товары'!$I166</f>
        <v/>
      </c>
      <c r="M166" s="203" t="str">
        <f>'1-0 Товары'!$N166</f>
        <v/>
      </c>
      <c r="N166" s="206" t="str">
        <f>'1-0 Товары'!$O166</f>
        <v/>
      </c>
      <c r="O166" s="206" t="str">
        <f>'1-0 Товары'!$P166</f>
        <v/>
      </c>
      <c r="P166" s="146"/>
      <c r="Q166" s="146"/>
      <c r="R166" s="146"/>
      <c r="S166" s="146"/>
      <c r="T166" s="146"/>
      <c r="U166" s="146"/>
      <c r="V166" s="146"/>
      <c r="W166" s="146"/>
      <c r="X166" s="146"/>
      <c r="Y166" s="146"/>
      <c r="Z166" s="146"/>
    </row>
    <row r="167">
      <c r="A167" s="144"/>
      <c r="B167" s="244" t="s">
        <v>96</v>
      </c>
      <c r="C167" s="184" t="str">
        <f>'1-0 Товары'!C167</f>
        <v/>
      </c>
      <c r="D167" s="186" t="str">
        <f>'1-0 Товары'!D167</f>
        <v/>
      </c>
      <c r="E167" s="277" t="str">
        <f>'1-0 Товары'!E167</f>
        <v/>
      </c>
      <c r="F167" s="191"/>
      <c r="G167" s="191"/>
      <c r="H167" s="196"/>
      <c r="I167" s="196"/>
      <c r="J167" s="199" t="str">
        <f>'1-0 Товары'!$G167</f>
        <v/>
      </c>
      <c r="K167" s="200" t="str">
        <f>'1-0 Товары'!$H167</f>
        <v/>
      </c>
      <c r="L167" s="201" t="str">
        <f>'1-0 Товары'!$I167</f>
        <v/>
      </c>
      <c r="M167" s="203" t="str">
        <f>'1-0 Товары'!$N167</f>
        <v/>
      </c>
      <c r="N167" s="206" t="str">
        <f>'1-0 Товары'!$O167</f>
        <v/>
      </c>
      <c r="O167" s="206" t="str">
        <f>'1-0 Товары'!$P167</f>
        <v/>
      </c>
      <c r="P167" s="146"/>
      <c r="Q167" s="146"/>
      <c r="R167" s="146"/>
      <c r="S167" s="146"/>
      <c r="T167" s="146"/>
      <c r="U167" s="146"/>
      <c r="V167" s="146"/>
      <c r="W167" s="146"/>
      <c r="X167" s="146"/>
      <c r="Y167" s="146"/>
      <c r="Z167" s="146"/>
    </row>
    <row r="168">
      <c r="A168" s="144"/>
      <c r="B168" s="244" t="s">
        <v>96</v>
      </c>
      <c r="C168" s="184" t="str">
        <f>'1-0 Товары'!C168</f>
        <v/>
      </c>
      <c r="D168" s="186" t="str">
        <f>'1-0 Товары'!D168</f>
        <v/>
      </c>
      <c r="E168" s="277" t="str">
        <f>'1-0 Товары'!E168</f>
        <v/>
      </c>
      <c r="F168" s="191"/>
      <c r="G168" s="191"/>
      <c r="H168" s="196"/>
      <c r="I168" s="196"/>
      <c r="J168" s="199" t="str">
        <f>'1-0 Товары'!$G168</f>
        <v/>
      </c>
      <c r="K168" s="200" t="str">
        <f>'1-0 Товары'!$H168</f>
        <v/>
      </c>
      <c r="L168" s="201" t="str">
        <f>'1-0 Товары'!$I168</f>
        <v/>
      </c>
      <c r="M168" s="203" t="str">
        <f>'1-0 Товары'!$N168</f>
        <v/>
      </c>
      <c r="N168" s="206" t="str">
        <f>'1-0 Товары'!$O168</f>
        <v/>
      </c>
      <c r="O168" s="206" t="str">
        <f>'1-0 Товары'!$P168</f>
        <v/>
      </c>
      <c r="P168" s="146"/>
      <c r="Q168" s="146"/>
      <c r="R168" s="146"/>
      <c r="S168" s="146"/>
      <c r="T168" s="146"/>
      <c r="U168" s="146"/>
      <c r="V168" s="146"/>
      <c r="W168" s="146"/>
      <c r="X168" s="146"/>
      <c r="Y168" s="146"/>
      <c r="Z168" s="146"/>
    </row>
    <row r="169">
      <c r="A169" s="144"/>
      <c r="B169" s="244" t="s">
        <v>96</v>
      </c>
      <c r="C169" s="184" t="str">
        <f>'1-0 Товары'!C169</f>
        <v/>
      </c>
      <c r="D169" s="186" t="str">
        <f>'1-0 Товары'!D169</f>
        <v/>
      </c>
      <c r="E169" s="277" t="str">
        <f>'1-0 Товары'!E169</f>
        <v/>
      </c>
      <c r="F169" s="191"/>
      <c r="G169" s="191"/>
      <c r="H169" s="196"/>
      <c r="I169" s="196"/>
      <c r="J169" s="199" t="str">
        <f>'1-0 Товары'!$G169</f>
        <v/>
      </c>
      <c r="K169" s="200" t="str">
        <f>'1-0 Товары'!$H169</f>
        <v/>
      </c>
      <c r="L169" s="201" t="str">
        <f>'1-0 Товары'!$I169</f>
        <v/>
      </c>
      <c r="M169" s="203" t="str">
        <f>'1-0 Товары'!$N169</f>
        <v/>
      </c>
      <c r="N169" s="206" t="str">
        <f>'1-0 Товары'!$O169</f>
        <v/>
      </c>
      <c r="O169" s="206" t="str">
        <f>'1-0 Товары'!$P169</f>
        <v/>
      </c>
      <c r="P169" s="146"/>
      <c r="Q169" s="146"/>
      <c r="R169" s="146"/>
      <c r="S169" s="146"/>
      <c r="T169" s="146"/>
      <c r="U169" s="146"/>
      <c r="V169" s="146"/>
      <c r="W169" s="146"/>
      <c r="X169" s="146"/>
      <c r="Y169" s="146"/>
      <c r="Z169" s="146"/>
    </row>
    <row r="170">
      <c r="A170" s="144"/>
      <c r="B170" s="244" t="s">
        <v>96</v>
      </c>
      <c r="C170" s="184" t="str">
        <f>'1-0 Товары'!C170</f>
        <v/>
      </c>
      <c r="D170" s="186" t="str">
        <f>'1-0 Товары'!D170</f>
        <v/>
      </c>
      <c r="E170" s="277" t="str">
        <f>'1-0 Товары'!E170</f>
        <v/>
      </c>
      <c r="F170" s="191"/>
      <c r="G170" s="191"/>
      <c r="H170" s="196"/>
      <c r="I170" s="196"/>
      <c r="J170" s="199" t="str">
        <f>'1-0 Товары'!$G170</f>
        <v/>
      </c>
      <c r="K170" s="200" t="str">
        <f>'1-0 Товары'!$H170</f>
        <v/>
      </c>
      <c r="L170" s="201" t="str">
        <f>'1-0 Товары'!$I170</f>
        <v/>
      </c>
      <c r="M170" s="203" t="str">
        <f>'1-0 Товары'!$N170</f>
        <v/>
      </c>
      <c r="N170" s="206" t="str">
        <f>'1-0 Товары'!$O170</f>
        <v/>
      </c>
      <c r="O170" s="206" t="str">
        <f>'1-0 Товары'!$P170</f>
        <v/>
      </c>
      <c r="P170" s="146"/>
      <c r="Q170" s="146"/>
      <c r="R170" s="146"/>
      <c r="S170" s="146"/>
      <c r="T170" s="146"/>
      <c r="U170" s="146"/>
      <c r="V170" s="146"/>
      <c r="W170" s="146"/>
      <c r="X170" s="146"/>
      <c r="Y170" s="146"/>
      <c r="Z170" s="146"/>
    </row>
    <row r="171">
      <c r="A171" s="144"/>
      <c r="B171" s="244" t="s">
        <v>96</v>
      </c>
      <c r="C171" s="184" t="str">
        <f>'1-0 Товары'!C171</f>
        <v/>
      </c>
      <c r="D171" s="186" t="str">
        <f>'1-0 Товары'!D171</f>
        <v/>
      </c>
      <c r="E171" s="277" t="str">
        <f>'1-0 Товары'!E171</f>
        <v/>
      </c>
      <c r="F171" s="191"/>
      <c r="G171" s="191"/>
      <c r="H171" s="196"/>
      <c r="I171" s="196"/>
      <c r="J171" s="199" t="str">
        <f>'1-0 Товары'!$G171</f>
        <v/>
      </c>
      <c r="K171" s="200" t="str">
        <f>'1-0 Товары'!$H171</f>
        <v/>
      </c>
      <c r="L171" s="201" t="str">
        <f>'1-0 Товары'!$I171</f>
        <v/>
      </c>
      <c r="M171" s="203" t="str">
        <f>'1-0 Товары'!$N171</f>
        <v/>
      </c>
      <c r="N171" s="206" t="str">
        <f>'1-0 Товары'!$O171</f>
        <v/>
      </c>
      <c r="O171" s="206" t="str">
        <f>'1-0 Товары'!$P171</f>
        <v/>
      </c>
      <c r="P171" s="146"/>
      <c r="Q171" s="146"/>
      <c r="R171" s="146"/>
      <c r="S171" s="146"/>
      <c r="T171" s="146"/>
      <c r="U171" s="146"/>
      <c r="V171" s="146"/>
      <c r="W171" s="146"/>
      <c r="X171" s="146"/>
      <c r="Y171" s="146"/>
      <c r="Z171" s="146"/>
    </row>
    <row r="172">
      <c r="A172" s="144"/>
      <c r="B172" s="244" t="s">
        <v>96</v>
      </c>
      <c r="C172" s="184" t="str">
        <f>'1-0 Товары'!C172</f>
        <v/>
      </c>
      <c r="D172" s="186" t="str">
        <f>'1-0 Товары'!D172</f>
        <v/>
      </c>
      <c r="E172" s="277" t="str">
        <f>'1-0 Товары'!E172</f>
        <v/>
      </c>
      <c r="F172" s="191"/>
      <c r="G172" s="191"/>
      <c r="H172" s="196"/>
      <c r="I172" s="196"/>
      <c r="J172" s="199" t="str">
        <f>'1-0 Товары'!$G172</f>
        <v/>
      </c>
      <c r="K172" s="200" t="str">
        <f>'1-0 Товары'!$H172</f>
        <v/>
      </c>
      <c r="L172" s="201" t="str">
        <f>'1-0 Товары'!$I172</f>
        <v/>
      </c>
      <c r="M172" s="203" t="str">
        <f>'1-0 Товары'!$N172</f>
        <v/>
      </c>
      <c r="N172" s="206" t="str">
        <f>'1-0 Товары'!$O172</f>
        <v/>
      </c>
      <c r="O172" s="206" t="str">
        <f>'1-0 Товары'!$P172</f>
        <v/>
      </c>
      <c r="P172" s="146"/>
      <c r="Q172" s="146"/>
      <c r="R172" s="146"/>
      <c r="S172" s="146"/>
      <c r="T172" s="146"/>
      <c r="U172" s="146"/>
      <c r="V172" s="146"/>
      <c r="W172" s="146"/>
      <c r="X172" s="146"/>
      <c r="Y172" s="146"/>
      <c r="Z172" s="146"/>
    </row>
    <row r="173">
      <c r="A173" s="144"/>
      <c r="B173" s="244" t="s">
        <v>96</v>
      </c>
      <c r="C173" s="184" t="str">
        <f>'1-0 Товары'!C173</f>
        <v/>
      </c>
      <c r="D173" s="186" t="str">
        <f>'1-0 Товары'!D173</f>
        <v/>
      </c>
      <c r="E173" s="277" t="str">
        <f>'1-0 Товары'!E173</f>
        <v/>
      </c>
      <c r="F173" s="191"/>
      <c r="G173" s="191"/>
      <c r="H173" s="196"/>
      <c r="I173" s="196"/>
      <c r="J173" s="199" t="str">
        <f>'1-0 Товары'!$G173</f>
        <v/>
      </c>
      <c r="K173" s="200" t="str">
        <f>'1-0 Товары'!$H173</f>
        <v/>
      </c>
      <c r="L173" s="201" t="str">
        <f>'1-0 Товары'!$I173</f>
        <v/>
      </c>
      <c r="M173" s="203" t="str">
        <f>'1-0 Товары'!$N173</f>
        <v/>
      </c>
      <c r="N173" s="206" t="str">
        <f>'1-0 Товары'!$O173</f>
        <v/>
      </c>
      <c r="O173" s="206" t="str">
        <f>'1-0 Товары'!$P173</f>
        <v/>
      </c>
      <c r="P173" s="146"/>
      <c r="Q173" s="146"/>
      <c r="R173" s="146"/>
      <c r="S173" s="146"/>
      <c r="T173" s="146"/>
      <c r="U173" s="146"/>
      <c r="V173" s="146"/>
      <c r="W173" s="146"/>
      <c r="X173" s="146"/>
      <c r="Y173" s="146"/>
      <c r="Z173" s="146"/>
    </row>
    <row r="174">
      <c r="A174" s="144"/>
      <c r="B174" s="244" t="s">
        <v>96</v>
      </c>
      <c r="C174" s="184" t="str">
        <f>'1-0 Товары'!C174</f>
        <v/>
      </c>
      <c r="D174" s="186" t="str">
        <f>'1-0 Товары'!D174</f>
        <v/>
      </c>
      <c r="E174" s="277" t="str">
        <f>'1-0 Товары'!E174</f>
        <v/>
      </c>
      <c r="F174" s="191"/>
      <c r="G174" s="191"/>
      <c r="H174" s="196"/>
      <c r="I174" s="196"/>
      <c r="J174" s="199" t="str">
        <f>'1-0 Товары'!$G174</f>
        <v/>
      </c>
      <c r="K174" s="200" t="str">
        <f>'1-0 Товары'!$H174</f>
        <v/>
      </c>
      <c r="L174" s="201" t="str">
        <f>'1-0 Товары'!$I174</f>
        <v/>
      </c>
      <c r="M174" s="203" t="str">
        <f>'1-0 Товары'!$N174</f>
        <v/>
      </c>
      <c r="N174" s="206" t="str">
        <f>'1-0 Товары'!$O174</f>
        <v/>
      </c>
      <c r="O174" s="206" t="str">
        <f>'1-0 Товары'!$P174</f>
        <v/>
      </c>
      <c r="P174" s="146"/>
      <c r="Q174" s="146"/>
      <c r="R174" s="146"/>
      <c r="S174" s="146"/>
      <c r="T174" s="146"/>
      <c r="U174" s="146"/>
      <c r="V174" s="146"/>
      <c r="W174" s="146"/>
      <c r="X174" s="146"/>
      <c r="Y174" s="146"/>
      <c r="Z174" s="146"/>
    </row>
    <row r="175">
      <c r="A175" s="144"/>
      <c r="B175" s="244" t="s">
        <v>96</v>
      </c>
      <c r="C175" s="184" t="str">
        <f>'1-0 Товары'!C175</f>
        <v/>
      </c>
      <c r="D175" s="186" t="str">
        <f>'1-0 Товары'!D175</f>
        <v/>
      </c>
      <c r="E175" s="277" t="str">
        <f>'1-0 Товары'!E175</f>
        <v/>
      </c>
      <c r="F175" s="191"/>
      <c r="G175" s="191"/>
      <c r="H175" s="196"/>
      <c r="I175" s="196"/>
      <c r="J175" s="199" t="str">
        <f>'1-0 Товары'!$G175</f>
        <v/>
      </c>
      <c r="K175" s="200" t="str">
        <f>'1-0 Товары'!$H175</f>
        <v/>
      </c>
      <c r="L175" s="201" t="str">
        <f>'1-0 Товары'!$I175</f>
        <v/>
      </c>
      <c r="M175" s="203" t="str">
        <f>'1-0 Товары'!$N175</f>
        <v/>
      </c>
      <c r="N175" s="206" t="str">
        <f>'1-0 Товары'!$O175</f>
        <v/>
      </c>
      <c r="O175" s="206" t="str">
        <f>'1-0 Товары'!$P175</f>
        <v/>
      </c>
      <c r="P175" s="146"/>
      <c r="Q175" s="146"/>
      <c r="R175" s="146"/>
      <c r="S175" s="146"/>
      <c r="T175" s="146"/>
      <c r="U175" s="146"/>
      <c r="V175" s="146"/>
      <c r="W175" s="146"/>
      <c r="X175" s="146"/>
      <c r="Y175" s="146"/>
      <c r="Z175" s="146"/>
    </row>
    <row r="176">
      <c r="A176" s="144"/>
      <c r="B176" s="244" t="s">
        <v>96</v>
      </c>
      <c r="C176" s="184" t="str">
        <f>'1-0 Товары'!C176</f>
        <v/>
      </c>
      <c r="D176" s="186" t="str">
        <f>'1-0 Товары'!D176</f>
        <v/>
      </c>
      <c r="E176" s="277" t="str">
        <f>'1-0 Товары'!E176</f>
        <v/>
      </c>
      <c r="F176" s="191"/>
      <c r="G176" s="191"/>
      <c r="H176" s="196"/>
      <c r="I176" s="196"/>
      <c r="J176" s="199" t="str">
        <f>'1-0 Товары'!$G176</f>
        <v/>
      </c>
      <c r="K176" s="200" t="str">
        <f>'1-0 Товары'!$H176</f>
        <v/>
      </c>
      <c r="L176" s="201" t="str">
        <f>'1-0 Товары'!$I176</f>
        <v/>
      </c>
      <c r="M176" s="203" t="str">
        <f>'1-0 Товары'!$N176</f>
        <v/>
      </c>
      <c r="N176" s="206" t="str">
        <f>'1-0 Товары'!$O176</f>
        <v/>
      </c>
      <c r="O176" s="206" t="str">
        <f>'1-0 Товары'!$P176</f>
        <v/>
      </c>
      <c r="P176" s="146"/>
      <c r="Q176" s="146"/>
      <c r="R176" s="146"/>
      <c r="S176" s="146"/>
      <c r="T176" s="146"/>
      <c r="U176" s="146"/>
      <c r="V176" s="146"/>
      <c r="W176" s="146"/>
      <c r="X176" s="146"/>
      <c r="Y176" s="146"/>
      <c r="Z176" s="146"/>
    </row>
    <row r="177">
      <c r="A177" s="144"/>
      <c r="B177" s="244" t="s">
        <v>96</v>
      </c>
      <c r="C177" s="184" t="str">
        <f>'1-0 Товары'!C177</f>
        <v/>
      </c>
      <c r="D177" s="186" t="str">
        <f>'1-0 Товары'!D177</f>
        <v/>
      </c>
      <c r="E177" s="277" t="str">
        <f>'1-0 Товары'!E177</f>
        <v/>
      </c>
      <c r="F177" s="191"/>
      <c r="G177" s="191"/>
      <c r="H177" s="196"/>
      <c r="I177" s="196"/>
      <c r="J177" s="199" t="str">
        <f>'1-0 Товары'!$G177</f>
        <v/>
      </c>
      <c r="K177" s="200" t="str">
        <f>'1-0 Товары'!$H177</f>
        <v/>
      </c>
      <c r="L177" s="201" t="str">
        <f>'1-0 Товары'!$I177</f>
        <v/>
      </c>
      <c r="M177" s="203" t="str">
        <f>'1-0 Товары'!$N177</f>
        <v/>
      </c>
      <c r="N177" s="206" t="str">
        <f>'1-0 Товары'!$O177</f>
        <v/>
      </c>
      <c r="O177" s="206" t="str">
        <f>'1-0 Товары'!$P177</f>
        <v/>
      </c>
      <c r="P177" s="146"/>
      <c r="Q177" s="146"/>
      <c r="R177" s="146"/>
      <c r="S177" s="146"/>
      <c r="T177" s="146"/>
      <c r="U177" s="146"/>
      <c r="V177" s="146"/>
      <c r="W177" s="146"/>
      <c r="X177" s="146"/>
      <c r="Y177" s="146"/>
      <c r="Z177" s="146"/>
    </row>
    <row r="178">
      <c r="A178" s="144"/>
      <c r="B178" s="244" t="s">
        <v>96</v>
      </c>
      <c r="C178" s="184" t="str">
        <f>'1-0 Товары'!C178</f>
        <v/>
      </c>
      <c r="D178" s="186" t="str">
        <f>'1-0 Товары'!D178</f>
        <v/>
      </c>
      <c r="E178" s="277" t="str">
        <f>'1-0 Товары'!E178</f>
        <v/>
      </c>
      <c r="F178" s="191"/>
      <c r="G178" s="191"/>
      <c r="H178" s="196"/>
      <c r="I178" s="196"/>
      <c r="J178" s="199" t="str">
        <f>'1-0 Товары'!$G178</f>
        <v/>
      </c>
      <c r="K178" s="200" t="str">
        <f>'1-0 Товары'!$H178</f>
        <v/>
      </c>
      <c r="L178" s="201" t="str">
        <f>'1-0 Товары'!$I178</f>
        <v/>
      </c>
      <c r="M178" s="203" t="str">
        <f>'1-0 Товары'!$N178</f>
        <v/>
      </c>
      <c r="N178" s="206" t="str">
        <f>'1-0 Товары'!$O178</f>
        <v/>
      </c>
      <c r="O178" s="206" t="str">
        <f>'1-0 Товары'!$P178</f>
        <v/>
      </c>
      <c r="P178" s="146"/>
      <c r="Q178" s="146"/>
      <c r="R178" s="146"/>
      <c r="S178" s="146"/>
      <c r="T178" s="146"/>
      <c r="U178" s="146"/>
      <c r="V178" s="146"/>
      <c r="W178" s="146"/>
      <c r="X178" s="146"/>
      <c r="Y178" s="146"/>
      <c r="Z178" s="146"/>
    </row>
    <row r="179">
      <c r="A179" s="144"/>
      <c r="B179" s="244" t="s">
        <v>96</v>
      </c>
      <c r="C179" s="184" t="str">
        <f>'1-0 Товары'!C179</f>
        <v/>
      </c>
      <c r="D179" s="186" t="str">
        <f>'1-0 Товары'!D179</f>
        <v/>
      </c>
      <c r="E179" s="277" t="str">
        <f>'1-0 Товары'!E179</f>
        <v/>
      </c>
      <c r="F179" s="191"/>
      <c r="G179" s="191"/>
      <c r="H179" s="196"/>
      <c r="I179" s="196"/>
      <c r="J179" s="199" t="str">
        <f>'1-0 Товары'!$G179</f>
        <v/>
      </c>
      <c r="K179" s="200" t="str">
        <f>'1-0 Товары'!$H179</f>
        <v/>
      </c>
      <c r="L179" s="201" t="str">
        <f>'1-0 Товары'!$I179</f>
        <v/>
      </c>
      <c r="M179" s="203" t="str">
        <f>'1-0 Товары'!$N179</f>
        <v/>
      </c>
      <c r="N179" s="206" t="str">
        <f>'1-0 Товары'!$O179</f>
        <v/>
      </c>
      <c r="O179" s="206" t="str">
        <f>'1-0 Товары'!$P179</f>
        <v/>
      </c>
      <c r="P179" s="146"/>
      <c r="Q179" s="146"/>
      <c r="R179" s="146"/>
      <c r="S179" s="146"/>
      <c r="T179" s="146"/>
      <c r="U179" s="146"/>
      <c r="V179" s="146"/>
      <c r="W179" s="146"/>
      <c r="X179" s="146"/>
      <c r="Y179" s="146"/>
      <c r="Z179" s="146"/>
    </row>
    <row r="180">
      <c r="A180" s="144"/>
      <c r="B180" s="244" t="s">
        <v>96</v>
      </c>
      <c r="C180" s="184" t="str">
        <f>'1-0 Товары'!C180</f>
        <v/>
      </c>
      <c r="D180" s="186" t="str">
        <f>'1-0 Товары'!D180</f>
        <v/>
      </c>
      <c r="E180" s="277" t="str">
        <f>'1-0 Товары'!E180</f>
        <v/>
      </c>
      <c r="F180" s="191"/>
      <c r="G180" s="191"/>
      <c r="H180" s="196"/>
      <c r="I180" s="196"/>
      <c r="J180" s="199" t="str">
        <f>'1-0 Товары'!$G180</f>
        <v/>
      </c>
      <c r="K180" s="200" t="str">
        <f>'1-0 Товары'!$H180</f>
        <v/>
      </c>
      <c r="L180" s="201" t="str">
        <f>'1-0 Товары'!$I180</f>
        <v/>
      </c>
      <c r="M180" s="203" t="str">
        <f>'1-0 Товары'!$N180</f>
        <v/>
      </c>
      <c r="N180" s="206" t="str">
        <f>'1-0 Товары'!$O180</f>
        <v/>
      </c>
      <c r="O180" s="206" t="str">
        <f>'1-0 Товары'!$P180</f>
        <v/>
      </c>
      <c r="P180" s="146"/>
      <c r="Q180" s="146"/>
      <c r="R180" s="146"/>
      <c r="S180" s="146"/>
      <c r="T180" s="146"/>
      <c r="U180" s="146"/>
      <c r="V180" s="146"/>
      <c r="W180" s="146"/>
      <c r="X180" s="146"/>
      <c r="Y180" s="146"/>
      <c r="Z180" s="146"/>
    </row>
    <row r="181">
      <c r="A181" s="144"/>
      <c r="B181" s="244" t="s">
        <v>96</v>
      </c>
      <c r="C181" s="184" t="str">
        <f>'1-0 Товары'!C181</f>
        <v/>
      </c>
      <c r="D181" s="186" t="str">
        <f>'1-0 Товары'!D181</f>
        <v/>
      </c>
      <c r="E181" s="277" t="str">
        <f>'1-0 Товары'!E181</f>
        <v/>
      </c>
      <c r="F181" s="191"/>
      <c r="G181" s="191"/>
      <c r="H181" s="196"/>
      <c r="I181" s="196"/>
      <c r="J181" s="199" t="str">
        <f>'1-0 Товары'!$G181</f>
        <v/>
      </c>
      <c r="K181" s="200" t="str">
        <f>'1-0 Товары'!$H181</f>
        <v/>
      </c>
      <c r="L181" s="201" t="str">
        <f>'1-0 Товары'!$I181</f>
        <v/>
      </c>
      <c r="M181" s="203" t="str">
        <f>'1-0 Товары'!$N181</f>
        <v/>
      </c>
      <c r="N181" s="206" t="str">
        <f>'1-0 Товары'!$O181</f>
        <v/>
      </c>
      <c r="O181" s="206" t="str">
        <f>'1-0 Товары'!$P181</f>
        <v/>
      </c>
      <c r="P181" s="146"/>
      <c r="Q181" s="146"/>
      <c r="R181" s="146"/>
      <c r="S181" s="146"/>
      <c r="T181" s="146"/>
      <c r="U181" s="146"/>
      <c r="V181" s="146"/>
      <c r="W181" s="146"/>
      <c r="X181" s="146"/>
      <c r="Y181" s="146"/>
      <c r="Z181" s="146"/>
    </row>
    <row r="182">
      <c r="A182" s="144"/>
      <c r="B182" s="244" t="s">
        <v>96</v>
      </c>
      <c r="C182" s="184" t="str">
        <f>'1-0 Товары'!C182</f>
        <v/>
      </c>
      <c r="D182" s="186" t="str">
        <f>'1-0 Товары'!D182</f>
        <v/>
      </c>
      <c r="E182" s="277" t="str">
        <f>'1-0 Товары'!E182</f>
        <v/>
      </c>
      <c r="F182" s="191"/>
      <c r="G182" s="191"/>
      <c r="H182" s="196"/>
      <c r="I182" s="196"/>
      <c r="J182" s="199" t="str">
        <f>'1-0 Товары'!$G182</f>
        <v/>
      </c>
      <c r="K182" s="200" t="str">
        <f>'1-0 Товары'!$H182</f>
        <v/>
      </c>
      <c r="L182" s="201" t="str">
        <f>'1-0 Товары'!$I182</f>
        <v/>
      </c>
      <c r="M182" s="203" t="str">
        <f>'1-0 Товары'!$N182</f>
        <v/>
      </c>
      <c r="N182" s="206" t="str">
        <f>'1-0 Товары'!$O182</f>
        <v/>
      </c>
      <c r="O182" s="206" t="str">
        <f>'1-0 Товары'!$P182</f>
        <v/>
      </c>
      <c r="P182" s="146"/>
      <c r="Q182" s="146"/>
      <c r="R182" s="146"/>
      <c r="S182" s="146"/>
      <c r="T182" s="146"/>
      <c r="U182" s="146"/>
      <c r="V182" s="146"/>
      <c r="W182" s="146"/>
      <c r="X182" s="146"/>
      <c r="Y182" s="146"/>
      <c r="Z182" s="146"/>
    </row>
    <row r="183">
      <c r="A183" s="144"/>
      <c r="B183" s="244" t="s">
        <v>96</v>
      </c>
      <c r="C183" s="184" t="str">
        <f>'1-0 Товары'!C183</f>
        <v/>
      </c>
      <c r="D183" s="186" t="str">
        <f>'1-0 Товары'!D183</f>
        <v/>
      </c>
      <c r="E183" s="277" t="str">
        <f>'1-0 Товары'!E183</f>
        <v/>
      </c>
      <c r="F183" s="191"/>
      <c r="G183" s="191"/>
      <c r="H183" s="196"/>
      <c r="I183" s="196"/>
      <c r="J183" s="199" t="str">
        <f>'1-0 Товары'!$G183</f>
        <v/>
      </c>
      <c r="K183" s="200" t="str">
        <f>'1-0 Товары'!$H183</f>
        <v/>
      </c>
      <c r="L183" s="201" t="str">
        <f>'1-0 Товары'!$I183</f>
        <v/>
      </c>
      <c r="M183" s="203" t="str">
        <f>'1-0 Товары'!$N183</f>
        <v/>
      </c>
      <c r="N183" s="206" t="str">
        <f>'1-0 Товары'!$O183</f>
        <v/>
      </c>
      <c r="O183" s="206" t="str">
        <f>'1-0 Товары'!$P183</f>
        <v/>
      </c>
      <c r="P183" s="146"/>
      <c r="Q183" s="146"/>
      <c r="R183" s="146"/>
      <c r="S183" s="146"/>
      <c r="T183" s="146"/>
      <c r="U183" s="146"/>
      <c r="V183" s="146"/>
      <c r="W183" s="146"/>
      <c r="X183" s="146"/>
      <c r="Y183" s="146"/>
      <c r="Z183" s="146"/>
    </row>
    <row r="184">
      <c r="A184" s="144"/>
      <c r="B184" s="244" t="s">
        <v>96</v>
      </c>
      <c r="C184" s="184" t="str">
        <f>'1-0 Товары'!C184</f>
        <v/>
      </c>
      <c r="D184" s="186" t="str">
        <f>'1-0 Товары'!D184</f>
        <v/>
      </c>
      <c r="E184" s="277" t="str">
        <f>'1-0 Товары'!E184</f>
        <v/>
      </c>
      <c r="F184" s="191"/>
      <c r="G184" s="191"/>
      <c r="H184" s="196"/>
      <c r="I184" s="196"/>
      <c r="J184" s="199" t="str">
        <f>'1-0 Товары'!$G184</f>
        <v/>
      </c>
      <c r="K184" s="200" t="str">
        <f>'1-0 Товары'!$H184</f>
        <v/>
      </c>
      <c r="L184" s="201" t="str">
        <f>'1-0 Товары'!$I184</f>
        <v/>
      </c>
      <c r="M184" s="203" t="str">
        <f>'1-0 Товары'!$N184</f>
        <v/>
      </c>
      <c r="N184" s="206" t="str">
        <f>'1-0 Товары'!$O184</f>
        <v/>
      </c>
      <c r="O184" s="206" t="str">
        <f>'1-0 Товары'!$P184</f>
        <v/>
      </c>
      <c r="P184" s="146"/>
      <c r="Q184" s="146"/>
      <c r="R184" s="146"/>
      <c r="S184" s="146"/>
      <c r="T184" s="146"/>
      <c r="U184" s="146"/>
      <c r="V184" s="146"/>
      <c r="W184" s="146"/>
      <c r="X184" s="146"/>
      <c r="Y184" s="146"/>
      <c r="Z184" s="146"/>
    </row>
    <row r="185">
      <c r="A185" s="144"/>
      <c r="B185" s="244" t="s">
        <v>96</v>
      </c>
      <c r="C185" s="184" t="str">
        <f>'1-0 Товары'!C185</f>
        <v/>
      </c>
      <c r="D185" s="186" t="str">
        <f>'1-0 Товары'!D185</f>
        <v/>
      </c>
      <c r="E185" s="277" t="str">
        <f>'1-0 Товары'!E185</f>
        <v/>
      </c>
      <c r="F185" s="191"/>
      <c r="G185" s="191"/>
      <c r="H185" s="196"/>
      <c r="I185" s="196"/>
      <c r="J185" s="199" t="str">
        <f>'1-0 Товары'!$G185</f>
        <v/>
      </c>
      <c r="K185" s="200" t="str">
        <f>'1-0 Товары'!$H185</f>
        <v/>
      </c>
      <c r="L185" s="201" t="str">
        <f>'1-0 Товары'!$I185</f>
        <v/>
      </c>
      <c r="M185" s="203" t="str">
        <f>'1-0 Товары'!$N185</f>
        <v/>
      </c>
      <c r="N185" s="206" t="str">
        <f>'1-0 Товары'!$O185</f>
        <v/>
      </c>
      <c r="O185" s="206" t="str">
        <f>'1-0 Товары'!$P185</f>
        <v/>
      </c>
      <c r="P185" s="146"/>
      <c r="Q185" s="146"/>
      <c r="R185" s="146"/>
      <c r="S185" s="146"/>
      <c r="T185" s="146"/>
      <c r="U185" s="146"/>
      <c r="V185" s="146"/>
      <c r="W185" s="146"/>
      <c r="X185" s="146"/>
      <c r="Y185" s="146"/>
      <c r="Z185" s="146"/>
    </row>
    <row r="186">
      <c r="A186" s="144"/>
      <c r="B186" s="244" t="s">
        <v>96</v>
      </c>
      <c r="C186" s="184" t="str">
        <f>'1-0 Товары'!C186</f>
        <v/>
      </c>
      <c r="D186" s="186" t="str">
        <f>'1-0 Товары'!D186</f>
        <v/>
      </c>
      <c r="E186" s="277" t="str">
        <f>'1-0 Товары'!E186</f>
        <v/>
      </c>
      <c r="F186" s="191"/>
      <c r="G186" s="191"/>
      <c r="H186" s="196"/>
      <c r="I186" s="196"/>
      <c r="J186" s="199" t="str">
        <f>'1-0 Товары'!$G186</f>
        <v/>
      </c>
      <c r="K186" s="200" t="str">
        <f>'1-0 Товары'!$H186</f>
        <v/>
      </c>
      <c r="L186" s="201" t="str">
        <f>'1-0 Товары'!$I186</f>
        <v/>
      </c>
      <c r="M186" s="203" t="str">
        <f>'1-0 Товары'!$N186</f>
        <v/>
      </c>
      <c r="N186" s="206" t="str">
        <f>'1-0 Товары'!$O186</f>
        <v/>
      </c>
      <c r="O186" s="206" t="str">
        <f>'1-0 Товары'!$P186</f>
        <v/>
      </c>
      <c r="P186" s="146"/>
      <c r="Q186" s="146"/>
      <c r="R186" s="146"/>
      <c r="S186" s="146"/>
      <c r="T186" s="146"/>
      <c r="U186" s="146"/>
      <c r="V186" s="146"/>
      <c r="W186" s="146"/>
      <c r="X186" s="146"/>
      <c r="Y186" s="146"/>
      <c r="Z186" s="146"/>
    </row>
    <row r="187">
      <c r="A187" s="144"/>
      <c r="B187" s="244" t="s">
        <v>96</v>
      </c>
      <c r="C187" s="184" t="str">
        <f>'1-0 Товары'!C187</f>
        <v/>
      </c>
      <c r="D187" s="186" t="str">
        <f>'1-0 Товары'!D187</f>
        <v/>
      </c>
      <c r="E187" s="277" t="str">
        <f>'1-0 Товары'!E187</f>
        <v/>
      </c>
      <c r="F187" s="191"/>
      <c r="G187" s="191"/>
      <c r="H187" s="196"/>
      <c r="I187" s="196"/>
      <c r="J187" s="199" t="str">
        <f>'1-0 Товары'!$G187</f>
        <v/>
      </c>
      <c r="K187" s="200" t="str">
        <f>'1-0 Товары'!$H187</f>
        <v/>
      </c>
      <c r="L187" s="201" t="str">
        <f>'1-0 Товары'!$I187</f>
        <v/>
      </c>
      <c r="M187" s="203" t="str">
        <f>'1-0 Товары'!$N187</f>
        <v/>
      </c>
      <c r="N187" s="206" t="str">
        <f>'1-0 Товары'!$O187</f>
        <v/>
      </c>
      <c r="O187" s="206" t="str">
        <f>'1-0 Товары'!$P187</f>
        <v/>
      </c>
      <c r="P187" s="146"/>
      <c r="Q187" s="146"/>
      <c r="R187" s="146"/>
      <c r="S187" s="146"/>
      <c r="T187" s="146"/>
      <c r="U187" s="146"/>
      <c r="V187" s="146"/>
      <c r="W187" s="146"/>
      <c r="X187" s="146"/>
      <c r="Y187" s="146"/>
      <c r="Z187" s="146"/>
    </row>
    <row r="188">
      <c r="A188" s="144"/>
      <c r="B188" s="244" t="s">
        <v>96</v>
      </c>
      <c r="C188" s="184" t="str">
        <f>'1-0 Товары'!C188</f>
        <v/>
      </c>
      <c r="D188" s="186" t="str">
        <f>'1-0 Товары'!D188</f>
        <v/>
      </c>
      <c r="E188" s="277" t="str">
        <f>'1-0 Товары'!E188</f>
        <v/>
      </c>
      <c r="F188" s="191"/>
      <c r="G188" s="191"/>
      <c r="H188" s="196"/>
      <c r="I188" s="196"/>
      <c r="J188" s="199" t="str">
        <f>'1-0 Товары'!$G188</f>
        <v/>
      </c>
      <c r="K188" s="200" t="str">
        <f>'1-0 Товары'!$H188</f>
        <v/>
      </c>
      <c r="L188" s="201" t="str">
        <f>'1-0 Товары'!$I188</f>
        <v/>
      </c>
      <c r="M188" s="203" t="str">
        <f>'1-0 Товары'!$N188</f>
        <v/>
      </c>
      <c r="N188" s="206" t="str">
        <f>'1-0 Товары'!$O188</f>
        <v/>
      </c>
      <c r="O188" s="206" t="str">
        <f>'1-0 Товары'!$P188</f>
        <v/>
      </c>
      <c r="P188" s="146"/>
      <c r="Q188" s="146"/>
      <c r="R188" s="146"/>
      <c r="S188" s="146"/>
      <c r="T188" s="146"/>
      <c r="U188" s="146"/>
      <c r="V188" s="146"/>
      <c r="W188" s="146"/>
      <c r="X188" s="146"/>
      <c r="Y188" s="146"/>
      <c r="Z188" s="146"/>
    </row>
    <row r="189">
      <c r="A189" s="144"/>
      <c r="B189" s="244" t="s">
        <v>96</v>
      </c>
      <c r="C189" s="184" t="str">
        <f>'1-0 Товары'!C189</f>
        <v/>
      </c>
      <c r="D189" s="186" t="str">
        <f>'1-0 Товары'!D189</f>
        <v/>
      </c>
      <c r="E189" s="277" t="str">
        <f>'1-0 Товары'!E189</f>
        <v/>
      </c>
      <c r="F189" s="191"/>
      <c r="G189" s="191"/>
      <c r="H189" s="196"/>
      <c r="I189" s="196"/>
      <c r="J189" s="199" t="str">
        <f>'1-0 Товары'!$G189</f>
        <v/>
      </c>
      <c r="K189" s="200" t="str">
        <f>'1-0 Товары'!$H189</f>
        <v/>
      </c>
      <c r="L189" s="201" t="str">
        <f>'1-0 Товары'!$I189</f>
        <v/>
      </c>
      <c r="M189" s="203" t="str">
        <f>'1-0 Товары'!$N189</f>
        <v/>
      </c>
      <c r="N189" s="206" t="str">
        <f>'1-0 Товары'!$O189</f>
        <v/>
      </c>
      <c r="O189" s="206" t="str">
        <f>'1-0 Товары'!$P189</f>
        <v/>
      </c>
      <c r="P189" s="146"/>
      <c r="Q189" s="146"/>
      <c r="R189" s="146"/>
      <c r="S189" s="146"/>
      <c r="T189" s="146"/>
      <c r="U189" s="146"/>
      <c r="V189" s="146"/>
      <c r="W189" s="146"/>
      <c r="X189" s="146"/>
      <c r="Y189" s="146"/>
      <c r="Z189" s="146"/>
    </row>
    <row r="190">
      <c r="A190" s="144"/>
      <c r="B190" s="244" t="s">
        <v>96</v>
      </c>
      <c r="C190" s="184" t="str">
        <f>'1-0 Товары'!C190</f>
        <v/>
      </c>
      <c r="D190" s="186" t="str">
        <f>'1-0 Товары'!D190</f>
        <v/>
      </c>
      <c r="E190" s="277" t="str">
        <f>'1-0 Товары'!E190</f>
        <v/>
      </c>
      <c r="F190" s="191"/>
      <c r="G190" s="191"/>
      <c r="H190" s="196"/>
      <c r="I190" s="196"/>
      <c r="J190" s="199" t="str">
        <f>'1-0 Товары'!$G190</f>
        <v/>
      </c>
      <c r="K190" s="200" t="str">
        <f>'1-0 Товары'!$H190</f>
        <v/>
      </c>
      <c r="L190" s="201" t="str">
        <f>'1-0 Товары'!$I190</f>
        <v/>
      </c>
      <c r="M190" s="203" t="str">
        <f>'1-0 Товары'!$N190</f>
        <v/>
      </c>
      <c r="N190" s="206" t="str">
        <f>'1-0 Товары'!$O190</f>
        <v/>
      </c>
      <c r="O190" s="206" t="str">
        <f>'1-0 Товары'!$P190</f>
        <v/>
      </c>
      <c r="P190" s="146"/>
      <c r="Q190" s="146"/>
      <c r="R190" s="146"/>
      <c r="S190" s="146"/>
      <c r="T190" s="146"/>
      <c r="U190" s="146"/>
      <c r="V190" s="146"/>
      <c r="W190" s="146"/>
      <c r="X190" s="146"/>
      <c r="Y190" s="146"/>
      <c r="Z190" s="146"/>
    </row>
    <row r="191">
      <c r="A191" s="144"/>
      <c r="B191" s="244" t="s">
        <v>96</v>
      </c>
      <c r="C191" s="184" t="str">
        <f>'1-0 Товары'!C191</f>
        <v/>
      </c>
      <c r="D191" s="186" t="str">
        <f>'1-0 Товары'!D191</f>
        <v/>
      </c>
      <c r="E191" s="277" t="str">
        <f>'1-0 Товары'!E191</f>
        <v/>
      </c>
      <c r="F191" s="191"/>
      <c r="G191" s="191"/>
      <c r="H191" s="196"/>
      <c r="I191" s="196"/>
      <c r="J191" s="199" t="str">
        <f>'1-0 Товары'!$G191</f>
        <v/>
      </c>
      <c r="K191" s="200" t="str">
        <f>'1-0 Товары'!$H191</f>
        <v/>
      </c>
      <c r="L191" s="201" t="str">
        <f>'1-0 Товары'!$I191</f>
        <v/>
      </c>
      <c r="M191" s="203" t="str">
        <f>'1-0 Товары'!$N191</f>
        <v/>
      </c>
      <c r="N191" s="206" t="str">
        <f>'1-0 Товары'!$O191</f>
        <v/>
      </c>
      <c r="O191" s="206" t="str">
        <f>'1-0 Товары'!$P191</f>
        <v/>
      </c>
      <c r="P191" s="146"/>
      <c r="Q191" s="146"/>
      <c r="R191" s="146"/>
      <c r="S191" s="146"/>
      <c r="T191" s="146"/>
      <c r="U191" s="146"/>
      <c r="V191" s="146"/>
      <c r="W191" s="146"/>
      <c r="X191" s="146"/>
      <c r="Y191" s="146"/>
      <c r="Z191" s="146"/>
    </row>
    <row r="192">
      <c r="A192" s="144"/>
      <c r="B192" s="244" t="s">
        <v>96</v>
      </c>
      <c r="C192" s="184" t="str">
        <f>'1-0 Товары'!C192</f>
        <v/>
      </c>
      <c r="D192" s="186" t="str">
        <f>'1-0 Товары'!D192</f>
        <v/>
      </c>
      <c r="E192" s="277" t="str">
        <f>'1-0 Товары'!E192</f>
        <v/>
      </c>
      <c r="F192" s="191"/>
      <c r="G192" s="191"/>
      <c r="H192" s="196"/>
      <c r="I192" s="196"/>
      <c r="J192" s="199" t="str">
        <f>'1-0 Товары'!$G192</f>
        <v/>
      </c>
      <c r="K192" s="200" t="str">
        <f>'1-0 Товары'!$H192</f>
        <v/>
      </c>
      <c r="L192" s="201" t="str">
        <f>'1-0 Товары'!$I192</f>
        <v/>
      </c>
      <c r="M192" s="203" t="str">
        <f>'1-0 Товары'!$N192</f>
        <v/>
      </c>
      <c r="N192" s="206" t="str">
        <f>'1-0 Товары'!$O192</f>
        <v/>
      </c>
      <c r="O192" s="206" t="str">
        <f>'1-0 Товары'!$P192</f>
        <v/>
      </c>
      <c r="P192" s="146"/>
      <c r="Q192" s="146"/>
      <c r="R192" s="146"/>
      <c r="S192" s="146"/>
      <c r="T192" s="146"/>
      <c r="U192" s="146"/>
      <c r="V192" s="146"/>
      <c r="W192" s="146"/>
      <c r="X192" s="146"/>
      <c r="Y192" s="146"/>
      <c r="Z192" s="146"/>
    </row>
    <row r="193">
      <c r="A193" s="144"/>
      <c r="B193" s="244" t="s">
        <v>96</v>
      </c>
      <c r="C193" s="184" t="str">
        <f>'1-0 Товары'!C193</f>
        <v/>
      </c>
      <c r="D193" s="186" t="str">
        <f>'1-0 Товары'!D193</f>
        <v/>
      </c>
      <c r="E193" s="277" t="str">
        <f>'1-0 Товары'!E193</f>
        <v/>
      </c>
      <c r="F193" s="191"/>
      <c r="G193" s="191"/>
      <c r="H193" s="196"/>
      <c r="I193" s="196"/>
      <c r="J193" s="199" t="str">
        <f>'1-0 Товары'!$G193</f>
        <v/>
      </c>
      <c r="K193" s="200" t="str">
        <f>'1-0 Товары'!$H193</f>
        <v/>
      </c>
      <c r="L193" s="201" t="str">
        <f>'1-0 Товары'!$I193</f>
        <v/>
      </c>
      <c r="M193" s="203" t="str">
        <f>'1-0 Товары'!$N193</f>
        <v/>
      </c>
      <c r="N193" s="206" t="str">
        <f>'1-0 Товары'!$O193</f>
        <v/>
      </c>
      <c r="O193" s="206" t="str">
        <f>'1-0 Товары'!$P193</f>
        <v/>
      </c>
      <c r="P193" s="146"/>
      <c r="Q193" s="146"/>
      <c r="R193" s="146"/>
      <c r="S193" s="146"/>
      <c r="T193" s="146"/>
      <c r="U193" s="146"/>
      <c r="V193" s="146"/>
      <c r="W193" s="146"/>
      <c r="X193" s="146"/>
      <c r="Y193" s="146"/>
      <c r="Z193" s="146"/>
    </row>
    <row r="194">
      <c r="A194" s="144"/>
      <c r="B194" s="244" t="s">
        <v>96</v>
      </c>
      <c r="C194" s="184" t="str">
        <f>'1-0 Товары'!C194</f>
        <v/>
      </c>
      <c r="D194" s="186" t="str">
        <f>'1-0 Товары'!D194</f>
        <v/>
      </c>
      <c r="E194" s="277" t="str">
        <f>'1-0 Товары'!E194</f>
        <v/>
      </c>
      <c r="F194" s="191"/>
      <c r="G194" s="191"/>
      <c r="H194" s="196"/>
      <c r="I194" s="196"/>
      <c r="J194" s="199" t="str">
        <f>'1-0 Товары'!$G194</f>
        <v/>
      </c>
      <c r="K194" s="200" t="str">
        <f>'1-0 Товары'!$H194</f>
        <v/>
      </c>
      <c r="L194" s="201" t="str">
        <f>'1-0 Товары'!$I194</f>
        <v/>
      </c>
      <c r="M194" s="203" t="str">
        <f>'1-0 Товары'!$N194</f>
        <v/>
      </c>
      <c r="N194" s="206" t="str">
        <f>'1-0 Товары'!$O194</f>
        <v/>
      </c>
      <c r="O194" s="206" t="str">
        <f>'1-0 Товары'!$P194</f>
        <v/>
      </c>
      <c r="P194" s="146"/>
      <c r="Q194" s="146"/>
      <c r="R194" s="146"/>
      <c r="S194" s="146"/>
      <c r="T194" s="146"/>
      <c r="U194" s="146"/>
      <c r="V194" s="146"/>
      <c r="W194" s="146"/>
      <c r="X194" s="146"/>
      <c r="Y194" s="146"/>
      <c r="Z194" s="146"/>
    </row>
    <row r="195">
      <c r="A195" s="144"/>
      <c r="B195" s="244" t="s">
        <v>96</v>
      </c>
      <c r="C195" s="184" t="str">
        <f>'1-0 Товары'!C195</f>
        <v/>
      </c>
      <c r="D195" s="186" t="str">
        <f>'1-0 Товары'!D195</f>
        <v/>
      </c>
      <c r="E195" s="277" t="str">
        <f>'1-0 Товары'!E195</f>
        <v/>
      </c>
      <c r="F195" s="191"/>
      <c r="G195" s="191"/>
      <c r="H195" s="196"/>
      <c r="I195" s="196"/>
      <c r="J195" s="199" t="str">
        <f>'1-0 Товары'!$G195</f>
        <v/>
      </c>
      <c r="K195" s="200" t="str">
        <f>'1-0 Товары'!$H195</f>
        <v/>
      </c>
      <c r="L195" s="201" t="str">
        <f>'1-0 Товары'!$I195</f>
        <v/>
      </c>
      <c r="M195" s="203" t="str">
        <f>'1-0 Товары'!$N195</f>
        <v/>
      </c>
      <c r="N195" s="206" t="str">
        <f>'1-0 Товары'!$O195</f>
        <v/>
      </c>
      <c r="O195" s="206" t="str">
        <f>'1-0 Товары'!$P195</f>
        <v/>
      </c>
      <c r="P195" s="146"/>
      <c r="Q195" s="146"/>
      <c r="R195" s="146"/>
      <c r="S195" s="146"/>
      <c r="T195" s="146"/>
      <c r="U195" s="146"/>
      <c r="V195" s="146"/>
      <c r="W195" s="146"/>
      <c r="X195" s="146"/>
      <c r="Y195" s="146"/>
      <c r="Z195" s="146"/>
    </row>
    <row r="196">
      <c r="A196" s="144"/>
      <c r="B196" s="244" t="s">
        <v>96</v>
      </c>
      <c r="C196" s="184" t="str">
        <f>'1-0 Товары'!C196</f>
        <v/>
      </c>
      <c r="D196" s="186" t="str">
        <f>'1-0 Товары'!D196</f>
        <v/>
      </c>
      <c r="E196" s="277" t="str">
        <f>'1-0 Товары'!E196</f>
        <v/>
      </c>
      <c r="F196" s="191"/>
      <c r="G196" s="191"/>
      <c r="H196" s="196"/>
      <c r="I196" s="196"/>
      <c r="J196" s="199" t="str">
        <f>'1-0 Товары'!$G196</f>
        <v/>
      </c>
      <c r="K196" s="200" t="str">
        <f>'1-0 Товары'!$H196</f>
        <v/>
      </c>
      <c r="L196" s="201" t="str">
        <f>'1-0 Товары'!$I196</f>
        <v/>
      </c>
      <c r="M196" s="203" t="str">
        <f>'1-0 Товары'!$N196</f>
        <v/>
      </c>
      <c r="N196" s="206" t="str">
        <f>'1-0 Товары'!$O196</f>
        <v/>
      </c>
      <c r="O196" s="206" t="str">
        <f>'1-0 Товары'!$P196</f>
        <v/>
      </c>
      <c r="P196" s="146"/>
      <c r="Q196" s="146"/>
      <c r="R196" s="146"/>
      <c r="S196" s="146"/>
      <c r="T196" s="146"/>
      <c r="U196" s="146"/>
      <c r="V196" s="146"/>
      <c r="W196" s="146"/>
      <c r="X196" s="146"/>
      <c r="Y196" s="146"/>
      <c r="Z196" s="146"/>
    </row>
    <row r="197">
      <c r="A197" s="144"/>
      <c r="B197" s="244" t="s">
        <v>96</v>
      </c>
      <c r="C197" s="184" t="str">
        <f>'1-0 Товары'!C197</f>
        <v/>
      </c>
      <c r="D197" s="186" t="str">
        <f>'1-0 Товары'!D197</f>
        <v/>
      </c>
      <c r="E197" s="277" t="str">
        <f>'1-0 Товары'!E197</f>
        <v/>
      </c>
      <c r="F197" s="191"/>
      <c r="G197" s="191"/>
      <c r="H197" s="196"/>
      <c r="I197" s="196"/>
      <c r="J197" s="199" t="str">
        <f>'1-0 Товары'!$G197</f>
        <v/>
      </c>
      <c r="K197" s="200" t="str">
        <f>'1-0 Товары'!$H197</f>
        <v/>
      </c>
      <c r="L197" s="201" t="str">
        <f>'1-0 Товары'!$I197</f>
        <v/>
      </c>
      <c r="M197" s="203" t="str">
        <f>'1-0 Товары'!$N197</f>
        <v/>
      </c>
      <c r="N197" s="206" t="str">
        <f>'1-0 Товары'!$O197</f>
        <v/>
      </c>
      <c r="O197" s="206" t="str">
        <f>'1-0 Товары'!$P197</f>
        <v/>
      </c>
      <c r="P197" s="146"/>
      <c r="Q197" s="146"/>
      <c r="R197" s="146"/>
      <c r="S197" s="146"/>
      <c r="T197" s="146"/>
      <c r="U197" s="146"/>
      <c r="V197" s="146"/>
      <c r="W197" s="146"/>
      <c r="X197" s="146"/>
      <c r="Y197" s="146"/>
      <c r="Z197" s="146"/>
    </row>
    <row r="198">
      <c r="A198" s="144"/>
      <c r="B198" s="244" t="s">
        <v>96</v>
      </c>
      <c r="C198" s="184" t="str">
        <f>'1-0 Товары'!C198</f>
        <v/>
      </c>
      <c r="D198" s="186" t="str">
        <f>'1-0 Товары'!D198</f>
        <v/>
      </c>
      <c r="E198" s="277" t="str">
        <f>'1-0 Товары'!E198</f>
        <v/>
      </c>
      <c r="F198" s="191"/>
      <c r="G198" s="191"/>
      <c r="H198" s="196"/>
      <c r="I198" s="196"/>
      <c r="J198" s="199" t="str">
        <f>'1-0 Товары'!$G198</f>
        <v/>
      </c>
      <c r="K198" s="200" t="str">
        <f>'1-0 Товары'!$H198</f>
        <v/>
      </c>
      <c r="L198" s="201" t="str">
        <f>'1-0 Товары'!$I198</f>
        <v/>
      </c>
      <c r="M198" s="203" t="str">
        <f>'1-0 Товары'!$N198</f>
        <v/>
      </c>
      <c r="N198" s="206" t="str">
        <f>'1-0 Товары'!$O198</f>
        <v/>
      </c>
      <c r="O198" s="206" t="str">
        <f>'1-0 Товары'!$P198</f>
        <v/>
      </c>
      <c r="P198" s="146"/>
      <c r="Q198" s="146"/>
      <c r="R198" s="146"/>
      <c r="S198" s="146"/>
      <c r="T198" s="146"/>
      <c r="U198" s="146"/>
      <c r="V198" s="146"/>
      <c r="W198" s="146"/>
      <c r="X198" s="146"/>
      <c r="Y198" s="146"/>
      <c r="Z198" s="146"/>
    </row>
    <row r="199">
      <c r="A199" s="144"/>
      <c r="B199" s="244" t="s">
        <v>96</v>
      </c>
      <c r="C199" s="184" t="str">
        <f>'1-0 Товары'!C199</f>
        <v/>
      </c>
      <c r="D199" s="186" t="str">
        <f>'1-0 Товары'!D199</f>
        <v/>
      </c>
      <c r="E199" s="277" t="str">
        <f>'1-0 Товары'!E199</f>
        <v/>
      </c>
      <c r="F199" s="191"/>
      <c r="G199" s="191"/>
      <c r="H199" s="196"/>
      <c r="I199" s="196"/>
      <c r="J199" s="199" t="str">
        <f>'1-0 Товары'!$G199</f>
        <v/>
      </c>
      <c r="K199" s="200" t="str">
        <f>'1-0 Товары'!$H199</f>
        <v/>
      </c>
      <c r="L199" s="201" t="str">
        <f>'1-0 Товары'!$I199</f>
        <v/>
      </c>
      <c r="M199" s="203" t="str">
        <f>'1-0 Товары'!$N199</f>
        <v/>
      </c>
      <c r="N199" s="206" t="str">
        <f>'1-0 Товары'!$O199</f>
        <v/>
      </c>
      <c r="O199" s="206" t="str">
        <f>'1-0 Товары'!$P199</f>
        <v/>
      </c>
      <c r="P199" s="146"/>
      <c r="Q199" s="146"/>
      <c r="R199" s="146"/>
      <c r="S199" s="146"/>
      <c r="T199" s="146"/>
      <c r="U199" s="146"/>
      <c r="V199" s="146"/>
      <c r="W199" s="146"/>
      <c r="X199" s="146"/>
      <c r="Y199" s="146"/>
      <c r="Z199" s="146"/>
    </row>
    <row r="200">
      <c r="A200" s="144"/>
      <c r="B200" s="244" t="s">
        <v>96</v>
      </c>
      <c r="C200" s="184" t="str">
        <f>'1-0 Товары'!C200</f>
        <v/>
      </c>
      <c r="D200" s="186" t="str">
        <f>'1-0 Товары'!D200</f>
        <v/>
      </c>
      <c r="E200" s="277" t="str">
        <f>'1-0 Товары'!E200</f>
        <v/>
      </c>
      <c r="F200" s="191"/>
      <c r="G200" s="191"/>
      <c r="H200" s="196"/>
      <c r="I200" s="196"/>
      <c r="J200" s="199" t="str">
        <f>'1-0 Товары'!$G200</f>
        <v/>
      </c>
      <c r="K200" s="200" t="str">
        <f>'1-0 Товары'!$H200</f>
        <v/>
      </c>
      <c r="L200" s="201" t="str">
        <f>'1-0 Товары'!$I200</f>
        <v/>
      </c>
      <c r="M200" s="203" t="str">
        <f>'1-0 Товары'!$N200</f>
        <v/>
      </c>
      <c r="N200" s="206" t="str">
        <f>'1-0 Товары'!$O200</f>
        <v/>
      </c>
      <c r="O200" s="206" t="str">
        <f>'1-0 Товары'!$P200</f>
        <v/>
      </c>
      <c r="P200" s="146"/>
      <c r="Q200" s="146"/>
      <c r="R200" s="146"/>
      <c r="S200" s="146"/>
      <c r="T200" s="146"/>
      <c r="U200" s="146"/>
      <c r="V200" s="146"/>
      <c r="W200" s="146"/>
      <c r="X200" s="146"/>
      <c r="Y200" s="146"/>
      <c r="Z200" s="146"/>
    </row>
    <row r="201">
      <c r="A201" s="144"/>
      <c r="B201" s="244" t="s">
        <v>96</v>
      </c>
      <c r="C201" s="184" t="str">
        <f>'1-0 Товары'!C201</f>
        <v/>
      </c>
      <c r="D201" s="186" t="str">
        <f>'1-0 Товары'!D201</f>
        <v/>
      </c>
      <c r="E201" s="277" t="str">
        <f>'1-0 Товары'!E201</f>
        <v/>
      </c>
      <c r="F201" s="191"/>
      <c r="G201" s="191"/>
      <c r="H201" s="196"/>
      <c r="I201" s="196"/>
      <c r="J201" s="199" t="str">
        <f>'1-0 Товары'!$G201</f>
        <v/>
      </c>
      <c r="K201" s="200" t="str">
        <f>'1-0 Товары'!$H201</f>
        <v/>
      </c>
      <c r="L201" s="201" t="str">
        <f>'1-0 Товары'!$I201</f>
        <v/>
      </c>
      <c r="M201" s="203" t="str">
        <f>'1-0 Товары'!$N201</f>
        <v/>
      </c>
      <c r="N201" s="206" t="str">
        <f>'1-0 Товары'!$O201</f>
        <v/>
      </c>
      <c r="O201" s="206" t="str">
        <f>'1-0 Товары'!$P201</f>
        <v/>
      </c>
      <c r="P201" s="146"/>
      <c r="Q201" s="146"/>
      <c r="R201" s="146"/>
      <c r="S201" s="146"/>
      <c r="T201" s="146"/>
      <c r="U201" s="146"/>
      <c r="V201" s="146"/>
      <c r="W201" s="146"/>
      <c r="X201" s="146"/>
      <c r="Y201" s="146"/>
      <c r="Z201" s="146"/>
    </row>
    <row r="202">
      <c r="A202" s="144"/>
      <c r="B202" s="244" t="s">
        <v>96</v>
      </c>
      <c r="C202" s="184" t="str">
        <f>'1-0 Товары'!C202</f>
        <v/>
      </c>
      <c r="D202" s="186" t="str">
        <f>'1-0 Товары'!D202</f>
        <v/>
      </c>
      <c r="E202" s="277" t="str">
        <f>'1-0 Товары'!E202</f>
        <v/>
      </c>
      <c r="F202" s="191"/>
      <c r="G202" s="191"/>
      <c r="H202" s="196"/>
      <c r="I202" s="196"/>
      <c r="J202" s="199" t="str">
        <f>'1-0 Товары'!$G202</f>
        <v/>
      </c>
      <c r="K202" s="200" t="str">
        <f>'1-0 Товары'!$H202</f>
        <v/>
      </c>
      <c r="L202" s="201" t="str">
        <f>'1-0 Товары'!$I202</f>
        <v/>
      </c>
      <c r="M202" s="203" t="str">
        <f>'1-0 Товары'!$N202</f>
        <v/>
      </c>
      <c r="N202" s="206" t="str">
        <f>'1-0 Товары'!$O202</f>
        <v/>
      </c>
      <c r="O202" s="206" t="str">
        <f>'1-0 Товары'!$P202</f>
        <v/>
      </c>
      <c r="P202" s="146"/>
      <c r="Q202" s="146"/>
      <c r="R202" s="146"/>
      <c r="S202" s="146"/>
      <c r="T202" s="146"/>
      <c r="U202" s="146"/>
      <c r="V202" s="146"/>
      <c r="W202" s="146"/>
      <c r="X202" s="146"/>
      <c r="Y202" s="146"/>
      <c r="Z202" s="146"/>
    </row>
    <row r="203">
      <c r="A203" s="144"/>
      <c r="B203" s="244" t="s">
        <v>96</v>
      </c>
      <c r="C203" s="184" t="str">
        <f>'1-0 Товары'!C203</f>
        <v/>
      </c>
      <c r="D203" s="186" t="str">
        <f>'1-0 Товары'!D203</f>
        <v/>
      </c>
      <c r="E203" s="277" t="str">
        <f>'1-0 Товары'!E203</f>
        <v/>
      </c>
      <c r="F203" s="191"/>
      <c r="G203" s="191"/>
      <c r="H203" s="196"/>
      <c r="I203" s="196"/>
      <c r="J203" s="199" t="str">
        <f>'1-0 Товары'!$G203</f>
        <v/>
      </c>
      <c r="K203" s="200" t="str">
        <f>'1-0 Товары'!$H203</f>
        <v/>
      </c>
      <c r="L203" s="201" t="str">
        <f>'1-0 Товары'!$I203</f>
        <v/>
      </c>
      <c r="M203" s="203" t="str">
        <f>'1-0 Товары'!$N203</f>
        <v/>
      </c>
      <c r="N203" s="206" t="str">
        <f>'1-0 Товары'!$O203</f>
        <v/>
      </c>
      <c r="O203" s="206" t="str">
        <f>'1-0 Товары'!$P203</f>
        <v/>
      </c>
      <c r="P203" s="146"/>
      <c r="Q203" s="146"/>
      <c r="R203" s="146"/>
      <c r="S203" s="146"/>
      <c r="T203" s="146"/>
      <c r="U203" s="146"/>
      <c r="V203" s="146"/>
      <c r="W203" s="146"/>
      <c r="X203" s="146"/>
      <c r="Y203" s="146"/>
      <c r="Z203" s="146"/>
    </row>
    <row r="204">
      <c r="A204" s="144"/>
      <c r="B204" s="244" t="s">
        <v>96</v>
      </c>
      <c r="C204" s="184" t="str">
        <f>'1-0 Товары'!C204</f>
        <v/>
      </c>
      <c r="D204" s="186" t="str">
        <f>'1-0 Товары'!D204</f>
        <v/>
      </c>
      <c r="E204" s="277" t="str">
        <f>'1-0 Товары'!E204</f>
        <v/>
      </c>
      <c r="F204" s="191"/>
      <c r="G204" s="191"/>
      <c r="H204" s="196"/>
      <c r="I204" s="196"/>
      <c r="J204" s="199" t="str">
        <f>'1-0 Товары'!$G204</f>
        <v/>
      </c>
      <c r="K204" s="200" t="str">
        <f>'1-0 Товары'!$H204</f>
        <v/>
      </c>
      <c r="L204" s="201" t="str">
        <f>'1-0 Товары'!$I204</f>
        <v/>
      </c>
      <c r="M204" s="203" t="str">
        <f>'1-0 Товары'!$N204</f>
        <v/>
      </c>
      <c r="N204" s="206" t="str">
        <f>'1-0 Товары'!$O204</f>
        <v/>
      </c>
      <c r="O204" s="206" t="str">
        <f>'1-0 Товары'!$P204</f>
        <v/>
      </c>
      <c r="P204" s="146"/>
      <c r="Q204" s="146"/>
      <c r="R204" s="146"/>
      <c r="S204" s="146"/>
      <c r="T204" s="146"/>
      <c r="U204" s="146"/>
      <c r="V204" s="146"/>
      <c r="W204" s="146"/>
      <c r="X204" s="146"/>
      <c r="Y204" s="146"/>
      <c r="Z204" s="146"/>
    </row>
    <row r="205">
      <c r="A205" s="144"/>
      <c r="B205" s="244" t="s">
        <v>96</v>
      </c>
      <c r="C205" s="184" t="str">
        <f>'1-0 Товары'!C205</f>
        <v/>
      </c>
      <c r="D205" s="186" t="str">
        <f>'1-0 Товары'!D205</f>
        <v/>
      </c>
      <c r="E205" s="277" t="str">
        <f>'1-0 Товары'!E205</f>
        <v/>
      </c>
      <c r="F205" s="191"/>
      <c r="G205" s="191"/>
      <c r="H205" s="196"/>
      <c r="I205" s="196"/>
      <c r="J205" s="199" t="str">
        <f>'1-0 Товары'!$G205</f>
        <v/>
      </c>
      <c r="K205" s="200" t="str">
        <f>'1-0 Товары'!$H205</f>
        <v/>
      </c>
      <c r="L205" s="201" t="str">
        <f>'1-0 Товары'!$I205</f>
        <v/>
      </c>
      <c r="M205" s="203" t="str">
        <f>'1-0 Товары'!$N205</f>
        <v/>
      </c>
      <c r="N205" s="206" t="str">
        <f>'1-0 Товары'!$O205</f>
        <v/>
      </c>
      <c r="O205" s="206" t="str">
        <f>'1-0 Товары'!$P205</f>
        <v/>
      </c>
      <c r="P205" s="146"/>
      <c r="Q205" s="146"/>
      <c r="R205" s="146"/>
      <c r="S205" s="146"/>
      <c r="T205" s="146"/>
      <c r="U205" s="146"/>
      <c r="V205" s="146"/>
      <c r="W205" s="146"/>
      <c r="X205" s="146"/>
      <c r="Y205" s="146"/>
      <c r="Z205" s="146"/>
    </row>
    <row r="206">
      <c r="A206" s="144"/>
      <c r="B206" s="244" t="s">
        <v>96</v>
      </c>
      <c r="C206" s="184" t="str">
        <f>'1-0 Товары'!C206</f>
        <v/>
      </c>
      <c r="D206" s="186" t="str">
        <f>'1-0 Товары'!D206</f>
        <v/>
      </c>
      <c r="E206" s="277" t="str">
        <f>'1-0 Товары'!E206</f>
        <v/>
      </c>
      <c r="F206" s="191"/>
      <c r="G206" s="191"/>
      <c r="H206" s="196"/>
      <c r="I206" s="196"/>
      <c r="J206" s="199" t="str">
        <f>'1-0 Товары'!$G206</f>
        <v/>
      </c>
      <c r="K206" s="200" t="str">
        <f>'1-0 Товары'!$H206</f>
        <v/>
      </c>
      <c r="L206" s="201" t="str">
        <f>'1-0 Товары'!$I206</f>
        <v/>
      </c>
      <c r="M206" s="203" t="str">
        <f>'1-0 Товары'!$N206</f>
        <v/>
      </c>
      <c r="N206" s="206" t="str">
        <f>'1-0 Товары'!$O206</f>
        <v/>
      </c>
      <c r="O206" s="206" t="str">
        <f>'1-0 Товары'!$P206</f>
        <v/>
      </c>
      <c r="P206" s="146"/>
      <c r="Q206" s="146"/>
      <c r="R206" s="146"/>
      <c r="S206" s="146"/>
      <c r="T206" s="146"/>
      <c r="U206" s="146"/>
      <c r="V206" s="146"/>
      <c r="W206" s="146"/>
      <c r="X206" s="146"/>
      <c r="Y206" s="146"/>
      <c r="Z206" s="146"/>
    </row>
    <row r="207">
      <c r="A207" s="144"/>
      <c r="B207" s="244" t="s">
        <v>96</v>
      </c>
      <c r="C207" s="184" t="str">
        <f>'1-0 Товары'!C207</f>
        <v/>
      </c>
      <c r="D207" s="186" t="str">
        <f>'1-0 Товары'!D207</f>
        <v/>
      </c>
      <c r="E207" s="277" t="str">
        <f>'1-0 Товары'!E207</f>
        <v/>
      </c>
      <c r="F207" s="191"/>
      <c r="G207" s="191"/>
      <c r="H207" s="196"/>
      <c r="I207" s="196"/>
      <c r="J207" s="199" t="str">
        <f>'1-0 Товары'!$G207</f>
        <v/>
      </c>
      <c r="K207" s="200" t="str">
        <f>'1-0 Товары'!$H207</f>
        <v/>
      </c>
      <c r="L207" s="201" t="str">
        <f>'1-0 Товары'!$I207</f>
        <v/>
      </c>
      <c r="M207" s="203" t="str">
        <f>'1-0 Товары'!$N207</f>
        <v/>
      </c>
      <c r="N207" s="206" t="str">
        <f>'1-0 Товары'!$O207</f>
        <v/>
      </c>
      <c r="O207" s="206" t="str">
        <f>'1-0 Товары'!$P207</f>
        <v/>
      </c>
      <c r="P207" s="146"/>
      <c r="Q207" s="146"/>
      <c r="R207" s="146"/>
      <c r="S207" s="146"/>
      <c r="T207" s="146"/>
      <c r="U207" s="146"/>
      <c r="V207" s="146"/>
      <c r="W207" s="146"/>
      <c r="X207" s="146"/>
      <c r="Y207" s="146"/>
      <c r="Z207" s="146"/>
    </row>
    <row r="208">
      <c r="A208" s="144"/>
      <c r="B208" s="244" t="s">
        <v>96</v>
      </c>
      <c r="C208" s="184" t="str">
        <f>'1-0 Товары'!C208</f>
        <v/>
      </c>
      <c r="D208" s="186" t="str">
        <f>'1-0 Товары'!D208</f>
        <v/>
      </c>
      <c r="E208" s="277" t="str">
        <f>'1-0 Товары'!E208</f>
        <v/>
      </c>
      <c r="F208" s="191"/>
      <c r="G208" s="191"/>
      <c r="H208" s="196"/>
      <c r="I208" s="196"/>
      <c r="J208" s="199" t="str">
        <f>'1-0 Товары'!$G208</f>
        <v/>
      </c>
      <c r="K208" s="200" t="str">
        <f>'1-0 Товары'!$H208</f>
        <v/>
      </c>
      <c r="L208" s="201" t="str">
        <f>'1-0 Товары'!$I208</f>
        <v/>
      </c>
      <c r="M208" s="203" t="str">
        <f>'1-0 Товары'!$N208</f>
        <v/>
      </c>
      <c r="N208" s="206" t="str">
        <f>'1-0 Товары'!$O208</f>
        <v/>
      </c>
      <c r="O208" s="206" t="str">
        <f>'1-0 Товары'!$P208</f>
        <v/>
      </c>
      <c r="P208" s="146"/>
      <c r="Q208" s="146"/>
      <c r="R208" s="146"/>
      <c r="S208" s="146"/>
      <c r="T208" s="146"/>
      <c r="U208" s="146"/>
      <c r="V208" s="146"/>
      <c r="W208" s="146"/>
      <c r="X208" s="146"/>
      <c r="Y208" s="146"/>
      <c r="Z208" s="146"/>
    </row>
    <row r="209">
      <c r="A209" s="144"/>
      <c r="B209" s="244" t="s">
        <v>96</v>
      </c>
      <c r="C209" s="184" t="str">
        <f>'1-0 Товары'!C209</f>
        <v/>
      </c>
      <c r="D209" s="186" t="str">
        <f>'1-0 Товары'!D209</f>
        <v/>
      </c>
      <c r="E209" s="277" t="str">
        <f>'1-0 Товары'!E209</f>
        <v/>
      </c>
      <c r="F209" s="191"/>
      <c r="G209" s="191"/>
      <c r="H209" s="196"/>
      <c r="I209" s="196"/>
      <c r="J209" s="199" t="str">
        <f>'1-0 Товары'!$G209</f>
        <v/>
      </c>
      <c r="K209" s="200" t="str">
        <f>'1-0 Товары'!$H209</f>
        <v/>
      </c>
      <c r="L209" s="201" t="str">
        <f>'1-0 Товары'!$I209</f>
        <v/>
      </c>
      <c r="M209" s="203" t="str">
        <f>'1-0 Товары'!$N209</f>
        <v/>
      </c>
      <c r="N209" s="206" t="str">
        <f>'1-0 Товары'!$O209</f>
        <v/>
      </c>
      <c r="O209" s="206" t="str">
        <f>'1-0 Товары'!$P209</f>
        <v/>
      </c>
      <c r="P209" s="146"/>
      <c r="Q209" s="146"/>
      <c r="R209" s="146"/>
      <c r="S209" s="146"/>
      <c r="T209" s="146"/>
      <c r="U209" s="146"/>
      <c r="V209" s="146"/>
      <c r="W209" s="146"/>
      <c r="X209" s="146"/>
      <c r="Y209" s="146"/>
      <c r="Z209" s="146"/>
    </row>
    <row r="210">
      <c r="A210" s="144"/>
      <c r="B210" s="244" t="s">
        <v>96</v>
      </c>
      <c r="C210" s="184" t="str">
        <f>'1-0 Товары'!C210</f>
        <v/>
      </c>
      <c r="D210" s="186" t="str">
        <f>'1-0 Товары'!D210</f>
        <v/>
      </c>
      <c r="E210" s="277" t="str">
        <f>'1-0 Товары'!E210</f>
        <v/>
      </c>
      <c r="F210" s="191"/>
      <c r="G210" s="191"/>
      <c r="H210" s="196"/>
      <c r="I210" s="196"/>
      <c r="J210" s="199" t="str">
        <f>'1-0 Товары'!$G210</f>
        <v/>
      </c>
      <c r="K210" s="200" t="str">
        <f>'1-0 Товары'!$H210</f>
        <v/>
      </c>
      <c r="L210" s="201" t="str">
        <f>'1-0 Товары'!$I210</f>
        <v/>
      </c>
      <c r="M210" s="203" t="str">
        <f>'1-0 Товары'!$N210</f>
        <v/>
      </c>
      <c r="N210" s="206" t="str">
        <f>'1-0 Товары'!$O210</f>
        <v/>
      </c>
      <c r="O210" s="206" t="str">
        <f>'1-0 Товары'!$P210</f>
        <v/>
      </c>
      <c r="P210" s="146"/>
      <c r="Q210" s="146"/>
      <c r="R210" s="146"/>
      <c r="S210" s="146"/>
      <c r="T210" s="146"/>
      <c r="U210" s="146"/>
      <c r="V210" s="146"/>
      <c r="W210" s="146"/>
      <c r="X210" s="146"/>
      <c r="Y210" s="146"/>
      <c r="Z210" s="146"/>
    </row>
    <row r="211">
      <c r="A211" s="144"/>
      <c r="B211" s="244" t="s">
        <v>96</v>
      </c>
      <c r="C211" s="184" t="str">
        <f>'1-0 Товары'!C211</f>
        <v/>
      </c>
      <c r="D211" s="186" t="str">
        <f>'1-0 Товары'!D211</f>
        <v/>
      </c>
      <c r="E211" s="277" t="str">
        <f>'1-0 Товары'!E211</f>
        <v/>
      </c>
      <c r="F211" s="191"/>
      <c r="G211" s="191"/>
      <c r="H211" s="196"/>
      <c r="I211" s="196"/>
      <c r="J211" s="199" t="str">
        <f>'1-0 Товары'!$G211</f>
        <v/>
      </c>
      <c r="K211" s="200" t="str">
        <f>'1-0 Товары'!$H211</f>
        <v/>
      </c>
      <c r="L211" s="201" t="str">
        <f>'1-0 Товары'!$I211</f>
        <v/>
      </c>
      <c r="M211" s="203" t="str">
        <f>'1-0 Товары'!$N211</f>
        <v/>
      </c>
      <c r="N211" s="206" t="str">
        <f>'1-0 Товары'!$O211</f>
        <v/>
      </c>
      <c r="O211" s="206" t="str">
        <f>'1-0 Товары'!$P211</f>
        <v/>
      </c>
      <c r="P211" s="146"/>
      <c r="Q211" s="146"/>
      <c r="R211" s="146"/>
      <c r="S211" s="146"/>
      <c r="T211" s="146"/>
      <c r="U211" s="146"/>
      <c r="V211" s="146"/>
      <c r="W211" s="146"/>
      <c r="X211" s="146"/>
      <c r="Y211" s="146"/>
      <c r="Z211" s="146"/>
    </row>
    <row r="212">
      <c r="A212" s="144"/>
      <c r="B212" s="244" t="s">
        <v>96</v>
      </c>
      <c r="C212" s="184" t="str">
        <f>'1-0 Товары'!C212</f>
        <v/>
      </c>
      <c r="D212" s="186" t="str">
        <f>'1-0 Товары'!D212</f>
        <v/>
      </c>
      <c r="E212" s="277" t="str">
        <f>'1-0 Товары'!E212</f>
        <v/>
      </c>
      <c r="F212" s="191"/>
      <c r="G212" s="191"/>
      <c r="H212" s="196"/>
      <c r="I212" s="196"/>
      <c r="J212" s="199" t="str">
        <f>'1-0 Товары'!$G212</f>
        <v/>
      </c>
      <c r="K212" s="200" t="str">
        <f>'1-0 Товары'!$H212</f>
        <v/>
      </c>
      <c r="L212" s="201" t="str">
        <f>'1-0 Товары'!$I212</f>
        <v/>
      </c>
      <c r="M212" s="203" t="str">
        <f>'1-0 Товары'!$N212</f>
        <v/>
      </c>
      <c r="N212" s="206" t="str">
        <f>'1-0 Товары'!$O212</f>
        <v/>
      </c>
      <c r="O212" s="206" t="str">
        <f>'1-0 Товары'!$P212</f>
        <v/>
      </c>
      <c r="P212" s="146"/>
      <c r="Q212" s="146"/>
      <c r="R212" s="146"/>
      <c r="S212" s="146"/>
      <c r="T212" s="146"/>
      <c r="U212" s="146"/>
      <c r="V212" s="146"/>
      <c r="W212" s="146"/>
      <c r="X212" s="146"/>
      <c r="Y212" s="146"/>
      <c r="Z212" s="146"/>
    </row>
    <row r="213">
      <c r="A213" s="144"/>
      <c r="B213" s="244" t="s">
        <v>96</v>
      </c>
      <c r="C213" s="184" t="str">
        <f>'1-0 Товары'!C213</f>
        <v/>
      </c>
      <c r="D213" s="186" t="str">
        <f>'1-0 Товары'!D213</f>
        <v/>
      </c>
      <c r="E213" s="277" t="str">
        <f>'1-0 Товары'!E213</f>
        <v/>
      </c>
      <c r="F213" s="191"/>
      <c r="G213" s="191"/>
      <c r="H213" s="196"/>
      <c r="I213" s="196"/>
      <c r="J213" s="199" t="str">
        <f>'1-0 Товары'!$G213</f>
        <v/>
      </c>
      <c r="K213" s="200" t="str">
        <f>'1-0 Товары'!$H213</f>
        <v/>
      </c>
      <c r="L213" s="201" t="str">
        <f>'1-0 Товары'!$I213</f>
        <v/>
      </c>
      <c r="M213" s="203" t="str">
        <f>'1-0 Товары'!$N213</f>
        <v/>
      </c>
      <c r="N213" s="206" t="str">
        <f>'1-0 Товары'!$O213</f>
        <v/>
      </c>
      <c r="O213" s="206" t="str">
        <f>'1-0 Товары'!$P213</f>
        <v/>
      </c>
      <c r="P213" s="146"/>
      <c r="Q213" s="146"/>
      <c r="R213" s="146"/>
      <c r="S213" s="146"/>
      <c r="T213" s="146"/>
      <c r="U213" s="146"/>
      <c r="V213" s="146"/>
      <c r="W213" s="146"/>
      <c r="X213" s="146"/>
      <c r="Y213" s="146"/>
      <c r="Z213" s="146"/>
    </row>
    <row r="214">
      <c r="A214" s="144"/>
      <c r="B214" s="244" t="s">
        <v>96</v>
      </c>
      <c r="C214" s="184" t="str">
        <f>'1-0 Товары'!C214</f>
        <v/>
      </c>
      <c r="D214" s="186" t="str">
        <f>'1-0 Товары'!D214</f>
        <v/>
      </c>
      <c r="E214" s="277" t="str">
        <f>'1-0 Товары'!E214</f>
        <v/>
      </c>
      <c r="F214" s="191"/>
      <c r="G214" s="191"/>
      <c r="H214" s="196"/>
      <c r="I214" s="196"/>
      <c r="J214" s="199" t="str">
        <f>'1-0 Товары'!$G214</f>
        <v/>
      </c>
      <c r="K214" s="200" t="str">
        <f>'1-0 Товары'!$H214</f>
        <v/>
      </c>
      <c r="L214" s="201" t="str">
        <f>'1-0 Товары'!$I214</f>
        <v/>
      </c>
      <c r="M214" s="203" t="str">
        <f>'1-0 Товары'!$N214</f>
        <v/>
      </c>
      <c r="N214" s="206" t="str">
        <f>'1-0 Товары'!$O214</f>
        <v/>
      </c>
      <c r="O214" s="206" t="str">
        <f>'1-0 Товары'!$P214</f>
        <v/>
      </c>
      <c r="P214" s="146"/>
      <c r="Q214" s="146"/>
      <c r="R214" s="146"/>
      <c r="S214" s="146"/>
      <c r="T214" s="146"/>
      <c r="U214" s="146"/>
      <c r="V214" s="146"/>
      <c r="W214" s="146"/>
      <c r="X214" s="146"/>
      <c r="Y214" s="146"/>
      <c r="Z214" s="146"/>
    </row>
    <row r="215">
      <c r="A215" s="144"/>
      <c r="B215" s="244" t="s">
        <v>96</v>
      </c>
      <c r="C215" s="184" t="str">
        <f>'1-0 Товары'!C215</f>
        <v/>
      </c>
      <c r="D215" s="186" t="str">
        <f>'1-0 Товары'!D215</f>
        <v/>
      </c>
      <c r="E215" s="277" t="str">
        <f>'1-0 Товары'!E215</f>
        <v/>
      </c>
      <c r="F215" s="191"/>
      <c r="G215" s="191"/>
      <c r="H215" s="196"/>
      <c r="I215" s="196"/>
      <c r="J215" s="199" t="str">
        <f>'1-0 Товары'!$G215</f>
        <v/>
      </c>
      <c r="K215" s="200" t="str">
        <f>'1-0 Товары'!$H215</f>
        <v/>
      </c>
      <c r="L215" s="201" t="str">
        <f>'1-0 Товары'!$I215</f>
        <v/>
      </c>
      <c r="M215" s="203" t="str">
        <f>'1-0 Товары'!$N215</f>
        <v/>
      </c>
      <c r="N215" s="206" t="str">
        <f>'1-0 Товары'!$O215</f>
        <v/>
      </c>
      <c r="O215" s="206" t="str">
        <f>'1-0 Товары'!$P215</f>
        <v/>
      </c>
      <c r="P215" s="146"/>
      <c r="Q215" s="146"/>
      <c r="R215" s="146"/>
      <c r="S215" s="146"/>
      <c r="T215" s="146"/>
      <c r="U215" s="146"/>
      <c r="V215" s="146"/>
      <c r="W215" s="146"/>
      <c r="X215" s="146"/>
      <c r="Y215" s="146"/>
      <c r="Z215" s="146"/>
    </row>
    <row r="216">
      <c r="A216" s="144"/>
      <c r="B216" s="244" t="s">
        <v>96</v>
      </c>
      <c r="C216" s="184" t="str">
        <f>'1-0 Товары'!C216</f>
        <v/>
      </c>
      <c r="D216" s="186" t="str">
        <f>'1-0 Товары'!D216</f>
        <v/>
      </c>
      <c r="E216" s="277" t="str">
        <f>'1-0 Товары'!E216</f>
        <v/>
      </c>
      <c r="F216" s="191"/>
      <c r="G216" s="191"/>
      <c r="H216" s="196"/>
      <c r="I216" s="196"/>
      <c r="J216" s="199" t="str">
        <f>'1-0 Товары'!$G216</f>
        <v/>
      </c>
      <c r="K216" s="200" t="str">
        <f>'1-0 Товары'!$H216</f>
        <v/>
      </c>
      <c r="L216" s="201" t="str">
        <f>'1-0 Товары'!$I216</f>
        <v/>
      </c>
      <c r="M216" s="203" t="str">
        <f>'1-0 Товары'!$N216</f>
        <v/>
      </c>
      <c r="N216" s="206" t="str">
        <f>'1-0 Товары'!$O216</f>
        <v/>
      </c>
      <c r="O216" s="206" t="str">
        <f>'1-0 Товары'!$P216</f>
        <v/>
      </c>
      <c r="P216" s="146"/>
      <c r="Q216" s="146"/>
      <c r="R216" s="146"/>
      <c r="S216" s="146"/>
      <c r="T216" s="146"/>
      <c r="U216" s="146"/>
      <c r="V216" s="146"/>
      <c r="W216" s="146"/>
      <c r="X216" s="146"/>
      <c r="Y216" s="146"/>
      <c r="Z216" s="146"/>
    </row>
    <row r="217">
      <c r="A217" s="144"/>
      <c r="B217" s="244" t="s">
        <v>96</v>
      </c>
      <c r="C217" s="184" t="str">
        <f>'1-0 Товары'!C217</f>
        <v/>
      </c>
      <c r="D217" s="186" t="str">
        <f>'1-0 Товары'!D217</f>
        <v/>
      </c>
      <c r="E217" s="277" t="str">
        <f>'1-0 Товары'!E217</f>
        <v/>
      </c>
      <c r="F217" s="191"/>
      <c r="G217" s="191"/>
      <c r="H217" s="196"/>
      <c r="I217" s="196"/>
      <c r="J217" s="199" t="str">
        <f>'1-0 Товары'!$G217</f>
        <v/>
      </c>
      <c r="K217" s="200" t="str">
        <f>'1-0 Товары'!$H217</f>
        <v/>
      </c>
      <c r="L217" s="201" t="str">
        <f>'1-0 Товары'!$I217</f>
        <v/>
      </c>
      <c r="M217" s="203" t="str">
        <f>'1-0 Товары'!$N217</f>
        <v/>
      </c>
      <c r="N217" s="206" t="str">
        <f>'1-0 Товары'!$O217</f>
        <v/>
      </c>
      <c r="O217" s="206" t="str">
        <f>'1-0 Товары'!$P217</f>
        <v/>
      </c>
      <c r="P217" s="146"/>
      <c r="Q217" s="146"/>
      <c r="R217" s="146"/>
      <c r="S217" s="146"/>
      <c r="T217" s="146"/>
      <c r="U217" s="146"/>
      <c r="V217" s="146"/>
      <c r="W217" s="146"/>
      <c r="X217" s="146"/>
      <c r="Y217" s="146"/>
      <c r="Z217" s="146"/>
    </row>
    <row r="218">
      <c r="A218" s="144"/>
      <c r="B218" s="244" t="s">
        <v>96</v>
      </c>
      <c r="C218" s="184" t="str">
        <f>'1-0 Товары'!C218</f>
        <v/>
      </c>
      <c r="D218" s="186" t="str">
        <f>'1-0 Товары'!D218</f>
        <v/>
      </c>
      <c r="E218" s="277" t="str">
        <f>'1-0 Товары'!E218</f>
        <v/>
      </c>
      <c r="F218" s="191"/>
      <c r="G218" s="191"/>
      <c r="H218" s="196"/>
      <c r="I218" s="196"/>
      <c r="J218" s="199" t="str">
        <f>'1-0 Товары'!$G218</f>
        <v/>
      </c>
      <c r="K218" s="200" t="str">
        <f>'1-0 Товары'!$H218</f>
        <v/>
      </c>
      <c r="L218" s="201" t="str">
        <f>'1-0 Товары'!$I218</f>
        <v/>
      </c>
      <c r="M218" s="203" t="str">
        <f>'1-0 Товары'!$N218</f>
        <v/>
      </c>
      <c r="N218" s="206" t="str">
        <f>'1-0 Товары'!$O218</f>
        <v/>
      </c>
      <c r="O218" s="206" t="str">
        <f>'1-0 Товары'!$P218</f>
        <v/>
      </c>
      <c r="P218" s="146"/>
      <c r="Q218" s="146"/>
      <c r="R218" s="146"/>
      <c r="S218" s="146"/>
      <c r="T218" s="146"/>
      <c r="U218" s="146"/>
      <c r="V218" s="146"/>
      <c r="W218" s="146"/>
      <c r="X218" s="146"/>
      <c r="Y218" s="146"/>
      <c r="Z218" s="146"/>
    </row>
    <row r="219">
      <c r="A219" s="144"/>
      <c r="B219" s="244" t="s">
        <v>96</v>
      </c>
      <c r="C219" s="184" t="str">
        <f>'1-0 Товары'!C219</f>
        <v/>
      </c>
      <c r="D219" s="186" t="str">
        <f>'1-0 Товары'!D219</f>
        <v/>
      </c>
      <c r="E219" s="277" t="str">
        <f>'1-0 Товары'!E219</f>
        <v/>
      </c>
      <c r="F219" s="191"/>
      <c r="G219" s="191"/>
      <c r="H219" s="196"/>
      <c r="I219" s="196"/>
      <c r="J219" s="199" t="str">
        <f>'1-0 Товары'!$G219</f>
        <v/>
      </c>
      <c r="K219" s="200" t="str">
        <f>'1-0 Товары'!$H219</f>
        <v/>
      </c>
      <c r="L219" s="201" t="str">
        <f>'1-0 Товары'!$I219</f>
        <v/>
      </c>
      <c r="M219" s="203" t="str">
        <f>'1-0 Товары'!$N219</f>
        <v/>
      </c>
      <c r="N219" s="206" t="str">
        <f>'1-0 Товары'!$O219</f>
        <v/>
      </c>
      <c r="O219" s="206" t="str">
        <f>'1-0 Товары'!$P219</f>
        <v/>
      </c>
      <c r="P219" s="146"/>
      <c r="Q219" s="146"/>
      <c r="R219" s="146"/>
      <c r="S219" s="146"/>
      <c r="T219" s="146"/>
      <c r="U219" s="146"/>
      <c r="V219" s="146"/>
      <c r="W219" s="146"/>
      <c r="X219" s="146"/>
      <c r="Y219" s="146"/>
      <c r="Z219" s="146"/>
    </row>
    <row r="220">
      <c r="A220" s="144"/>
      <c r="B220" s="244" t="s">
        <v>96</v>
      </c>
      <c r="C220" s="184" t="str">
        <f>'1-0 Товары'!C220</f>
        <v/>
      </c>
      <c r="D220" s="186" t="str">
        <f>'1-0 Товары'!D220</f>
        <v/>
      </c>
      <c r="E220" s="277" t="str">
        <f>'1-0 Товары'!E220</f>
        <v/>
      </c>
      <c r="F220" s="191"/>
      <c r="G220" s="191"/>
      <c r="H220" s="196"/>
      <c r="I220" s="196"/>
      <c r="J220" s="199" t="str">
        <f>'1-0 Товары'!$G220</f>
        <v/>
      </c>
      <c r="K220" s="200" t="str">
        <f>'1-0 Товары'!$H220</f>
        <v/>
      </c>
      <c r="L220" s="201" t="str">
        <f>'1-0 Товары'!$I220</f>
        <v/>
      </c>
      <c r="M220" s="203" t="str">
        <f>'1-0 Товары'!$N220</f>
        <v/>
      </c>
      <c r="N220" s="206" t="str">
        <f>'1-0 Товары'!$O220</f>
        <v/>
      </c>
      <c r="O220" s="206" t="str">
        <f>'1-0 Товары'!$P220</f>
        <v/>
      </c>
      <c r="P220" s="146"/>
      <c r="Q220" s="146"/>
      <c r="R220" s="146"/>
      <c r="S220" s="146"/>
      <c r="T220" s="146"/>
      <c r="U220" s="146"/>
      <c r="V220" s="146"/>
      <c r="W220" s="146"/>
      <c r="X220" s="146"/>
      <c r="Y220" s="146"/>
      <c r="Z220" s="146"/>
    </row>
    <row r="221">
      <c r="A221" s="144"/>
      <c r="B221" s="244" t="s">
        <v>96</v>
      </c>
      <c r="C221" s="184" t="str">
        <f>'1-0 Товары'!C221</f>
        <v/>
      </c>
      <c r="D221" s="186" t="str">
        <f>'1-0 Товары'!D221</f>
        <v/>
      </c>
      <c r="E221" s="277" t="str">
        <f>'1-0 Товары'!E221</f>
        <v/>
      </c>
      <c r="F221" s="191"/>
      <c r="G221" s="191"/>
      <c r="H221" s="196"/>
      <c r="I221" s="196"/>
      <c r="J221" s="199" t="str">
        <f>'1-0 Товары'!$G221</f>
        <v/>
      </c>
      <c r="K221" s="200" t="str">
        <f>'1-0 Товары'!$H221</f>
        <v/>
      </c>
      <c r="L221" s="201" t="str">
        <f>'1-0 Товары'!$I221</f>
        <v/>
      </c>
      <c r="M221" s="203" t="str">
        <f>'1-0 Товары'!$N221</f>
        <v/>
      </c>
      <c r="N221" s="206" t="str">
        <f>'1-0 Товары'!$O221</f>
        <v/>
      </c>
      <c r="O221" s="206" t="str">
        <f>'1-0 Товары'!$P221</f>
        <v/>
      </c>
      <c r="P221" s="146"/>
      <c r="Q221" s="146"/>
      <c r="R221" s="146"/>
      <c r="S221" s="146"/>
      <c r="T221" s="146"/>
      <c r="U221" s="146"/>
      <c r="V221" s="146"/>
      <c r="W221" s="146"/>
      <c r="X221" s="146"/>
      <c r="Y221" s="146"/>
      <c r="Z221" s="146"/>
    </row>
    <row r="222">
      <c r="A222" s="144"/>
      <c r="B222" s="244" t="s">
        <v>96</v>
      </c>
      <c r="C222" s="184" t="str">
        <f>'1-0 Товары'!C222</f>
        <v/>
      </c>
      <c r="D222" s="186" t="str">
        <f>'1-0 Товары'!D222</f>
        <v/>
      </c>
      <c r="E222" s="277" t="str">
        <f>'1-0 Товары'!E222</f>
        <v/>
      </c>
      <c r="F222" s="191"/>
      <c r="G222" s="191"/>
      <c r="H222" s="196"/>
      <c r="I222" s="196"/>
      <c r="J222" s="199" t="str">
        <f>'1-0 Товары'!$G222</f>
        <v/>
      </c>
      <c r="K222" s="200" t="str">
        <f>'1-0 Товары'!$H222</f>
        <v/>
      </c>
      <c r="L222" s="201" t="str">
        <f>'1-0 Товары'!$I222</f>
        <v/>
      </c>
      <c r="M222" s="203" t="str">
        <f>'1-0 Товары'!$N222</f>
        <v/>
      </c>
      <c r="N222" s="206" t="str">
        <f>'1-0 Товары'!$O222</f>
        <v/>
      </c>
      <c r="O222" s="206" t="str">
        <f>'1-0 Товары'!$P222</f>
        <v/>
      </c>
      <c r="P222" s="146"/>
      <c r="Q222" s="146"/>
      <c r="R222" s="146"/>
      <c r="S222" s="146"/>
      <c r="T222" s="146"/>
      <c r="U222" s="146"/>
      <c r="V222" s="146"/>
      <c r="W222" s="146"/>
      <c r="X222" s="146"/>
      <c r="Y222" s="146"/>
      <c r="Z222" s="146"/>
    </row>
    <row r="223">
      <c r="A223" s="144"/>
      <c r="B223" s="244" t="s">
        <v>96</v>
      </c>
      <c r="C223" s="184" t="str">
        <f>'1-0 Товары'!C223</f>
        <v/>
      </c>
      <c r="D223" s="186" t="str">
        <f>'1-0 Товары'!D223</f>
        <v/>
      </c>
      <c r="E223" s="277" t="str">
        <f>'1-0 Товары'!E223</f>
        <v/>
      </c>
      <c r="F223" s="191"/>
      <c r="G223" s="191"/>
      <c r="H223" s="196"/>
      <c r="I223" s="196"/>
      <c r="J223" s="199" t="str">
        <f>'1-0 Товары'!$G223</f>
        <v/>
      </c>
      <c r="K223" s="200" t="str">
        <f>'1-0 Товары'!$H223</f>
        <v/>
      </c>
      <c r="L223" s="201" t="str">
        <f>'1-0 Товары'!$I223</f>
        <v/>
      </c>
      <c r="M223" s="203" t="str">
        <f>'1-0 Товары'!$N223</f>
        <v/>
      </c>
      <c r="N223" s="206" t="str">
        <f>'1-0 Товары'!$O223</f>
        <v/>
      </c>
      <c r="O223" s="206" t="str">
        <f>'1-0 Товары'!$P223</f>
        <v/>
      </c>
      <c r="P223" s="146"/>
      <c r="Q223" s="146"/>
      <c r="R223" s="146"/>
      <c r="S223" s="146"/>
      <c r="T223" s="146"/>
      <c r="U223" s="146"/>
      <c r="V223" s="146"/>
      <c r="W223" s="146"/>
      <c r="X223" s="146"/>
      <c r="Y223" s="146"/>
      <c r="Z223" s="146"/>
    </row>
    <row r="224">
      <c r="A224" s="144"/>
      <c r="B224" s="244" t="s">
        <v>96</v>
      </c>
      <c r="C224" s="184" t="str">
        <f>'1-0 Товары'!C224</f>
        <v/>
      </c>
      <c r="D224" s="186" t="str">
        <f>'1-0 Товары'!D224</f>
        <v/>
      </c>
      <c r="E224" s="277" t="str">
        <f>'1-0 Товары'!E224</f>
        <v/>
      </c>
      <c r="F224" s="191"/>
      <c r="G224" s="191"/>
      <c r="H224" s="196"/>
      <c r="I224" s="196"/>
      <c r="J224" s="199" t="str">
        <f>'1-0 Товары'!$G224</f>
        <v/>
      </c>
      <c r="K224" s="200" t="str">
        <f>'1-0 Товары'!$H224</f>
        <v/>
      </c>
      <c r="L224" s="201" t="str">
        <f>'1-0 Товары'!$I224</f>
        <v/>
      </c>
      <c r="M224" s="203" t="str">
        <f>'1-0 Товары'!$N224</f>
        <v/>
      </c>
      <c r="N224" s="206" t="str">
        <f>'1-0 Товары'!$O224</f>
        <v/>
      </c>
      <c r="O224" s="206" t="str">
        <f>'1-0 Товары'!$P224</f>
        <v/>
      </c>
      <c r="P224" s="146"/>
      <c r="Q224" s="146"/>
      <c r="R224" s="146"/>
      <c r="S224" s="146"/>
      <c r="T224" s="146"/>
      <c r="U224" s="146"/>
      <c r="V224" s="146"/>
      <c r="W224" s="146"/>
      <c r="X224" s="146"/>
      <c r="Y224" s="146"/>
      <c r="Z224" s="146"/>
    </row>
    <row r="225">
      <c r="A225" s="144"/>
      <c r="B225" s="244" t="s">
        <v>96</v>
      </c>
      <c r="C225" s="184" t="str">
        <f>'1-0 Товары'!C225</f>
        <v/>
      </c>
      <c r="D225" s="186" t="str">
        <f>'1-0 Товары'!D225</f>
        <v/>
      </c>
      <c r="E225" s="277" t="str">
        <f>'1-0 Товары'!E225</f>
        <v/>
      </c>
      <c r="F225" s="191"/>
      <c r="G225" s="191"/>
      <c r="H225" s="196"/>
      <c r="I225" s="196"/>
      <c r="J225" s="199" t="str">
        <f>'1-0 Товары'!$G225</f>
        <v/>
      </c>
      <c r="K225" s="200" t="str">
        <f>'1-0 Товары'!$H225</f>
        <v/>
      </c>
      <c r="L225" s="201" t="str">
        <f>'1-0 Товары'!$I225</f>
        <v/>
      </c>
      <c r="M225" s="203" t="str">
        <f>'1-0 Товары'!$N225</f>
        <v/>
      </c>
      <c r="N225" s="206" t="str">
        <f>'1-0 Товары'!$O225</f>
        <v/>
      </c>
      <c r="O225" s="206" t="str">
        <f>'1-0 Товары'!$P225</f>
        <v/>
      </c>
      <c r="P225" s="146"/>
      <c r="Q225" s="146"/>
      <c r="R225" s="146"/>
      <c r="S225" s="146"/>
      <c r="T225" s="146"/>
      <c r="U225" s="146"/>
      <c r="V225" s="146"/>
      <c r="W225" s="146"/>
      <c r="X225" s="146"/>
      <c r="Y225" s="146"/>
      <c r="Z225" s="146"/>
    </row>
    <row r="226">
      <c r="A226" s="144"/>
      <c r="B226" s="244" t="s">
        <v>96</v>
      </c>
      <c r="C226" s="184" t="str">
        <f>'1-0 Товары'!C226</f>
        <v/>
      </c>
      <c r="D226" s="186" t="str">
        <f>'1-0 Товары'!D226</f>
        <v/>
      </c>
      <c r="E226" s="277" t="str">
        <f>'1-0 Товары'!E226</f>
        <v/>
      </c>
      <c r="F226" s="191"/>
      <c r="G226" s="191"/>
      <c r="H226" s="196"/>
      <c r="I226" s="196"/>
      <c r="J226" s="199" t="str">
        <f>'1-0 Товары'!$G226</f>
        <v/>
      </c>
      <c r="K226" s="200" t="str">
        <f>'1-0 Товары'!$H226</f>
        <v/>
      </c>
      <c r="L226" s="201" t="str">
        <f>'1-0 Товары'!$I226</f>
        <v/>
      </c>
      <c r="M226" s="203" t="str">
        <f>'1-0 Товары'!$N226</f>
        <v/>
      </c>
      <c r="N226" s="206" t="str">
        <f>'1-0 Товары'!$O226</f>
        <v/>
      </c>
      <c r="O226" s="206" t="str">
        <f>'1-0 Товары'!$P226</f>
        <v/>
      </c>
      <c r="P226" s="146"/>
      <c r="Q226" s="146"/>
      <c r="R226" s="146"/>
      <c r="S226" s="146"/>
      <c r="T226" s="146"/>
      <c r="U226" s="146"/>
      <c r="V226" s="146"/>
      <c r="W226" s="146"/>
      <c r="X226" s="146"/>
      <c r="Y226" s="146"/>
      <c r="Z226" s="146"/>
    </row>
    <row r="227">
      <c r="A227" s="144"/>
      <c r="B227" s="244" t="s">
        <v>96</v>
      </c>
      <c r="C227" s="184" t="str">
        <f>'1-0 Товары'!C227</f>
        <v/>
      </c>
      <c r="D227" s="186" t="str">
        <f>'1-0 Товары'!D227</f>
        <v/>
      </c>
      <c r="E227" s="277" t="str">
        <f>'1-0 Товары'!E227</f>
        <v/>
      </c>
      <c r="F227" s="191"/>
      <c r="G227" s="191"/>
      <c r="H227" s="196"/>
      <c r="I227" s="196"/>
      <c r="J227" s="199" t="str">
        <f>'1-0 Товары'!$G227</f>
        <v/>
      </c>
      <c r="K227" s="200" t="str">
        <f>'1-0 Товары'!$H227</f>
        <v/>
      </c>
      <c r="L227" s="201" t="str">
        <f>'1-0 Товары'!$I227</f>
        <v/>
      </c>
      <c r="M227" s="203" t="str">
        <f>'1-0 Товары'!$N227</f>
        <v/>
      </c>
      <c r="N227" s="206" t="str">
        <f>'1-0 Товары'!$O227</f>
        <v/>
      </c>
      <c r="O227" s="206" t="str">
        <f>'1-0 Товары'!$P227</f>
        <v/>
      </c>
      <c r="P227" s="146"/>
      <c r="Q227" s="146"/>
      <c r="R227" s="146"/>
      <c r="S227" s="146"/>
      <c r="T227" s="146"/>
      <c r="U227" s="146"/>
      <c r="V227" s="146"/>
      <c r="W227" s="146"/>
      <c r="X227" s="146"/>
      <c r="Y227" s="146"/>
      <c r="Z227" s="146"/>
    </row>
    <row r="228">
      <c r="A228" s="144"/>
      <c r="B228" s="244" t="s">
        <v>96</v>
      </c>
      <c r="C228" s="184" t="str">
        <f>'1-0 Товары'!C228</f>
        <v/>
      </c>
      <c r="D228" s="186" t="str">
        <f>'1-0 Товары'!D228</f>
        <v/>
      </c>
      <c r="E228" s="277" t="str">
        <f>'1-0 Товары'!E228</f>
        <v/>
      </c>
      <c r="F228" s="191"/>
      <c r="G228" s="191"/>
      <c r="H228" s="196"/>
      <c r="I228" s="196"/>
      <c r="J228" s="199" t="str">
        <f>'1-0 Товары'!$G228</f>
        <v/>
      </c>
      <c r="K228" s="200" t="str">
        <f>'1-0 Товары'!$H228</f>
        <v/>
      </c>
      <c r="L228" s="201" t="str">
        <f>'1-0 Товары'!$I228</f>
        <v/>
      </c>
      <c r="M228" s="203" t="str">
        <f>'1-0 Товары'!$N228</f>
        <v/>
      </c>
      <c r="N228" s="206" t="str">
        <f>'1-0 Товары'!$O228</f>
        <v/>
      </c>
      <c r="O228" s="206" t="str">
        <f>'1-0 Товары'!$P228</f>
        <v/>
      </c>
      <c r="P228" s="146"/>
      <c r="Q228" s="146"/>
      <c r="R228" s="146"/>
      <c r="S228" s="146"/>
      <c r="T228" s="146"/>
      <c r="U228" s="146"/>
      <c r="V228" s="146"/>
      <c r="W228" s="146"/>
      <c r="X228" s="146"/>
      <c r="Y228" s="146"/>
      <c r="Z228" s="146"/>
    </row>
    <row r="229">
      <c r="A229" s="144"/>
      <c r="B229" s="244" t="s">
        <v>96</v>
      </c>
      <c r="C229" s="184" t="str">
        <f>'1-0 Товары'!C229</f>
        <v/>
      </c>
      <c r="D229" s="186" t="str">
        <f>'1-0 Товары'!D229</f>
        <v/>
      </c>
      <c r="E229" s="277" t="str">
        <f>'1-0 Товары'!E229</f>
        <v/>
      </c>
      <c r="F229" s="191"/>
      <c r="G229" s="191"/>
      <c r="H229" s="196"/>
      <c r="I229" s="196"/>
      <c r="J229" s="199" t="str">
        <f>'1-0 Товары'!$G229</f>
        <v/>
      </c>
      <c r="K229" s="200" t="str">
        <f>'1-0 Товары'!$H229</f>
        <v/>
      </c>
      <c r="L229" s="201" t="str">
        <f>'1-0 Товары'!$I229</f>
        <v/>
      </c>
      <c r="M229" s="203" t="str">
        <f>'1-0 Товары'!$N229</f>
        <v/>
      </c>
      <c r="N229" s="206" t="str">
        <f>'1-0 Товары'!$O229</f>
        <v/>
      </c>
      <c r="O229" s="206" t="str">
        <f>'1-0 Товары'!$P229</f>
        <v/>
      </c>
      <c r="P229" s="146"/>
      <c r="Q229" s="146"/>
      <c r="R229" s="146"/>
      <c r="S229" s="146"/>
      <c r="T229" s="146"/>
      <c r="U229" s="146"/>
      <c r="V229" s="146"/>
      <c r="W229" s="146"/>
      <c r="X229" s="146"/>
      <c r="Y229" s="146"/>
      <c r="Z229" s="146"/>
    </row>
    <row r="230">
      <c r="A230" s="144"/>
      <c r="B230" s="244" t="s">
        <v>96</v>
      </c>
      <c r="C230" s="184" t="str">
        <f>'1-0 Товары'!C230</f>
        <v/>
      </c>
      <c r="D230" s="186" t="str">
        <f>'1-0 Товары'!D230</f>
        <v/>
      </c>
      <c r="E230" s="277" t="str">
        <f>'1-0 Товары'!E230</f>
        <v/>
      </c>
      <c r="F230" s="191"/>
      <c r="G230" s="191"/>
      <c r="H230" s="196"/>
      <c r="I230" s="196"/>
      <c r="J230" s="199" t="str">
        <f>'1-0 Товары'!$G230</f>
        <v/>
      </c>
      <c r="K230" s="200" t="str">
        <f>'1-0 Товары'!$H230</f>
        <v/>
      </c>
      <c r="L230" s="201" t="str">
        <f>'1-0 Товары'!$I230</f>
        <v/>
      </c>
      <c r="M230" s="203" t="str">
        <f>'1-0 Товары'!$N230</f>
        <v/>
      </c>
      <c r="N230" s="206" t="str">
        <f>'1-0 Товары'!$O230</f>
        <v/>
      </c>
      <c r="O230" s="206" t="str">
        <f>'1-0 Товары'!$P230</f>
        <v/>
      </c>
      <c r="P230" s="146"/>
      <c r="Q230" s="146"/>
      <c r="R230" s="146"/>
      <c r="S230" s="146"/>
      <c r="T230" s="146"/>
      <c r="U230" s="146"/>
      <c r="V230" s="146"/>
      <c r="W230" s="146"/>
      <c r="X230" s="146"/>
      <c r="Y230" s="146"/>
      <c r="Z230" s="146"/>
    </row>
    <row r="231">
      <c r="A231" s="144"/>
      <c r="B231" s="244" t="s">
        <v>96</v>
      </c>
      <c r="C231" s="184" t="str">
        <f>'1-0 Товары'!C231</f>
        <v/>
      </c>
      <c r="D231" s="186" t="str">
        <f>'1-0 Товары'!D231</f>
        <v/>
      </c>
      <c r="E231" s="277" t="str">
        <f>'1-0 Товары'!E231</f>
        <v/>
      </c>
      <c r="F231" s="191"/>
      <c r="G231" s="191"/>
      <c r="H231" s="196"/>
      <c r="I231" s="196"/>
      <c r="J231" s="199" t="str">
        <f>'1-0 Товары'!$G231</f>
        <v/>
      </c>
      <c r="K231" s="200" t="str">
        <f>'1-0 Товары'!$H231</f>
        <v/>
      </c>
      <c r="L231" s="201" t="str">
        <f>'1-0 Товары'!$I231</f>
        <v/>
      </c>
      <c r="M231" s="203" t="str">
        <f>'1-0 Товары'!$N231</f>
        <v/>
      </c>
      <c r="N231" s="206" t="str">
        <f>'1-0 Товары'!$O231</f>
        <v/>
      </c>
      <c r="O231" s="206" t="str">
        <f>'1-0 Товары'!$P231</f>
        <v/>
      </c>
      <c r="P231" s="146"/>
      <c r="Q231" s="146"/>
      <c r="R231" s="146"/>
      <c r="S231" s="146"/>
      <c r="T231" s="146"/>
      <c r="U231" s="146"/>
      <c r="V231" s="146"/>
      <c r="W231" s="146"/>
      <c r="X231" s="146"/>
      <c r="Y231" s="146"/>
      <c r="Z231" s="146"/>
    </row>
    <row r="232">
      <c r="A232" s="144"/>
      <c r="B232" s="244" t="s">
        <v>96</v>
      </c>
      <c r="C232" s="184" t="str">
        <f>'1-0 Товары'!C232</f>
        <v/>
      </c>
      <c r="D232" s="186" t="str">
        <f>'1-0 Товары'!D232</f>
        <v/>
      </c>
      <c r="E232" s="277" t="str">
        <f>'1-0 Товары'!E232</f>
        <v/>
      </c>
      <c r="F232" s="191"/>
      <c r="G232" s="191"/>
      <c r="H232" s="196"/>
      <c r="I232" s="196"/>
      <c r="J232" s="199" t="str">
        <f>'1-0 Товары'!$G232</f>
        <v/>
      </c>
      <c r="K232" s="200" t="str">
        <f>'1-0 Товары'!$H232</f>
        <v/>
      </c>
      <c r="L232" s="201" t="str">
        <f>'1-0 Товары'!$I232</f>
        <v/>
      </c>
      <c r="M232" s="203" t="str">
        <f>'1-0 Товары'!$N232</f>
        <v/>
      </c>
      <c r="N232" s="206" t="str">
        <f>'1-0 Товары'!$O232</f>
        <v/>
      </c>
      <c r="O232" s="206" t="str">
        <f>'1-0 Товары'!$P232</f>
        <v/>
      </c>
      <c r="P232" s="146"/>
      <c r="Q232" s="146"/>
      <c r="R232" s="146"/>
      <c r="S232" s="146"/>
      <c r="T232" s="146"/>
      <c r="U232" s="146"/>
      <c r="V232" s="146"/>
      <c r="W232" s="146"/>
      <c r="X232" s="146"/>
      <c r="Y232" s="146"/>
      <c r="Z232" s="146"/>
    </row>
    <row r="233">
      <c r="A233" s="144"/>
      <c r="B233" s="244" t="s">
        <v>96</v>
      </c>
      <c r="C233" s="184" t="str">
        <f>'1-0 Товары'!C233</f>
        <v/>
      </c>
      <c r="D233" s="186" t="str">
        <f>'1-0 Товары'!D233</f>
        <v/>
      </c>
      <c r="E233" s="277" t="str">
        <f>'1-0 Товары'!E233</f>
        <v/>
      </c>
      <c r="F233" s="191"/>
      <c r="G233" s="191"/>
      <c r="H233" s="196"/>
      <c r="I233" s="196"/>
      <c r="J233" s="199" t="str">
        <f>'1-0 Товары'!$G233</f>
        <v/>
      </c>
      <c r="K233" s="200" t="str">
        <f>'1-0 Товары'!$H233</f>
        <v/>
      </c>
      <c r="L233" s="201" t="str">
        <f>'1-0 Товары'!$I233</f>
        <v/>
      </c>
      <c r="M233" s="203" t="str">
        <f>'1-0 Товары'!$N233</f>
        <v/>
      </c>
      <c r="N233" s="206" t="str">
        <f>'1-0 Товары'!$O233</f>
        <v/>
      </c>
      <c r="O233" s="206" t="str">
        <f>'1-0 Товары'!$P233</f>
        <v/>
      </c>
      <c r="P233" s="146"/>
      <c r="Q233" s="146"/>
      <c r="R233" s="146"/>
      <c r="S233" s="146"/>
      <c r="T233" s="146"/>
      <c r="U233" s="146"/>
      <c r="V233" s="146"/>
      <c r="W233" s="146"/>
      <c r="X233" s="146"/>
      <c r="Y233" s="146"/>
      <c r="Z233" s="146"/>
    </row>
    <row r="234">
      <c r="A234" s="144"/>
      <c r="B234" s="244" t="s">
        <v>96</v>
      </c>
      <c r="C234" s="184" t="str">
        <f>'1-0 Товары'!C234</f>
        <v/>
      </c>
      <c r="D234" s="186" t="str">
        <f>'1-0 Товары'!D234</f>
        <v/>
      </c>
      <c r="E234" s="277" t="str">
        <f>'1-0 Товары'!E234</f>
        <v/>
      </c>
      <c r="F234" s="191"/>
      <c r="G234" s="191"/>
      <c r="H234" s="196"/>
      <c r="I234" s="196"/>
      <c r="J234" s="199" t="str">
        <f>'1-0 Товары'!$G234</f>
        <v/>
      </c>
      <c r="K234" s="200" t="str">
        <f>'1-0 Товары'!$H234</f>
        <v/>
      </c>
      <c r="L234" s="201" t="str">
        <f>'1-0 Товары'!$I234</f>
        <v/>
      </c>
      <c r="M234" s="203" t="str">
        <f>'1-0 Товары'!$N234</f>
        <v/>
      </c>
      <c r="N234" s="206" t="str">
        <f>'1-0 Товары'!$O234</f>
        <v/>
      </c>
      <c r="O234" s="206" t="str">
        <f>'1-0 Товары'!$P234</f>
        <v/>
      </c>
      <c r="P234" s="146"/>
      <c r="Q234" s="146"/>
      <c r="R234" s="146"/>
      <c r="S234" s="146"/>
      <c r="T234" s="146"/>
      <c r="U234" s="146"/>
      <c r="V234" s="146"/>
      <c r="W234" s="146"/>
      <c r="X234" s="146"/>
      <c r="Y234" s="146"/>
      <c r="Z234" s="146"/>
    </row>
    <row r="235">
      <c r="A235" s="144"/>
      <c r="B235" s="244" t="s">
        <v>96</v>
      </c>
      <c r="C235" s="184" t="str">
        <f>'1-0 Товары'!C235</f>
        <v/>
      </c>
      <c r="D235" s="186" t="str">
        <f>'1-0 Товары'!D235</f>
        <v/>
      </c>
      <c r="E235" s="277" t="str">
        <f>'1-0 Товары'!E235</f>
        <v/>
      </c>
      <c r="F235" s="191"/>
      <c r="G235" s="191"/>
      <c r="H235" s="196"/>
      <c r="I235" s="196"/>
      <c r="J235" s="199" t="str">
        <f>'1-0 Товары'!$G235</f>
        <v/>
      </c>
      <c r="K235" s="200" t="str">
        <f>'1-0 Товары'!$H235</f>
        <v/>
      </c>
      <c r="L235" s="201" t="str">
        <f>'1-0 Товары'!$I235</f>
        <v/>
      </c>
      <c r="M235" s="203" t="str">
        <f>'1-0 Товары'!$N235</f>
        <v/>
      </c>
      <c r="N235" s="206" t="str">
        <f>'1-0 Товары'!$O235</f>
        <v/>
      </c>
      <c r="O235" s="206" t="str">
        <f>'1-0 Товары'!$P235</f>
        <v/>
      </c>
      <c r="P235" s="146"/>
      <c r="Q235" s="146"/>
      <c r="R235" s="146"/>
      <c r="S235" s="146"/>
      <c r="T235" s="146"/>
      <c r="U235" s="146"/>
      <c r="V235" s="146"/>
      <c r="W235" s="146"/>
      <c r="X235" s="146"/>
      <c r="Y235" s="146"/>
      <c r="Z235" s="146"/>
    </row>
    <row r="236">
      <c r="A236" s="144"/>
      <c r="B236" s="244" t="s">
        <v>96</v>
      </c>
      <c r="C236" s="184" t="str">
        <f>'1-0 Товары'!C236</f>
        <v/>
      </c>
      <c r="D236" s="186" t="str">
        <f>'1-0 Товары'!D236</f>
        <v/>
      </c>
      <c r="E236" s="277" t="str">
        <f>'1-0 Товары'!E236</f>
        <v/>
      </c>
      <c r="F236" s="191"/>
      <c r="G236" s="191"/>
      <c r="H236" s="196"/>
      <c r="I236" s="196"/>
      <c r="J236" s="199" t="str">
        <f>'1-0 Товары'!$G236</f>
        <v/>
      </c>
      <c r="K236" s="200" t="str">
        <f>'1-0 Товары'!$H236</f>
        <v/>
      </c>
      <c r="L236" s="201" t="str">
        <f>'1-0 Товары'!$I236</f>
        <v/>
      </c>
      <c r="M236" s="203" t="str">
        <f>'1-0 Товары'!$N236</f>
        <v/>
      </c>
      <c r="N236" s="206" t="str">
        <f>'1-0 Товары'!$O236</f>
        <v/>
      </c>
      <c r="O236" s="206" t="str">
        <f>'1-0 Товары'!$P236</f>
        <v/>
      </c>
      <c r="P236" s="146"/>
      <c r="Q236" s="146"/>
      <c r="R236" s="146"/>
      <c r="S236" s="146"/>
      <c r="T236" s="146"/>
      <c r="U236" s="146"/>
      <c r="V236" s="146"/>
      <c r="W236" s="146"/>
      <c r="X236" s="146"/>
      <c r="Y236" s="146"/>
      <c r="Z236" s="146"/>
    </row>
    <row r="237">
      <c r="A237" s="144"/>
      <c r="B237" s="244" t="s">
        <v>96</v>
      </c>
      <c r="C237" s="184" t="str">
        <f>'1-0 Товары'!C237</f>
        <v/>
      </c>
      <c r="D237" s="186" t="str">
        <f>'1-0 Товары'!D237</f>
        <v/>
      </c>
      <c r="E237" s="277" t="str">
        <f>'1-0 Товары'!E237</f>
        <v/>
      </c>
      <c r="F237" s="191"/>
      <c r="G237" s="191"/>
      <c r="H237" s="196"/>
      <c r="I237" s="196"/>
      <c r="J237" s="199" t="str">
        <f>'1-0 Товары'!$G237</f>
        <v/>
      </c>
      <c r="K237" s="200" t="str">
        <f>'1-0 Товары'!$H237</f>
        <v/>
      </c>
      <c r="L237" s="201" t="str">
        <f>'1-0 Товары'!$I237</f>
        <v/>
      </c>
      <c r="M237" s="203" t="str">
        <f>'1-0 Товары'!$N237</f>
        <v/>
      </c>
      <c r="N237" s="206" t="str">
        <f>'1-0 Товары'!$O237</f>
        <v/>
      </c>
      <c r="O237" s="206" t="str">
        <f>'1-0 Товары'!$P237</f>
        <v/>
      </c>
      <c r="P237" s="146"/>
      <c r="Q237" s="146"/>
      <c r="R237" s="146"/>
      <c r="S237" s="146"/>
      <c r="T237" s="146"/>
      <c r="U237" s="146"/>
      <c r="V237" s="146"/>
      <c r="W237" s="146"/>
      <c r="X237" s="146"/>
      <c r="Y237" s="146"/>
      <c r="Z237" s="146"/>
    </row>
    <row r="238">
      <c r="A238" s="144"/>
      <c r="B238" s="244" t="s">
        <v>96</v>
      </c>
      <c r="C238" s="184" t="str">
        <f>'1-0 Товары'!C238</f>
        <v/>
      </c>
      <c r="D238" s="186" t="str">
        <f>'1-0 Товары'!D238</f>
        <v/>
      </c>
      <c r="E238" s="277" t="str">
        <f>'1-0 Товары'!E238</f>
        <v/>
      </c>
      <c r="F238" s="191"/>
      <c r="G238" s="191"/>
      <c r="H238" s="196"/>
      <c r="I238" s="196"/>
      <c r="J238" s="199" t="str">
        <f>'1-0 Товары'!$G238</f>
        <v/>
      </c>
      <c r="K238" s="200" t="str">
        <f>'1-0 Товары'!$H238</f>
        <v/>
      </c>
      <c r="L238" s="201" t="str">
        <f>'1-0 Товары'!$I238</f>
        <v/>
      </c>
      <c r="M238" s="203" t="str">
        <f>'1-0 Товары'!$N238</f>
        <v/>
      </c>
      <c r="N238" s="206" t="str">
        <f>'1-0 Товары'!$O238</f>
        <v/>
      </c>
      <c r="O238" s="206" t="str">
        <f>'1-0 Товары'!$P238</f>
        <v/>
      </c>
      <c r="P238" s="146"/>
      <c r="Q238" s="146"/>
      <c r="R238" s="146"/>
      <c r="S238" s="146"/>
      <c r="T238" s="146"/>
      <c r="U238" s="146"/>
      <c r="V238" s="146"/>
      <c r="W238" s="146"/>
      <c r="X238" s="146"/>
      <c r="Y238" s="146"/>
      <c r="Z238" s="146"/>
    </row>
    <row r="239">
      <c r="A239" s="144"/>
      <c r="B239" s="244" t="s">
        <v>96</v>
      </c>
      <c r="C239" s="184" t="str">
        <f>'1-0 Товары'!C239</f>
        <v/>
      </c>
      <c r="D239" s="186" t="str">
        <f>'1-0 Товары'!D239</f>
        <v/>
      </c>
      <c r="E239" s="277" t="str">
        <f>'1-0 Товары'!E239</f>
        <v/>
      </c>
      <c r="F239" s="191"/>
      <c r="G239" s="191"/>
      <c r="H239" s="196"/>
      <c r="I239" s="196"/>
      <c r="J239" s="199" t="str">
        <f>'1-0 Товары'!$G239</f>
        <v/>
      </c>
      <c r="K239" s="200" t="str">
        <f>'1-0 Товары'!$H239</f>
        <v/>
      </c>
      <c r="L239" s="201" t="str">
        <f>'1-0 Товары'!$I239</f>
        <v/>
      </c>
      <c r="M239" s="203" t="str">
        <f>'1-0 Товары'!$N239</f>
        <v/>
      </c>
      <c r="N239" s="206" t="str">
        <f>'1-0 Товары'!$O239</f>
        <v/>
      </c>
      <c r="O239" s="206" t="str">
        <f>'1-0 Товары'!$P239</f>
        <v/>
      </c>
      <c r="P239" s="146"/>
      <c r="Q239" s="146"/>
      <c r="R239" s="146"/>
      <c r="S239" s="146"/>
      <c r="T239" s="146"/>
      <c r="U239" s="146"/>
      <c r="V239" s="146"/>
      <c r="W239" s="146"/>
      <c r="X239" s="146"/>
      <c r="Y239" s="146"/>
      <c r="Z239" s="146"/>
    </row>
    <row r="240">
      <c r="A240" s="144"/>
      <c r="B240" s="244" t="s">
        <v>96</v>
      </c>
      <c r="C240" s="184" t="str">
        <f>'1-0 Товары'!C240</f>
        <v/>
      </c>
      <c r="D240" s="186" t="str">
        <f>'1-0 Товары'!D240</f>
        <v/>
      </c>
      <c r="E240" s="277" t="str">
        <f>'1-0 Товары'!E240</f>
        <v/>
      </c>
      <c r="F240" s="191"/>
      <c r="G240" s="191"/>
      <c r="H240" s="196"/>
      <c r="I240" s="196"/>
      <c r="J240" s="199" t="str">
        <f>'1-0 Товары'!$G240</f>
        <v/>
      </c>
      <c r="K240" s="200" t="str">
        <f>'1-0 Товары'!$H240</f>
        <v/>
      </c>
      <c r="L240" s="201" t="str">
        <f>'1-0 Товары'!$I240</f>
        <v/>
      </c>
      <c r="M240" s="203" t="str">
        <f>'1-0 Товары'!$N240</f>
        <v/>
      </c>
      <c r="N240" s="206" t="str">
        <f>'1-0 Товары'!$O240</f>
        <v/>
      </c>
      <c r="O240" s="206" t="str">
        <f>'1-0 Товары'!$P240</f>
        <v/>
      </c>
      <c r="P240" s="146"/>
      <c r="Q240" s="146"/>
      <c r="R240" s="146"/>
      <c r="S240" s="146"/>
      <c r="T240" s="146"/>
      <c r="U240" s="146"/>
      <c r="V240" s="146"/>
      <c r="W240" s="146"/>
      <c r="X240" s="146"/>
      <c r="Y240" s="146"/>
      <c r="Z240" s="146"/>
    </row>
    <row r="241">
      <c r="A241" s="144"/>
      <c r="B241" s="244" t="s">
        <v>96</v>
      </c>
      <c r="C241" s="184" t="str">
        <f>'1-0 Товары'!C241</f>
        <v/>
      </c>
      <c r="D241" s="186" t="str">
        <f>'1-0 Товары'!D241</f>
        <v/>
      </c>
      <c r="E241" s="277" t="str">
        <f>'1-0 Товары'!E241</f>
        <v/>
      </c>
      <c r="F241" s="191"/>
      <c r="G241" s="191"/>
      <c r="H241" s="196"/>
      <c r="I241" s="196"/>
      <c r="J241" s="199" t="str">
        <f>'1-0 Товары'!$G241</f>
        <v/>
      </c>
      <c r="K241" s="200" t="str">
        <f>'1-0 Товары'!$H241</f>
        <v/>
      </c>
      <c r="L241" s="201" t="str">
        <f>'1-0 Товары'!$I241</f>
        <v/>
      </c>
      <c r="M241" s="203" t="str">
        <f>'1-0 Товары'!$N241</f>
        <v/>
      </c>
      <c r="N241" s="206" t="str">
        <f>'1-0 Товары'!$O241</f>
        <v/>
      </c>
      <c r="O241" s="206" t="str">
        <f>'1-0 Товары'!$P241</f>
        <v/>
      </c>
      <c r="P241" s="146"/>
      <c r="Q241" s="146"/>
      <c r="R241" s="146"/>
      <c r="S241" s="146"/>
      <c r="T241" s="146"/>
      <c r="U241" s="146"/>
      <c r="V241" s="146"/>
      <c r="W241" s="146"/>
      <c r="X241" s="146"/>
      <c r="Y241" s="146"/>
      <c r="Z241" s="146"/>
    </row>
    <row r="242">
      <c r="A242" s="144"/>
      <c r="B242" s="244" t="s">
        <v>96</v>
      </c>
      <c r="C242" s="184" t="str">
        <f>'1-0 Товары'!C242</f>
        <v/>
      </c>
      <c r="D242" s="186" t="str">
        <f>'1-0 Товары'!D242</f>
        <v/>
      </c>
      <c r="E242" s="277" t="str">
        <f>'1-0 Товары'!E242</f>
        <v/>
      </c>
      <c r="F242" s="191"/>
      <c r="G242" s="191"/>
      <c r="H242" s="196"/>
      <c r="I242" s="196"/>
      <c r="J242" s="199" t="str">
        <f>'1-0 Товары'!$G242</f>
        <v/>
      </c>
      <c r="K242" s="200" t="str">
        <f>'1-0 Товары'!$H242</f>
        <v/>
      </c>
      <c r="L242" s="201" t="str">
        <f>'1-0 Товары'!$I242</f>
        <v/>
      </c>
      <c r="M242" s="203" t="str">
        <f>'1-0 Товары'!$N242</f>
        <v/>
      </c>
      <c r="N242" s="206" t="str">
        <f>'1-0 Товары'!$O242</f>
        <v/>
      </c>
      <c r="O242" s="206" t="str">
        <f>'1-0 Товары'!$P242</f>
        <v/>
      </c>
      <c r="P242" s="146"/>
      <c r="Q242" s="146"/>
      <c r="R242" s="146"/>
      <c r="S242" s="146"/>
      <c r="T242" s="146"/>
      <c r="U242" s="146"/>
      <c r="V242" s="146"/>
      <c r="W242" s="146"/>
      <c r="X242" s="146"/>
      <c r="Y242" s="146"/>
      <c r="Z242" s="146"/>
    </row>
    <row r="243">
      <c r="A243" s="144"/>
      <c r="B243" s="244" t="s">
        <v>96</v>
      </c>
      <c r="C243" s="184" t="str">
        <f>'1-0 Товары'!C243</f>
        <v/>
      </c>
      <c r="D243" s="186" t="str">
        <f>'1-0 Товары'!D243</f>
        <v/>
      </c>
      <c r="E243" s="277" t="str">
        <f>'1-0 Товары'!E243</f>
        <v/>
      </c>
      <c r="F243" s="191"/>
      <c r="G243" s="191"/>
      <c r="H243" s="196"/>
      <c r="I243" s="196"/>
      <c r="J243" s="199" t="str">
        <f>'1-0 Товары'!$G243</f>
        <v/>
      </c>
      <c r="K243" s="200" t="str">
        <f>'1-0 Товары'!$H243</f>
        <v/>
      </c>
      <c r="L243" s="201" t="str">
        <f>'1-0 Товары'!$I243</f>
        <v/>
      </c>
      <c r="M243" s="203" t="str">
        <f>'1-0 Товары'!$N243</f>
        <v/>
      </c>
      <c r="N243" s="206" t="str">
        <f>'1-0 Товары'!$O243</f>
        <v/>
      </c>
      <c r="O243" s="206" t="str">
        <f>'1-0 Товары'!$P243</f>
        <v/>
      </c>
      <c r="P243" s="146"/>
      <c r="Q243" s="146"/>
      <c r="R243" s="146"/>
      <c r="S243" s="146"/>
      <c r="T243" s="146"/>
      <c r="U243" s="146"/>
      <c r="V243" s="146"/>
      <c r="W243" s="146"/>
      <c r="X243" s="146"/>
      <c r="Y243" s="146"/>
      <c r="Z243" s="146"/>
    </row>
    <row r="244">
      <c r="A244" s="144"/>
      <c r="B244" s="244" t="s">
        <v>96</v>
      </c>
      <c r="C244" s="184" t="str">
        <f>'1-0 Товары'!C244</f>
        <v/>
      </c>
      <c r="D244" s="186" t="str">
        <f>'1-0 Товары'!D244</f>
        <v/>
      </c>
      <c r="E244" s="277" t="str">
        <f>'1-0 Товары'!E244</f>
        <v/>
      </c>
      <c r="F244" s="191"/>
      <c r="G244" s="191"/>
      <c r="H244" s="196"/>
      <c r="I244" s="196"/>
      <c r="J244" s="199" t="str">
        <f>'1-0 Товары'!$G244</f>
        <v/>
      </c>
      <c r="K244" s="200" t="str">
        <f>'1-0 Товары'!$H244</f>
        <v/>
      </c>
      <c r="L244" s="201" t="str">
        <f>'1-0 Товары'!$I244</f>
        <v/>
      </c>
      <c r="M244" s="203" t="str">
        <f>'1-0 Товары'!$N244</f>
        <v/>
      </c>
      <c r="N244" s="206" t="str">
        <f>'1-0 Товары'!$O244</f>
        <v/>
      </c>
      <c r="O244" s="206" t="str">
        <f>'1-0 Товары'!$P244</f>
        <v/>
      </c>
      <c r="P244" s="146"/>
      <c r="Q244" s="146"/>
      <c r="R244" s="146"/>
      <c r="S244" s="146"/>
      <c r="T244" s="146"/>
      <c r="U244" s="146"/>
      <c r="V244" s="146"/>
      <c r="W244" s="146"/>
      <c r="X244" s="146"/>
      <c r="Y244" s="146"/>
      <c r="Z244" s="146"/>
    </row>
    <row r="245">
      <c r="A245" s="144"/>
      <c r="B245" s="244" t="s">
        <v>96</v>
      </c>
      <c r="C245" s="184" t="str">
        <f>'1-0 Товары'!C245</f>
        <v/>
      </c>
      <c r="D245" s="186" t="str">
        <f>'1-0 Товары'!D245</f>
        <v/>
      </c>
      <c r="E245" s="277" t="str">
        <f>'1-0 Товары'!E245</f>
        <v/>
      </c>
      <c r="F245" s="191"/>
      <c r="G245" s="191"/>
      <c r="H245" s="196"/>
      <c r="I245" s="196"/>
      <c r="J245" s="199" t="str">
        <f>'1-0 Товары'!$G245</f>
        <v/>
      </c>
      <c r="K245" s="200" t="str">
        <f>'1-0 Товары'!$H245</f>
        <v/>
      </c>
      <c r="L245" s="201" t="str">
        <f>'1-0 Товары'!$I245</f>
        <v/>
      </c>
      <c r="M245" s="203" t="str">
        <f>'1-0 Товары'!$N245</f>
        <v/>
      </c>
      <c r="N245" s="206" t="str">
        <f>'1-0 Товары'!$O245</f>
        <v/>
      </c>
      <c r="O245" s="206" t="str">
        <f>'1-0 Товары'!$P245</f>
        <v/>
      </c>
      <c r="P245" s="146"/>
      <c r="Q245" s="146"/>
      <c r="R245" s="146"/>
      <c r="S245" s="146"/>
      <c r="T245" s="146"/>
      <c r="U245" s="146"/>
      <c r="V245" s="146"/>
      <c r="W245" s="146"/>
      <c r="X245" s="146"/>
      <c r="Y245" s="146"/>
      <c r="Z245" s="146"/>
    </row>
    <row r="246">
      <c r="A246" s="144"/>
      <c r="B246" s="244" t="s">
        <v>96</v>
      </c>
      <c r="C246" s="184" t="str">
        <f>'1-0 Товары'!C246</f>
        <v/>
      </c>
      <c r="D246" s="186" t="str">
        <f>'1-0 Товары'!D246</f>
        <v/>
      </c>
      <c r="E246" s="277" t="str">
        <f>'1-0 Товары'!E246</f>
        <v/>
      </c>
      <c r="F246" s="191"/>
      <c r="G246" s="191"/>
      <c r="H246" s="196"/>
      <c r="I246" s="196"/>
      <c r="J246" s="199" t="str">
        <f>'1-0 Товары'!$G246</f>
        <v/>
      </c>
      <c r="K246" s="200" t="str">
        <f>'1-0 Товары'!$H246</f>
        <v/>
      </c>
      <c r="L246" s="201" t="str">
        <f>'1-0 Товары'!$I246</f>
        <v/>
      </c>
      <c r="M246" s="203" t="str">
        <f>'1-0 Товары'!$N246</f>
        <v/>
      </c>
      <c r="N246" s="206" t="str">
        <f>'1-0 Товары'!$O246</f>
        <v/>
      </c>
      <c r="O246" s="206" t="str">
        <f>'1-0 Товары'!$P246</f>
        <v/>
      </c>
      <c r="P246" s="146"/>
      <c r="Q246" s="146"/>
      <c r="R246" s="146"/>
      <c r="S246" s="146"/>
      <c r="T246" s="146"/>
      <c r="U246" s="146"/>
      <c r="V246" s="146"/>
      <c r="W246" s="146"/>
      <c r="X246" s="146"/>
      <c r="Y246" s="146"/>
      <c r="Z246" s="146"/>
    </row>
    <row r="247">
      <c r="A247" s="144"/>
      <c r="B247" s="244" t="s">
        <v>96</v>
      </c>
      <c r="C247" s="184" t="str">
        <f>'1-0 Товары'!C247</f>
        <v/>
      </c>
      <c r="D247" s="186" t="str">
        <f>'1-0 Товары'!D247</f>
        <v/>
      </c>
      <c r="E247" s="277" t="str">
        <f>'1-0 Товары'!E247</f>
        <v/>
      </c>
      <c r="F247" s="191"/>
      <c r="G247" s="191"/>
      <c r="H247" s="196"/>
      <c r="I247" s="196"/>
      <c r="J247" s="199" t="str">
        <f>'1-0 Товары'!$G247</f>
        <v/>
      </c>
      <c r="K247" s="200" t="str">
        <f>'1-0 Товары'!$H247</f>
        <v/>
      </c>
      <c r="L247" s="201" t="str">
        <f>'1-0 Товары'!$I247</f>
        <v/>
      </c>
      <c r="M247" s="203" t="str">
        <f>'1-0 Товары'!$N247</f>
        <v/>
      </c>
      <c r="N247" s="206" t="str">
        <f>'1-0 Товары'!$O247</f>
        <v/>
      </c>
      <c r="O247" s="206" t="str">
        <f>'1-0 Товары'!$P247</f>
        <v/>
      </c>
      <c r="P247" s="146"/>
      <c r="Q247" s="146"/>
      <c r="R247" s="146"/>
      <c r="S247" s="146"/>
      <c r="T247" s="146"/>
      <c r="U247" s="146"/>
      <c r="V247" s="146"/>
      <c r="W247" s="146"/>
      <c r="X247" s="146"/>
      <c r="Y247" s="146"/>
      <c r="Z247" s="146"/>
    </row>
    <row r="248">
      <c r="A248" s="144"/>
      <c r="B248" s="244" t="s">
        <v>96</v>
      </c>
      <c r="C248" s="184" t="str">
        <f>'1-0 Товары'!C248</f>
        <v/>
      </c>
      <c r="D248" s="186" t="str">
        <f>'1-0 Товары'!D248</f>
        <v/>
      </c>
      <c r="E248" s="277" t="str">
        <f>'1-0 Товары'!E248</f>
        <v/>
      </c>
      <c r="F248" s="191"/>
      <c r="G248" s="191"/>
      <c r="H248" s="196"/>
      <c r="I248" s="196"/>
      <c r="J248" s="199" t="str">
        <f>'1-0 Товары'!$G248</f>
        <v/>
      </c>
      <c r="K248" s="200" t="str">
        <f>'1-0 Товары'!$H248</f>
        <v/>
      </c>
      <c r="L248" s="201" t="str">
        <f>'1-0 Товары'!$I248</f>
        <v/>
      </c>
      <c r="M248" s="203" t="str">
        <f>'1-0 Товары'!$N248</f>
        <v/>
      </c>
      <c r="N248" s="206" t="str">
        <f>'1-0 Товары'!$O248</f>
        <v/>
      </c>
      <c r="O248" s="206" t="str">
        <f>'1-0 Товары'!$P248</f>
        <v/>
      </c>
      <c r="P248" s="146"/>
      <c r="Q248" s="146"/>
      <c r="R248" s="146"/>
      <c r="S248" s="146"/>
      <c r="T248" s="146"/>
      <c r="U248" s="146"/>
      <c r="V248" s="146"/>
      <c r="W248" s="146"/>
      <c r="X248" s="146"/>
      <c r="Y248" s="146"/>
      <c r="Z248" s="146"/>
    </row>
    <row r="249">
      <c r="A249" s="144"/>
      <c r="B249" s="244" t="s">
        <v>96</v>
      </c>
      <c r="C249" s="184" t="str">
        <f>'1-0 Товары'!C249</f>
        <v/>
      </c>
      <c r="D249" s="186" t="str">
        <f>'1-0 Товары'!D249</f>
        <v/>
      </c>
      <c r="E249" s="277" t="str">
        <f>'1-0 Товары'!E249</f>
        <v/>
      </c>
      <c r="F249" s="191"/>
      <c r="G249" s="191"/>
      <c r="H249" s="196"/>
      <c r="I249" s="196"/>
      <c r="J249" s="199" t="str">
        <f>'1-0 Товары'!$G249</f>
        <v/>
      </c>
      <c r="K249" s="200" t="str">
        <f>'1-0 Товары'!$H249</f>
        <v/>
      </c>
      <c r="L249" s="201" t="str">
        <f>'1-0 Товары'!$I249</f>
        <v/>
      </c>
      <c r="M249" s="203" t="str">
        <f>'1-0 Товары'!$N249</f>
        <v/>
      </c>
      <c r="N249" s="206" t="str">
        <f>'1-0 Товары'!$O249</f>
        <v/>
      </c>
      <c r="O249" s="206" t="str">
        <f>'1-0 Товары'!$P249</f>
        <v/>
      </c>
      <c r="P249" s="146"/>
      <c r="Q249" s="146"/>
      <c r="R249" s="146"/>
      <c r="S249" s="146"/>
      <c r="T249" s="146"/>
      <c r="U249" s="146"/>
      <c r="V249" s="146"/>
      <c r="W249" s="146"/>
      <c r="X249" s="146"/>
      <c r="Y249" s="146"/>
      <c r="Z249" s="146"/>
    </row>
    <row r="250">
      <c r="A250" s="144"/>
      <c r="B250" s="244" t="s">
        <v>96</v>
      </c>
      <c r="C250" s="184" t="str">
        <f>'1-0 Товары'!C250</f>
        <v/>
      </c>
      <c r="D250" s="186" t="str">
        <f>'1-0 Товары'!D250</f>
        <v/>
      </c>
      <c r="E250" s="277" t="str">
        <f>'1-0 Товары'!E250</f>
        <v/>
      </c>
      <c r="F250" s="191"/>
      <c r="G250" s="191"/>
      <c r="H250" s="196"/>
      <c r="I250" s="196"/>
      <c r="J250" s="199" t="str">
        <f>'1-0 Товары'!$G250</f>
        <v/>
      </c>
      <c r="K250" s="200" t="str">
        <f>'1-0 Товары'!$H250</f>
        <v/>
      </c>
      <c r="L250" s="201" t="str">
        <f>'1-0 Товары'!$I250</f>
        <v/>
      </c>
      <c r="M250" s="203" t="str">
        <f>'1-0 Товары'!$N250</f>
        <v/>
      </c>
      <c r="N250" s="206" t="str">
        <f>'1-0 Товары'!$O250</f>
        <v/>
      </c>
      <c r="O250" s="206" t="str">
        <f>'1-0 Товары'!$P250</f>
        <v/>
      </c>
      <c r="P250" s="146"/>
      <c r="Q250" s="146"/>
      <c r="R250" s="146"/>
      <c r="S250" s="146"/>
      <c r="T250" s="146"/>
      <c r="U250" s="146"/>
      <c r="V250" s="146"/>
      <c r="W250" s="146"/>
      <c r="X250" s="146"/>
      <c r="Y250" s="146"/>
      <c r="Z250" s="146"/>
    </row>
    <row r="251">
      <c r="A251" s="144"/>
      <c r="B251" s="244" t="s">
        <v>96</v>
      </c>
      <c r="C251" s="184" t="str">
        <f>'1-0 Товары'!C251</f>
        <v/>
      </c>
      <c r="D251" s="186" t="str">
        <f>'1-0 Товары'!D251</f>
        <v/>
      </c>
      <c r="E251" s="277" t="str">
        <f>'1-0 Товары'!E251</f>
        <v/>
      </c>
      <c r="F251" s="191"/>
      <c r="G251" s="191"/>
      <c r="H251" s="196"/>
      <c r="I251" s="196"/>
      <c r="J251" s="199" t="str">
        <f>'1-0 Товары'!$G251</f>
        <v/>
      </c>
      <c r="K251" s="200" t="str">
        <f>'1-0 Товары'!$H251</f>
        <v/>
      </c>
      <c r="L251" s="201" t="str">
        <f>'1-0 Товары'!$I251</f>
        <v/>
      </c>
      <c r="M251" s="203" t="str">
        <f>'1-0 Товары'!$N251</f>
        <v/>
      </c>
      <c r="N251" s="206" t="str">
        <f>'1-0 Товары'!$O251</f>
        <v/>
      </c>
      <c r="O251" s="206" t="str">
        <f>'1-0 Товары'!$P251</f>
        <v/>
      </c>
      <c r="P251" s="146"/>
      <c r="Q251" s="146"/>
      <c r="R251" s="146"/>
      <c r="S251" s="146"/>
      <c r="T251" s="146"/>
      <c r="U251" s="146"/>
      <c r="V251" s="146"/>
      <c r="W251" s="146"/>
      <c r="X251" s="146"/>
      <c r="Y251" s="146"/>
      <c r="Z251" s="146"/>
    </row>
    <row r="252">
      <c r="A252" s="144"/>
      <c r="B252" s="244" t="s">
        <v>96</v>
      </c>
      <c r="C252" s="184" t="str">
        <f>'1-0 Товары'!C252</f>
        <v/>
      </c>
      <c r="D252" s="186" t="str">
        <f>'1-0 Товары'!D252</f>
        <v/>
      </c>
      <c r="E252" s="277" t="str">
        <f>'1-0 Товары'!E252</f>
        <v/>
      </c>
      <c r="F252" s="191"/>
      <c r="G252" s="191"/>
      <c r="H252" s="196"/>
      <c r="I252" s="196"/>
      <c r="J252" s="199" t="str">
        <f>'1-0 Товары'!$G252</f>
        <v/>
      </c>
      <c r="K252" s="200" t="str">
        <f>'1-0 Товары'!$H252</f>
        <v/>
      </c>
      <c r="L252" s="201" t="str">
        <f>'1-0 Товары'!$I252</f>
        <v/>
      </c>
      <c r="M252" s="203" t="str">
        <f>'1-0 Товары'!$N252</f>
        <v/>
      </c>
      <c r="N252" s="206" t="str">
        <f>'1-0 Товары'!$O252</f>
        <v/>
      </c>
      <c r="O252" s="206" t="str">
        <f>'1-0 Товары'!$P252</f>
        <v/>
      </c>
      <c r="P252" s="146"/>
      <c r="Q252" s="146"/>
      <c r="R252" s="146"/>
      <c r="S252" s="146"/>
      <c r="T252" s="146"/>
      <c r="U252" s="146"/>
      <c r="V252" s="146"/>
      <c r="W252" s="146"/>
      <c r="X252" s="146"/>
      <c r="Y252" s="146"/>
      <c r="Z252" s="146"/>
    </row>
    <row r="253">
      <c r="A253" s="144"/>
      <c r="B253" s="244" t="s">
        <v>96</v>
      </c>
      <c r="C253" s="184" t="str">
        <f>'1-0 Товары'!C253</f>
        <v/>
      </c>
      <c r="D253" s="186" t="str">
        <f>'1-0 Товары'!D253</f>
        <v/>
      </c>
      <c r="E253" s="277" t="str">
        <f>'1-0 Товары'!E253</f>
        <v/>
      </c>
      <c r="F253" s="191"/>
      <c r="G253" s="191"/>
      <c r="H253" s="196"/>
      <c r="I253" s="196"/>
      <c r="J253" s="199" t="str">
        <f>'1-0 Товары'!$G253</f>
        <v/>
      </c>
      <c r="K253" s="200" t="str">
        <f>'1-0 Товары'!$H253</f>
        <v/>
      </c>
      <c r="L253" s="201" t="str">
        <f>'1-0 Товары'!$I253</f>
        <v/>
      </c>
      <c r="M253" s="203" t="str">
        <f>'1-0 Товары'!$N253</f>
        <v/>
      </c>
      <c r="N253" s="206" t="str">
        <f>'1-0 Товары'!$O253</f>
        <v/>
      </c>
      <c r="O253" s="206" t="str">
        <f>'1-0 Товары'!$P253</f>
        <v/>
      </c>
      <c r="P253" s="146"/>
      <c r="Q253" s="146"/>
      <c r="R253" s="146"/>
      <c r="S253" s="146"/>
      <c r="T253" s="146"/>
      <c r="U253" s="146"/>
      <c r="V253" s="146"/>
      <c r="W253" s="146"/>
      <c r="X253" s="146"/>
      <c r="Y253" s="146"/>
      <c r="Z253" s="146"/>
    </row>
    <row r="254">
      <c r="A254" s="144"/>
      <c r="B254" s="244" t="s">
        <v>96</v>
      </c>
      <c r="C254" s="184" t="str">
        <f>'1-0 Товары'!C254</f>
        <v/>
      </c>
      <c r="D254" s="186" t="str">
        <f>'1-0 Товары'!D254</f>
        <v/>
      </c>
      <c r="E254" s="277" t="str">
        <f>'1-0 Товары'!E254</f>
        <v/>
      </c>
      <c r="F254" s="191"/>
      <c r="G254" s="191"/>
      <c r="H254" s="196"/>
      <c r="I254" s="196"/>
      <c r="J254" s="199" t="str">
        <f>'1-0 Товары'!$G254</f>
        <v/>
      </c>
      <c r="K254" s="200" t="str">
        <f>'1-0 Товары'!$H254</f>
        <v/>
      </c>
      <c r="L254" s="201" t="str">
        <f>'1-0 Товары'!$I254</f>
        <v/>
      </c>
      <c r="M254" s="203" t="str">
        <f>'1-0 Товары'!$N254</f>
        <v/>
      </c>
      <c r="N254" s="206" t="str">
        <f>'1-0 Товары'!$O254</f>
        <v/>
      </c>
      <c r="O254" s="206" t="str">
        <f>'1-0 Товары'!$P254</f>
        <v/>
      </c>
      <c r="P254" s="146"/>
      <c r="Q254" s="146"/>
      <c r="R254" s="146"/>
      <c r="S254" s="146"/>
      <c r="T254" s="146"/>
      <c r="U254" s="146"/>
      <c r="V254" s="146"/>
      <c r="W254" s="146"/>
      <c r="X254" s="146"/>
      <c r="Y254" s="146"/>
      <c r="Z254" s="146"/>
    </row>
    <row r="255">
      <c r="A255" s="144"/>
      <c r="B255" s="244" t="s">
        <v>96</v>
      </c>
      <c r="C255" s="184" t="str">
        <f>'1-0 Товары'!C255</f>
        <v/>
      </c>
      <c r="D255" s="186" t="str">
        <f>'1-0 Товары'!D255</f>
        <v/>
      </c>
      <c r="E255" s="277" t="str">
        <f>'1-0 Товары'!E255</f>
        <v/>
      </c>
      <c r="F255" s="191"/>
      <c r="G255" s="191"/>
      <c r="H255" s="196"/>
      <c r="I255" s="196"/>
      <c r="J255" s="199" t="str">
        <f>'1-0 Товары'!$G255</f>
        <v/>
      </c>
      <c r="K255" s="200" t="str">
        <f>'1-0 Товары'!$H255</f>
        <v/>
      </c>
      <c r="L255" s="201" t="str">
        <f>'1-0 Товары'!$I255</f>
        <v/>
      </c>
      <c r="M255" s="203" t="str">
        <f>'1-0 Товары'!$N255</f>
        <v/>
      </c>
      <c r="N255" s="206" t="str">
        <f>'1-0 Товары'!$O255</f>
        <v/>
      </c>
      <c r="O255" s="206" t="str">
        <f>'1-0 Товары'!$P255</f>
        <v/>
      </c>
      <c r="P255" s="146"/>
      <c r="Q255" s="146"/>
      <c r="R255" s="146"/>
      <c r="S255" s="146"/>
      <c r="T255" s="146"/>
      <c r="U255" s="146"/>
      <c r="V255" s="146"/>
      <c r="W255" s="146"/>
      <c r="X255" s="146"/>
      <c r="Y255" s="146"/>
      <c r="Z255" s="146"/>
    </row>
    <row r="256">
      <c r="A256" s="144"/>
      <c r="B256" s="244" t="s">
        <v>96</v>
      </c>
      <c r="C256" s="184" t="str">
        <f>'1-0 Товары'!C256</f>
        <v/>
      </c>
      <c r="D256" s="186" t="str">
        <f>'1-0 Товары'!D256</f>
        <v/>
      </c>
      <c r="E256" s="277" t="str">
        <f>'1-0 Товары'!E256</f>
        <v/>
      </c>
      <c r="F256" s="191"/>
      <c r="G256" s="191"/>
      <c r="H256" s="196"/>
      <c r="I256" s="196"/>
      <c r="J256" s="199" t="str">
        <f>'1-0 Товары'!$G256</f>
        <v/>
      </c>
      <c r="K256" s="200" t="str">
        <f>'1-0 Товары'!$H256</f>
        <v/>
      </c>
      <c r="L256" s="201" t="str">
        <f>'1-0 Товары'!$I256</f>
        <v/>
      </c>
      <c r="M256" s="203" t="str">
        <f>'1-0 Товары'!$N256</f>
        <v/>
      </c>
      <c r="N256" s="206" t="str">
        <f>'1-0 Товары'!$O256</f>
        <v/>
      </c>
      <c r="O256" s="206" t="str">
        <f>'1-0 Товары'!$P256</f>
        <v/>
      </c>
      <c r="P256" s="146"/>
      <c r="Q256" s="146"/>
      <c r="R256" s="146"/>
      <c r="S256" s="146"/>
      <c r="T256" s="146"/>
      <c r="U256" s="146"/>
      <c r="V256" s="146"/>
      <c r="W256" s="146"/>
      <c r="X256" s="146"/>
      <c r="Y256" s="146"/>
      <c r="Z256" s="146"/>
    </row>
    <row r="257">
      <c r="A257" s="144"/>
      <c r="B257" s="244" t="s">
        <v>96</v>
      </c>
      <c r="C257" s="184" t="str">
        <f>'1-0 Товары'!C257</f>
        <v/>
      </c>
      <c r="D257" s="186" t="str">
        <f>'1-0 Товары'!D257</f>
        <v/>
      </c>
      <c r="E257" s="277" t="str">
        <f>'1-0 Товары'!E257</f>
        <v/>
      </c>
      <c r="F257" s="191"/>
      <c r="G257" s="191"/>
      <c r="H257" s="196"/>
      <c r="I257" s="196"/>
      <c r="J257" s="199" t="str">
        <f>'1-0 Товары'!$G257</f>
        <v/>
      </c>
      <c r="K257" s="200" t="str">
        <f>'1-0 Товары'!$H257</f>
        <v/>
      </c>
      <c r="L257" s="201" t="str">
        <f>'1-0 Товары'!$I257</f>
        <v/>
      </c>
      <c r="M257" s="203" t="str">
        <f>'1-0 Товары'!$N257</f>
        <v/>
      </c>
      <c r="N257" s="206" t="str">
        <f>'1-0 Товары'!$O257</f>
        <v/>
      </c>
      <c r="O257" s="206" t="str">
        <f>'1-0 Товары'!$P257</f>
        <v/>
      </c>
      <c r="P257" s="146"/>
      <c r="Q257" s="146"/>
      <c r="R257" s="146"/>
      <c r="S257" s="146"/>
      <c r="T257" s="146"/>
      <c r="U257" s="146"/>
      <c r="V257" s="146"/>
      <c r="W257" s="146"/>
      <c r="X257" s="146"/>
      <c r="Y257" s="146"/>
      <c r="Z257" s="146"/>
    </row>
    <row r="258">
      <c r="A258" s="144"/>
      <c r="B258" s="244" t="s">
        <v>96</v>
      </c>
      <c r="C258" s="184" t="str">
        <f>'1-0 Товары'!C258</f>
        <v/>
      </c>
      <c r="D258" s="186" t="str">
        <f>'1-0 Товары'!D258</f>
        <v/>
      </c>
      <c r="E258" s="277" t="str">
        <f>'1-0 Товары'!E258</f>
        <v/>
      </c>
      <c r="F258" s="191"/>
      <c r="G258" s="191"/>
      <c r="H258" s="196"/>
      <c r="I258" s="196"/>
      <c r="J258" s="199" t="str">
        <f>'1-0 Товары'!$G258</f>
        <v/>
      </c>
      <c r="K258" s="200" t="str">
        <f>'1-0 Товары'!$H258</f>
        <v/>
      </c>
      <c r="L258" s="201" t="str">
        <f>'1-0 Товары'!$I258</f>
        <v/>
      </c>
      <c r="M258" s="203" t="str">
        <f>'1-0 Товары'!$N258</f>
        <v/>
      </c>
      <c r="N258" s="206" t="str">
        <f>'1-0 Товары'!$O258</f>
        <v/>
      </c>
      <c r="O258" s="206" t="str">
        <f>'1-0 Товары'!$P258</f>
        <v/>
      </c>
      <c r="P258" s="146"/>
      <c r="Q258" s="146"/>
      <c r="R258" s="146"/>
      <c r="S258" s="146"/>
      <c r="T258" s="146"/>
      <c r="U258" s="146"/>
      <c r="V258" s="146"/>
      <c r="W258" s="146"/>
      <c r="X258" s="146"/>
      <c r="Y258" s="146"/>
      <c r="Z258" s="146"/>
    </row>
    <row r="259">
      <c r="A259" s="144"/>
      <c r="B259" s="244" t="s">
        <v>96</v>
      </c>
      <c r="C259" s="184" t="str">
        <f>'1-0 Товары'!C259</f>
        <v/>
      </c>
      <c r="D259" s="186" t="str">
        <f>'1-0 Товары'!D259</f>
        <v/>
      </c>
      <c r="E259" s="277" t="str">
        <f>'1-0 Товары'!E259</f>
        <v/>
      </c>
      <c r="F259" s="191"/>
      <c r="G259" s="191"/>
      <c r="H259" s="196"/>
      <c r="I259" s="196"/>
      <c r="J259" s="199" t="str">
        <f>'1-0 Товары'!$G259</f>
        <v/>
      </c>
      <c r="K259" s="200" t="str">
        <f>'1-0 Товары'!$H259</f>
        <v/>
      </c>
      <c r="L259" s="201" t="str">
        <f>'1-0 Товары'!$I259</f>
        <v/>
      </c>
      <c r="M259" s="203" t="str">
        <f>'1-0 Товары'!$N259</f>
        <v/>
      </c>
      <c r="N259" s="206" t="str">
        <f>'1-0 Товары'!$O259</f>
        <v/>
      </c>
      <c r="O259" s="206" t="str">
        <f>'1-0 Товары'!$P259</f>
        <v/>
      </c>
      <c r="P259" s="146"/>
      <c r="Q259" s="146"/>
      <c r="R259" s="146"/>
      <c r="S259" s="146"/>
      <c r="T259" s="146"/>
      <c r="U259" s="146"/>
      <c r="V259" s="146"/>
      <c r="W259" s="146"/>
      <c r="X259" s="146"/>
      <c r="Y259" s="146"/>
      <c r="Z259" s="146"/>
    </row>
    <row r="260">
      <c r="A260" s="144"/>
      <c r="B260" s="244" t="s">
        <v>96</v>
      </c>
      <c r="C260" s="184" t="str">
        <f>'1-0 Товары'!C260</f>
        <v/>
      </c>
      <c r="D260" s="186" t="str">
        <f>'1-0 Товары'!D260</f>
        <v/>
      </c>
      <c r="E260" s="277" t="str">
        <f>'1-0 Товары'!E260</f>
        <v/>
      </c>
      <c r="F260" s="191"/>
      <c r="G260" s="191"/>
      <c r="H260" s="196"/>
      <c r="I260" s="196"/>
      <c r="J260" s="199" t="str">
        <f>'1-0 Товары'!$G260</f>
        <v/>
      </c>
      <c r="K260" s="200" t="str">
        <f>'1-0 Товары'!$H260</f>
        <v/>
      </c>
      <c r="L260" s="201" t="str">
        <f>'1-0 Товары'!$I260</f>
        <v/>
      </c>
      <c r="M260" s="203" t="str">
        <f>'1-0 Товары'!$N260</f>
        <v/>
      </c>
      <c r="N260" s="206" t="str">
        <f>'1-0 Товары'!$O260</f>
        <v/>
      </c>
      <c r="O260" s="206" t="str">
        <f>'1-0 Товары'!$P260</f>
        <v/>
      </c>
      <c r="P260" s="146"/>
      <c r="Q260" s="146"/>
      <c r="R260" s="146"/>
      <c r="S260" s="146"/>
      <c r="T260" s="146"/>
      <c r="U260" s="146"/>
      <c r="V260" s="146"/>
      <c r="W260" s="146"/>
      <c r="X260" s="146"/>
      <c r="Y260" s="146"/>
      <c r="Z260" s="146"/>
    </row>
    <row r="261">
      <c r="A261" s="144"/>
      <c r="B261" s="244" t="s">
        <v>96</v>
      </c>
      <c r="C261" s="184" t="str">
        <f>'1-0 Товары'!C261</f>
        <v/>
      </c>
      <c r="D261" s="186" t="str">
        <f>'1-0 Товары'!D261</f>
        <v/>
      </c>
      <c r="E261" s="277" t="str">
        <f>'1-0 Товары'!E261</f>
        <v/>
      </c>
      <c r="F261" s="191"/>
      <c r="G261" s="191"/>
      <c r="H261" s="196"/>
      <c r="I261" s="196"/>
      <c r="J261" s="199" t="str">
        <f>'1-0 Товары'!$G261</f>
        <v/>
      </c>
      <c r="K261" s="200" t="str">
        <f>'1-0 Товары'!$H261</f>
        <v/>
      </c>
      <c r="L261" s="201" t="str">
        <f>'1-0 Товары'!$I261</f>
        <v/>
      </c>
      <c r="M261" s="203" t="str">
        <f>'1-0 Товары'!$N261</f>
        <v/>
      </c>
      <c r="N261" s="206" t="str">
        <f>'1-0 Товары'!$O261</f>
        <v/>
      </c>
      <c r="O261" s="206" t="str">
        <f>'1-0 Товары'!$P261</f>
        <v/>
      </c>
      <c r="P261" s="146"/>
      <c r="Q261" s="146"/>
      <c r="R261" s="146"/>
      <c r="S261" s="146"/>
      <c r="T261" s="146"/>
      <c r="U261" s="146"/>
      <c r="V261" s="146"/>
      <c r="W261" s="146"/>
      <c r="X261" s="146"/>
      <c r="Y261" s="146"/>
      <c r="Z261" s="146"/>
    </row>
    <row r="262">
      <c r="A262" s="144"/>
      <c r="B262" s="244" t="s">
        <v>96</v>
      </c>
      <c r="C262" s="184" t="str">
        <f>'1-0 Товары'!C262</f>
        <v/>
      </c>
      <c r="D262" s="186" t="str">
        <f>'1-0 Товары'!D262</f>
        <v/>
      </c>
      <c r="E262" s="277" t="str">
        <f>'1-0 Товары'!E262</f>
        <v/>
      </c>
      <c r="F262" s="191"/>
      <c r="G262" s="191"/>
      <c r="H262" s="196"/>
      <c r="I262" s="196"/>
      <c r="J262" s="199" t="str">
        <f>'1-0 Товары'!$G262</f>
        <v/>
      </c>
      <c r="K262" s="200" t="str">
        <f>'1-0 Товары'!$H262</f>
        <v/>
      </c>
      <c r="L262" s="201" t="str">
        <f>'1-0 Товары'!$I262</f>
        <v/>
      </c>
      <c r="M262" s="203" t="str">
        <f>'1-0 Товары'!$N262</f>
        <v/>
      </c>
      <c r="N262" s="206" t="str">
        <f>'1-0 Товары'!$O262</f>
        <v/>
      </c>
      <c r="O262" s="206" t="str">
        <f>'1-0 Товары'!$P262</f>
        <v/>
      </c>
      <c r="P262" s="146"/>
      <c r="Q262" s="146"/>
      <c r="R262" s="146"/>
      <c r="S262" s="146"/>
      <c r="T262" s="146"/>
      <c r="U262" s="146"/>
      <c r="V262" s="146"/>
      <c r="W262" s="146"/>
      <c r="X262" s="146"/>
      <c r="Y262" s="146"/>
      <c r="Z262" s="146"/>
    </row>
    <row r="263">
      <c r="A263" s="144"/>
      <c r="B263" s="244" t="s">
        <v>96</v>
      </c>
      <c r="C263" s="184" t="str">
        <f>'1-0 Товары'!C263</f>
        <v/>
      </c>
      <c r="D263" s="186" t="str">
        <f>'1-0 Товары'!D263</f>
        <v/>
      </c>
      <c r="E263" s="277" t="str">
        <f>'1-0 Товары'!E263</f>
        <v/>
      </c>
      <c r="F263" s="191"/>
      <c r="G263" s="191"/>
      <c r="H263" s="196"/>
      <c r="I263" s="196"/>
      <c r="J263" s="199" t="str">
        <f>'1-0 Товары'!$G263</f>
        <v/>
      </c>
      <c r="K263" s="200" t="str">
        <f>'1-0 Товары'!$H263</f>
        <v/>
      </c>
      <c r="L263" s="201" t="str">
        <f>'1-0 Товары'!$I263</f>
        <v/>
      </c>
      <c r="M263" s="203" t="str">
        <f>'1-0 Товары'!$N263</f>
        <v/>
      </c>
      <c r="N263" s="206" t="str">
        <f>'1-0 Товары'!$O263</f>
        <v/>
      </c>
      <c r="O263" s="206" t="str">
        <f>'1-0 Товары'!$P263</f>
        <v/>
      </c>
      <c r="P263" s="146"/>
      <c r="Q263" s="146"/>
      <c r="R263" s="146"/>
      <c r="S263" s="146"/>
      <c r="T263" s="146"/>
      <c r="U263" s="146"/>
      <c r="V263" s="146"/>
      <c r="W263" s="146"/>
      <c r="X263" s="146"/>
      <c r="Y263" s="146"/>
      <c r="Z263" s="146"/>
    </row>
    <row r="264">
      <c r="A264" s="144"/>
      <c r="B264" s="244" t="s">
        <v>96</v>
      </c>
      <c r="C264" s="184" t="str">
        <f>'1-0 Товары'!C264</f>
        <v/>
      </c>
      <c r="D264" s="186" t="str">
        <f>'1-0 Товары'!D264</f>
        <v/>
      </c>
      <c r="E264" s="277" t="str">
        <f>'1-0 Товары'!E264</f>
        <v/>
      </c>
      <c r="F264" s="191"/>
      <c r="G264" s="191"/>
      <c r="H264" s="196"/>
      <c r="I264" s="196"/>
      <c r="J264" s="199" t="str">
        <f>'1-0 Товары'!$G264</f>
        <v/>
      </c>
      <c r="K264" s="200" t="str">
        <f>'1-0 Товары'!$H264</f>
        <v/>
      </c>
      <c r="L264" s="201" t="str">
        <f>'1-0 Товары'!$I264</f>
        <v/>
      </c>
      <c r="M264" s="203" t="str">
        <f>'1-0 Товары'!$N264</f>
        <v/>
      </c>
      <c r="N264" s="206" t="str">
        <f>'1-0 Товары'!$O264</f>
        <v/>
      </c>
      <c r="O264" s="206" t="str">
        <f>'1-0 Товары'!$P264</f>
        <v/>
      </c>
      <c r="P264" s="146"/>
      <c r="Q264" s="146"/>
      <c r="R264" s="146"/>
      <c r="S264" s="146"/>
      <c r="T264" s="146"/>
      <c r="U264" s="146"/>
      <c r="V264" s="146"/>
      <c r="W264" s="146"/>
      <c r="X264" s="146"/>
      <c r="Y264" s="146"/>
      <c r="Z264" s="146"/>
    </row>
    <row r="265">
      <c r="A265" s="144"/>
      <c r="B265" s="244" t="s">
        <v>96</v>
      </c>
      <c r="C265" s="184" t="str">
        <f>'1-0 Товары'!C265</f>
        <v/>
      </c>
      <c r="D265" s="186" t="str">
        <f>'1-0 Товары'!D265</f>
        <v/>
      </c>
      <c r="E265" s="277" t="str">
        <f>'1-0 Товары'!E265</f>
        <v/>
      </c>
      <c r="F265" s="191"/>
      <c r="G265" s="191"/>
      <c r="H265" s="196"/>
      <c r="I265" s="196"/>
      <c r="J265" s="199" t="str">
        <f>'1-0 Товары'!$G265</f>
        <v/>
      </c>
      <c r="K265" s="200" t="str">
        <f>'1-0 Товары'!$H265</f>
        <v/>
      </c>
      <c r="L265" s="201" t="str">
        <f>'1-0 Товары'!$I265</f>
        <v/>
      </c>
      <c r="M265" s="203" t="str">
        <f>'1-0 Товары'!$N265</f>
        <v/>
      </c>
      <c r="N265" s="206" t="str">
        <f>'1-0 Товары'!$O265</f>
        <v/>
      </c>
      <c r="O265" s="206" t="str">
        <f>'1-0 Товары'!$P265</f>
        <v/>
      </c>
      <c r="P265" s="146"/>
      <c r="Q265" s="146"/>
      <c r="R265" s="146"/>
      <c r="S265" s="146"/>
      <c r="T265" s="146"/>
      <c r="U265" s="146"/>
      <c r="V265" s="146"/>
      <c r="W265" s="146"/>
      <c r="X265" s="146"/>
      <c r="Y265" s="146"/>
      <c r="Z265" s="146"/>
    </row>
    <row r="266">
      <c r="A266" s="144"/>
      <c r="B266" s="244" t="s">
        <v>96</v>
      </c>
      <c r="C266" s="184" t="str">
        <f>'1-0 Товары'!C266</f>
        <v/>
      </c>
      <c r="D266" s="186" t="str">
        <f>'1-0 Товары'!D266</f>
        <v/>
      </c>
      <c r="E266" s="277" t="str">
        <f>'1-0 Товары'!E266</f>
        <v/>
      </c>
      <c r="F266" s="191"/>
      <c r="G266" s="191"/>
      <c r="H266" s="196"/>
      <c r="I266" s="196"/>
      <c r="J266" s="199" t="str">
        <f>'1-0 Товары'!$G266</f>
        <v/>
      </c>
      <c r="K266" s="200" t="str">
        <f>'1-0 Товары'!$H266</f>
        <v/>
      </c>
      <c r="L266" s="201" t="str">
        <f>'1-0 Товары'!$I266</f>
        <v/>
      </c>
      <c r="M266" s="203" t="str">
        <f>'1-0 Товары'!$N266</f>
        <v/>
      </c>
      <c r="N266" s="206" t="str">
        <f>'1-0 Товары'!$O266</f>
        <v/>
      </c>
      <c r="O266" s="206" t="str">
        <f>'1-0 Товары'!$P266</f>
        <v/>
      </c>
      <c r="P266" s="146"/>
      <c r="Q266" s="146"/>
      <c r="R266" s="146"/>
      <c r="S266" s="146"/>
      <c r="T266" s="146"/>
      <c r="U266" s="146"/>
      <c r="V266" s="146"/>
      <c r="W266" s="146"/>
      <c r="X266" s="146"/>
      <c r="Y266" s="146"/>
      <c r="Z266" s="146"/>
    </row>
    <row r="267">
      <c r="A267" s="144"/>
      <c r="B267" s="244" t="s">
        <v>96</v>
      </c>
      <c r="C267" s="184" t="str">
        <f>'1-0 Товары'!C267</f>
        <v/>
      </c>
      <c r="D267" s="186" t="str">
        <f>'1-0 Товары'!D267</f>
        <v/>
      </c>
      <c r="E267" s="277" t="str">
        <f>'1-0 Товары'!E267</f>
        <v/>
      </c>
      <c r="F267" s="191"/>
      <c r="G267" s="191"/>
      <c r="H267" s="196"/>
      <c r="I267" s="196"/>
      <c r="J267" s="199" t="str">
        <f>'1-0 Товары'!$G267</f>
        <v/>
      </c>
      <c r="K267" s="200" t="str">
        <f>'1-0 Товары'!$H267</f>
        <v/>
      </c>
      <c r="L267" s="201" t="str">
        <f>'1-0 Товары'!$I267</f>
        <v/>
      </c>
      <c r="M267" s="203" t="str">
        <f>'1-0 Товары'!$N267</f>
        <v/>
      </c>
      <c r="N267" s="206" t="str">
        <f>'1-0 Товары'!$O267</f>
        <v/>
      </c>
      <c r="O267" s="206" t="str">
        <f>'1-0 Товары'!$P267</f>
        <v/>
      </c>
      <c r="P267" s="146"/>
      <c r="Q267" s="146"/>
      <c r="R267" s="146"/>
      <c r="S267" s="146"/>
      <c r="T267" s="146"/>
      <c r="U267" s="146"/>
      <c r="V267" s="146"/>
      <c r="W267" s="146"/>
      <c r="X267" s="146"/>
      <c r="Y267" s="146"/>
      <c r="Z267" s="146"/>
    </row>
    <row r="268">
      <c r="A268" s="144"/>
      <c r="B268" s="244" t="s">
        <v>96</v>
      </c>
      <c r="C268" s="184" t="str">
        <f>'1-0 Товары'!C268</f>
        <v/>
      </c>
      <c r="D268" s="186" t="str">
        <f>'1-0 Товары'!D268</f>
        <v/>
      </c>
      <c r="E268" s="277" t="str">
        <f>'1-0 Товары'!E268</f>
        <v/>
      </c>
      <c r="F268" s="191"/>
      <c r="G268" s="191"/>
      <c r="H268" s="196"/>
      <c r="I268" s="196"/>
      <c r="J268" s="199" t="str">
        <f>'1-0 Товары'!$G268</f>
        <v/>
      </c>
      <c r="K268" s="200" t="str">
        <f>'1-0 Товары'!$H268</f>
        <v/>
      </c>
      <c r="L268" s="201" t="str">
        <f>'1-0 Товары'!$I268</f>
        <v/>
      </c>
      <c r="M268" s="203" t="str">
        <f>'1-0 Товары'!$N268</f>
        <v/>
      </c>
      <c r="N268" s="206" t="str">
        <f>'1-0 Товары'!$O268</f>
        <v/>
      </c>
      <c r="O268" s="206" t="str">
        <f>'1-0 Товары'!$P268</f>
        <v/>
      </c>
      <c r="P268" s="146"/>
      <c r="Q268" s="146"/>
      <c r="R268" s="146"/>
      <c r="S268" s="146"/>
      <c r="T268" s="146"/>
      <c r="U268" s="146"/>
      <c r="V268" s="146"/>
      <c r="W268" s="146"/>
      <c r="X268" s="146"/>
      <c r="Y268" s="146"/>
      <c r="Z268" s="146"/>
    </row>
    <row r="269">
      <c r="A269" s="144"/>
      <c r="B269" s="244" t="s">
        <v>96</v>
      </c>
      <c r="C269" s="184" t="str">
        <f>'1-0 Товары'!C269</f>
        <v/>
      </c>
      <c r="D269" s="186" t="str">
        <f>'1-0 Товары'!D269</f>
        <v/>
      </c>
      <c r="E269" s="277" t="str">
        <f>'1-0 Товары'!E269</f>
        <v/>
      </c>
      <c r="F269" s="191"/>
      <c r="G269" s="191"/>
      <c r="H269" s="196"/>
      <c r="I269" s="196"/>
      <c r="J269" s="199" t="str">
        <f>'1-0 Товары'!$G269</f>
        <v/>
      </c>
      <c r="K269" s="200" t="str">
        <f>'1-0 Товары'!$H269</f>
        <v/>
      </c>
      <c r="L269" s="201" t="str">
        <f>'1-0 Товары'!$I269</f>
        <v/>
      </c>
      <c r="M269" s="203" t="str">
        <f>'1-0 Товары'!$N269</f>
        <v/>
      </c>
      <c r="N269" s="206" t="str">
        <f>'1-0 Товары'!$O269</f>
        <v/>
      </c>
      <c r="O269" s="206" t="str">
        <f>'1-0 Товары'!$P269</f>
        <v/>
      </c>
      <c r="P269" s="146"/>
      <c r="Q269" s="146"/>
      <c r="R269" s="146"/>
      <c r="S269" s="146"/>
      <c r="T269" s="146"/>
      <c r="U269" s="146"/>
      <c r="V269" s="146"/>
      <c r="W269" s="146"/>
      <c r="X269" s="146"/>
      <c r="Y269" s="146"/>
      <c r="Z269" s="146"/>
    </row>
    <row r="270">
      <c r="A270" s="144"/>
      <c r="B270" s="244" t="s">
        <v>96</v>
      </c>
      <c r="C270" s="184" t="str">
        <f>'1-0 Товары'!C270</f>
        <v/>
      </c>
      <c r="D270" s="186" t="str">
        <f>'1-0 Товары'!D270</f>
        <v/>
      </c>
      <c r="E270" s="277" t="str">
        <f>'1-0 Товары'!E270</f>
        <v/>
      </c>
      <c r="F270" s="191"/>
      <c r="G270" s="191"/>
      <c r="H270" s="196"/>
      <c r="I270" s="196"/>
      <c r="J270" s="199" t="str">
        <f>'1-0 Товары'!$G270</f>
        <v/>
      </c>
      <c r="K270" s="200" t="str">
        <f>'1-0 Товары'!$H270</f>
        <v/>
      </c>
      <c r="L270" s="201" t="str">
        <f>'1-0 Товары'!$I270</f>
        <v/>
      </c>
      <c r="M270" s="203" t="str">
        <f>'1-0 Товары'!$N270</f>
        <v/>
      </c>
      <c r="N270" s="206" t="str">
        <f>'1-0 Товары'!$O270</f>
        <v/>
      </c>
      <c r="O270" s="206" t="str">
        <f>'1-0 Товары'!$P270</f>
        <v/>
      </c>
      <c r="P270" s="146"/>
      <c r="Q270" s="146"/>
      <c r="R270" s="146"/>
      <c r="S270" s="146"/>
      <c r="T270" s="146"/>
      <c r="U270" s="146"/>
      <c r="V270" s="146"/>
      <c r="W270" s="146"/>
      <c r="X270" s="146"/>
      <c r="Y270" s="146"/>
      <c r="Z270" s="146"/>
    </row>
    <row r="271">
      <c r="A271" s="144"/>
      <c r="B271" s="244" t="s">
        <v>96</v>
      </c>
      <c r="C271" s="184" t="str">
        <f>'1-0 Товары'!C271</f>
        <v/>
      </c>
      <c r="D271" s="186" t="str">
        <f>'1-0 Товары'!D271</f>
        <v/>
      </c>
      <c r="E271" s="277" t="str">
        <f>'1-0 Товары'!E271</f>
        <v/>
      </c>
      <c r="F271" s="191"/>
      <c r="G271" s="191"/>
      <c r="H271" s="196"/>
      <c r="I271" s="196"/>
      <c r="J271" s="199" t="str">
        <f>'1-0 Товары'!$G271</f>
        <v/>
      </c>
      <c r="K271" s="200" t="str">
        <f>'1-0 Товары'!$H271</f>
        <v/>
      </c>
      <c r="L271" s="201" t="str">
        <f>'1-0 Товары'!$I271</f>
        <v/>
      </c>
      <c r="M271" s="203" t="str">
        <f>'1-0 Товары'!$N271</f>
        <v/>
      </c>
      <c r="N271" s="206" t="str">
        <f>'1-0 Товары'!$O271</f>
        <v/>
      </c>
      <c r="O271" s="206" t="str">
        <f>'1-0 Товары'!$P271</f>
        <v/>
      </c>
      <c r="P271" s="146"/>
      <c r="Q271" s="146"/>
      <c r="R271" s="146"/>
      <c r="S271" s="146"/>
      <c r="T271" s="146"/>
      <c r="U271" s="146"/>
      <c r="V271" s="146"/>
      <c r="W271" s="146"/>
      <c r="X271" s="146"/>
      <c r="Y271" s="146"/>
      <c r="Z271" s="146"/>
    </row>
    <row r="272">
      <c r="A272" s="144"/>
      <c r="B272" s="244" t="s">
        <v>96</v>
      </c>
      <c r="C272" s="184" t="str">
        <f>'1-0 Товары'!C272</f>
        <v/>
      </c>
      <c r="D272" s="186" t="str">
        <f>'1-0 Товары'!D272</f>
        <v/>
      </c>
      <c r="E272" s="277" t="str">
        <f>'1-0 Товары'!E272</f>
        <v/>
      </c>
      <c r="F272" s="191"/>
      <c r="G272" s="191"/>
      <c r="H272" s="196"/>
      <c r="I272" s="196"/>
      <c r="J272" s="199" t="str">
        <f>'1-0 Товары'!$G272</f>
        <v/>
      </c>
      <c r="K272" s="200" t="str">
        <f>'1-0 Товары'!$H272</f>
        <v/>
      </c>
      <c r="L272" s="201" t="str">
        <f>'1-0 Товары'!$I272</f>
        <v/>
      </c>
      <c r="M272" s="203" t="str">
        <f>'1-0 Товары'!$N272</f>
        <v/>
      </c>
      <c r="N272" s="206" t="str">
        <f>'1-0 Товары'!$O272</f>
        <v/>
      </c>
      <c r="O272" s="206" t="str">
        <f>'1-0 Товары'!$P272</f>
        <v/>
      </c>
      <c r="P272" s="146"/>
      <c r="Q272" s="146"/>
      <c r="R272" s="146"/>
      <c r="S272" s="146"/>
      <c r="T272" s="146"/>
      <c r="U272" s="146"/>
      <c r="V272" s="146"/>
      <c r="W272" s="146"/>
      <c r="X272" s="146"/>
      <c r="Y272" s="146"/>
      <c r="Z272" s="146"/>
    </row>
    <row r="273">
      <c r="A273" s="144"/>
      <c r="B273" s="244" t="s">
        <v>96</v>
      </c>
      <c r="C273" s="184" t="str">
        <f>'1-0 Товары'!C273</f>
        <v/>
      </c>
      <c r="D273" s="186" t="str">
        <f>'1-0 Товары'!D273</f>
        <v/>
      </c>
      <c r="E273" s="277" t="str">
        <f>'1-0 Товары'!E273</f>
        <v/>
      </c>
      <c r="F273" s="191"/>
      <c r="G273" s="191"/>
      <c r="H273" s="196"/>
      <c r="I273" s="196"/>
      <c r="J273" s="199" t="str">
        <f>'1-0 Товары'!$G273</f>
        <v/>
      </c>
      <c r="K273" s="200" t="str">
        <f>'1-0 Товары'!$H273</f>
        <v/>
      </c>
      <c r="L273" s="201" t="str">
        <f>'1-0 Товары'!$I273</f>
        <v/>
      </c>
      <c r="M273" s="203" t="str">
        <f>'1-0 Товары'!$N273</f>
        <v/>
      </c>
      <c r="N273" s="206" t="str">
        <f>'1-0 Товары'!$O273</f>
        <v/>
      </c>
      <c r="O273" s="206" t="str">
        <f>'1-0 Товары'!$P273</f>
        <v/>
      </c>
      <c r="P273" s="146"/>
      <c r="Q273" s="146"/>
      <c r="R273" s="146"/>
      <c r="S273" s="146"/>
      <c r="T273" s="146"/>
      <c r="U273" s="146"/>
      <c r="V273" s="146"/>
      <c r="W273" s="146"/>
      <c r="X273" s="146"/>
      <c r="Y273" s="146"/>
      <c r="Z273" s="146"/>
    </row>
    <row r="274">
      <c r="A274" s="144"/>
      <c r="B274" s="244" t="s">
        <v>96</v>
      </c>
      <c r="C274" s="184" t="str">
        <f>'1-0 Товары'!C274</f>
        <v/>
      </c>
      <c r="D274" s="186" t="str">
        <f>'1-0 Товары'!D274</f>
        <v/>
      </c>
      <c r="E274" s="277" t="str">
        <f>'1-0 Товары'!E274</f>
        <v/>
      </c>
      <c r="F274" s="191"/>
      <c r="G274" s="191"/>
      <c r="H274" s="196"/>
      <c r="I274" s="196"/>
      <c r="J274" s="199" t="str">
        <f>'1-0 Товары'!$G274</f>
        <v/>
      </c>
      <c r="K274" s="200" t="str">
        <f>'1-0 Товары'!$H274</f>
        <v/>
      </c>
      <c r="L274" s="201" t="str">
        <f>'1-0 Товары'!$I274</f>
        <v/>
      </c>
      <c r="M274" s="203" t="str">
        <f>'1-0 Товары'!$N274</f>
        <v/>
      </c>
      <c r="N274" s="206" t="str">
        <f>'1-0 Товары'!$O274</f>
        <v/>
      </c>
      <c r="O274" s="206" t="str">
        <f>'1-0 Товары'!$P274</f>
        <v/>
      </c>
      <c r="P274" s="146"/>
      <c r="Q274" s="146"/>
      <c r="R274" s="146"/>
      <c r="S274" s="146"/>
      <c r="T274" s="146"/>
      <c r="U274" s="146"/>
      <c r="V274" s="146"/>
      <c r="W274" s="146"/>
      <c r="X274" s="146"/>
      <c r="Y274" s="146"/>
      <c r="Z274" s="146"/>
    </row>
    <row r="275">
      <c r="A275" s="144"/>
      <c r="B275" s="244" t="s">
        <v>96</v>
      </c>
      <c r="C275" s="184" t="str">
        <f>'1-0 Товары'!C275</f>
        <v/>
      </c>
      <c r="D275" s="186" t="str">
        <f>'1-0 Товары'!D275</f>
        <v/>
      </c>
      <c r="E275" s="277" t="str">
        <f>'1-0 Товары'!E275</f>
        <v/>
      </c>
      <c r="F275" s="191"/>
      <c r="G275" s="191"/>
      <c r="H275" s="196"/>
      <c r="I275" s="196"/>
      <c r="J275" s="199" t="str">
        <f>'1-0 Товары'!$G275</f>
        <v/>
      </c>
      <c r="K275" s="200" t="str">
        <f>'1-0 Товары'!$H275</f>
        <v/>
      </c>
      <c r="L275" s="201" t="str">
        <f>'1-0 Товары'!$I275</f>
        <v/>
      </c>
      <c r="M275" s="203" t="str">
        <f>'1-0 Товары'!$N275</f>
        <v/>
      </c>
      <c r="N275" s="206" t="str">
        <f>'1-0 Товары'!$O275</f>
        <v/>
      </c>
      <c r="O275" s="206" t="str">
        <f>'1-0 Товары'!$P275</f>
        <v/>
      </c>
      <c r="P275" s="146"/>
      <c r="Q275" s="146"/>
      <c r="R275" s="146"/>
      <c r="S275" s="146"/>
      <c r="T275" s="146"/>
      <c r="U275" s="146"/>
      <c r="V275" s="146"/>
      <c r="W275" s="146"/>
      <c r="X275" s="146"/>
      <c r="Y275" s="146"/>
      <c r="Z275" s="146"/>
    </row>
    <row r="276">
      <c r="A276" s="144"/>
      <c r="B276" s="244" t="s">
        <v>96</v>
      </c>
      <c r="C276" s="184" t="str">
        <f>'1-0 Товары'!C276</f>
        <v/>
      </c>
      <c r="D276" s="186" t="str">
        <f>'1-0 Товары'!D276</f>
        <v/>
      </c>
      <c r="E276" s="277" t="str">
        <f>'1-0 Товары'!E276</f>
        <v/>
      </c>
      <c r="F276" s="191"/>
      <c r="G276" s="191"/>
      <c r="H276" s="196"/>
      <c r="I276" s="196"/>
      <c r="J276" s="199" t="str">
        <f>'1-0 Товары'!$G276</f>
        <v/>
      </c>
      <c r="K276" s="200" t="str">
        <f>'1-0 Товары'!$H276</f>
        <v/>
      </c>
      <c r="L276" s="201" t="str">
        <f>'1-0 Товары'!$I276</f>
        <v/>
      </c>
      <c r="M276" s="203" t="str">
        <f>'1-0 Товары'!$N276</f>
        <v/>
      </c>
      <c r="N276" s="206" t="str">
        <f>'1-0 Товары'!$O276</f>
        <v/>
      </c>
      <c r="O276" s="206" t="str">
        <f>'1-0 Товары'!$P276</f>
        <v/>
      </c>
      <c r="P276" s="146"/>
      <c r="Q276" s="146"/>
      <c r="R276" s="146"/>
      <c r="S276" s="146"/>
      <c r="T276" s="146"/>
      <c r="U276" s="146"/>
      <c r="V276" s="146"/>
      <c r="W276" s="146"/>
      <c r="X276" s="146"/>
      <c r="Y276" s="146"/>
      <c r="Z276" s="146"/>
    </row>
    <row r="277">
      <c r="A277" s="144"/>
      <c r="B277" s="244" t="s">
        <v>96</v>
      </c>
      <c r="C277" s="184" t="str">
        <f>'1-0 Товары'!C277</f>
        <v/>
      </c>
      <c r="D277" s="186" t="str">
        <f>'1-0 Товары'!D277</f>
        <v/>
      </c>
      <c r="E277" s="277" t="str">
        <f>'1-0 Товары'!E277</f>
        <v/>
      </c>
      <c r="F277" s="191"/>
      <c r="G277" s="191"/>
      <c r="H277" s="196"/>
      <c r="I277" s="196"/>
      <c r="J277" s="199" t="str">
        <f>'1-0 Товары'!$G277</f>
        <v/>
      </c>
      <c r="K277" s="200" t="str">
        <f>'1-0 Товары'!$H277</f>
        <v/>
      </c>
      <c r="L277" s="201" t="str">
        <f>'1-0 Товары'!$I277</f>
        <v/>
      </c>
      <c r="M277" s="203" t="str">
        <f>'1-0 Товары'!$N277</f>
        <v/>
      </c>
      <c r="N277" s="206" t="str">
        <f>'1-0 Товары'!$O277</f>
        <v/>
      </c>
      <c r="O277" s="206" t="str">
        <f>'1-0 Товары'!$P277</f>
        <v/>
      </c>
      <c r="P277" s="146"/>
      <c r="Q277" s="146"/>
      <c r="R277" s="146"/>
      <c r="S277" s="146"/>
      <c r="T277" s="146"/>
      <c r="U277" s="146"/>
      <c r="V277" s="146"/>
      <c r="W277" s="146"/>
      <c r="X277" s="146"/>
      <c r="Y277" s="146"/>
      <c r="Z277" s="146"/>
    </row>
    <row r="278">
      <c r="A278" s="144"/>
      <c r="B278" s="244" t="s">
        <v>96</v>
      </c>
      <c r="C278" s="184" t="str">
        <f>'1-0 Товары'!C278</f>
        <v/>
      </c>
      <c r="D278" s="186" t="str">
        <f>'1-0 Товары'!D278</f>
        <v/>
      </c>
      <c r="E278" s="277" t="str">
        <f>'1-0 Товары'!E278</f>
        <v/>
      </c>
      <c r="F278" s="191"/>
      <c r="G278" s="191"/>
      <c r="H278" s="196"/>
      <c r="I278" s="196"/>
      <c r="J278" s="199" t="str">
        <f>'1-0 Товары'!$G278</f>
        <v/>
      </c>
      <c r="K278" s="200" t="str">
        <f>'1-0 Товары'!$H278</f>
        <v/>
      </c>
      <c r="L278" s="201" t="str">
        <f>'1-0 Товары'!$I278</f>
        <v/>
      </c>
      <c r="M278" s="203" t="str">
        <f>'1-0 Товары'!$N278</f>
        <v/>
      </c>
      <c r="N278" s="206" t="str">
        <f>'1-0 Товары'!$O278</f>
        <v/>
      </c>
      <c r="O278" s="206" t="str">
        <f>'1-0 Товары'!$P278</f>
        <v/>
      </c>
      <c r="P278" s="146"/>
      <c r="Q278" s="146"/>
      <c r="R278" s="146"/>
      <c r="S278" s="146"/>
      <c r="T278" s="146"/>
      <c r="U278" s="146"/>
      <c r="V278" s="146"/>
      <c r="W278" s="146"/>
      <c r="X278" s="146"/>
      <c r="Y278" s="146"/>
      <c r="Z278" s="146"/>
    </row>
    <row r="279">
      <c r="A279" s="144"/>
      <c r="B279" s="244" t="s">
        <v>96</v>
      </c>
      <c r="C279" s="184" t="str">
        <f>'1-0 Товары'!C279</f>
        <v/>
      </c>
      <c r="D279" s="186" t="str">
        <f>'1-0 Товары'!D279</f>
        <v/>
      </c>
      <c r="E279" s="277" t="str">
        <f>'1-0 Товары'!E279</f>
        <v/>
      </c>
      <c r="F279" s="191"/>
      <c r="G279" s="191"/>
      <c r="H279" s="196"/>
      <c r="I279" s="196"/>
      <c r="J279" s="199" t="str">
        <f>'1-0 Товары'!$G279</f>
        <v/>
      </c>
      <c r="K279" s="200" t="str">
        <f>'1-0 Товары'!$H279</f>
        <v/>
      </c>
      <c r="L279" s="201" t="str">
        <f>'1-0 Товары'!$I279</f>
        <v/>
      </c>
      <c r="M279" s="203" t="str">
        <f>'1-0 Товары'!$N279</f>
        <v/>
      </c>
      <c r="N279" s="206" t="str">
        <f>'1-0 Товары'!$O279</f>
        <v/>
      </c>
      <c r="O279" s="206" t="str">
        <f>'1-0 Товары'!$P279</f>
        <v/>
      </c>
      <c r="P279" s="146"/>
      <c r="Q279" s="146"/>
      <c r="R279" s="146"/>
      <c r="S279" s="146"/>
      <c r="T279" s="146"/>
      <c r="U279" s="146"/>
      <c r="V279" s="146"/>
      <c r="W279" s="146"/>
      <c r="X279" s="146"/>
      <c r="Y279" s="146"/>
      <c r="Z279" s="146"/>
    </row>
    <row r="280">
      <c r="A280" s="144"/>
      <c r="B280" s="244" t="s">
        <v>96</v>
      </c>
      <c r="C280" s="184" t="str">
        <f>'1-0 Товары'!C280</f>
        <v/>
      </c>
      <c r="D280" s="186" t="str">
        <f>'1-0 Товары'!D280</f>
        <v/>
      </c>
      <c r="E280" s="277" t="str">
        <f>'1-0 Товары'!E280</f>
        <v/>
      </c>
      <c r="F280" s="191"/>
      <c r="G280" s="191"/>
      <c r="H280" s="196"/>
      <c r="I280" s="196"/>
      <c r="J280" s="199" t="str">
        <f>'1-0 Товары'!$G280</f>
        <v/>
      </c>
      <c r="K280" s="200" t="str">
        <f>'1-0 Товары'!$H280</f>
        <v/>
      </c>
      <c r="L280" s="201" t="str">
        <f>'1-0 Товары'!$I280</f>
        <v/>
      </c>
      <c r="M280" s="203" t="str">
        <f>'1-0 Товары'!$N280</f>
        <v/>
      </c>
      <c r="N280" s="206" t="str">
        <f>'1-0 Товары'!$O280</f>
        <v/>
      </c>
      <c r="O280" s="206" t="str">
        <f>'1-0 Товары'!$P280</f>
        <v/>
      </c>
      <c r="P280" s="146"/>
      <c r="Q280" s="146"/>
      <c r="R280" s="146"/>
      <c r="S280" s="146"/>
      <c r="T280" s="146"/>
      <c r="U280" s="146"/>
      <c r="V280" s="146"/>
      <c r="W280" s="146"/>
      <c r="X280" s="146"/>
      <c r="Y280" s="146"/>
      <c r="Z280" s="146"/>
    </row>
    <row r="281">
      <c r="A281" s="144"/>
      <c r="B281" s="244" t="s">
        <v>96</v>
      </c>
      <c r="C281" s="184" t="str">
        <f>'1-0 Товары'!C281</f>
        <v/>
      </c>
      <c r="D281" s="186" t="str">
        <f>'1-0 Товары'!D281</f>
        <v/>
      </c>
      <c r="E281" s="277" t="str">
        <f>'1-0 Товары'!E281</f>
        <v/>
      </c>
      <c r="F281" s="191"/>
      <c r="G281" s="191"/>
      <c r="H281" s="196"/>
      <c r="I281" s="196"/>
      <c r="J281" s="199" t="str">
        <f>'1-0 Товары'!$G281</f>
        <v/>
      </c>
      <c r="K281" s="200" t="str">
        <f>'1-0 Товары'!$H281</f>
        <v/>
      </c>
      <c r="L281" s="201" t="str">
        <f>'1-0 Товары'!$I281</f>
        <v/>
      </c>
      <c r="M281" s="203" t="str">
        <f>'1-0 Товары'!$N281</f>
        <v/>
      </c>
      <c r="N281" s="206" t="str">
        <f>'1-0 Товары'!$O281</f>
        <v/>
      </c>
      <c r="O281" s="206" t="str">
        <f>'1-0 Товары'!$P281</f>
        <v/>
      </c>
      <c r="P281" s="146"/>
      <c r="Q281" s="146"/>
      <c r="R281" s="146"/>
      <c r="S281" s="146"/>
      <c r="T281" s="146"/>
      <c r="U281" s="146"/>
      <c r="V281" s="146"/>
      <c r="W281" s="146"/>
      <c r="X281" s="146"/>
      <c r="Y281" s="146"/>
      <c r="Z281" s="146"/>
    </row>
    <row r="282">
      <c r="A282" s="144"/>
      <c r="B282" s="244" t="s">
        <v>96</v>
      </c>
      <c r="C282" s="184" t="str">
        <f>'1-0 Товары'!C282</f>
        <v/>
      </c>
      <c r="D282" s="186" t="str">
        <f>'1-0 Товары'!D282</f>
        <v/>
      </c>
      <c r="E282" s="277" t="str">
        <f>'1-0 Товары'!E282</f>
        <v/>
      </c>
      <c r="F282" s="191"/>
      <c r="G282" s="191"/>
      <c r="H282" s="196"/>
      <c r="I282" s="196"/>
      <c r="J282" s="199" t="str">
        <f>'1-0 Товары'!$G282</f>
        <v/>
      </c>
      <c r="K282" s="200" t="str">
        <f>'1-0 Товары'!$H282</f>
        <v/>
      </c>
      <c r="L282" s="201" t="str">
        <f>'1-0 Товары'!$I282</f>
        <v/>
      </c>
      <c r="M282" s="203" t="str">
        <f>'1-0 Товары'!$N282</f>
        <v/>
      </c>
      <c r="N282" s="206" t="str">
        <f>'1-0 Товары'!$O282</f>
        <v/>
      </c>
      <c r="O282" s="206" t="str">
        <f>'1-0 Товары'!$P282</f>
        <v/>
      </c>
      <c r="P282" s="146"/>
      <c r="Q282" s="146"/>
      <c r="R282" s="146"/>
      <c r="S282" s="146"/>
      <c r="T282" s="146"/>
      <c r="U282" s="146"/>
      <c r="V282" s="146"/>
      <c r="W282" s="146"/>
      <c r="X282" s="146"/>
      <c r="Y282" s="146"/>
      <c r="Z282" s="146"/>
    </row>
    <row r="283">
      <c r="A283" s="144"/>
      <c r="B283" s="244" t="s">
        <v>96</v>
      </c>
      <c r="C283" s="184" t="str">
        <f>'1-0 Товары'!C283</f>
        <v/>
      </c>
      <c r="D283" s="186" t="str">
        <f>'1-0 Товары'!D283</f>
        <v/>
      </c>
      <c r="E283" s="277" t="str">
        <f>'1-0 Товары'!E283</f>
        <v/>
      </c>
      <c r="F283" s="191"/>
      <c r="G283" s="191"/>
      <c r="H283" s="196"/>
      <c r="I283" s="196"/>
      <c r="J283" s="199" t="str">
        <f>'1-0 Товары'!$G283</f>
        <v/>
      </c>
      <c r="K283" s="200" t="str">
        <f>'1-0 Товары'!$H283</f>
        <v/>
      </c>
      <c r="L283" s="201" t="str">
        <f>'1-0 Товары'!$I283</f>
        <v/>
      </c>
      <c r="M283" s="203" t="str">
        <f>'1-0 Товары'!$N283</f>
        <v/>
      </c>
      <c r="N283" s="206" t="str">
        <f>'1-0 Товары'!$O283</f>
        <v/>
      </c>
      <c r="O283" s="206" t="str">
        <f>'1-0 Товары'!$P283</f>
        <v/>
      </c>
      <c r="P283" s="146"/>
      <c r="Q283" s="146"/>
      <c r="R283" s="146"/>
      <c r="S283" s="146"/>
      <c r="T283" s="146"/>
      <c r="U283" s="146"/>
      <c r="V283" s="146"/>
      <c r="W283" s="146"/>
      <c r="X283" s="146"/>
      <c r="Y283" s="146"/>
      <c r="Z283" s="146"/>
    </row>
    <row r="284">
      <c r="A284" s="144"/>
      <c r="B284" s="244" t="s">
        <v>96</v>
      </c>
      <c r="C284" s="184" t="str">
        <f>'1-0 Товары'!C284</f>
        <v/>
      </c>
      <c r="D284" s="186" t="str">
        <f>'1-0 Товары'!D284</f>
        <v/>
      </c>
      <c r="E284" s="277" t="str">
        <f>'1-0 Товары'!E284</f>
        <v/>
      </c>
      <c r="F284" s="191"/>
      <c r="G284" s="191"/>
      <c r="H284" s="196"/>
      <c r="I284" s="196"/>
      <c r="J284" s="199" t="str">
        <f>'1-0 Товары'!$G284</f>
        <v/>
      </c>
      <c r="K284" s="200" t="str">
        <f>'1-0 Товары'!$H284</f>
        <v/>
      </c>
      <c r="L284" s="201" t="str">
        <f>'1-0 Товары'!$I284</f>
        <v/>
      </c>
      <c r="M284" s="203" t="str">
        <f>'1-0 Товары'!$N284</f>
        <v/>
      </c>
      <c r="N284" s="206" t="str">
        <f>'1-0 Товары'!$O284</f>
        <v/>
      </c>
      <c r="O284" s="206" t="str">
        <f>'1-0 Товары'!$P284</f>
        <v/>
      </c>
      <c r="P284" s="146"/>
      <c r="Q284" s="146"/>
      <c r="R284" s="146"/>
      <c r="S284" s="146"/>
      <c r="T284" s="146"/>
      <c r="U284" s="146"/>
      <c r="V284" s="146"/>
      <c r="W284" s="146"/>
      <c r="X284" s="146"/>
      <c r="Y284" s="146"/>
      <c r="Z284" s="146"/>
    </row>
    <row r="285">
      <c r="A285" s="144"/>
      <c r="B285" s="244" t="s">
        <v>96</v>
      </c>
      <c r="C285" s="184" t="str">
        <f>'1-0 Товары'!C285</f>
        <v/>
      </c>
      <c r="D285" s="186" t="str">
        <f>'1-0 Товары'!D285</f>
        <v/>
      </c>
      <c r="E285" s="277" t="str">
        <f>'1-0 Товары'!E285</f>
        <v/>
      </c>
      <c r="F285" s="191"/>
      <c r="G285" s="191"/>
      <c r="H285" s="196"/>
      <c r="I285" s="196"/>
      <c r="J285" s="199" t="str">
        <f>'1-0 Товары'!$G285</f>
        <v/>
      </c>
      <c r="K285" s="200" t="str">
        <f>'1-0 Товары'!$H285</f>
        <v/>
      </c>
      <c r="L285" s="201" t="str">
        <f>'1-0 Товары'!$I285</f>
        <v/>
      </c>
      <c r="M285" s="203" t="str">
        <f>'1-0 Товары'!$N285</f>
        <v/>
      </c>
      <c r="N285" s="206" t="str">
        <f>'1-0 Товары'!$O285</f>
        <v/>
      </c>
      <c r="O285" s="206" t="str">
        <f>'1-0 Товары'!$P285</f>
        <v/>
      </c>
      <c r="P285" s="146"/>
      <c r="Q285" s="146"/>
      <c r="R285" s="146"/>
      <c r="S285" s="146"/>
      <c r="T285" s="146"/>
      <c r="U285" s="146"/>
      <c r="V285" s="146"/>
      <c r="W285" s="146"/>
      <c r="X285" s="146"/>
      <c r="Y285" s="146"/>
      <c r="Z285" s="146"/>
    </row>
    <row r="286">
      <c r="A286" s="144"/>
      <c r="B286" s="244" t="s">
        <v>96</v>
      </c>
      <c r="C286" s="184" t="str">
        <f>'1-0 Товары'!C286</f>
        <v/>
      </c>
      <c r="D286" s="186" t="str">
        <f>'1-0 Товары'!D286</f>
        <v/>
      </c>
      <c r="E286" s="277" t="str">
        <f>'1-0 Товары'!E286</f>
        <v/>
      </c>
      <c r="F286" s="191"/>
      <c r="G286" s="191"/>
      <c r="H286" s="196"/>
      <c r="I286" s="196"/>
      <c r="J286" s="199" t="str">
        <f>'1-0 Товары'!$G286</f>
        <v/>
      </c>
      <c r="K286" s="200" t="str">
        <f>'1-0 Товары'!$H286</f>
        <v/>
      </c>
      <c r="L286" s="201" t="str">
        <f>'1-0 Товары'!$I286</f>
        <v/>
      </c>
      <c r="M286" s="203" t="str">
        <f>'1-0 Товары'!$N286</f>
        <v/>
      </c>
      <c r="N286" s="206" t="str">
        <f>'1-0 Товары'!$O286</f>
        <v/>
      </c>
      <c r="O286" s="206" t="str">
        <f>'1-0 Товары'!$P286</f>
        <v/>
      </c>
      <c r="P286" s="146"/>
      <c r="Q286" s="146"/>
      <c r="R286" s="146"/>
      <c r="S286" s="146"/>
      <c r="T286" s="146"/>
      <c r="U286" s="146"/>
      <c r="V286" s="146"/>
      <c r="W286" s="146"/>
      <c r="X286" s="146"/>
      <c r="Y286" s="146"/>
      <c r="Z286" s="146"/>
    </row>
    <row r="287">
      <c r="A287" s="144"/>
      <c r="B287" s="244" t="s">
        <v>96</v>
      </c>
      <c r="C287" s="184" t="str">
        <f>'1-0 Товары'!C287</f>
        <v/>
      </c>
      <c r="D287" s="186" t="str">
        <f>'1-0 Товары'!D287</f>
        <v/>
      </c>
      <c r="E287" s="277" t="str">
        <f>'1-0 Товары'!E287</f>
        <v/>
      </c>
      <c r="F287" s="191"/>
      <c r="G287" s="191"/>
      <c r="H287" s="196"/>
      <c r="I287" s="196"/>
      <c r="J287" s="199" t="str">
        <f>'1-0 Товары'!$G287</f>
        <v/>
      </c>
      <c r="K287" s="200" t="str">
        <f>'1-0 Товары'!$H287</f>
        <v/>
      </c>
      <c r="L287" s="201" t="str">
        <f>'1-0 Товары'!$I287</f>
        <v/>
      </c>
      <c r="M287" s="203" t="str">
        <f>'1-0 Товары'!$N287</f>
        <v/>
      </c>
      <c r="N287" s="206" t="str">
        <f>'1-0 Товары'!$O287</f>
        <v/>
      </c>
      <c r="O287" s="206" t="str">
        <f>'1-0 Товары'!$P287</f>
        <v/>
      </c>
      <c r="P287" s="146"/>
      <c r="Q287" s="146"/>
      <c r="R287" s="146"/>
      <c r="S287" s="146"/>
      <c r="T287" s="146"/>
      <c r="U287" s="146"/>
      <c r="V287" s="146"/>
      <c r="W287" s="146"/>
      <c r="X287" s="146"/>
      <c r="Y287" s="146"/>
      <c r="Z287" s="146"/>
    </row>
    <row r="288">
      <c r="A288" s="144"/>
      <c r="B288" s="244" t="s">
        <v>96</v>
      </c>
      <c r="C288" s="184" t="str">
        <f>'1-0 Товары'!C288</f>
        <v/>
      </c>
      <c r="D288" s="186" t="str">
        <f>'1-0 Товары'!D288</f>
        <v/>
      </c>
      <c r="E288" s="277" t="str">
        <f>'1-0 Товары'!E288</f>
        <v/>
      </c>
      <c r="F288" s="191"/>
      <c r="G288" s="191"/>
      <c r="H288" s="196"/>
      <c r="I288" s="196"/>
      <c r="J288" s="199" t="str">
        <f>'1-0 Товары'!$G288</f>
        <v/>
      </c>
      <c r="K288" s="200" t="str">
        <f>'1-0 Товары'!$H288</f>
        <v/>
      </c>
      <c r="L288" s="201" t="str">
        <f>'1-0 Товары'!$I288</f>
        <v/>
      </c>
      <c r="M288" s="203" t="str">
        <f>'1-0 Товары'!$N288</f>
        <v/>
      </c>
      <c r="N288" s="206" t="str">
        <f>'1-0 Товары'!$O288</f>
        <v/>
      </c>
      <c r="O288" s="206" t="str">
        <f>'1-0 Товары'!$P288</f>
        <v/>
      </c>
      <c r="P288" s="146"/>
      <c r="Q288" s="146"/>
      <c r="R288" s="146"/>
      <c r="S288" s="146"/>
      <c r="T288" s="146"/>
      <c r="U288" s="146"/>
      <c r="V288" s="146"/>
      <c r="W288" s="146"/>
      <c r="X288" s="146"/>
      <c r="Y288" s="146"/>
      <c r="Z288" s="146"/>
    </row>
    <row r="289">
      <c r="A289" s="144"/>
      <c r="B289" s="244" t="s">
        <v>96</v>
      </c>
      <c r="C289" s="184" t="str">
        <f>'1-0 Товары'!C289</f>
        <v/>
      </c>
      <c r="D289" s="186" t="str">
        <f>'1-0 Товары'!D289</f>
        <v/>
      </c>
      <c r="E289" s="277" t="str">
        <f>'1-0 Товары'!E289</f>
        <v/>
      </c>
      <c r="F289" s="191"/>
      <c r="G289" s="191"/>
      <c r="H289" s="196"/>
      <c r="I289" s="196"/>
      <c r="J289" s="199" t="str">
        <f>'1-0 Товары'!$G289</f>
        <v/>
      </c>
      <c r="K289" s="200" t="str">
        <f>'1-0 Товары'!$H289</f>
        <v/>
      </c>
      <c r="L289" s="201" t="str">
        <f>'1-0 Товары'!$I289</f>
        <v/>
      </c>
      <c r="M289" s="203" t="str">
        <f>'1-0 Товары'!$N289</f>
        <v/>
      </c>
      <c r="N289" s="206" t="str">
        <f>'1-0 Товары'!$O289</f>
        <v/>
      </c>
      <c r="O289" s="206" t="str">
        <f>'1-0 Товары'!$P289</f>
        <v/>
      </c>
      <c r="P289" s="146"/>
      <c r="Q289" s="146"/>
      <c r="R289" s="146"/>
      <c r="S289" s="146"/>
      <c r="T289" s="146"/>
      <c r="U289" s="146"/>
      <c r="V289" s="146"/>
      <c r="W289" s="146"/>
      <c r="X289" s="146"/>
      <c r="Y289" s="146"/>
      <c r="Z289" s="146"/>
    </row>
    <row r="290">
      <c r="A290" s="144"/>
      <c r="B290" s="244" t="s">
        <v>96</v>
      </c>
      <c r="C290" s="184" t="str">
        <f>'1-0 Товары'!C290</f>
        <v/>
      </c>
      <c r="D290" s="186" t="str">
        <f>'1-0 Товары'!D290</f>
        <v/>
      </c>
      <c r="E290" s="277" t="str">
        <f>'1-0 Товары'!E290</f>
        <v/>
      </c>
      <c r="F290" s="191"/>
      <c r="G290" s="191"/>
      <c r="H290" s="196"/>
      <c r="I290" s="196"/>
      <c r="J290" s="199" t="str">
        <f>'1-0 Товары'!$G290</f>
        <v/>
      </c>
      <c r="K290" s="200" t="str">
        <f>'1-0 Товары'!$H290</f>
        <v/>
      </c>
      <c r="L290" s="201" t="str">
        <f>'1-0 Товары'!$I290</f>
        <v/>
      </c>
      <c r="M290" s="203" t="str">
        <f>'1-0 Товары'!$N290</f>
        <v/>
      </c>
      <c r="N290" s="206" t="str">
        <f>'1-0 Товары'!$O290</f>
        <v/>
      </c>
      <c r="O290" s="206" t="str">
        <f>'1-0 Товары'!$P290</f>
        <v/>
      </c>
      <c r="P290" s="146"/>
      <c r="Q290" s="146"/>
      <c r="R290" s="146"/>
      <c r="S290" s="146"/>
      <c r="T290" s="146"/>
      <c r="U290" s="146"/>
      <c r="V290" s="146"/>
      <c r="W290" s="146"/>
      <c r="X290" s="146"/>
      <c r="Y290" s="146"/>
      <c r="Z290" s="146"/>
    </row>
    <row r="291">
      <c r="A291" s="144"/>
      <c r="B291" s="244" t="s">
        <v>96</v>
      </c>
      <c r="C291" s="184" t="str">
        <f>'1-0 Товары'!C291</f>
        <v/>
      </c>
      <c r="D291" s="186" t="str">
        <f>'1-0 Товары'!D291</f>
        <v/>
      </c>
      <c r="E291" s="277" t="str">
        <f>'1-0 Товары'!E291</f>
        <v/>
      </c>
      <c r="F291" s="191"/>
      <c r="G291" s="191"/>
      <c r="H291" s="196"/>
      <c r="I291" s="196"/>
      <c r="J291" s="199" t="str">
        <f>'1-0 Товары'!$G291</f>
        <v/>
      </c>
      <c r="K291" s="200" t="str">
        <f>'1-0 Товары'!$H291</f>
        <v/>
      </c>
      <c r="L291" s="201" t="str">
        <f>'1-0 Товары'!$I291</f>
        <v/>
      </c>
      <c r="M291" s="203" t="str">
        <f>'1-0 Товары'!$N291</f>
        <v/>
      </c>
      <c r="N291" s="206" t="str">
        <f>'1-0 Товары'!$O291</f>
        <v/>
      </c>
      <c r="O291" s="206" t="str">
        <f>'1-0 Товары'!$P291</f>
        <v/>
      </c>
      <c r="P291" s="146"/>
      <c r="Q291" s="146"/>
      <c r="R291" s="146"/>
      <c r="S291" s="146"/>
      <c r="T291" s="146"/>
      <c r="U291" s="146"/>
      <c r="V291" s="146"/>
      <c r="W291" s="146"/>
      <c r="X291" s="146"/>
      <c r="Y291" s="146"/>
      <c r="Z291" s="146"/>
    </row>
    <row r="292">
      <c r="A292" s="144"/>
      <c r="B292" s="244" t="s">
        <v>96</v>
      </c>
      <c r="C292" s="184" t="str">
        <f>'1-0 Товары'!C292</f>
        <v/>
      </c>
      <c r="D292" s="186" t="str">
        <f>'1-0 Товары'!D292</f>
        <v/>
      </c>
      <c r="E292" s="277" t="str">
        <f>'1-0 Товары'!E292</f>
        <v/>
      </c>
      <c r="F292" s="191"/>
      <c r="G292" s="191"/>
      <c r="H292" s="196"/>
      <c r="I292" s="196"/>
      <c r="J292" s="199" t="str">
        <f>'1-0 Товары'!$G292</f>
        <v/>
      </c>
      <c r="K292" s="200" t="str">
        <f>'1-0 Товары'!$H292</f>
        <v/>
      </c>
      <c r="L292" s="201" t="str">
        <f>'1-0 Товары'!$I292</f>
        <v/>
      </c>
      <c r="M292" s="203" t="str">
        <f>'1-0 Товары'!$N292</f>
        <v/>
      </c>
      <c r="N292" s="206" t="str">
        <f>'1-0 Товары'!$O292</f>
        <v/>
      </c>
      <c r="O292" s="206" t="str">
        <f>'1-0 Товары'!$P292</f>
        <v/>
      </c>
      <c r="P292" s="146"/>
      <c r="Q292" s="146"/>
      <c r="R292" s="146"/>
      <c r="S292" s="146"/>
      <c r="T292" s="146"/>
      <c r="U292" s="146"/>
      <c r="V292" s="146"/>
      <c r="W292" s="146"/>
      <c r="X292" s="146"/>
      <c r="Y292" s="146"/>
      <c r="Z292" s="146"/>
    </row>
    <row r="293">
      <c r="A293" s="144"/>
      <c r="B293" s="244" t="s">
        <v>96</v>
      </c>
      <c r="C293" s="184" t="str">
        <f>'1-0 Товары'!C293</f>
        <v/>
      </c>
      <c r="D293" s="186" t="str">
        <f>'1-0 Товары'!D293</f>
        <v/>
      </c>
      <c r="E293" s="277" t="str">
        <f>'1-0 Товары'!E293</f>
        <v/>
      </c>
      <c r="F293" s="191"/>
      <c r="G293" s="191"/>
      <c r="H293" s="196"/>
      <c r="I293" s="196"/>
      <c r="J293" s="199" t="str">
        <f>'1-0 Товары'!$G293</f>
        <v/>
      </c>
      <c r="K293" s="200" t="str">
        <f>'1-0 Товары'!$H293</f>
        <v/>
      </c>
      <c r="L293" s="201" t="str">
        <f>'1-0 Товары'!$I293</f>
        <v/>
      </c>
      <c r="M293" s="203" t="str">
        <f>'1-0 Товары'!$N293</f>
        <v/>
      </c>
      <c r="N293" s="206" t="str">
        <f>'1-0 Товары'!$O293</f>
        <v/>
      </c>
      <c r="O293" s="206" t="str">
        <f>'1-0 Товары'!$P293</f>
        <v/>
      </c>
      <c r="P293" s="146"/>
      <c r="Q293" s="146"/>
      <c r="R293" s="146"/>
      <c r="S293" s="146"/>
      <c r="T293" s="146"/>
      <c r="U293" s="146"/>
      <c r="V293" s="146"/>
      <c r="W293" s="146"/>
      <c r="X293" s="146"/>
      <c r="Y293" s="146"/>
      <c r="Z293" s="146"/>
    </row>
    <row r="294">
      <c r="A294" s="144"/>
      <c r="B294" s="244" t="s">
        <v>96</v>
      </c>
      <c r="C294" s="184" t="str">
        <f>'1-0 Товары'!C294</f>
        <v/>
      </c>
      <c r="D294" s="186" t="str">
        <f>'1-0 Товары'!D294</f>
        <v/>
      </c>
      <c r="E294" s="277" t="str">
        <f>'1-0 Товары'!E294</f>
        <v/>
      </c>
      <c r="F294" s="191"/>
      <c r="G294" s="191"/>
      <c r="H294" s="196"/>
      <c r="I294" s="196"/>
      <c r="J294" s="199" t="str">
        <f>'1-0 Товары'!$G294</f>
        <v/>
      </c>
      <c r="K294" s="200" t="str">
        <f>'1-0 Товары'!$H294</f>
        <v/>
      </c>
      <c r="L294" s="201" t="str">
        <f>'1-0 Товары'!$I294</f>
        <v/>
      </c>
      <c r="M294" s="203" t="str">
        <f>'1-0 Товары'!$N294</f>
        <v/>
      </c>
      <c r="N294" s="206" t="str">
        <f>'1-0 Товары'!$O294</f>
        <v/>
      </c>
      <c r="O294" s="206" t="str">
        <f>'1-0 Товары'!$P294</f>
        <v/>
      </c>
      <c r="P294" s="146"/>
      <c r="Q294" s="146"/>
      <c r="R294" s="146"/>
      <c r="S294" s="146"/>
      <c r="T294" s="146"/>
      <c r="U294" s="146"/>
      <c r="V294" s="146"/>
      <c r="W294" s="146"/>
      <c r="X294" s="146"/>
      <c r="Y294" s="146"/>
      <c r="Z294" s="146"/>
    </row>
    <row r="295">
      <c r="A295" s="144"/>
      <c r="B295" s="244" t="s">
        <v>96</v>
      </c>
      <c r="C295" s="184" t="str">
        <f>'1-0 Товары'!C295</f>
        <v/>
      </c>
      <c r="D295" s="186" t="str">
        <f>'1-0 Товары'!D295</f>
        <v/>
      </c>
      <c r="E295" s="277" t="str">
        <f>'1-0 Товары'!E295</f>
        <v/>
      </c>
      <c r="F295" s="191"/>
      <c r="G295" s="191"/>
      <c r="H295" s="196"/>
      <c r="I295" s="196"/>
      <c r="J295" s="199" t="str">
        <f>'1-0 Товары'!$G295</f>
        <v/>
      </c>
      <c r="K295" s="200" t="str">
        <f>'1-0 Товары'!$H295</f>
        <v/>
      </c>
      <c r="L295" s="201" t="str">
        <f>'1-0 Товары'!$I295</f>
        <v/>
      </c>
      <c r="M295" s="203" t="str">
        <f>'1-0 Товары'!$N295</f>
        <v/>
      </c>
      <c r="N295" s="206" t="str">
        <f>'1-0 Товары'!$O295</f>
        <v/>
      </c>
      <c r="O295" s="206" t="str">
        <f>'1-0 Товары'!$P295</f>
        <v/>
      </c>
      <c r="P295" s="146"/>
      <c r="Q295" s="146"/>
      <c r="R295" s="146"/>
      <c r="S295" s="146"/>
      <c r="T295" s="146"/>
      <c r="U295" s="146"/>
      <c r="V295" s="146"/>
      <c r="W295" s="146"/>
      <c r="X295" s="146"/>
      <c r="Y295" s="146"/>
      <c r="Z295" s="146"/>
    </row>
    <row r="296">
      <c r="A296" s="144"/>
      <c r="B296" s="244" t="s">
        <v>96</v>
      </c>
      <c r="C296" s="184" t="str">
        <f>'1-0 Товары'!C296</f>
        <v/>
      </c>
      <c r="D296" s="186" t="str">
        <f>'1-0 Товары'!D296</f>
        <v/>
      </c>
      <c r="E296" s="277" t="str">
        <f>'1-0 Товары'!E296</f>
        <v/>
      </c>
      <c r="F296" s="191"/>
      <c r="G296" s="191"/>
      <c r="H296" s="196"/>
      <c r="I296" s="196"/>
      <c r="J296" s="199" t="str">
        <f>'1-0 Товары'!$G296</f>
        <v/>
      </c>
      <c r="K296" s="200" t="str">
        <f>'1-0 Товары'!$H296</f>
        <v/>
      </c>
      <c r="L296" s="201" t="str">
        <f>'1-0 Товары'!$I296</f>
        <v/>
      </c>
      <c r="M296" s="203" t="str">
        <f>'1-0 Товары'!$N296</f>
        <v/>
      </c>
      <c r="N296" s="206" t="str">
        <f>'1-0 Товары'!$O296</f>
        <v/>
      </c>
      <c r="O296" s="206" t="str">
        <f>'1-0 Товары'!$P296</f>
        <v/>
      </c>
      <c r="P296" s="146"/>
      <c r="Q296" s="146"/>
      <c r="R296" s="146"/>
      <c r="S296" s="146"/>
      <c r="T296" s="146"/>
      <c r="U296" s="146"/>
      <c r="V296" s="146"/>
      <c r="W296" s="146"/>
      <c r="X296" s="146"/>
      <c r="Y296" s="146"/>
      <c r="Z296" s="146"/>
    </row>
    <row r="297">
      <c r="A297" s="144"/>
      <c r="B297" s="244" t="s">
        <v>96</v>
      </c>
      <c r="C297" s="184" t="str">
        <f>'1-0 Товары'!C297</f>
        <v/>
      </c>
      <c r="D297" s="186" t="str">
        <f>'1-0 Товары'!D297</f>
        <v/>
      </c>
      <c r="E297" s="277" t="str">
        <f>'1-0 Товары'!E297</f>
        <v/>
      </c>
      <c r="F297" s="191"/>
      <c r="G297" s="191"/>
      <c r="H297" s="196"/>
      <c r="I297" s="196"/>
      <c r="J297" s="199" t="str">
        <f>'1-0 Товары'!$G297</f>
        <v/>
      </c>
      <c r="K297" s="200" t="str">
        <f>'1-0 Товары'!$H297</f>
        <v/>
      </c>
      <c r="L297" s="201" t="str">
        <f>'1-0 Товары'!$I297</f>
        <v/>
      </c>
      <c r="M297" s="203" t="str">
        <f>'1-0 Товары'!$N297</f>
        <v/>
      </c>
      <c r="N297" s="206" t="str">
        <f>'1-0 Товары'!$O297</f>
        <v/>
      </c>
      <c r="O297" s="206" t="str">
        <f>'1-0 Товары'!$P297</f>
        <v/>
      </c>
      <c r="P297" s="146"/>
      <c r="Q297" s="146"/>
      <c r="R297" s="146"/>
      <c r="S297" s="146"/>
      <c r="T297" s="146"/>
      <c r="U297" s="146"/>
      <c r="V297" s="146"/>
      <c r="W297" s="146"/>
      <c r="X297" s="146"/>
      <c r="Y297" s="146"/>
      <c r="Z297" s="146"/>
    </row>
    <row r="298">
      <c r="A298" s="144"/>
      <c r="B298" s="244" t="s">
        <v>96</v>
      </c>
      <c r="C298" s="184" t="str">
        <f>'1-0 Товары'!C298</f>
        <v/>
      </c>
      <c r="D298" s="186" t="str">
        <f>'1-0 Товары'!D298</f>
        <v/>
      </c>
      <c r="E298" s="277" t="str">
        <f>'1-0 Товары'!E298</f>
        <v/>
      </c>
      <c r="F298" s="191"/>
      <c r="G298" s="191"/>
      <c r="H298" s="196"/>
      <c r="I298" s="196"/>
      <c r="J298" s="199" t="str">
        <f>'1-0 Товары'!$G298</f>
        <v/>
      </c>
      <c r="K298" s="200" t="str">
        <f>'1-0 Товары'!$H298</f>
        <v/>
      </c>
      <c r="L298" s="201" t="str">
        <f>'1-0 Товары'!$I298</f>
        <v/>
      </c>
      <c r="M298" s="203" t="str">
        <f>'1-0 Товары'!$N298</f>
        <v/>
      </c>
      <c r="N298" s="206" t="str">
        <f>'1-0 Товары'!$O298</f>
        <v/>
      </c>
      <c r="O298" s="206" t="str">
        <f>'1-0 Товары'!$P298</f>
        <v/>
      </c>
      <c r="P298" s="146"/>
      <c r="Q298" s="146"/>
      <c r="R298" s="146"/>
      <c r="S298" s="146"/>
      <c r="T298" s="146"/>
      <c r="U298" s="146"/>
      <c r="V298" s="146"/>
      <c r="W298" s="146"/>
      <c r="X298" s="146"/>
      <c r="Y298" s="146"/>
      <c r="Z298" s="146"/>
    </row>
    <row r="299">
      <c r="A299" s="144"/>
      <c r="B299" s="244" t="s">
        <v>96</v>
      </c>
      <c r="C299" s="184" t="str">
        <f>'1-0 Товары'!C299</f>
        <v/>
      </c>
      <c r="D299" s="186" t="str">
        <f>'1-0 Товары'!D299</f>
        <v/>
      </c>
      <c r="E299" s="277" t="str">
        <f>'1-0 Товары'!E299</f>
        <v/>
      </c>
      <c r="F299" s="191"/>
      <c r="G299" s="191"/>
      <c r="H299" s="196"/>
      <c r="I299" s="196"/>
      <c r="J299" s="199" t="str">
        <f>'1-0 Товары'!$G299</f>
        <v/>
      </c>
      <c r="K299" s="200" t="str">
        <f>'1-0 Товары'!$H299</f>
        <v/>
      </c>
      <c r="L299" s="201" t="str">
        <f>'1-0 Товары'!$I299</f>
        <v/>
      </c>
      <c r="M299" s="203" t="str">
        <f>'1-0 Товары'!$N299</f>
        <v/>
      </c>
      <c r="N299" s="206" t="str">
        <f>'1-0 Товары'!$O299</f>
        <v/>
      </c>
      <c r="O299" s="206" t="str">
        <f>'1-0 Товары'!$P299</f>
        <v/>
      </c>
      <c r="P299" s="146"/>
      <c r="Q299" s="146"/>
      <c r="R299" s="146"/>
      <c r="S299" s="146"/>
      <c r="T299" s="146"/>
      <c r="U299" s="146"/>
      <c r="V299" s="146"/>
      <c r="W299" s="146"/>
      <c r="X299" s="146"/>
      <c r="Y299" s="146"/>
      <c r="Z299" s="146"/>
    </row>
    <row r="300">
      <c r="A300" s="144"/>
      <c r="B300" s="244" t="s">
        <v>96</v>
      </c>
      <c r="C300" s="184" t="str">
        <f>'1-0 Товары'!C300</f>
        <v/>
      </c>
      <c r="D300" s="186" t="str">
        <f>'1-0 Товары'!D300</f>
        <v/>
      </c>
      <c r="E300" s="277" t="str">
        <f>'1-0 Товары'!E300</f>
        <v/>
      </c>
      <c r="F300" s="191"/>
      <c r="G300" s="191"/>
      <c r="H300" s="196"/>
      <c r="I300" s="196"/>
      <c r="J300" s="199" t="str">
        <f>'1-0 Товары'!$G300</f>
        <v/>
      </c>
      <c r="K300" s="200" t="str">
        <f>'1-0 Товары'!$H300</f>
        <v/>
      </c>
      <c r="L300" s="201" t="str">
        <f>'1-0 Товары'!$I300</f>
        <v/>
      </c>
      <c r="M300" s="203" t="str">
        <f>'1-0 Товары'!$N300</f>
        <v/>
      </c>
      <c r="N300" s="206" t="str">
        <f>'1-0 Товары'!$O300</f>
        <v/>
      </c>
      <c r="O300" s="206" t="str">
        <f>'1-0 Товары'!$P300</f>
        <v/>
      </c>
      <c r="P300" s="146"/>
      <c r="Q300" s="146"/>
      <c r="R300" s="146"/>
      <c r="S300" s="146"/>
      <c r="T300" s="146"/>
      <c r="U300" s="146"/>
      <c r="V300" s="146"/>
      <c r="W300" s="146"/>
      <c r="X300" s="146"/>
      <c r="Y300" s="146"/>
      <c r="Z300" s="146"/>
    </row>
    <row r="301">
      <c r="A301" s="144"/>
      <c r="B301" s="244" t="s">
        <v>96</v>
      </c>
      <c r="C301" s="184" t="str">
        <f>'1-0 Товары'!C301</f>
        <v/>
      </c>
      <c r="D301" s="186" t="str">
        <f>'1-0 Товары'!D301</f>
        <v/>
      </c>
      <c r="E301" s="277" t="str">
        <f>'1-0 Товары'!E301</f>
        <v/>
      </c>
      <c r="F301" s="191"/>
      <c r="G301" s="191"/>
      <c r="H301" s="196"/>
      <c r="I301" s="196"/>
      <c r="J301" s="199" t="str">
        <f>'1-0 Товары'!$G301</f>
        <v/>
      </c>
      <c r="K301" s="200" t="str">
        <f>'1-0 Товары'!$H301</f>
        <v/>
      </c>
      <c r="L301" s="201" t="str">
        <f>'1-0 Товары'!$I301</f>
        <v/>
      </c>
      <c r="M301" s="203" t="str">
        <f>'1-0 Товары'!$N301</f>
        <v/>
      </c>
      <c r="N301" s="206" t="str">
        <f>'1-0 Товары'!$O301</f>
        <v/>
      </c>
      <c r="O301" s="206" t="str">
        <f>'1-0 Товары'!$P301</f>
        <v/>
      </c>
      <c r="P301" s="146"/>
      <c r="Q301" s="146"/>
      <c r="R301" s="146"/>
      <c r="S301" s="146"/>
      <c r="T301" s="146"/>
      <c r="U301" s="146"/>
      <c r="V301" s="146"/>
      <c r="W301" s="146"/>
      <c r="X301" s="146"/>
      <c r="Y301" s="146"/>
      <c r="Z301" s="146"/>
    </row>
    <row r="302">
      <c r="A302" s="144"/>
      <c r="B302" s="244" t="s">
        <v>96</v>
      </c>
      <c r="C302" s="184" t="str">
        <f>'1-0 Товары'!C302</f>
        <v/>
      </c>
      <c r="D302" s="186" t="str">
        <f>'1-0 Товары'!D302</f>
        <v/>
      </c>
      <c r="E302" s="277" t="str">
        <f>'1-0 Товары'!E302</f>
        <v/>
      </c>
      <c r="F302" s="191"/>
      <c r="G302" s="191"/>
      <c r="H302" s="196"/>
      <c r="I302" s="196"/>
      <c r="J302" s="199" t="str">
        <f>'1-0 Товары'!$G302</f>
        <v/>
      </c>
      <c r="K302" s="200" t="str">
        <f>'1-0 Товары'!$H302</f>
        <v/>
      </c>
      <c r="L302" s="201" t="str">
        <f>'1-0 Товары'!$I302</f>
        <v/>
      </c>
      <c r="M302" s="203" t="str">
        <f>'1-0 Товары'!$N302</f>
        <v/>
      </c>
      <c r="N302" s="206" t="str">
        <f>'1-0 Товары'!$O302</f>
        <v/>
      </c>
      <c r="O302" s="206" t="str">
        <f>'1-0 Товары'!$P302</f>
        <v/>
      </c>
      <c r="P302" s="146"/>
      <c r="Q302" s="146"/>
      <c r="R302" s="146"/>
      <c r="S302" s="146"/>
      <c r="T302" s="146"/>
      <c r="U302" s="146"/>
      <c r="V302" s="146"/>
      <c r="W302" s="146"/>
      <c r="X302" s="146"/>
      <c r="Y302" s="146"/>
      <c r="Z302" s="146"/>
    </row>
    <row r="303">
      <c r="A303" s="144"/>
      <c r="B303" s="244" t="s">
        <v>96</v>
      </c>
      <c r="C303" s="184" t="str">
        <f>'1-0 Товары'!C303</f>
        <v/>
      </c>
      <c r="D303" s="186" t="str">
        <f>'1-0 Товары'!D303</f>
        <v/>
      </c>
      <c r="E303" s="277" t="str">
        <f>'1-0 Товары'!E303</f>
        <v/>
      </c>
      <c r="F303" s="191"/>
      <c r="G303" s="191"/>
      <c r="H303" s="196"/>
      <c r="I303" s="196"/>
      <c r="J303" s="199" t="str">
        <f>'1-0 Товары'!$G303</f>
        <v/>
      </c>
      <c r="K303" s="200" t="str">
        <f>'1-0 Товары'!$H303</f>
        <v/>
      </c>
      <c r="L303" s="201" t="str">
        <f>'1-0 Товары'!$I303</f>
        <v/>
      </c>
      <c r="M303" s="203" t="str">
        <f>'1-0 Товары'!$N303</f>
        <v/>
      </c>
      <c r="N303" s="206" t="str">
        <f>'1-0 Товары'!$O303</f>
        <v/>
      </c>
      <c r="O303" s="206" t="str">
        <f>'1-0 Товары'!$P303</f>
        <v/>
      </c>
      <c r="P303" s="146"/>
      <c r="Q303" s="146"/>
      <c r="R303" s="146"/>
      <c r="S303" s="146"/>
      <c r="T303" s="146"/>
      <c r="U303" s="146"/>
      <c r="V303" s="146"/>
      <c r="W303" s="146"/>
      <c r="X303" s="146"/>
      <c r="Y303" s="146"/>
      <c r="Z303" s="146"/>
    </row>
    <row r="304">
      <c r="A304" s="144"/>
      <c r="B304" s="244" t="s">
        <v>96</v>
      </c>
      <c r="C304" s="184" t="str">
        <f>'1-0 Товары'!C304</f>
        <v/>
      </c>
      <c r="D304" s="186" t="str">
        <f>'1-0 Товары'!D304</f>
        <v/>
      </c>
      <c r="E304" s="277" t="str">
        <f>'1-0 Товары'!E304</f>
        <v/>
      </c>
      <c r="F304" s="191"/>
      <c r="G304" s="191"/>
      <c r="H304" s="196"/>
      <c r="I304" s="196"/>
      <c r="J304" s="199" t="str">
        <f>'1-0 Товары'!$G304</f>
        <v/>
      </c>
      <c r="K304" s="200" t="str">
        <f>'1-0 Товары'!$H304</f>
        <v/>
      </c>
      <c r="L304" s="201" t="str">
        <f>'1-0 Товары'!$I304</f>
        <v/>
      </c>
      <c r="M304" s="203" t="str">
        <f>'1-0 Товары'!$N304</f>
        <v/>
      </c>
      <c r="N304" s="206" t="str">
        <f>'1-0 Товары'!$O304</f>
        <v/>
      </c>
      <c r="O304" s="206" t="str">
        <f>'1-0 Товары'!$P304</f>
        <v/>
      </c>
      <c r="P304" s="146"/>
      <c r="Q304" s="146"/>
      <c r="R304" s="146"/>
      <c r="S304" s="146"/>
      <c r="T304" s="146"/>
      <c r="U304" s="146"/>
      <c r="V304" s="146"/>
      <c r="W304" s="146"/>
      <c r="X304" s="146"/>
      <c r="Y304" s="146"/>
      <c r="Z304" s="146"/>
    </row>
    <row r="305">
      <c r="A305" s="144"/>
      <c r="B305" s="244" t="s">
        <v>96</v>
      </c>
      <c r="C305" s="184" t="str">
        <f>'1-0 Товары'!C305</f>
        <v/>
      </c>
      <c r="D305" s="186" t="str">
        <f>'1-0 Товары'!D305</f>
        <v/>
      </c>
      <c r="E305" s="277" t="str">
        <f>'1-0 Товары'!E305</f>
        <v/>
      </c>
      <c r="F305" s="191"/>
      <c r="G305" s="191"/>
      <c r="H305" s="196"/>
      <c r="I305" s="196"/>
      <c r="J305" s="199" t="str">
        <f>'1-0 Товары'!$G305</f>
        <v/>
      </c>
      <c r="K305" s="200" t="str">
        <f>'1-0 Товары'!$H305</f>
        <v/>
      </c>
      <c r="L305" s="201" t="str">
        <f>'1-0 Товары'!$I305</f>
        <v/>
      </c>
      <c r="M305" s="203" t="str">
        <f>'1-0 Товары'!$N305</f>
        <v/>
      </c>
      <c r="N305" s="206" t="str">
        <f>'1-0 Товары'!$O305</f>
        <v/>
      </c>
      <c r="O305" s="206" t="str">
        <f>'1-0 Товары'!$P305</f>
        <v/>
      </c>
      <c r="P305" s="146"/>
      <c r="Q305" s="146"/>
      <c r="R305" s="146"/>
      <c r="S305" s="146"/>
      <c r="T305" s="146"/>
      <c r="U305" s="146"/>
      <c r="V305" s="146"/>
      <c r="W305" s="146"/>
      <c r="X305" s="146"/>
      <c r="Y305" s="146"/>
      <c r="Z305" s="146"/>
    </row>
    <row r="306">
      <c r="A306" s="144"/>
      <c r="B306" s="244" t="s">
        <v>96</v>
      </c>
      <c r="C306" s="184" t="str">
        <f>'1-0 Товары'!C306</f>
        <v/>
      </c>
      <c r="D306" s="186" t="str">
        <f>'1-0 Товары'!D306</f>
        <v/>
      </c>
      <c r="E306" s="277" t="str">
        <f>'1-0 Товары'!E306</f>
        <v/>
      </c>
      <c r="F306" s="191"/>
      <c r="G306" s="191"/>
      <c r="H306" s="196"/>
      <c r="I306" s="196"/>
      <c r="J306" s="199" t="str">
        <f>'1-0 Товары'!$G306</f>
        <v/>
      </c>
      <c r="K306" s="200" t="str">
        <f>'1-0 Товары'!$H306</f>
        <v/>
      </c>
      <c r="L306" s="201" t="str">
        <f>'1-0 Товары'!$I306</f>
        <v/>
      </c>
      <c r="M306" s="203" t="str">
        <f>'1-0 Товары'!$N306</f>
        <v/>
      </c>
      <c r="N306" s="206" t="str">
        <f>'1-0 Товары'!$O306</f>
        <v/>
      </c>
      <c r="O306" s="206" t="str">
        <f>'1-0 Товары'!$P306</f>
        <v/>
      </c>
      <c r="P306" s="146"/>
      <c r="Q306" s="146"/>
      <c r="R306" s="146"/>
      <c r="S306" s="146"/>
      <c r="T306" s="146"/>
      <c r="U306" s="146"/>
      <c r="V306" s="146"/>
      <c r="W306" s="146"/>
      <c r="X306" s="146"/>
      <c r="Y306" s="146"/>
      <c r="Z306" s="146"/>
    </row>
    <row r="307">
      <c r="A307" s="144"/>
      <c r="B307" s="244" t="s">
        <v>96</v>
      </c>
      <c r="C307" s="184" t="str">
        <f>'1-0 Товары'!C307</f>
        <v/>
      </c>
      <c r="D307" s="186" t="str">
        <f>'1-0 Товары'!D307</f>
        <v/>
      </c>
      <c r="E307" s="277" t="str">
        <f>'1-0 Товары'!E307</f>
        <v/>
      </c>
      <c r="F307" s="191"/>
      <c r="G307" s="191"/>
      <c r="H307" s="196"/>
      <c r="I307" s="196"/>
      <c r="J307" s="199" t="str">
        <f>'1-0 Товары'!$G307</f>
        <v/>
      </c>
      <c r="K307" s="200" t="str">
        <f>'1-0 Товары'!$H307</f>
        <v/>
      </c>
      <c r="L307" s="201" t="str">
        <f>'1-0 Товары'!$I307</f>
        <v/>
      </c>
      <c r="M307" s="203" t="str">
        <f>'1-0 Товары'!$N307</f>
        <v/>
      </c>
      <c r="N307" s="206" t="str">
        <f>'1-0 Товары'!$O307</f>
        <v/>
      </c>
      <c r="O307" s="206" t="str">
        <f>'1-0 Товары'!$P307</f>
        <v/>
      </c>
      <c r="P307" s="146"/>
      <c r="Q307" s="146"/>
      <c r="R307" s="146"/>
      <c r="S307" s="146"/>
      <c r="T307" s="146"/>
      <c r="U307" s="146"/>
      <c r="V307" s="146"/>
      <c r="W307" s="146"/>
      <c r="X307" s="146"/>
      <c r="Y307" s="146"/>
      <c r="Z307" s="146"/>
    </row>
    <row r="308">
      <c r="A308" s="144"/>
      <c r="B308" s="244" t="s">
        <v>96</v>
      </c>
      <c r="C308" s="184" t="str">
        <f>'1-0 Товары'!C308</f>
        <v/>
      </c>
      <c r="D308" s="186" t="str">
        <f>'1-0 Товары'!D308</f>
        <v/>
      </c>
      <c r="E308" s="277" t="str">
        <f>'1-0 Товары'!E308</f>
        <v/>
      </c>
      <c r="F308" s="191"/>
      <c r="G308" s="191"/>
      <c r="H308" s="196"/>
      <c r="I308" s="196"/>
      <c r="J308" s="199" t="str">
        <f>'1-0 Товары'!$G308</f>
        <v/>
      </c>
      <c r="K308" s="200" t="str">
        <f>'1-0 Товары'!$H308</f>
        <v/>
      </c>
      <c r="L308" s="201" t="str">
        <f>'1-0 Товары'!$I308</f>
        <v/>
      </c>
      <c r="M308" s="203" t="str">
        <f>'1-0 Товары'!$N308</f>
        <v/>
      </c>
      <c r="N308" s="206" t="str">
        <f>'1-0 Товары'!$O308</f>
        <v/>
      </c>
      <c r="O308" s="206" t="str">
        <f>'1-0 Товары'!$P308</f>
        <v/>
      </c>
      <c r="P308" s="146"/>
      <c r="Q308" s="146"/>
      <c r="R308" s="146"/>
      <c r="S308" s="146"/>
      <c r="T308" s="146"/>
      <c r="U308" s="146"/>
      <c r="V308" s="146"/>
      <c r="W308" s="146"/>
      <c r="X308" s="146"/>
      <c r="Y308" s="146"/>
      <c r="Z308" s="146"/>
    </row>
    <row r="309">
      <c r="A309" s="144"/>
      <c r="B309" s="244" t="s">
        <v>96</v>
      </c>
      <c r="C309" s="184" t="str">
        <f>'1-0 Товары'!C309</f>
        <v/>
      </c>
      <c r="D309" s="186" t="str">
        <f>'1-0 Товары'!D309</f>
        <v/>
      </c>
      <c r="E309" s="277" t="str">
        <f>'1-0 Товары'!E309</f>
        <v/>
      </c>
      <c r="F309" s="191"/>
      <c r="G309" s="191"/>
      <c r="H309" s="196"/>
      <c r="I309" s="196"/>
      <c r="J309" s="199" t="str">
        <f>'1-0 Товары'!$G309</f>
        <v/>
      </c>
      <c r="K309" s="200" t="str">
        <f>'1-0 Товары'!$H309</f>
        <v/>
      </c>
      <c r="L309" s="201" t="str">
        <f>'1-0 Товары'!$I309</f>
        <v/>
      </c>
      <c r="M309" s="203" t="str">
        <f>'1-0 Товары'!$N309</f>
        <v/>
      </c>
      <c r="N309" s="206" t="str">
        <f>'1-0 Товары'!$O309</f>
        <v/>
      </c>
      <c r="O309" s="206" t="str">
        <f>'1-0 Товары'!$P309</f>
        <v/>
      </c>
      <c r="P309" s="146"/>
      <c r="Q309" s="146"/>
      <c r="R309" s="146"/>
      <c r="S309" s="146"/>
      <c r="T309" s="146"/>
      <c r="U309" s="146"/>
      <c r="V309" s="146"/>
      <c r="W309" s="146"/>
      <c r="X309" s="146"/>
      <c r="Y309" s="146"/>
      <c r="Z309" s="146"/>
    </row>
    <row r="310">
      <c r="A310" s="144"/>
      <c r="B310" s="244" t="s">
        <v>96</v>
      </c>
      <c r="C310" s="184" t="str">
        <f>'1-0 Товары'!C310</f>
        <v/>
      </c>
      <c r="D310" s="186" t="str">
        <f>'1-0 Товары'!D310</f>
        <v/>
      </c>
      <c r="E310" s="277" t="str">
        <f>'1-0 Товары'!E310</f>
        <v/>
      </c>
      <c r="F310" s="191"/>
      <c r="G310" s="191"/>
      <c r="H310" s="196"/>
      <c r="I310" s="196"/>
      <c r="J310" s="199" t="str">
        <f>'1-0 Товары'!$G310</f>
        <v/>
      </c>
      <c r="K310" s="200" t="str">
        <f>'1-0 Товары'!$H310</f>
        <v/>
      </c>
      <c r="L310" s="201" t="str">
        <f>'1-0 Товары'!$I310</f>
        <v/>
      </c>
      <c r="M310" s="203" t="str">
        <f>'1-0 Товары'!$N310</f>
        <v/>
      </c>
      <c r="N310" s="206" t="str">
        <f>'1-0 Товары'!$O310</f>
        <v/>
      </c>
      <c r="O310" s="206" t="str">
        <f>'1-0 Товары'!$P310</f>
        <v/>
      </c>
      <c r="P310" s="146"/>
      <c r="Q310" s="146"/>
      <c r="R310" s="146"/>
      <c r="S310" s="146"/>
      <c r="T310" s="146"/>
      <c r="U310" s="146"/>
      <c r="V310" s="146"/>
      <c r="W310" s="146"/>
      <c r="X310" s="146"/>
      <c r="Y310" s="146"/>
      <c r="Z310" s="146"/>
    </row>
    <row r="311">
      <c r="A311" s="144"/>
      <c r="B311" s="244"/>
      <c r="C311" s="184" t="s">
        <v>607</v>
      </c>
      <c r="D311" s="186" t="str">
        <f>'5-1 Сбор КП Закупки'!D311</f>
        <v/>
      </c>
      <c r="E311" s="277" t="str">
        <f>'5-1 Сбор КП Закупки'!E311</f>
        <v/>
      </c>
      <c r="F311" s="191" t="str">
        <f>'5-1 Сбор КП Закупки'!F311</f>
        <v/>
      </c>
      <c r="G311" s="191" t="str">
        <f>'5-1 Сбор КП Закупки'!G311</f>
        <v/>
      </c>
      <c r="H311" s="196" t="str">
        <f>'5-1 Сбор КП Закупки'!H311</f>
        <v/>
      </c>
      <c r="I311" s="196" t="str">
        <f>'5-1 Сбор КП Закупки'!I311</f>
        <v/>
      </c>
      <c r="J311" s="199"/>
      <c r="K311" s="200"/>
      <c r="L311" s="201"/>
      <c r="M311" s="203"/>
      <c r="N311" s="206"/>
      <c r="O311" s="206"/>
      <c r="P311" s="146"/>
      <c r="Q311" s="146"/>
      <c r="R311" s="146"/>
      <c r="S311" s="146"/>
      <c r="T311" s="146"/>
      <c r="U311" s="146"/>
      <c r="V311" s="146"/>
      <c r="W311" s="146"/>
      <c r="X311" s="146"/>
      <c r="Y311" s="146"/>
      <c r="Z311" s="146"/>
    </row>
    <row r="312">
      <c r="A312" s="144"/>
      <c r="B312" s="244"/>
      <c r="C312" s="184" t="s">
        <v>608</v>
      </c>
      <c r="D312" s="186" t="str">
        <f>'5-1 Сбор КП Закупки'!D312</f>
        <v/>
      </c>
      <c r="E312" s="277" t="str">
        <f>'5-1 Сбор КП Закупки'!E312</f>
        <v/>
      </c>
      <c r="F312" s="191" t="str">
        <f>'5-1 Сбор КП Закупки'!F312</f>
        <v/>
      </c>
      <c r="G312" s="191" t="str">
        <f>'5-1 Сбор КП Закупки'!G312</f>
        <v/>
      </c>
      <c r="H312" s="196" t="str">
        <f>'5-1 Сбор КП Закупки'!H312</f>
        <v/>
      </c>
      <c r="I312" s="196" t="str">
        <f>'5-1 Сбор КП Закупки'!I312</f>
        <v/>
      </c>
      <c r="J312" s="199"/>
      <c r="K312" s="200"/>
      <c r="L312" s="201"/>
      <c r="M312" s="203"/>
      <c r="N312" s="206"/>
      <c r="O312" s="206"/>
      <c r="P312" s="146"/>
      <c r="Q312" s="146"/>
      <c r="R312" s="146"/>
      <c r="S312" s="146"/>
      <c r="T312" s="146"/>
      <c r="U312" s="146"/>
      <c r="V312" s="146"/>
      <c r="W312" s="146"/>
      <c r="X312" s="146"/>
      <c r="Y312" s="146"/>
      <c r="Z312" s="146"/>
    </row>
    <row r="313">
      <c r="A313" s="144"/>
      <c r="B313" s="244"/>
      <c r="C313" s="184" t="s">
        <v>609</v>
      </c>
      <c r="D313" s="186" t="str">
        <f>'5-1 Сбор КП Закупки'!D313</f>
        <v/>
      </c>
      <c r="E313" s="277" t="str">
        <f>'5-1 Сбор КП Закупки'!E313</f>
        <v/>
      </c>
      <c r="F313" s="191" t="str">
        <f>'5-1 Сбор КП Закупки'!F313</f>
        <v/>
      </c>
      <c r="G313" s="191" t="str">
        <f>'5-1 Сбор КП Закупки'!G313</f>
        <v/>
      </c>
      <c r="H313" s="196" t="str">
        <f>'5-1 Сбор КП Закупки'!H313</f>
        <v/>
      </c>
      <c r="I313" s="196" t="str">
        <f>'5-1 Сбор КП Закупки'!I313</f>
        <v/>
      </c>
      <c r="J313" s="199"/>
      <c r="K313" s="200"/>
      <c r="L313" s="201"/>
      <c r="M313" s="203"/>
      <c r="N313" s="206"/>
      <c r="O313" s="206"/>
      <c r="P313" s="146"/>
      <c r="Q313" s="146"/>
      <c r="R313" s="146"/>
      <c r="S313" s="146"/>
      <c r="T313" s="146"/>
      <c r="U313" s="146"/>
      <c r="V313" s="146"/>
      <c r="W313" s="146"/>
      <c r="X313" s="146"/>
      <c r="Y313" s="146"/>
      <c r="Z313" s="146"/>
    </row>
    <row r="314">
      <c r="A314" s="144"/>
      <c r="B314" s="244"/>
      <c r="C314" s="184" t="s">
        <v>610</v>
      </c>
      <c r="D314" s="186" t="str">
        <f>'5-1 Сбор КП Закупки'!D314</f>
        <v/>
      </c>
      <c r="E314" s="277" t="str">
        <f>'5-1 Сбор КП Закупки'!E314</f>
        <v/>
      </c>
      <c r="F314" s="191" t="str">
        <f>'5-1 Сбор КП Закупки'!F314</f>
        <v/>
      </c>
      <c r="G314" s="191" t="str">
        <f>'5-1 Сбор КП Закупки'!G314</f>
        <v/>
      </c>
      <c r="H314" s="196" t="str">
        <f>'5-1 Сбор КП Закупки'!H314</f>
        <v/>
      </c>
      <c r="I314" s="196" t="str">
        <f>'5-1 Сбор КП Закупки'!I314</f>
        <v/>
      </c>
      <c r="J314" s="199"/>
      <c r="K314" s="200"/>
      <c r="L314" s="201"/>
      <c r="M314" s="203"/>
      <c r="N314" s="206"/>
      <c r="O314" s="206"/>
      <c r="P314" s="146"/>
      <c r="Q314" s="146"/>
      <c r="R314" s="146"/>
      <c r="S314" s="146"/>
      <c r="T314" s="146"/>
      <c r="U314" s="146"/>
      <c r="V314" s="146"/>
      <c r="W314" s="146"/>
      <c r="X314" s="146"/>
      <c r="Y314" s="146"/>
      <c r="Z314" s="146"/>
    </row>
    <row r="315">
      <c r="A315" s="144"/>
      <c r="B315" s="244"/>
      <c r="C315" s="184" t="s">
        <v>611</v>
      </c>
      <c r="D315" s="186" t="str">
        <f>'5-1 Сбор КП Закупки'!D315</f>
        <v/>
      </c>
      <c r="E315" s="277" t="str">
        <f>'5-1 Сбор КП Закупки'!E315</f>
        <v/>
      </c>
      <c r="F315" s="191" t="str">
        <f>'5-1 Сбор КП Закупки'!F315</f>
        <v/>
      </c>
      <c r="G315" s="191" t="str">
        <f>'5-1 Сбор КП Закупки'!G315</f>
        <v/>
      </c>
      <c r="H315" s="196" t="str">
        <f>'5-1 Сбор КП Закупки'!H315</f>
        <v/>
      </c>
      <c r="I315" s="196" t="str">
        <f>'5-1 Сбор КП Закупки'!I315</f>
        <v/>
      </c>
      <c r="J315" s="199"/>
      <c r="K315" s="200"/>
      <c r="L315" s="201"/>
      <c r="M315" s="203"/>
      <c r="N315" s="206"/>
      <c r="O315" s="206"/>
      <c r="P315" s="146"/>
      <c r="Q315" s="146"/>
      <c r="R315" s="146"/>
      <c r="S315" s="146"/>
      <c r="T315" s="146"/>
      <c r="U315" s="146"/>
      <c r="V315" s="146"/>
      <c r="W315" s="146"/>
      <c r="X315" s="146"/>
      <c r="Y315" s="146"/>
      <c r="Z315" s="146"/>
    </row>
    <row r="316">
      <c r="A316" s="144"/>
      <c r="B316" s="244"/>
      <c r="C316" s="184" t="s">
        <v>612</v>
      </c>
      <c r="D316" s="186" t="str">
        <f>'5-1 Сбор КП Закупки'!D316</f>
        <v/>
      </c>
      <c r="E316" s="277" t="str">
        <f>'5-1 Сбор КП Закупки'!E316</f>
        <v/>
      </c>
      <c r="F316" s="191" t="str">
        <f>'5-1 Сбор КП Закупки'!F316</f>
        <v/>
      </c>
      <c r="G316" s="191" t="str">
        <f>'5-1 Сбор КП Закупки'!G316</f>
        <v/>
      </c>
      <c r="H316" s="196" t="str">
        <f>'5-1 Сбор КП Закупки'!H316</f>
        <v/>
      </c>
      <c r="I316" s="196" t="str">
        <f>'5-1 Сбор КП Закупки'!I316</f>
        <v/>
      </c>
      <c r="J316" s="199"/>
      <c r="K316" s="200"/>
      <c r="L316" s="201"/>
      <c r="M316" s="203"/>
      <c r="N316" s="206"/>
      <c r="O316" s="206"/>
      <c r="P316" s="146"/>
      <c r="Q316" s="146"/>
      <c r="R316" s="146"/>
      <c r="S316" s="146"/>
      <c r="T316" s="146"/>
      <c r="U316" s="146"/>
      <c r="V316" s="146"/>
      <c r="W316" s="146"/>
      <c r="X316" s="146"/>
      <c r="Y316" s="146"/>
      <c r="Z316" s="146"/>
    </row>
    <row r="317">
      <c r="A317" s="144"/>
      <c r="B317" s="244"/>
      <c r="C317" s="184" t="s">
        <v>613</v>
      </c>
      <c r="D317" s="186" t="str">
        <f>'5-1 Сбор КП Закупки'!D317</f>
        <v/>
      </c>
      <c r="E317" s="277" t="str">
        <f>'5-1 Сбор КП Закупки'!E317</f>
        <v/>
      </c>
      <c r="F317" s="191" t="str">
        <f>'5-1 Сбор КП Закупки'!F317</f>
        <v/>
      </c>
      <c r="G317" s="191" t="str">
        <f>'5-1 Сбор КП Закупки'!G317</f>
        <v/>
      </c>
      <c r="H317" s="196" t="str">
        <f>'5-1 Сбор КП Закупки'!H317</f>
        <v/>
      </c>
      <c r="I317" s="196" t="str">
        <f>'5-1 Сбор КП Закупки'!I317</f>
        <v/>
      </c>
      <c r="J317" s="199"/>
      <c r="K317" s="200"/>
      <c r="L317" s="201"/>
      <c r="M317" s="203"/>
      <c r="N317" s="206"/>
      <c r="O317" s="206"/>
      <c r="P317" s="146"/>
      <c r="Q317" s="146"/>
      <c r="R317" s="146"/>
      <c r="S317" s="146"/>
      <c r="T317" s="146"/>
      <c r="U317" s="146"/>
      <c r="V317" s="146"/>
      <c r="W317" s="146"/>
      <c r="X317" s="146"/>
      <c r="Y317" s="146"/>
      <c r="Z317" s="146"/>
    </row>
    <row r="318">
      <c r="A318" s="144"/>
      <c r="B318" s="244"/>
      <c r="C318" s="184" t="s">
        <v>614</v>
      </c>
      <c r="D318" s="186" t="str">
        <f>'5-1 Сбор КП Закупки'!D318</f>
        <v/>
      </c>
      <c r="E318" s="277" t="str">
        <f>'5-1 Сбор КП Закупки'!E318</f>
        <v/>
      </c>
      <c r="F318" s="191" t="str">
        <f>'5-1 Сбор КП Закупки'!F318</f>
        <v/>
      </c>
      <c r="G318" s="191" t="str">
        <f>'5-1 Сбор КП Закупки'!G318</f>
        <v/>
      </c>
      <c r="H318" s="196" t="str">
        <f>'5-1 Сбор КП Закупки'!H318</f>
        <v/>
      </c>
      <c r="I318" s="196" t="str">
        <f>'5-1 Сбор КП Закупки'!I318</f>
        <v/>
      </c>
      <c r="J318" s="199"/>
      <c r="K318" s="200"/>
      <c r="L318" s="201"/>
      <c r="M318" s="203"/>
      <c r="N318" s="206"/>
      <c r="O318" s="206"/>
      <c r="P318" s="146"/>
      <c r="Q318" s="146"/>
      <c r="R318" s="146"/>
      <c r="S318" s="146"/>
      <c r="T318" s="146"/>
      <c r="U318" s="146"/>
      <c r="V318" s="146"/>
      <c r="W318" s="146"/>
      <c r="X318" s="146"/>
      <c r="Y318" s="146"/>
      <c r="Z318" s="146"/>
    </row>
    <row r="319">
      <c r="A319" s="144"/>
      <c r="B319" s="244"/>
      <c r="C319" s="184" t="s">
        <v>615</v>
      </c>
      <c r="D319" s="186" t="str">
        <f>'5-1 Сбор КП Закупки'!D319</f>
        <v/>
      </c>
      <c r="E319" s="277" t="str">
        <f>'5-1 Сбор КП Закупки'!E319</f>
        <v/>
      </c>
      <c r="F319" s="191" t="str">
        <f>'5-1 Сбор КП Закупки'!F319</f>
        <v/>
      </c>
      <c r="G319" s="191" t="str">
        <f>'5-1 Сбор КП Закупки'!G319</f>
        <v/>
      </c>
      <c r="H319" s="196" t="str">
        <f>'5-1 Сбор КП Закупки'!H319</f>
        <v/>
      </c>
      <c r="I319" s="196" t="str">
        <f>'5-1 Сбор КП Закупки'!I319</f>
        <v/>
      </c>
      <c r="J319" s="199"/>
      <c r="K319" s="200"/>
      <c r="L319" s="201"/>
      <c r="M319" s="203"/>
      <c r="N319" s="206"/>
      <c r="O319" s="206"/>
      <c r="P319" s="146"/>
      <c r="Q319" s="146"/>
      <c r="R319" s="146"/>
      <c r="S319" s="146"/>
      <c r="T319" s="146"/>
      <c r="U319" s="146"/>
      <c r="V319" s="146"/>
      <c r="W319" s="146"/>
      <c r="X319" s="146"/>
      <c r="Y319" s="146"/>
      <c r="Z319" s="146"/>
    </row>
  </sheetData>
  <autoFilter ref="$D$10:$K$319"/>
  <conditionalFormatting sqref="F11:J319">
    <cfRule type="expression" dxfId="11" priority="1">
      <formula>LAMBDA(theHader,theMs,ifs(theMs="",FALSE,theHader="",FALSE,IFERROR(FIND(theHader,theMs,1),0)=0,FALSE,TRUE,TRUE))(F$10,$B11)</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Right="0"/>
  </sheetPr>
  <sheetViews>
    <sheetView workbookViewId="0">
      <pane xSplit="9.0" ySplit="10.0" topLeftCell="J11" activePane="bottomRight" state="frozen"/>
      <selection activeCell="J1" sqref="J1" pane="topRight"/>
      <selection activeCell="A11" sqref="A11" pane="bottomLeft"/>
      <selection activeCell="J11" sqref="J11" pane="bottomRight"/>
    </sheetView>
  </sheetViews>
  <sheetFormatPr customHeight="1" defaultColWidth="12.63" defaultRowHeight="15.75" outlineLevelRow="1"/>
  <cols>
    <col customWidth="1" min="1" max="1" width="5.63"/>
    <col customWidth="1" min="2" max="2" width="4.75"/>
    <col customWidth="1" hidden="1" min="3" max="3" width="3.38"/>
    <col collapsed="1" customWidth="1" min="4" max="4" width="3.38"/>
    <col customWidth="1" hidden="1" min="5" max="5" width="23.0" outlineLevel="1"/>
    <col collapsed="1" customWidth="1" min="6" max="6" width="23.0"/>
    <col customWidth="1" hidden="1" min="7" max="7" width="23.0" outlineLevel="1"/>
    <col customWidth="1" hidden="1" min="8" max="9" width="40.0" outlineLevel="1"/>
    <col customWidth="1" min="10" max="10" width="5.88"/>
    <col collapsed="1" customWidth="1" min="11" max="11" width="4.13"/>
    <col customWidth="1" hidden="1" min="12" max="12" width="7.38" outlineLevel="1"/>
    <col customWidth="1" hidden="1" min="13" max="13" width="7.25" outlineLevel="1"/>
    <col customWidth="1" hidden="1" min="14" max="14" width="6.13" outlineLevel="1"/>
    <col customWidth="1" hidden="1" min="15" max="15" width="6.88" outlineLevel="1"/>
    <col customWidth="1" min="16" max="16" width="7.38"/>
    <col customWidth="1" min="17" max="17" width="6.63"/>
    <col collapsed="1" customWidth="1" min="18" max="18" width="8.63"/>
    <col customWidth="1" hidden="1" min="19" max="19" width="4.88" outlineLevel="1"/>
    <col customWidth="1" hidden="1" min="20" max="20" width="5.25" outlineLevel="1"/>
    <col customWidth="1" min="21" max="21" width="5.5"/>
    <col customWidth="1" min="22" max="22" width="5.13" outlineLevel="1"/>
    <col customWidth="1" min="23" max="23" width="5.5" outlineLevel="1"/>
    <col customWidth="1" min="24" max="24" width="4.88" outlineLevel="1"/>
    <col customWidth="1" min="25" max="25" width="12.0" outlineLevel="1"/>
    <col customWidth="1" min="26" max="26" width="4.13" outlineLevel="1"/>
    <col customWidth="1" min="27" max="27" width="11.88"/>
    <col customWidth="1" min="28" max="28" width="4.75"/>
    <col customWidth="1" min="29" max="29" width="10.13"/>
    <col customWidth="1" min="30" max="30" width="11.88"/>
    <col customWidth="1" min="31" max="31" width="4.75"/>
    <col customWidth="1" min="32" max="32" width="10.13"/>
    <col customWidth="1" min="33" max="33" width="11.88"/>
    <col customWidth="1" min="34" max="34" width="4.75"/>
    <col customWidth="1" min="35" max="35" width="10.13"/>
    <col customWidth="1" min="36" max="36" width="11.88"/>
    <col customWidth="1" min="37" max="37" width="4.75"/>
    <col customWidth="1" min="38" max="38" width="10.13"/>
    <col customWidth="1" min="39" max="39" width="11.88"/>
    <col customWidth="1" min="40" max="40" width="4.75"/>
    <col customWidth="1" min="41" max="41" width="10.13"/>
    <col customWidth="1" min="42" max="42" width="11.88"/>
    <col customWidth="1" min="43" max="43" width="4.75"/>
    <col customWidth="1" min="44" max="44" width="10.13"/>
    <col customWidth="1" min="45" max="45" width="11.88"/>
    <col customWidth="1" min="46" max="46" width="4.75"/>
    <col customWidth="1" min="47" max="47" width="10.13"/>
    <col customWidth="1" min="48" max="48" width="11.88"/>
    <col customWidth="1" min="49" max="49" width="4.75"/>
    <col customWidth="1" min="50" max="50" width="10.13"/>
    <col customWidth="1" min="51" max="51" width="11.88"/>
    <col customWidth="1" min="52" max="52" width="4.75"/>
    <col customWidth="1" min="53" max="53" width="10.13"/>
    <col customWidth="1" min="54" max="54" width="11.88"/>
    <col customWidth="1" min="55" max="55" width="4.75"/>
    <col customWidth="1" min="56" max="56" width="10.13"/>
    <col customWidth="1" min="57" max="57" width="11.88"/>
    <col customWidth="1" min="58" max="58" width="4.75"/>
    <col customWidth="1" min="59" max="59" width="10.13"/>
    <col customWidth="1" min="60" max="60" width="11.88"/>
    <col customWidth="1" min="61" max="61" width="4.75"/>
    <col customWidth="1" min="62" max="62" width="10.13"/>
    <col customWidth="1" min="63" max="63" width="11.88"/>
    <col customWidth="1" min="64" max="64" width="4.75"/>
    <col customWidth="1" min="65" max="65" width="10.13"/>
    <col customWidth="1" min="66" max="66" width="11.88"/>
    <col customWidth="1" min="67" max="67" width="4.75"/>
    <col customWidth="1" min="68" max="68" width="10.13"/>
    <col customWidth="1" min="69" max="69" width="11.88"/>
    <col customWidth="1" min="70" max="70" width="4.75"/>
    <col customWidth="1" min="71" max="71" width="10.13"/>
    <col customWidth="1" min="72" max="72" width="11.88"/>
    <col customWidth="1" min="73" max="73" width="4.75"/>
    <col customWidth="1" min="74" max="74" width="10.13"/>
    <col customWidth="1" min="75" max="75" width="11.88"/>
    <col customWidth="1" min="76" max="76" width="4.75"/>
    <col customWidth="1" min="77" max="77" width="10.13"/>
    <col customWidth="1" min="78" max="78" width="11.88"/>
    <col customWidth="1" min="79" max="79" width="4.75"/>
    <col customWidth="1" min="80" max="80" width="10.13"/>
    <col customWidth="1" min="81" max="81" width="11.88"/>
    <col customWidth="1" min="82" max="82" width="4.75"/>
    <col customWidth="1" min="83" max="83" width="10.13"/>
    <col customWidth="1" min="84" max="84" width="11.88"/>
    <col customWidth="1" min="85" max="85" width="4.75"/>
    <col customWidth="1" min="86" max="86" width="10.13"/>
    <col customWidth="1" min="87" max="87" width="11.88"/>
    <col customWidth="1" min="88" max="88" width="4.75"/>
    <col customWidth="1" min="89" max="89" width="10.13"/>
    <col customWidth="1" min="90" max="90" width="11.88"/>
    <col customWidth="1" min="91" max="91" width="4.75"/>
    <col customWidth="1" min="92" max="92" width="10.13"/>
    <col customWidth="1" min="93" max="93" width="11.88"/>
    <col customWidth="1" min="94" max="94" width="4.75"/>
    <col customWidth="1" min="95" max="95" width="10.13"/>
    <col customWidth="1" min="96" max="96" width="11.88"/>
    <col customWidth="1" min="97" max="97" width="4.75"/>
    <col customWidth="1" min="98" max="98" width="10.13"/>
    <col customWidth="1" min="99" max="99" width="11.88"/>
    <col customWidth="1" min="100" max="100" width="4.75"/>
    <col customWidth="1" min="101" max="101" width="10.13"/>
    <col customWidth="1" min="102" max="102" width="11.88"/>
    <col customWidth="1" min="103" max="103" width="4.75"/>
    <col customWidth="1" min="104" max="104" width="10.13"/>
  </cols>
  <sheetData>
    <row r="1" ht="18.75" hidden="1" customHeight="1" outlineLevel="1">
      <c r="A1" s="144"/>
      <c r="B1" s="144"/>
      <c r="C1" s="279" t="s">
        <v>0</v>
      </c>
      <c r="D1" s="8"/>
      <c r="E1" s="84"/>
      <c r="F1" s="154"/>
      <c r="G1" s="154"/>
      <c r="H1" s="84"/>
      <c r="I1" s="281"/>
      <c r="J1" s="8"/>
      <c r="K1" s="8"/>
      <c r="L1" s="282" t="s">
        <v>426</v>
      </c>
      <c r="M1" s="284">
        <f>M311</f>
        <v>0</v>
      </c>
      <c r="N1" s="8"/>
      <c r="O1" s="284" t="str">
        <f>O311</f>
        <v/>
      </c>
      <c r="P1" s="286"/>
      <c r="Q1" s="144"/>
      <c r="R1" s="144"/>
      <c r="S1" s="144"/>
      <c r="T1" s="144"/>
      <c r="U1" s="144"/>
      <c r="V1" s="144"/>
      <c r="W1" s="144"/>
      <c r="X1" s="144"/>
      <c r="Y1" s="144"/>
      <c r="Z1" s="287"/>
      <c r="AA1" s="288"/>
      <c r="AB1" s="289"/>
      <c r="AC1" s="290"/>
      <c r="AD1" s="291"/>
      <c r="AE1" s="292"/>
      <c r="AF1" s="293"/>
      <c r="AG1" s="294"/>
      <c r="AH1" s="295"/>
      <c r="AI1" s="290"/>
      <c r="AJ1" s="294"/>
      <c r="AK1" s="292"/>
      <c r="AL1" s="290"/>
      <c r="AM1" s="294"/>
      <c r="AN1" s="292"/>
      <c r="AO1" s="290"/>
      <c r="AP1" s="294"/>
      <c r="AQ1" s="292"/>
      <c r="AR1" s="290"/>
      <c r="AS1" s="294"/>
      <c r="AT1" s="292"/>
      <c r="AU1" s="290"/>
      <c r="AV1" s="294"/>
      <c r="AW1" s="292"/>
      <c r="AX1" s="290"/>
      <c r="AY1" s="294"/>
      <c r="AZ1" s="292"/>
      <c r="BA1" s="290"/>
      <c r="BB1" s="294"/>
      <c r="BC1" s="292"/>
      <c r="BD1" s="290"/>
      <c r="BE1" s="294"/>
      <c r="BF1" s="292"/>
      <c r="BG1" s="290"/>
      <c r="BH1" s="294"/>
      <c r="BI1" s="292"/>
      <c r="BJ1" s="290"/>
      <c r="BK1" s="294"/>
      <c r="BL1" s="292"/>
      <c r="BM1" s="290"/>
      <c r="BN1" s="294"/>
      <c r="BO1" s="292"/>
      <c r="BP1" s="290"/>
      <c r="BQ1" s="294"/>
      <c r="BR1" s="292"/>
      <c r="BS1" s="290"/>
      <c r="BT1" s="294"/>
      <c r="BU1" s="292"/>
      <c r="BV1" s="290"/>
      <c r="BW1" s="294"/>
      <c r="BX1" s="292"/>
      <c r="BY1" s="290"/>
      <c r="BZ1" s="294"/>
      <c r="CA1" s="292"/>
      <c r="CB1" s="290"/>
      <c r="CC1" s="294"/>
      <c r="CD1" s="292"/>
      <c r="CE1" s="290"/>
      <c r="CF1" s="294"/>
      <c r="CG1" s="292"/>
      <c r="CH1" s="290"/>
      <c r="CI1" s="294"/>
      <c r="CJ1" s="292"/>
      <c r="CK1" s="290"/>
      <c r="CL1" s="294"/>
      <c r="CM1" s="292"/>
      <c r="CN1" s="290"/>
      <c r="CO1" s="294"/>
      <c r="CP1" s="292"/>
      <c r="CQ1" s="290"/>
      <c r="CR1" s="294"/>
      <c r="CS1" s="292"/>
      <c r="CT1" s="290"/>
      <c r="CU1" s="294"/>
      <c r="CV1" s="292"/>
      <c r="CW1" s="290"/>
      <c r="CX1" s="294"/>
      <c r="CY1" s="292"/>
      <c r="CZ1" s="290"/>
    </row>
    <row r="2" hidden="1" outlineLevel="1">
      <c r="A2" s="144" t="s">
        <v>5</v>
      </c>
      <c r="B2" s="144" t="s">
        <v>6</v>
      </c>
      <c r="C2" s="296" t="s">
        <v>7</v>
      </c>
      <c r="D2" s="144" t="s">
        <v>2</v>
      </c>
      <c r="E2" s="149" t="s">
        <v>8</v>
      </c>
      <c r="F2" s="157" t="s">
        <v>17</v>
      </c>
      <c r="G2" s="157" t="s">
        <v>20</v>
      </c>
      <c r="H2" s="149" t="s">
        <v>10</v>
      </c>
      <c r="I2" s="297" t="s">
        <v>235</v>
      </c>
      <c r="J2" s="151" t="s">
        <v>12</v>
      </c>
      <c r="K2" s="298" t="s">
        <v>13</v>
      </c>
      <c r="L2" s="151" t="s">
        <v>56</v>
      </c>
      <c r="M2" s="151" t="s">
        <v>57</v>
      </c>
      <c r="N2" s="151" t="s">
        <v>58</v>
      </c>
      <c r="O2" s="151" t="s">
        <v>16</v>
      </c>
      <c r="P2" s="299" t="s">
        <v>24</v>
      </c>
      <c r="Q2" s="151" t="s">
        <v>435</v>
      </c>
      <c r="R2" s="151" t="s">
        <v>436</v>
      </c>
      <c r="S2" s="151" t="s">
        <v>437</v>
      </c>
      <c r="T2" s="151" t="s">
        <v>438</v>
      </c>
      <c r="U2" s="151" t="s">
        <v>439</v>
      </c>
      <c r="V2" s="151" t="s">
        <v>440</v>
      </c>
      <c r="W2" s="151" t="s">
        <v>441</v>
      </c>
      <c r="X2" s="151" t="s">
        <v>442</v>
      </c>
      <c r="Y2" s="147" t="s">
        <v>234</v>
      </c>
      <c r="Z2" s="300" t="str">
        <f>IFERROR(__xludf.DUMMYFUNCTION("{""ЦеныНачало"",LAMBDA(нач,макс,ячейки,la,
TRANSPOSE(  FLATTEN( ByRow( TRANSPOSE( 
  FILTER(  ByCol(ячейки,la), ByCol(ячейки,LAMBDA(ст,MOD((COLUMN(ст)-COLUMN(нач)-1),3)=0)), ByCol(ячейки,LAMBDA(ст,(COLUMN(ст)-макс)&lt;0)) )
),LAMBDA(пред,{пред&amp;"".цена"",пред"&amp;"&amp;"".срок"",пред&amp;"".модель"" }) )) )
)($Z$1,
MAX(ARRAYFORMULA(COLUMN($AA$1:CZ$1)))-1,
$AA$1:CZ$1,Lambda(ст, REGEXEXTRACT( CELL(""address"",ст),""[A-Z]+"")))}"),"ЦеныНачало")</f>
        <v>ЦеныНачало</v>
      </c>
      <c r="AA2" s="301" t="str">
        <f>IFERROR(__xludf.DUMMYFUNCTION("""COMPUTED_VALUE"""),"AA.цена")</f>
        <v>AA.цена</v>
      </c>
      <c r="AB2" s="302" t="str">
        <f>IFERROR(__xludf.DUMMYFUNCTION("""COMPUTED_VALUE"""),"AA.срок")</f>
        <v>AA.срок</v>
      </c>
      <c r="AC2" s="303" t="str">
        <f>IFERROR(__xludf.DUMMYFUNCTION("""COMPUTED_VALUE"""),"AA.модель")</f>
        <v>AA.модель</v>
      </c>
      <c r="AD2" s="301" t="str">
        <f>IFERROR(__xludf.DUMMYFUNCTION("""COMPUTED_VALUE"""),"AD.цена")</f>
        <v>AD.цена</v>
      </c>
      <c r="AE2" s="302" t="str">
        <f>IFERROR(__xludf.DUMMYFUNCTION("""COMPUTED_VALUE"""),"AD.срок")</f>
        <v>AD.срок</v>
      </c>
      <c r="AF2" s="303" t="str">
        <f>IFERROR(__xludf.DUMMYFUNCTION("""COMPUTED_VALUE"""),"AD.модель")</f>
        <v>AD.модель</v>
      </c>
      <c r="AG2" s="301" t="str">
        <f>IFERROR(__xludf.DUMMYFUNCTION("""COMPUTED_VALUE"""),"AG.цена")</f>
        <v>AG.цена</v>
      </c>
      <c r="AH2" s="302" t="str">
        <f>IFERROR(__xludf.DUMMYFUNCTION("""COMPUTED_VALUE"""),"AG.срок")</f>
        <v>AG.срок</v>
      </c>
      <c r="AI2" s="303" t="str">
        <f>IFERROR(__xludf.DUMMYFUNCTION("""COMPUTED_VALUE"""),"AG.модель")</f>
        <v>AG.модель</v>
      </c>
      <c r="AJ2" s="301" t="str">
        <f>IFERROR(__xludf.DUMMYFUNCTION("""COMPUTED_VALUE"""),"AJ.цена")</f>
        <v>AJ.цена</v>
      </c>
      <c r="AK2" s="302" t="str">
        <f>IFERROR(__xludf.DUMMYFUNCTION("""COMPUTED_VALUE"""),"AJ.срок")</f>
        <v>AJ.срок</v>
      </c>
      <c r="AL2" s="303" t="str">
        <f>IFERROR(__xludf.DUMMYFUNCTION("""COMPUTED_VALUE"""),"AJ.модель")</f>
        <v>AJ.модель</v>
      </c>
      <c r="AM2" s="301" t="str">
        <f>IFERROR(__xludf.DUMMYFUNCTION("""COMPUTED_VALUE"""),"AM.цена")</f>
        <v>AM.цена</v>
      </c>
      <c r="AN2" s="302" t="str">
        <f>IFERROR(__xludf.DUMMYFUNCTION("""COMPUTED_VALUE"""),"AM.срок")</f>
        <v>AM.срок</v>
      </c>
      <c r="AO2" s="303" t="str">
        <f>IFERROR(__xludf.DUMMYFUNCTION("""COMPUTED_VALUE"""),"AM.модель")</f>
        <v>AM.модель</v>
      </c>
      <c r="AP2" s="301" t="str">
        <f>IFERROR(__xludf.DUMMYFUNCTION("""COMPUTED_VALUE"""),"AP.цена")</f>
        <v>AP.цена</v>
      </c>
      <c r="AQ2" s="302" t="str">
        <f>IFERROR(__xludf.DUMMYFUNCTION("""COMPUTED_VALUE"""),"AP.срок")</f>
        <v>AP.срок</v>
      </c>
      <c r="AR2" s="303" t="str">
        <f>IFERROR(__xludf.DUMMYFUNCTION("""COMPUTED_VALUE"""),"AP.модель")</f>
        <v>AP.модель</v>
      </c>
      <c r="AS2" s="301" t="str">
        <f>IFERROR(__xludf.DUMMYFUNCTION("""COMPUTED_VALUE"""),"AS.цена")</f>
        <v>AS.цена</v>
      </c>
      <c r="AT2" s="302" t="str">
        <f>IFERROR(__xludf.DUMMYFUNCTION("""COMPUTED_VALUE"""),"AS.срок")</f>
        <v>AS.срок</v>
      </c>
      <c r="AU2" s="303" t="str">
        <f>IFERROR(__xludf.DUMMYFUNCTION("""COMPUTED_VALUE"""),"AS.модель")</f>
        <v>AS.модель</v>
      </c>
      <c r="AV2" s="301" t="str">
        <f>IFERROR(__xludf.DUMMYFUNCTION("""COMPUTED_VALUE"""),"AV.цена")</f>
        <v>AV.цена</v>
      </c>
      <c r="AW2" s="302" t="str">
        <f>IFERROR(__xludf.DUMMYFUNCTION("""COMPUTED_VALUE"""),"AV.срок")</f>
        <v>AV.срок</v>
      </c>
      <c r="AX2" s="303" t="str">
        <f>IFERROR(__xludf.DUMMYFUNCTION("""COMPUTED_VALUE"""),"AV.модель")</f>
        <v>AV.модель</v>
      </c>
      <c r="AY2" s="301" t="str">
        <f>IFERROR(__xludf.DUMMYFUNCTION("""COMPUTED_VALUE"""),"AY.цена")</f>
        <v>AY.цена</v>
      </c>
      <c r="AZ2" s="302" t="str">
        <f>IFERROR(__xludf.DUMMYFUNCTION("""COMPUTED_VALUE"""),"AY.срок")</f>
        <v>AY.срок</v>
      </c>
      <c r="BA2" s="303" t="str">
        <f>IFERROR(__xludf.DUMMYFUNCTION("""COMPUTED_VALUE"""),"AY.модель")</f>
        <v>AY.модель</v>
      </c>
      <c r="BB2" s="301" t="str">
        <f>IFERROR(__xludf.DUMMYFUNCTION("""COMPUTED_VALUE"""),"BB.цена")</f>
        <v>BB.цена</v>
      </c>
      <c r="BC2" s="302" t="str">
        <f>IFERROR(__xludf.DUMMYFUNCTION("""COMPUTED_VALUE"""),"BB.срок")</f>
        <v>BB.срок</v>
      </c>
      <c r="BD2" s="303" t="str">
        <f>IFERROR(__xludf.DUMMYFUNCTION("""COMPUTED_VALUE"""),"BB.модель")</f>
        <v>BB.модель</v>
      </c>
      <c r="BE2" s="301" t="str">
        <f>IFERROR(__xludf.DUMMYFUNCTION("""COMPUTED_VALUE"""),"BE.цена")</f>
        <v>BE.цена</v>
      </c>
      <c r="BF2" s="302" t="str">
        <f>IFERROR(__xludf.DUMMYFUNCTION("""COMPUTED_VALUE"""),"BE.срок")</f>
        <v>BE.срок</v>
      </c>
      <c r="BG2" s="303" t="str">
        <f>IFERROR(__xludf.DUMMYFUNCTION("""COMPUTED_VALUE"""),"BE.модель")</f>
        <v>BE.модель</v>
      </c>
      <c r="BH2" s="301" t="str">
        <f>IFERROR(__xludf.DUMMYFUNCTION("""COMPUTED_VALUE"""),"BH.цена")</f>
        <v>BH.цена</v>
      </c>
      <c r="BI2" s="302" t="str">
        <f>IFERROR(__xludf.DUMMYFUNCTION("""COMPUTED_VALUE"""),"BH.срок")</f>
        <v>BH.срок</v>
      </c>
      <c r="BJ2" s="303" t="str">
        <f>IFERROR(__xludf.DUMMYFUNCTION("""COMPUTED_VALUE"""),"BH.модель")</f>
        <v>BH.модель</v>
      </c>
      <c r="BK2" s="301" t="str">
        <f>IFERROR(__xludf.DUMMYFUNCTION("""COMPUTED_VALUE"""),"BK.цена")</f>
        <v>BK.цена</v>
      </c>
      <c r="BL2" s="302" t="str">
        <f>IFERROR(__xludf.DUMMYFUNCTION("""COMPUTED_VALUE"""),"BK.срок")</f>
        <v>BK.срок</v>
      </c>
      <c r="BM2" s="303" t="str">
        <f>IFERROR(__xludf.DUMMYFUNCTION("""COMPUTED_VALUE"""),"BK.модель")</f>
        <v>BK.модель</v>
      </c>
      <c r="BN2" s="301" t="str">
        <f>IFERROR(__xludf.DUMMYFUNCTION("""COMPUTED_VALUE"""),"BN.цена")</f>
        <v>BN.цена</v>
      </c>
      <c r="BO2" s="302" t="str">
        <f>IFERROR(__xludf.DUMMYFUNCTION("""COMPUTED_VALUE"""),"BN.срок")</f>
        <v>BN.срок</v>
      </c>
      <c r="BP2" s="303" t="str">
        <f>IFERROR(__xludf.DUMMYFUNCTION("""COMPUTED_VALUE"""),"BN.модель")</f>
        <v>BN.модель</v>
      </c>
      <c r="BQ2" s="301" t="str">
        <f>IFERROR(__xludf.DUMMYFUNCTION("""COMPUTED_VALUE"""),"BQ.цена")</f>
        <v>BQ.цена</v>
      </c>
      <c r="BR2" s="302" t="str">
        <f>IFERROR(__xludf.DUMMYFUNCTION("""COMPUTED_VALUE"""),"BQ.срок")</f>
        <v>BQ.срок</v>
      </c>
      <c r="BS2" s="303" t="str">
        <f>IFERROR(__xludf.DUMMYFUNCTION("""COMPUTED_VALUE"""),"BQ.модель")</f>
        <v>BQ.модель</v>
      </c>
      <c r="BT2" s="301" t="str">
        <f>IFERROR(__xludf.DUMMYFUNCTION("""COMPUTED_VALUE"""),"BT.цена")</f>
        <v>BT.цена</v>
      </c>
      <c r="BU2" s="302" t="str">
        <f>IFERROR(__xludf.DUMMYFUNCTION("""COMPUTED_VALUE"""),"BT.срок")</f>
        <v>BT.срок</v>
      </c>
      <c r="BV2" s="303" t="str">
        <f>IFERROR(__xludf.DUMMYFUNCTION("""COMPUTED_VALUE"""),"BT.модель")</f>
        <v>BT.модель</v>
      </c>
      <c r="BW2" s="301" t="str">
        <f>IFERROR(__xludf.DUMMYFUNCTION("""COMPUTED_VALUE"""),"BW.цена")</f>
        <v>BW.цена</v>
      </c>
      <c r="BX2" s="302" t="str">
        <f>IFERROR(__xludf.DUMMYFUNCTION("""COMPUTED_VALUE"""),"BW.срок")</f>
        <v>BW.срок</v>
      </c>
      <c r="BY2" s="303" t="str">
        <f>IFERROR(__xludf.DUMMYFUNCTION("""COMPUTED_VALUE"""),"BW.модель")</f>
        <v>BW.модель</v>
      </c>
      <c r="BZ2" s="301" t="str">
        <f>IFERROR(__xludf.DUMMYFUNCTION("""COMPUTED_VALUE"""),"BZ.цена")</f>
        <v>BZ.цена</v>
      </c>
      <c r="CA2" s="302" t="str">
        <f>IFERROR(__xludf.DUMMYFUNCTION("""COMPUTED_VALUE"""),"BZ.срок")</f>
        <v>BZ.срок</v>
      </c>
      <c r="CB2" s="303" t="str">
        <f>IFERROR(__xludf.DUMMYFUNCTION("""COMPUTED_VALUE"""),"BZ.модель")</f>
        <v>BZ.модель</v>
      </c>
      <c r="CC2" s="301" t="str">
        <f>IFERROR(__xludf.DUMMYFUNCTION("""COMPUTED_VALUE"""),"CC.цена")</f>
        <v>CC.цена</v>
      </c>
      <c r="CD2" s="302" t="str">
        <f>IFERROR(__xludf.DUMMYFUNCTION("""COMPUTED_VALUE"""),"CC.срок")</f>
        <v>CC.срок</v>
      </c>
      <c r="CE2" s="303" t="str">
        <f>IFERROR(__xludf.DUMMYFUNCTION("""COMPUTED_VALUE"""),"CC.модель")</f>
        <v>CC.модель</v>
      </c>
      <c r="CF2" s="301" t="str">
        <f>IFERROR(__xludf.DUMMYFUNCTION("""COMPUTED_VALUE"""),"CF.цена")</f>
        <v>CF.цена</v>
      </c>
      <c r="CG2" s="302" t="str">
        <f>IFERROR(__xludf.DUMMYFUNCTION("""COMPUTED_VALUE"""),"CF.срок")</f>
        <v>CF.срок</v>
      </c>
      <c r="CH2" s="303" t="str">
        <f>IFERROR(__xludf.DUMMYFUNCTION("""COMPUTED_VALUE"""),"CF.модель")</f>
        <v>CF.модель</v>
      </c>
      <c r="CI2" s="301" t="str">
        <f>IFERROR(__xludf.DUMMYFUNCTION("""COMPUTED_VALUE"""),"CI.цена")</f>
        <v>CI.цена</v>
      </c>
      <c r="CJ2" s="302" t="str">
        <f>IFERROR(__xludf.DUMMYFUNCTION("""COMPUTED_VALUE"""),"CI.срок")</f>
        <v>CI.срок</v>
      </c>
      <c r="CK2" s="303" t="str">
        <f>IFERROR(__xludf.DUMMYFUNCTION("""COMPUTED_VALUE"""),"CI.модель")</f>
        <v>CI.модель</v>
      </c>
      <c r="CL2" s="301" t="str">
        <f>IFERROR(__xludf.DUMMYFUNCTION("""COMPUTED_VALUE"""),"CL.цена")</f>
        <v>CL.цена</v>
      </c>
      <c r="CM2" s="302" t="str">
        <f>IFERROR(__xludf.DUMMYFUNCTION("""COMPUTED_VALUE"""),"CL.срок")</f>
        <v>CL.срок</v>
      </c>
      <c r="CN2" s="303" t="str">
        <f>IFERROR(__xludf.DUMMYFUNCTION("""COMPUTED_VALUE"""),"CL.модель")</f>
        <v>CL.модель</v>
      </c>
      <c r="CO2" s="301" t="str">
        <f>IFERROR(__xludf.DUMMYFUNCTION("""COMPUTED_VALUE"""),"CO.цена")</f>
        <v>CO.цена</v>
      </c>
      <c r="CP2" s="302" t="str">
        <f>IFERROR(__xludf.DUMMYFUNCTION("""COMPUTED_VALUE"""),"CO.срок")</f>
        <v>CO.срок</v>
      </c>
      <c r="CQ2" s="303" t="str">
        <f>IFERROR(__xludf.DUMMYFUNCTION("""COMPUTED_VALUE"""),"CO.модель")</f>
        <v>CO.модель</v>
      </c>
      <c r="CR2" s="301" t="str">
        <f>IFERROR(__xludf.DUMMYFUNCTION("""COMPUTED_VALUE"""),"CR.цена")</f>
        <v>CR.цена</v>
      </c>
      <c r="CS2" s="302" t="str">
        <f>IFERROR(__xludf.DUMMYFUNCTION("""COMPUTED_VALUE"""),"CR.срок")</f>
        <v>CR.срок</v>
      </c>
      <c r="CT2" s="303" t="str">
        <f>IFERROR(__xludf.DUMMYFUNCTION("""COMPUTED_VALUE"""),"CR.модель")</f>
        <v>CR.модель</v>
      </c>
      <c r="CU2" s="301" t="str">
        <f>IFERROR(__xludf.DUMMYFUNCTION("""COMPUTED_VALUE"""),"CU.цена")</f>
        <v>CU.цена</v>
      </c>
      <c r="CV2" s="302" t="str">
        <f>IFERROR(__xludf.DUMMYFUNCTION("""COMPUTED_VALUE"""),"CU.срок")</f>
        <v>CU.срок</v>
      </c>
      <c r="CW2" s="303" t="str">
        <f>IFERROR(__xludf.DUMMYFUNCTION("""COMPUTED_VALUE"""),"CU.модель")</f>
        <v>CU.модель</v>
      </c>
      <c r="CX2" s="301" t="str">
        <f>IFERROR(__xludf.DUMMYFUNCTION("""COMPUTED_VALUE"""),"CX.цена")</f>
        <v>CX.цена</v>
      </c>
      <c r="CY2" s="302" t="str">
        <f>IFERROR(__xludf.DUMMYFUNCTION("""COMPUTED_VALUE"""),"CX.срок")</f>
        <v>CX.срок</v>
      </c>
      <c r="CZ2" s="303" t="str">
        <f>IFERROR(__xludf.DUMMYFUNCTION("""COMPUTED_VALUE"""),"CX.модель")</f>
        <v>CX.модель</v>
      </c>
    </row>
    <row r="3" hidden="1" outlineLevel="1">
      <c r="A3" s="151" t="s">
        <v>25</v>
      </c>
      <c r="B3" s="147" t="s">
        <v>32</v>
      </c>
      <c r="C3" s="153" t="s">
        <v>236</v>
      </c>
      <c r="D3" s="153" t="s">
        <v>236</v>
      </c>
      <c r="E3" s="154" t="s">
        <v>236</v>
      </c>
      <c r="F3" s="154"/>
      <c r="G3" s="154"/>
      <c r="H3" s="154" t="s">
        <v>236</v>
      </c>
      <c r="I3" s="149"/>
      <c r="J3" s="153" t="s">
        <v>236</v>
      </c>
      <c r="K3" s="306" t="s">
        <v>236</v>
      </c>
      <c r="L3" s="151" t="s">
        <v>236</v>
      </c>
      <c r="M3" s="151" t="s">
        <v>25</v>
      </c>
      <c r="N3" s="151" t="s">
        <v>25</v>
      </c>
      <c r="O3" s="151" t="s">
        <v>25</v>
      </c>
      <c r="P3" s="286"/>
      <c r="Q3" s="144"/>
      <c r="R3" s="152" t="s">
        <v>25</v>
      </c>
      <c r="S3" s="144"/>
      <c r="T3" s="144"/>
      <c r="U3" s="144"/>
      <c r="V3" s="144"/>
      <c r="W3" s="144"/>
      <c r="X3" s="144"/>
      <c r="Y3" s="152" t="s">
        <v>25</v>
      </c>
      <c r="Z3" s="153" t="s">
        <v>236</v>
      </c>
      <c r="AA3" s="307"/>
      <c r="AB3" s="308"/>
      <c r="AC3" s="309"/>
      <c r="AD3" s="307"/>
      <c r="AE3" s="308"/>
      <c r="AF3" s="309"/>
      <c r="AG3" s="307"/>
      <c r="AH3" s="308"/>
      <c r="AI3" s="309"/>
      <c r="AJ3" s="307"/>
      <c r="AK3" s="308"/>
      <c r="AL3" s="309"/>
      <c r="AM3" s="307"/>
      <c r="AN3" s="308"/>
      <c r="AO3" s="309"/>
      <c r="AP3" s="307"/>
      <c r="AQ3" s="308"/>
      <c r="AR3" s="309"/>
      <c r="AS3" s="307"/>
      <c r="AT3" s="308"/>
      <c r="AU3" s="309"/>
      <c r="AV3" s="307"/>
      <c r="AW3" s="308"/>
      <c r="AX3" s="309"/>
      <c r="AY3" s="307"/>
      <c r="AZ3" s="308"/>
      <c r="BA3" s="309"/>
      <c r="BB3" s="307"/>
      <c r="BC3" s="308"/>
      <c r="BD3" s="309"/>
      <c r="BE3" s="307"/>
      <c r="BF3" s="308"/>
      <c r="BG3" s="309"/>
      <c r="BH3" s="307"/>
      <c r="BI3" s="308"/>
      <c r="BJ3" s="309"/>
      <c r="BK3" s="307"/>
      <c r="BL3" s="308"/>
      <c r="BM3" s="309"/>
      <c r="BN3" s="307"/>
      <c r="BO3" s="308"/>
      <c r="BP3" s="309"/>
      <c r="BQ3" s="307"/>
      <c r="BR3" s="308"/>
      <c r="BS3" s="309"/>
      <c r="BT3" s="307"/>
      <c r="BU3" s="308"/>
      <c r="BV3" s="309"/>
      <c r="BW3" s="307"/>
      <c r="BX3" s="308"/>
      <c r="BY3" s="309"/>
      <c r="BZ3" s="307"/>
      <c r="CA3" s="308"/>
      <c r="CB3" s="309"/>
      <c r="CC3" s="307"/>
      <c r="CD3" s="308"/>
      <c r="CE3" s="309"/>
      <c r="CF3" s="307"/>
      <c r="CG3" s="308"/>
      <c r="CH3" s="309"/>
      <c r="CI3" s="307"/>
      <c r="CJ3" s="308"/>
      <c r="CK3" s="309"/>
      <c r="CL3" s="307"/>
      <c r="CM3" s="308"/>
      <c r="CN3" s="309"/>
      <c r="CO3" s="307"/>
      <c r="CP3" s="308"/>
      <c r="CQ3" s="309"/>
      <c r="CR3" s="307"/>
      <c r="CS3" s="308"/>
      <c r="CT3" s="309"/>
      <c r="CU3" s="307"/>
      <c r="CV3" s="308"/>
      <c r="CW3" s="309"/>
      <c r="CX3" s="307"/>
      <c r="CY3" s="308"/>
      <c r="CZ3" s="309"/>
    </row>
    <row r="4" hidden="1" outlineLevel="1">
      <c r="A4" s="144"/>
      <c r="B4" s="144"/>
      <c r="C4" s="155" t="s">
        <v>28</v>
      </c>
      <c r="D4" s="144" t="s">
        <v>452</v>
      </c>
      <c r="E4" s="154"/>
      <c r="F4" s="154"/>
      <c r="G4" s="154"/>
      <c r="H4" s="154"/>
      <c r="I4" s="310"/>
      <c r="J4" s="144"/>
      <c r="K4" s="298"/>
      <c r="L4" s="151"/>
      <c r="M4" s="151" t="s">
        <v>453</v>
      </c>
      <c r="N4" s="311"/>
      <c r="O4" s="312"/>
      <c r="P4" s="286"/>
      <c r="Q4" s="144"/>
      <c r="R4" s="144"/>
      <c r="S4" s="144"/>
      <c r="T4" s="144"/>
      <c r="U4" s="144"/>
      <c r="V4" s="144"/>
      <c r="W4" s="144"/>
      <c r="X4" s="144"/>
      <c r="Y4" s="144"/>
      <c r="Z4" s="287"/>
      <c r="AA4" s="313"/>
      <c r="AB4" s="308"/>
      <c r="AC4" s="309"/>
      <c r="AD4" s="307"/>
      <c r="AE4" s="308"/>
      <c r="AF4" s="309"/>
      <c r="AG4" s="307"/>
      <c r="AH4" s="308"/>
      <c r="AI4" s="309"/>
      <c r="AJ4" s="307"/>
      <c r="AK4" s="308"/>
      <c r="AL4" s="309"/>
      <c r="AM4" s="307"/>
      <c r="AN4" s="308"/>
      <c r="AO4" s="309"/>
      <c r="AP4" s="307"/>
      <c r="AQ4" s="308"/>
      <c r="AR4" s="309"/>
      <c r="AS4" s="307"/>
      <c r="AT4" s="308"/>
      <c r="AU4" s="309"/>
      <c r="AV4" s="307"/>
      <c r="AW4" s="308"/>
      <c r="AX4" s="309"/>
      <c r="AY4" s="307"/>
      <c r="AZ4" s="308"/>
      <c r="BA4" s="309"/>
      <c r="BB4" s="307"/>
      <c r="BC4" s="308"/>
      <c r="BD4" s="309"/>
      <c r="BE4" s="307"/>
      <c r="BF4" s="308"/>
      <c r="BG4" s="309"/>
      <c r="BH4" s="307"/>
      <c r="BI4" s="308"/>
      <c r="BJ4" s="309"/>
      <c r="BK4" s="307"/>
      <c r="BL4" s="308"/>
      <c r="BM4" s="309"/>
      <c r="BN4" s="307"/>
      <c r="BO4" s="308"/>
      <c r="BP4" s="309"/>
      <c r="BQ4" s="307"/>
      <c r="BR4" s="308"/>
      <c r="BS4" s="309"/>
      <c r="BT4" s="307"/>
      <c r="BU4" s="308"/>
      <c r="BV4" s="309"/>
      <c r="BW4" s="307"/>
      <c r="BX4" s="308"/>
      <c r="BY4" s="309"/>
      <c r="BZ4" s="307"/>
      <c r="CA4" s="308"/>
      <c r="CB4" s="309"/>
      <c r="CC4" s="307"/>
      <c r="CD4" s="308"/>
      <c r="CE4" s="309"/>
      <c r="CF4" s="307"/>
      <c r="CG4" s="308"/>
      <c r="CH4" s="309"/>
      <c r="CI4" s="307"/>
      <c r="CJ4" s="308"/>
      <c r="CK4" s="309"/>
      <c r="CL4" s="307"/>
      <c r="CM4" s="308"/>
      <c r="CN4" s="309"/>
      <c r="CO4" s="307"/>
      <c r="CP4" s="308"/>
      <c r="CQ4" s="309"/>
      <c r="CR4" s="307"/>
      <c r="CS4" s="308"/>
      <c r="CT4" s="309"/>
      <c r="CU4" s="307"/>
      <c r="CV4" s="308"/>
      <c r="CW4" s="309"/>
      <c r="CX4" s="307"/>
      <c r="CY4" s="308"/>
      <c r="CZ4" s="309"/>
    </row>
    <row r="5" hidden="1" outlineLevel="1">
      <c r="A5" s="144"/>
      <c r="B5" s="144"/>
      <c r="C5" s="155" t="s">
        <v>31</v>
      </c>
      <c r="D5" s="152" t="s">
        <v>274</v>
      </c>
      <c r="E5" s="314"/>
      <c r="F5" s="314"/>
      <c r="G5" s="314"/>
      <c r="H5" s="314"/>
      <c r="I5" s="310"/>
      <c r="J5" s="152"/>
      <c r="K5" s="8"/>
      <c r="L5" s="8"/>
      <c r="M5" s="151" t="s">
        <v>57</v>
      </c>
      <c r="N5" s="311"/>
      <c r="O5" s="312"/>
      <c r="P5" s="286"/>
      <c r="Q5" s="152"/>
      <c r="R5" s="144"/>
      <c r="S5" s="315"/>
      <c r="T5" s="144"/>
      <c r="U5" s="144"/>
      <c r="V5" s="144"/>
      <c r="W5" s="144"/>
      <c r="X5" s="144"/>
      <c r="Y5" s="144"/>
      <c r="Z5" s="287"/>
      <c r="AA5" s="307"/>
      <c r="AB5" s="308"/>
      <c r="AC5" s="309"/>
      <c r="AD5" s="307"/>
      <c r="AE5" s="308"/>
      <c r="AF5" s="309"/>
      <c r="AG5" s="307"/>
      <c r="AH5" s="308"/>
      <c r="AI5" s="309"/>
      <c r="AJ5" s="307"/>
      <c r="AK5" s="308"/>
      <c r="AL5" s="309"/>
      <c r="AM5" s="307"/>
      <c r="AN5" s="308"/>
      <c r="AO5" s="309"/>
      <c r="AP5" s="307"/>
      <c r="AQ5" s="308"/>
      <c r="AR5" s="309"/>
      <c r="AS5" s="307"/>
      <c r="AT5" s="308"/>
      <c r="AU5" s="309"/>
      <c r="AV5" s="307"/>
      <c r="AW5" s="308"/>
      <c r="AX5" s="309"/>
      <c r="AY5" s="307"/>
      <c r="AZ5" s="308"/>
      <c r="BA5" s="309"/>
      <c r="BB5" s="307"/>
      <c r="BC5" s="308"/>
      <c r="BD5" s="309"/>
      <c r="BE5" s="307"/>
      <c r="BF5" s="308"/>
      <c r="BG5" s="309"/>
      <c r="BH5" s="307"/>
      <c r="BI5" s="308"/>
      <c r="BJ5" s="309"/>
      <c r="BK5" s="307"/>
      <c r="BL5" s="308"/>
      <c r="BM5" s="309"/>
      <c r="BN5" s="307"/>
      <c r="BO5" s="308"/>
      <c r="BP5" s="309"/>
      <c r="BQ5" s="307"/>
      <c r="BR5" s="308"/>
      <c r="BS5" s="309"/>
      <c r="BT5" s="307"/>
      <c r="BU5" s="308"/>
      <c r="BV5" s="309"/>
      <c r="BW5" s="307"/>
      <c r="BX5" s="308"/>
      <c r="BY5" s="309"/>
      <c r="BZ5" s="307"/>
      <c r="CA5" s="308"/>
      <c r="CB5" s="309"/>
      <c r="CC5" s="307"/>
      <c r="CD5" s="308"/>
      <c r="CE5" s="309"/>
      <c r="CF5" s="307"/>
      <c r="CG5" s="308"/>
      <c r="CH5" s="309"/>
      <c r="CI5" s="307"/>
      <c r="CJ5" s="308"/>
      <c r="CK5" s="309"/>
      <c r="CL5" s="307"/>
      <c r="CM5" s="308"/>
      <c r="CN5" s="309"/>
      <c r="CO5" s="307"/>
      <c r="CP5" s="308"/>
      <c r="CQ5" s="309"/>
      <c r="CR5" s="307"/>
      <c r="CS5" s="308"/>
      <c r="CT5" s="309"/>
      <c r="CU5" s="307"/>
      <c r="CV5" s="308"/>
      <c r="CW5" s="309"/>
      <c r="CX5" s="307"/>
      <c r="CY5" s="308"/>
      <c r="CZ5" s="309"/>
    </row>
    <row r="6" ht="18.0" hidden="1" customHeight="1" outlineLevel="1">
      <c r="A6" s="144"/>
      <c r="B6" s="144"/>
      <c r="C6" s="155" t="s">
        <v>35</v>
      </c>
      <c r="D6" s="316" t="str">
        <f>IFERROR(__xludf.DUMMYFUNCTION("LAMBDA(doJoin,doSplit,doFind,theStr,theData,doJoin(doFind(doSplit(theStr),theData)))(
LAMBDA(theVls,TEXTJOIN("", "",FALSE,theVls)),
LAMBDA(theStr,Split(theStr,"", "",FALSE,TRUE)),
LAMBDA(theNames,theData,BYCOL(theNames,LAMBDA(theN,VLOOKUP(theN,theData,2,0"&amp;")))),
D$5,'1-1 Сбор КП'!$A$2:$B$15)"),"#REF!")</f>
        <v>#REF!</v>
      </c>
      <c r="E6" s="154"/>
      <c r="F6" s="154"/>
      <c r="G6" s="8"/>
      <c r="H6" s="154"/>
      <c r="I6" s="317"/>
      <c r="J6" s="8"/>
      <c r="K6" s="8"/>
      <c r="L6" s="8"/>
      <c r="M6" s="318">
        <f>SUM(M11:M310)</f>
        <v>0</v>
      </c>
      <c r="N6" s="319"/>
      <c r="O6" s="312"/>
      <c r="P6" s="286"/>
      <c r="Q6" s="144"/>
      <c r="R6" s="152"/>
      <c r="S6" s="144"/>
      <c r="T6" s="144"/>
      <c r="U6" s="144"/>
      <c r="V6" s="144"/>
      <c r="W6" s="144"/>
      <c r="X6" s="144"/>
      <c r="Y6" s="144"/>
      <c r="Z6" s="287"/>
      <c r="AA6" s="307"/>
      <c r="AB6" s="308"/>
      <c r="AC6" s="309"/>
      <c r="AD6" s="307"/>
      <c r="AE6" s="308"/>
      <c r="AF6" s="309"/>
      <c r="AG6" s="307"/>
      <c r="AH6" s="308"/>
      <c r="AI6" s="309"/>
      <c r="AJ6" s="307"/>
      <c r="AK6" s="308"/>
      <c r="AL6" s="309"/>
      <c r="AM6" s="307"/>
      <c r="AN6" s="308"/>
      <c r="AO6" s="309"/>
      <c r="AP6" s="307"/>
      <c r="AQ6" s="308"/>
      <c r="AR6" s="309"/>
      <c r="AS6" s="307"/>
      <c r="AT6" s="308"/>
      <c r="AU6" s="309"/>
      <c r="AV6" s="307"/>
      <c r="AW6" s="308"/>
      <c r="AX6" s="309"/>
      <c r="AY6" s="307"/>
      <c r="AZ6" s="308"/>
      <c r="BA6" s="309"/>
      <c r="BB6" s="307"/>
      <c r="BC6" s="308"/>
      <c r="BD6" s="309"/>
      <c r="BE6" s="307"/>
      <c r="BF6" s="308"/>
      <c r="BG6" s="309"/>
      <c r="BH6" s="307"/>
      <c r="BI6" s="308"/>
      <c r="BJ6" s="309"/>
      <c r="BK6" s="307"/>
      <c r="BL6" s="308"/>
      <c r="BM6" s="309"/>
      <c r="BN6" s="307"/>
      <c r="BO6" s="308"/>
      <c r="BP6" s="309"/>
      <c r="BQ6" s="307"/>
      <c r="BR6" s="308"/>
      <c r="BS6" s="309"/>
      <c r="BT6" s="307"/>
      <c r="BU6" s="308"/>
      <c r="BV6" s="309"/>
      <c r="BW6" s="307"/>
      <c r="BX6" s="308"/>
      <c r="BY6" s="309"/>
      <c r="BZ6" s="307"/>
      <c r="CA6" s="308"/>
      <c r="CB6" s="309"/>
      <c r="CC6" s="307"/>
      <c r="CD6" s="308"/>
      <c r="CE6" s="309"/>
      <c r="CF6" s="307"/>
      <c r="CG6" s="308"/>
      <c r="CH6" s="309"/>
      <c r="CI6" s="307"/>
      <c r="CJ6" s="308"/>
      <c r="CK6" s="309"/>
      <c r="CL6" s="307"/>
      <c r="CM6" s="308"/>
      <c r="CN6" s="309"/>
      <c r="CO6" s="307"/>
      <c r="CP6" s="308"/>
      <c r="CQ6" s="309"/>
      <c r="CR6" s="307"/>
      <c r="CS6" s="308"/>
      <c r="CT6" s="309"/>
      <c r="CU6" s="307"/>
      <c r="CV6" s="308"/>
      <c r="CW6" s="309"/>
      <c r="CX6" s="307"/>
      <c r="CY6" s="308"/>
      <c r="CZ6" s="309"/>
    </row>
    <row r="7" ht="14.25" hidden="1" customHeight="1" outlineLevel="1">
      <c r="A7" s="144"/>
      <c r="B7" s="151"/>
      <c r="C7" s="147" t="s">
        <v>37</v>
      </c>
      <c r="D7" s="151"/>
      <c r="E7" s="157" t="s">
        <v>454</v>
      </c>
      <c r="F7" s="157"/>
      <c r="G7" s="157" t="s">
        <v>454</v>
      </c>
      <c r="H7" s="157" t="s">
        <v>454</v>
      </c>
      <c r="I7" s="157" t="s">
        <v>454</v>
      </c>
      <c r="J7" s="147"/>
      <c r="K7" s="320"/>
      <c r="L7" s="320" t="s">
        <v>454</v>
      </c>
      <c r="M7" s="320" t="s">
        <v>454</v>
      </c>
      <c r="N7" s="320" t="s">
        <v>454</v>
      </c>
      <c r="O7" s="320" t="s">
        <v>454</v>
      </c>
      <c r="P7" s="321"/>
      <c r="Q7" s="151"/>
      <c r="R7" s="151"/>
      <c r="S7" s="246" t="s">
        <v>455</v>
      </c>
      <c r="T7" s="246" t="s">
        <v>455</v>
      </c>
      <c r="U7" s="246" t="s">
        <v>455</v>
      </c>
      <c r="V7" s="246" t="s">
        <v>455</v>
      </c>
      <c r="W7" s="246" t="s">
        <v>455</v>
      </c>
      <c r="X7" s="246" t="s">
        <v>455</v>
      </c>
      <c r="Y7" s="246" t="s">
        <v>455</v>
      </c>
      <c r="Z7" s="246" t="s">
        <v>455</v>
      </c>
      <c r="AA7" s="307"/>
      <c r="AB7" s="308"/>
      <c r="AC7" s="309"/>
      <c r="AD7" s="307"/>
      <c r="AE7" s="308"/>
      <c r="AF7" s="309"/>
      <c r="AG7" s="307"/>
      <c r="AH7" s="308"/>
      <c r="AI7" s="309"/>
      <c r="AJ7" s="307"/>
      <c r="AK7" s="308"/>
      <c r="AL7" s="309"/>
      <c r="AM7" s="307"/>
      <c r="AN7" s="308"/>
      <c r="AO7" s="309"/>
      <c r="AP7" s="307"/>
      <c r="AQ7" s="308"/>
      <c r="AR7" s="309"/>
      <c r="AS7" s="307"/>
      <c r="AT7" s="308"/>
      <c r="AU7" s="309"/>
      <c r="AV7" s="307"/>
      <c r="AW7" s="308"/>
      <c r="AX7" s="309"/>
      <c r="AY7" s="307"/>
      <c r="AZ7" s="308"/>
      <c r="BA7" s="309"/>
      <c r="BB7" s="307"/>
      <c r="BC7" s="308"/>
      <c r="BD7" s="309"/>
      <c r="BE7" s="307"/>
      <c r="BF7" s="308"/>
      <c r="BG7" s="309"/>
      <c r="BH7" s="307"/>
      <c r="BI7" s="308"/>
      <c r="BJ7" s="309"/>
      <c r="BK7" s="307"/>
      <c r="BL7" s="308"/>
      <c r="BM7" s="309"/>
      <c r="BN7" s="307"/>
      <c r="BO7" s="308"/>
      <c r="BP7" s="309"/>
      <c r="BQ7" s="307"/>
      <c r="BR7" s="308"/>
      <c r="BS7" s="309"/>
      <c r="BT7" s="307"/>
      <c r="BU7" s="308"/>
      <c r="BV7" s="309"/>
      <c r="BW7" s="307"/>
      <c r="BX7" s="308"/>
      <c r="BY7" s="309"/>
      <c r="BZ7" s="307"/>
      <c r="CA7" s="308"/>
      <c r="CB7" s="309"/>
      <c r="CC7" s="307"/>
      <c r="CD7" s="308"/>
      <c r="CE7" s="309"/>
      <c r="CF7" s="307"/>
      <c r="CG7" s="308"/>
      <c r="CH7" s="309"/>
      <c r="CI7" s="307"/>
      <c r="CJ7" s="308"/>
      <c r="CK7" s="309"/>
      <c r="CL7" s="307"/>
      <c r="CM7" s="308"/>
      <c r="CN7" s="309"/>
      <c r="CO7" s="307"/>
      <c r="CP7" s="308"/>
      <c r="CQ7" s="309"/>
      <c r="CR7" s="307"/>
      <c r="CS7" s="308"/>
      <c r="CT7" s="309"/>
      <c r="CU7" s="307"/>
      <c r="CV7" s="308"/>
      <c r="CW7" s="309"/>
      <c r="CX7" s="307"/>
      <c r="CY7" s="308"/>
      <c r="CZ7" s="309"/>
    </row>
    <row r="8" hidden="1" outlineLevel="1">
      <c r="A8" s="144"/>
      <c r="B8" s="144"/>
      <c r="C8" s="151" t="s">
        <v>39</v>
      </c>
      <c r="D8" s="144"/>
      <c r="E8" s="154"/>
      <c r="F8" s="154"/>
      <c r="G8" s="154"/>
      <c r="H8" s="154"/>
      <c r="I8" s="310"/>
      <c r="J8" s="144"/>
      <c r="K8" s="298"/>
      <c r="L8" s="151"/>
      <c r="M8" s="322"/>
      <c r="N8" s="144"/>
      <c r="O8" s="151"/>
      <c r="P8" s="286"/>
      <c r="Q8" s="144"/>
      <c r="R8" s="144"/>
      <c r="S8" s="144"/>
      <c r="T8" s="144"/>
      <c r="U8" s="144"/>
      <c r="V8" s="144"/>
      <c r="W8" s="144"/>
      <c r="X8" s="144"/>
      <c r="Y8" s="144"/>
      <c r="Z8" s="287" t="s">
        <v>456</v>
      </c>
      <c r="AA8" s="307"/>
      <c r="AB8" s="308"/>
      <c r="AC8" s="309"/>
      <c r="AD8" s="307"/>
      <c r="AE8" s="308"/>
      <c r="AF8" s="309"/>
      <c r="AG8" s="307"/>
      <c r="AH8" s="308"/>
      <c r="AI8" s="309"/>
      <c r="AJ8" s="307"/>
      <c r="AK8" s="308"/>
      <c r="AL8" s="309"/>
      <c r="AM8" s="307"/>
      <c r="AN8" s="308"/>
      <c r="AO8" s="309"/>
      <c r="AP8" s="307"/>
      <c r="AQ8" s="308"/>
      <c r="AR8" s="309"/>
      <c r="AS8" s="307"/>
      <c r="AT8" s="308"/>
      <c r="AU8" s="309"/>
      <c r="AV8" s="307"/>
      <c r="AW8" s="308"/>
      <c r="AX8" s="309"/>
      <c r="AY8" s="307"/>
      <c r="AZ8" s="308"/>
      <c r="BA8" s="309"/>
      <c r="BB8" s="307"/>
      <c r="BC8" s="308"/>
      <c r="BD8" s="309"/>
      <c r="BE8" s="307"/>
      <c r="BF8" s="308"/>
      <c r="BG8" s="309"/>
      <c r="BH8" s="307"/>
      <c r="BI8" s="308"/>
      <c r="BJ8" s="309"/>
      <c r="BK8" s="307"/>
      <c r="BL8" s="308"/>
      <c r="BM8" s="309"/>
      <c r="BN8" s="307"/>
      <c r="BO8" s="308"/>
      <c r="BP8" s="309"/>
      <c r="BQ8" s="307"/>
      <c r="BR8" s="308"/>
      <c r="BS8" s="309"/>
      <c r="BT8" s="307"/>
      <c r="BU8" s="308"/>
      <c r="BV8" s="309"/>
      <c r="BW8" s="307"/>
      <c r="BX8" s="308"/>
      <c r="BY8" s="309"/>
      <c r="BZ8" s="307"/>
      <c r="CA8" s="308"/>
      <c r="CB8" s="309"/>
      <c r="CC8" s="307"/>
      <c r="CD8" s="308"/>
      <c r="CE8" s="309"/>
      <c r="CF8" s="307"/>
      <c r="CG8" s="308"/>
      <c r="CH8" s="309"/>
      <c r="CI8" s="307"/>
      <c r="CJ8" s="308"/>
      <c r="CK8" s="309"/>
      <c r="CL8" s="307"/>
      <c r="CM8" s="308"/>
      <c r="CN8" s="309"/>
      <c r="CO8" s="307"/>
      <c r="CP8" s="308"/>
      <c r="CQ8" s="309"/>
      <c r="CR8" s="307"/>
      <c r="CS8" s="308"/>
      <c r="CT8" s="309"/>
      <c r="CU8" s="307"/>
      <c r="CV8" s="308"/>
      <c r="CW8" s="309"/>
      <c r="CX8" s="307"/>
      <c r="CY8" s="308"/>
      <c r="CZ8" s="309"/>
    </row>
    <row r="9" hidden="1" outlineLevel="1">
      <c r="A9" s="144"/>
      <c r="B9" s="144"/>
      <c r="C9" s="279" t="s">
        <v>44</v>
      </c>
      <c r="D9" s="144"/>
      <c r="E9" s="154"/>
      <c r="F9" s="154"/>
      <c r="G9" s="154"/>
      <c r="H9" s="154"/>
      <c r="I9" s="310"/>
      <c r="J9" s="144"/>
      <c r="K9" s="298"/>
      <c r="L9" s="151"/>
      <c r="M9" s="322"/>
      <c r="N9" s="311"/>
      <c r="O9" s="312"/>
      <c r="P9" s="286"/>
      <c r="Q9" s="144"/>
      <c r="R9" s="144"/>
      <c r="S9" s="144"/>
      <c r="T9" s="144"/>
      <c r="U9" s="144"/>
      <c r="V9" s="144"/>
      <c r="W9" s="144"/>
      <c r="X9" s="144"/>
      <c r="Y9" s="144"/>
      <c r="Z9" s="287"/>
      <c r="AA9" s="323"/>
      <c r="AB9" s="324"/>
      <c r="AC9" s="325"/>
      <c r="AD9" s="323"/>
      <c r="AE9" s="324"/>
      <c r="AF9" s="325"/>
      <c r="AG9" s="323"/>
      <c r="AH9" s="324"/>
      <c r="AI9" s="325"/>
      <c r="AJ9" s="323"/>
      <c r="AK9" s="324"/>
      <c r="AL9" s="325"/>
      <c r="AM9" s="323"/>
      <c r="AN9" s="324"/>
      <c r="AO9" s="325"/>
      <c r="AP9" s="323"/>
      <c r="AQ9" s="324"/>
      <c r="AR9" s="325"/>
      <c r="AS9" s="323"/>
      <c r="AT9" s="324"/>
      <c r="AU9" s="325"/>
      <c r="AV9" s="323"/>
      <c r="AW9" s="324"/>
      <c r="AX9" s="325"/>
      <c r="AY9" s="323"/>
      <c r="AZ9" s="324"/>
      <c r="BA9" s="325"/>
      <c r="BB9" s="323"/>
      <c r="BC9" s="324"/>
      <c r="BD9" s="325"/>
      <c r="BE9" s="323"/>
      <c r="BF9" s="324"/>
      <c r="BG9" s="325"/>
      <c r="BH9" s="323"/>
      <c r="BI9" s="324"/>
      <c r="BJ9" s="325"/>
      <c r="BK9" s="323"/>
      <c r="BL9" s="324"/>
      <c r="BM9" s="325"/>
      <c r="BN9" s="323"/>
      <c r="BO9" s="324"/>
      <c r="BP9" s="325"/>
      <c r="BQ9" s="323"/>
      <c r="BR9" s="324"/>
      <c r="BS9" s="325"/>
      <c r="BT9" s="323"/>
      <c r="BU9" s="324"/>
      <c r="BV9" s="325"/>
      <c r="BW9" s="323"/>
      <c r="BX9" s="324"/>
      <c r="BY9" s="325"/>
      <c r="BZ9" s="323"/>
      <c r="CA9" s="324"/>
      <c r="CB9" s="325"/>
      <c r="CC9" s="323"/>
      <c r="CD9" s="324"/>
      <c r="CE9" s="325"/>
      <c r="CF9" s="323"/>
      <c r="CG9" s="324"/>
      <c r="CH9" s="325"/>
      <c r="CI9" s="323"/>
      <c r="CJ9" s="324"/>
      <c r="CK9" s="325"/>
      <c r="CL9" s="323"/>
      <c r="CM9" s="324"/>
      <c r="CN9" s="325"/>
      <c r="CO9" s="323"/>
      <c r="CP9" s="324"/>
      <c r="CQ9" s="325"/>
      <c r="CR9" s="323"/>
      <c r="CS9" s="324"/>
      <c r="CT9" s="325"/>
      <c r="CU9" s="323"/>
      <c r="CV9" s="324"/>
      <c r="CW9" s="325"/>
      <c r="CX9" s="323"/>
      <c r="CY9" s="324"/>
      <c r="CZ9" s="325"/>
    </row>
    <row r="10" ht="20.25" customHeight="1" collapsed="1">
      <c r="A10" s="326" t="str">
        <f t="array" ref="A10:B18">'1-1 Сбор КП'!A1:B9</f>
        <v/>
      </c>
      <c r="B10" s="326"/>
      <c r="C10" s="327" t="str">
        <f>'5-0 Товары'!C10</f>
        <v>ID_Товара</v>
      </c>
      <c r="D10" s="327" t="s">
        <v>41</v>
      </c>
      <c r="E10" s="328" t="s">
        <v>8</v>
      </c>
      <c r="F10" s="329" t="s">
        <v>93</v>
      </c>
      <c r="G10" s="329" t="s">
        <v>94</v>
      </c>
      <c r="H10" s="328" t="s">
        <v>10</v>
      </c>
      <c r="I10" s="330" t="s">
        <v>100</v>
      </c>
      <c r="J10" s="327" t="s">
        <v>54</v>
      </c>
      <c r="K10" s="331" t="s">
        <v>55</v>
      </c>
      <c r="L10" s="327" t="str">
        <f>"Цена"</f>
        <v>Цена</v>
      </c>
      <c r="M10" s="327" t="str">
        <f t="array" ref="M10:M311">{"Итого";LAMBDA(theData,{theData;SUM(theData)})( IF(D11:D310="",,K11:K310*L11:L310) )}</f>
        <v>Итого</v>
      </c>
      <c r="N10" s="327" t="str">
        <f>IFERROR(__xludf.DUMMYFUNCTION("{""Предложений"";LAMBDA(doCommet,doFind,doSum,theMalo,theIds,theData,doCommet(theMalo,doFind(theIds,doSum(theData))))(
LAMBDA(theMalo,theV,ByRow(theV,LAMBDA(tv, ifs(tv="""",,tv&lt;=theMalo,""Мало ""&amp;tv,TRUE,tv)))),
LAMBDA(theIds,theSum,BYROW(theIds,LAMBDA(ti"&amp;",IF (ti="""",,IFERROR(VLOOKUP(ti,theSum,2,0),0))))),
LAMBDA(theData,QUERY( BYROW( theData,LAMBDA(theR,{theR , IF(theR&lt;&gt;"""",1,0)})),""Select Col1, sum(Col2) where Col1 is not null  group by Col1 "",0)),
'5-1 Сбор КП Закупки'!$B$17,'5-1 Сбор КП Закупки'!C1"&amp;"1:C310,'S-10 Предложения'!$BC11:$BC319
)}"),"Предложений")</f>
        <v>Предложений</v>
      </c>
      <c r="O10" s="327" t="str">
        <f>'5-0 Товары'!I10</f>
        <v>НМЦ</v>
      </c>
      <c r="P10" s="332" t="str">
        <f>'5-0 Товары'!N10</f>
        <v>Срок поставки по договору</v>
      </c>
      <c r="Q10" s="327" t="s">
        <v>435</v>
      </c>
      <c r="R10" s="327" t="str">
        <f t="array" ref="R10:R310">{"Группа";IFERROR( VLOOKUP(C11:C310,{ '5-0 Товары'!C11:C319,IF('5-0 Товары'!M11:M319&lt;&gt;"","5-1 "&amp;'5-0 Товары'!M11:M319, IF('5-0 Товары'!L11:L319&lt;&gt;"", "1-1 "&amp;'5-0 Товары'!L11:L319,))},2,0),)}</f>
        <v>Группа</v>
      </c>
      <c r="S10" s="327" t="str">
        <f>IFERROR(__xludf.DUMMYFUNCTION("{{""Доля ответов"",""Предложение"",""Писем""};let(
_t_em_map , let(
   _t_gr, '5-2 Запросы КП Закупки'!$N11:$N312,
   _t_nm, '5-2 Запросы КП Закупки'!$O11:$O312,
   _t_em, '5-2 Запросы КП Закупки'!$AB11:CZ$312,
    do_sm, LAMBDA(em_mp, BYROW(em_mp,LAMBDA("&amp;"e_ar,COUNTA(e_ar)))), 
    QUERY( {{""Группа"" , ""Кол-во""};{Map(_t_gr,_t_nm,do_sm(_t_em),LAMBDA(g,n,s,IF(n=2,{g,s},{"""",""""})) )}},""Select * Where Col1 is not null"")
),
_t_ot_mp , BYROW('5-1 Сбор КП Закупки'!$AA11:$CZ319,  LAMBDA(r, IFERROR(COUNTA( "&amp;"FILTER(r,MOD( COLUMN(r),3)=0 ) ),) )),
_t_mp_stat_tov, MAP('5-1 Сбор КП Закупки'!$Z11:$Z319,'5-1 Сбор КП Закупки'!$E11:$E319,_t_ot_mp,'5-1 Сбор КП Закупки'!$R11:$R319, LAMBDA(z,t,r,g, {z,IF(t&lt;&gt;"""",IFERROR( r/VLOOKUP(g,_t_em_map,2,FALSE) ,),),IF(t&lt;&gt;"""",r"&amp;",),IFERROR( VLOOKUP(g,_t_em_map,2,FALSE) ,)})),
_t_mp_stat_itog, LAMBDA(_t, let ( _t_dolya, LAMBDA(_a,IFERROR( SUM(_a)/COUNT(_a),0))(INDEX( _t,,2)) ,_t_predl, LAMBDA(_a,SUM(_a*1))(INDEX( _t,,3)) , {""@"",_t_dolya , _t_predl , "" ""}))(_t_mp_stat_tov),
_t_"&amp;"raw_rez,{_t_mp_stat_tov;_t_mp_stat_itog},
_t_ord, LET(   _t_nrs, '5-1 Сбор КП Закупки'!$C$10:$C319,   _t_ids, '5-1 Сбор КП Закупки'!$Z$10:$Z319,   _t_fr, MATCH(""ID_Товара"", _t_nrs, 0) + 1,   _t_to, MATCH(""footer_first"", _t_nrs, 0) - 1,   {INDEX(_t_ids"&amp;", _t_fr,1):INDEX(_t_ids, _t_to,1);  ""@""}),
rez,Byrow(_t_ord,LAMBDA(o,  ARRAYFORMULA( IFERROR(VLOOKUP(o,_t_raw_rez,{2,3,4},FALSE) , )  ))),
rez
)}"),"Доля ответов")</f>
        <v>Доля ответов</v>
      </c>
      <c r="T10" s="327" t="str">
        <f>IFERROR(__xludf.DUMMYFUNCTION("""COMPUTED_VALUE"""),"Предложение")</f>
        <v>Предложение</v>
      </c>
      <c r="U10" s="327" t="str">
        <f>IFERROR(__xludf.DUMMYFUNCTION("""COMPUTED_VALUE"""),"Писем")</f>
        <v>Писем</v>
      </c>
      <c r="V10" s="327" t="s">
        <v>239</v>
      </c>
      <c r="W10" s="327" t="s">
        <v>239</v>
      </c>
      <c r="X10" s="327" t="s">
        <v>239</v>
      </c>
      <c r="Y10" s="327" t="str">
        <f t="array" ref="Y10:Y310">{"РазличиеМужду";LAMBDA(doCompFild,doCon,doCompare,theICol,theIRow,theName,theD1,theD2,
byRow(theIRow,LAMBDA(theIR,  IF(  OR(doCon(INDEX(theD1,theIR,))="",doCompare(doCon,INDEX(theD1,theIR,),INDEX(theD2,theIR,))),
doCompFild(theICol,theName,INDEX(theD1,theIR,),INDEX(theD2,theIR,))
,))) 
)(
LAMBDA(theICol,theName,theR1,theR2,  TEXTJOIN(" ",TRUE,BYCOL(theICol,LAMBDA(theIC,  IF(  INDEX(theR1,,theIC)&lt;&gt;INDEX(theR2,,theIC),"'"&amp;INDEX(theName,,theIC)&amp;"'",)   )))    ),
LAMBDA(theD,TEXTJOIN("",TRUE,theD)),
LaMbda(doCon, theD1,theD2, doCon(theD1)&lt;&gt;doCon(theD2)  ),
LAMBDA(theM,BYCOL(theM,LAMBDA(tm,COLUMN(tM)+1-COLUMN(theM))))('5-1 Сбор КП Закупки'!$F$10:$I$10),
LAMBDA(theM,BYrow(theM,LAMBDA(tm,ROW(tM)+1-ROW(theM))))('5-1 Сбор КП Закупки'!$F$11:$F$310),
'5-1 Сбор КП Закупки'!$F$10:$I$10,'5-0 Передача в закупку'!$F$11:$I$310,  '5-1 Сбор КП Закупки'!$F$11:$I$310
)}</f>
        <v>РазличиеМужду</v>
      </c>
      <c r="Z10" s="327" t="str">
        <f>"Цены Начало"</f>
        <v>Цены Начало</v>
      </c>
      <c r="AA10" s="326"/>
      <c r="AB10" s="326"/>
      <c r="AC10" s="326"/>
      <c r="AD10" s="326"/>
      <c r="AE10" s="326"/>
      <c r="AF10" s="326"/>
      <c r="AG10" s="326"/>
      <c r="AH10" s="326"/>
      <c r="AI10" s="326"/>
      <c r="AJ10" s="326"/>
      <c r="AK10" s="326"/>
      <c r="AL10" s="326"/>
      <c r="AM10" s="326"/>
      <c r="AN10" s="326"/>
      <c r="AO10" s="326"/>
      <c r="AP10" s="326"/>
      <c r="AQ10" s="326"/>
      <c r="AR10" s="326"/>
      <c r="AS10" s="326"/>
      <c r="AT10" s="326"/>
      <c r="AU10" s="326"/>
      <c r="AV10" s="326"/>
      <c r="AW10" s="326"/>
      <c r="AX10" s="326"/>
      <c r="AY10" s="326"/>
      <c r="AZ10" s="326"/>
      <c r="BA10" s="326"/>
      <c r="BB10" s="326"/>
      <c r="BC10" s="326"/>
      <c r="BD10" s="326"/>
      <c r="BE10" s="326"/>
      <c r="BF10" s="326"/>
      <c r="BG10" s="326"/>
      <c r="BH10" s="326"/>
      <c r="BI10" s="326"/>
      <c r="BJ10" s="326"/>
      <c r="BK10" s="326"/>
      <c r="BL10" s="326"/>
      <c r="BM10" s="326"/>
      <c r="BN10" s="326"/>
      <c r="BO10" s="326"/>
      <c r="BP10" s="326"/>
      <c r="BQ10" s="326"/>
      <c r="BR10" s="326"/>
      <c r="BS10" s="326"/>
      <c r="BT10" s="326"/>
      <c r="BU10" s="326"/>
      <c r="BV10" s="326"/>
      <c r="BW10" s="326"/>
      <c r="BX10" s="326"/>
      <c r="BY10" s="326"/>
      <c r="BZ10" s="326"/>
      <c r="CA10" s="326"/>
      <c r="CB10" s="326"/>
      <c r="CC10" s="326"/>
      <c r="CD10" s="326"/>
      <c r="CE10" s="326"/>
      <c r="CF10" s="326"/>
      <c r="CG10" s="326"/>
      <c r="CH10" s="326"/>
      <c r="CI10" s="326"/>
      <c r="CJ10" s="326"/>
      <c r="CK10" s="326"/>
      <c r="CL10" s="326"/>
      <c r="CM10" s="326"/>
      <c r="CN10" s="326"/>
      <c r="CO10" s="326"/>
      <c r="CP10" s="326"/>
      <c r="CQ10" s="326"/>
      <c r="CR10" s="326"/>
      <c r="CS10" s="326"/>
      <c r="CT10" s="326"/>
      <c r="CU10" s="326"/>
      <c r="CV10" s="326"/>
      <c r="CW10" s="326"/>
      <c r="CX10" s="326"/>
      <c r="CY10" s="326"/>
      <c r="CZ10" s="326"/>
    </row>
    <row r="11">
      <c r="A11" s="360" t="s">
        <v>274</v>
      </c>
      <c r="B11" s="361" t="e">
        <v>#REF!</v>
      </c>
      <c r="C11" s="362" t="str">
        <f>'5-0 Товары'!C11</f>
        <v>ID_T001</v>
      </c>
      <c r="D11" s="363" t="str">
        <f>'5-0 Товары'!D11</f>
        <v>1</v>
      </c>
      <c r="E11" s="364" t="str">
        <f>'5-0 Товары'!E11</f>
        <v>Масляный фильтр - Артикул 89781969 ESG-315 зав.№ F010451</v>
      </c>
      <c r="F11" s="365"/>
      <c r="G11" s="365"/>
      <c r="H11" s="364" t="str">
        <f>'5-0 Товары'!F11</f>
        <v/>
      </c>
      <c r="I11" s="364"/>
      <c r="J11" s="364" t="str">
        <f>'5-0 Товары'!G11</f>
        <v>шт.</v>
      </c>
      <c r="K11" s="366">
        <f>'5-0 Товары'!H11</f>
        <v>3</v>
      </c>
      <c r="L11" s="367">
        <f t="shared" ref="L11:L310" si="1">If( C11="",,MIN(AA11:CZ11))</f>
        <v>0</v>
      </c>
      <c r="M11" s="367">
        <v>0.0</v>
      </c>
      <c r="N11" s="365" t="str">
        <f>IFERROR(__xludf.DUMMYFUNCTION("""COMPUTED_VALUE"""),"Мало 0")</f>
        <v>Мало 0</v>
      </c>
      <c r="O11" s="369" t="str">
        <f>'5-0 Товары'!I11</f>
        <v/>
      </c>
      <c r="P11" s="371" t="str">
        <f>'5-0 Товары'!N11</f>
        <v/>
      </c>
      <c r="Q11" s="183"/>
      <c r="R11" s="178"/>
      <c r="S11" s="174"/>
      <c r="T11" s="174">
        <f>IFERROR(__xludf.DUMMYFUNCTION("""COMPUTED_VALUE"""),0.0)</f>
        <v>0</v>
      </c>
      <c r="U11" s="174"/>
      <c r="V11" s="174"/>
      <c r="W11" s="174"/>
      <c r="X11" s="174"/>
      <c r="Y11" s="174" t="s">
        <v>96</v>
      </c>
      <c r="Z11" s="178" t="str">
        <f t="shared" ref="Z11:Z310" si="2">$C11</f>
        <v>ID_T001</v>
      </c>
      <c r="AA11" s="372"/>
      <c r="AB11" s="373"/>
      <c r="AC11" s="374"/>
      <c r="AD11" s="372"/>
      <c r="AE11" s="373"/>
      <c r="AF11" s="374"/>
      <c r="AG11" s="372"/>
      <c r="AH11" s="373"/>
      <c r="AI11" s="374"/>
      <c r="AJ11" s="372"/>
      <c r="AK11" s="373"/>
      <c r="AL11" s="374"/>
      <c r="AM11" s="372"/>
      <c r="AN11" s="373"/>
      <c r="AO11" s="374"/>
      <c r="AP11" s="372"/>
      <c r="AQ11" s="373"/>
      <c r="AR11" s="374"/>
      <c r="AS11" s="372"/>
      <c r="AT11" s="373"/>
      <c r="AU11" s="374"/>
      <c r="AV11" s="372"/>
      <c r="AW11" s="373"/>
      <c r="AX11" s="374"/>
      <c r="AY11" s="372"/>
      <c r="AZ11" s="373"/>
      <c r="BA11" s="374"/>
      <c r="BB11" s="375"/>
      <c r="BC11" s="376"/>
      <c r="BD11" s="377"/>
      <c r="BE11" s="375"/>
      <c r="BF11" s="376"/>
      <c r="BG11" s="377"/>
      <c r="BH11" s="375"/>
      <c r="BI11" s="376"/>
      <c r="BJ11" s="377"/>
      <c r="BK11" s="375"/>
      <c r="BL11" s="376"/>
      <c r="BM11" s="377"/>
      <c r="BN11" s="375"/>
      <c r="BO11" s="376"/>
      <c r="BP11" s="377"/>
      <c r="BQ11" s="375"/>
      <c r="BR11" s="376"/>
      <c r="BS11" s="377"/>
      <c r="BT11" s="375"/>
      <c r="BU11" s="376"/>
      <c r="BV11" s="377"/>
      <c r="BW11" s="375"/>
      <c r="BX11" s="376"/>
      <c r="BY11" s="377"/>
      <c r="BZ11" s="375"/>
      <c r="CA11" s="376"/>
      <c r="CB11" s="377"/>
      <c r="CC11" s="375"/>
      <c r="CD11" s="376"/>
      <c r="CE11" s="377"/>
      <c r="CF11" s="375"/>
      <c r="CG11" s="376"/>
      <c r="CH11" s="377"/>
      <c r="CI11" s="375"/>
      <c r="CJ11" s="376"/>
      <c r="CK11" s="377"/>
      <c r="CL11" s="375"/>
      <c r="CM11" s="376"/>
      <c r="CN11" s="377"/>
      <c r="CO11" s="375"/>
      <c r="CP11" s="376"/>
      <c r="CQ11" s="377"/>
      <c r="CR11" s="375"/>
      <c r="CS11" s="376"/>
      <c r="CT11" s="377"/>
      <c r="CU11" s="375"/>
      <c r="CV11" s="376"/>
      <c r="CW11" s="377"/>
      <c r="CX11" s="375"/>
      <c r="CY11" s="376"/>
      <c r="CZ11" s="377"/>
    </row>
    <row r="12">
      <c r="A12" s="378" t="s">
        <v>297</v>
      </c>
      <c r="B12" s="361" t="e">
        <v>#REF!</v>
      </c>
      <c r="C12" s="362" t="str">
        <f>'5-0 Товары'!C12</f>
        <v>ID_T002</v>
      </c>
      <c r="D12" s="363" t="str">
        <f>'5-0 Товары'!D12</f>
        <v>2</v>
      </c>
      <c r="E12" s="364" t="str">
        <f>'5-0 Товары'!E12</f>
        <v>Масляный фильтр - Артикул 85062259</v>
      </c>
      <c r="F12" s="380"/>
      <c r="G12" s="380"/>
      <c r="H12" s="364" t="str">
        <f>'5-0 Товары'!F12</f>
        <v/>
      </c>
      <c r="I12" s="381"/>
      <c r="J12" s="364" t="str">
        <f>'5-0 Товары'!G12</f>
        <v>шт.</v>
      </c>
      <c r="K12" s="366">
        <f>'5-0 Товары'!H12</f>
        <v>6</v>
      </c>
      <c r="L12" s="382">
        <f t="shared" si="1"/>
        <v>0</v>
      </c>
      <c r="M12" s="382">
        <v>0.0</v>
      </c>
      <c r="N12" s="380" t="str">
        <f>IFERROR(__xludf.DUMMYFUNCTION("""COMPUTED_VALUE"""),"Мало 0")</f>
        <v>Мало 0</v>
      </c>
      <c r="O12" s="369" t="str">
        <f>'5-0 Товары'!I12</f>
        <v/>
      </c>
      <c r="P12" s="371" t="str">
        <f>'5-0 Товары'!N12</f>
        <v/>
      </c>
      <c r="Q12" s="197"/>
      <c r="R12" s="193"/>
      <c r="S12" s="187"/>
      <c r="T12" s="187">
        <f>IFERROR(__xludf.DUMMYFUNCTION("""COMPUTED_VALUE"""),0.0)</f>
        <v>0</v>
      </c>
      <c r="U12" s="187"/>
      <c r="V12" s="187"/>
      <c r="W12" s="187"/>
      <c r="X12" s="187"/>
      <c r="Y12" s="187" t="s">
        <v>96</v>
      </c>
      <c r="Z12" s="193" t="str">
        <f t="shared" si="2"/>
        <v>ID_T002</v>
      </c>
      <c r="AA12" s="383"/>
      <c r="AB12" s="384"/>
      <c r="AC12" s="385"/>
      <c r="AD12" s="383"/>
      <c r="AE12" s="384"/>
      <c r="AF12" s="385"/>
      <c r="AG12" s="383"/>
      <c r="AH12" s="384"/>
      <c r="AI12" s="385"/>
      <c r="AJ12" s="383"/>
      <c r="AK12" s="384"/>
      <c r="AL12" s="385"/>
      <c r="AM12" s="383"/>
      <c r="AN12" s="384"/>
      <c r="AO12" s="385"/>
      <c r="AP12" s="383"/>
      <c r="AQ12" s="384"/>
      <c r="AR12" s="385"/>
      <c r="AS12" s="383"/>
      <c r="AT12" s="384"/>
      <c r="AU12" s="385"/>
      <c r="AV12" s="383"/>
      <c r="AW12" s="384"/>
      <c r="AX12" s="385"/>
      <c r="AY12" s="383"/>
      <c r="AZ12" s="384"/>
      <c r="BA12" s="385"/>
      <c r="BB12" s="386"/>
      <c r="BC12" s="387"/>
      <c r="BD12" s="388"/>
      <c r="BE12" s="386"/>
      <c r="BF12" s="387"/>
      <c r="BG12" s="388"/>
      <c r="BH12" s="386"/>
      <c r="BI12" s="387"/>
      <c r="BJ12" s="388"/>
      <c r="BK12" s="386"/>
      <c r="BL12" s="387"/>
      <c r="BM12" s="388"/>
      <c r="BN12" s="386"/>
      <c r="BO12" s="387"/>
      <c r="BP12" s="388"/>
      <c r="BQ12" s="386"/>
      <c r="BR12" s="387"/>
      <c r="BS12" s="388"/>
      <c r="BT12" s="386"/>
      <c r="BU12" s="387"/>
      <c r="BV12" s="388"/>
      <c r="BW12" s="386"/>
      <c r="BX12" s="387"/>
      <c r="BY12" s="388"/>
      <c r="BZ12" s="386"/>
      <c r="CA12" s="387"/>
      <c r="CB12" s="388"/>
      <c r="CC12" s="386"/>
      <c r="CD12" s="387"/>
      <c r="CE12" s="388"/>
      <c r="CF12" s="386"/>
      <c r="CG12" s="387"/>
      <c r="CH12" s="388"/>
      <c r="CI12" s="386"/>
      <c r="CJ12" s="387"/>
      <c r="CK12" s="388"/>
      <c r="CL12" s="386"/>
      <c r="CM12" s="387"/>
      <c r="CN12" s="388"/>
      <c r="CO12" s="386"/>
      <c r="CP12" s="387"/>
      <c r="CQ12" s="388"/>
      <c r="CR12" s="386"/>
      <c r="CS12" s="387"/>
      <c r="CT12" s="388"/>
      <c r="CU12" s="386"/>
      <c r="CV12" s="387"/>
      <c r="CW12" s="388"/>
      <c r="CX12" s="386"/>
      <c r="CY12" s="387"/>
      <c r="CZ12" s="388"/>
    </row>
    <row r="13">
      <c r="A13" s="389" t="s">
        <v>312</v>
      </c>
      <c r="B13" s="390" t="e">
        <v>#REF!</v>
      </c>
      <c r="C13" s="362" t="str">
        <f>'5-0 Товары'!C13</f>
        <v>ID_T003</v>
      </c>
      <c r="D13" s="363" t="str">
        <f>'5-0 Товары'!D13</f>
        <v>3</v>
      </c>
      <c r="E13" s="364" t="str">
        <f>'5-0 Товары'!E13</f>
        <v>Воздушный фильтр - Артикул 85067179 </v>
      </c>
      <c r="F13" s="380"/>
      <c r="G13" s="380"/>
      <c r="H13" s="364" t="str">
        <f>'5-0 Товары'!F13</f>
        <v/>
      </c>
      <c r="I13" s="391"/>
      <c r="J13" s="364" t="str">
        <f>'5-0 Товары'!G13</f>
        <v>шт.</v>
      </c>
      <c r="K13" s="366">
        <f>'5-0 Товары'!H13</f>
        <v>16</v>
      </c>
      <c r="L13" s="382">
        <f t="shared" si="1"/>
        <v>0</v>
      </c>
      <c r="M13" s="382">
        <v>0.0</v>
      </c>
      <c r="N13" s="380" t="str">
        <f>IFERROR(__xludf.DUMMYFUNCTION("""COMPUTED_VALUE"""),"Мало 0")</f>
        <v>Мало 0</v>
      </c>
      <c r="O13" s="369" t="str">
        <f>'5-0 Товары'!I13</f>
        <v/>
      </c>
      <c r="P13" s="371" t="str">
        <f>'5-0 Товары'!N13</f>
        <v/>
      </c>
      <c r="Q13" s="197"/>
      <c r="R13" s="193"/>
      <c r="S13" s="187"/>
      <c r="T13" s="187">
        <f>IFERROR(__xludf.DUMMYFUNCTION("""COMPUTED_VALUE"""),0.0)</f>
        <v>0</v>
      </c>
      <c r="U13" s="187"/>
      <c r="V13" s="187"/>
      <c r="W13" s="187"/>
      <c r="X13" s="187"/>
      <c r="Y13" s="187" t="s">
        <v>96</v>
      </c>
      <c r="Z13" s="193" t="str">
        <f t="shared" si="2"/>
        <v>ID_T003</v>
      </c>
      <c r="AA13" s="383"/>
      <c r="AB13" s="384"/>
      <c r="AC13" s="385"/>
      <c r="AD13" s="383"/>
      <c r="AE13" s="384"/>
      <c r="AF13" s="385"/>
      <c r="AG13" s="383"/>
      <c r="AH13" s="384"/>
      <c r="AI13" s="385"/>
      <c r="AJ13" s="383"/>
      <c r="AK13" s="384"/>
      <c r="AL13" s="385"/>
      <c r="AM13" s="383"/>
      <c r="AN13" s="384"/>
      <c r="AO13" s="385"/>
      <c r="AP13" s="383"/>
      <c r="AQ13" s="384"/>
      <c r="AR13" s="385"/>
      <c r="AS13" s="383"/>
      <c r="AT13" s="384"/>
      <c r="AU13" s="385"/>
      <c r="AV13" s="383"/>
      <c r="AW13" s="384"/>
      <c r="AX13" s="385"/>
      <c r="AY13" s="383"/>
      <c r="AZ13" s="384"/>
      <c r="BA13" s="385"/>
      <c r="BB13" s="386"/>
      <c r="BC13" s="387"/>
      <c r="BD13" s="388"/>
      <c r="BE13" s="386"/>
      <c r="BF13" s="387"/>
      <c r="BG13" s="388"/>
      <c r="BH13" s="386"/>
      <c r="BI13" s="387"/>
      <c r="BJ13" s="388"/>
      <c r="BK13" s="386"/>
      <c r="BL13" s="387"/>
      <c r="BM13" s="388"/>
      <c r="BN13" s="386"/>
      <c r="BO13" s="387"/>
      <c r="BP13" s="388"/>
      <c r="BQ13" s="386"/>
      <c r="BR13" s="387"/>
      <c r="BS13" s="388"/>
      <c r="BT13" s="386"/>
      <c r="BU13" s="387"/>
      <c r="BV13" s="388"/>
      <c r="BW13" s="386"/>
      <c r="BX13" s="387"/>
      <c r="BY13" s="388"/>
      <c r="BZ13" s="386"/>
      <c r="CA13" s="387"/>
      <c r="CB13" s="388"/>
      <c r="CC13" s="386"/>
      <c r="CD13" s="387"/>
      <c r="CE13" s="388"/>
      <c r="CF13" s="386"/>
      <c r="CG13" s="387"/>
      <c r="CH13" s="388"/>
      <c r="CI13" s="386"/>
      <c r="CJ13" s="387"/>
      <c r="CK13" s="388"/>
      <c r="CL13" s="386"/>
      <c r="CM13" s="387"/>
      <c r="CN13" s="388"/>
      <c r="CO13" s="386"/>
      <c r="CP13" s="387"/>
      <c r="CQ13" s="388"/>
      <c r="CR13" s="386"/>
      <c r="CS13" s="387"/>
      <c r="CT13" s="388"/>
      <c r="CU13" s="386"/>
      <c r="CV13" s="387"/>
      <c r="CW13" s="388"/>
      <c r="CX13" s="386"/>
      <c r="CY13" s="387"/>
      <c r="CZ13" s="388"/>
    </row>
    <row r="14">
      <c r="A14" s="348"/>
      <c r="B14" s="392"/>
      <c r="C14" s="362" t="str">
        <f>'5-0 Товары'!C14</f>
        <v>ID_T004</v>
      </c>
      <c r="D14" s="363" t="str">
        <f>'5-0 Товары'!D14</f>
        <v>4</v>
      </c>
      <c r="E14" s="364" t="str">
        <f>'5-0 Товары'!E14</f>
        <v>Термостат в сборе ESM-200; «Gardner Denver»</v>
      </c>
      <c r="F14" s="380"/>
      <c r="G14" s="380"/>
      <c r="H14" s="364" t="str">
        <f>'5-0 Товары'!F14</f>
        <v/>
      </c>
      <c r="I14" s="391"/>
      <c r="J14" s="364" t="str">
        <f>'5-0 Товары'!G14</f>
        <v>шт.</v>
      </c>
      <c r="K14" s="366">
        <f>'5-0 Товары'!H14</f>
        <v>2</v>
      </c>
      <c r="L14" s="382">
        <f t="shared" si="1"/>
        <v>0</v>
      </c>
      <c r="M14" s="382">
        <v>0.0</v>
      </c>
      <c r="N14" s="380" t="str">
        <f>IFERROR(__xludf.DUMMYFUNCTION("""COMPUTED_VALUE"""),"Мало 0")</f>
        <v>Мало 0</v>
      </c>
      <c r="O14" s="369" t="str">
        <f>'5-0 Товары'!I14</f>
        <v/>
      </c>
      <c r="P14" s="371" t="str">
        <f>'5-0 Товары'!N14</f>
        <v/>
      </c>
      <c r="Q14" s="197"/>
      <c r="R14" s="193"/>
      <c r="S14" s="187"/>
      <c r="T14" s="187">
        <f>IFERROR(__xludf.DUMMYFUNCTION("""COMPUTED_VALUE"""),0.0)</f>
        <v>0</v>
      </c>
      <c r="U14" s="187"/>
      <c r="V14" s="187"/>
      <c r="W14" s="187"/>
      <c r="X14" s="187"/>
      <c r="Y14" s="187" t="s">
        <v>96</v>
      </c>
      <c r="Z14" s="193" t="str">
        <f t="shared" si="2"/>
        <v>ID_T004</v>
      </c>
      <c r="AA14" s="383"/>
      <c r="AB14" s="384"/>
      <c r="AC14" s="385"/>
      <c r="AD14" s="383"/>
      <c r="AE14" s="384"/>
      <c r="AF14" s="385"/>
      <c r="AG14" s="383"/>
      <c r="AH14" s="384"/>
      <c r="AI14" s="385"/>
      <c r="AJ14" s="383"/>
      <c r="AK14" s="384"/>
      <c r="AL14" s="385"/>
      <c r="AM14" s="383"/>
      <c r="AN14" s="384"/>
      <c r="AO14" s="385"/>
      <c r="AP14" s="383"/>
      <c r="AQ14" s="384"/>
      <c r="AR14" s="385"/>
      <c r="AS14" s="383"/>
      <c r="AT14" s="384"/>
      <c r="AU14" s="385"/>
      <c r="AV14" s="383"/>
      <c r="AW14" s="384"/>
      <c r="AX14" s="385"/>
      <c r="AY14" s="383"/>
      <c r="AZ14" s="384"/>
      <c r="BA14" s="385"/>
      <c r="BB14" s="386"/>
      <c r="BC14" s="387"/>
      <c r="BD14" s="388"/>
      <c r="BE14" s="386"/>
      <c r="BF14" s="387"/>
      <c r="BG14" s="388"/>
      <c r="BH14" s="386"/>
      <c r="BI14" s="387"/>
      <c r="BJ14" s="388"/>
      <c r="BK14" s="386"/>
      <c r="BL14" s="387"/>
      <c r="BM14" s="388"/>
      <c r="BN14" s="386"/>
      <c r="BO14" s="387"/>
      <c r="BP14" s="388"/>
      <c r="BQ14" s="386"/>
      <c r="BR14" s="387"/>
      <c r="BS14" s="388"/>
      <c r="BT14" s="386"/>
      <c r="BU14" s="387"/>
      <c r="BV14" s="388"/>
      <c r="BW14" s="386"/>
      <c r="BX14" s="387"/>
      <c r="BY14" s="388"/>
      <c r="BZ14" s="386"/>
      <c r="CA14" s="387"/>
      <c r="CB14" s="388"/>
      <c r="CC14" s="386"/>
      <c r="CD14" s="387"/>
      <c r="CE14" s="388"/>
      <c r="CF14" s="386"/>
      <c r="CG14" s="387"/>
      <c r="CH14" s="388"/>
      <c r="CI14" s="386"/>
      <c r="CJ14" s="387"/>
      <c r="CK14" s="388"/>
      <c r="CL14" s="386"/>
      <c r="CM14" s="387"/>
      <c r="CN14" s="388"/>
      <c r="CO14" s="386"/>
      <c r="CP14" s="387"/>
      <c r="CQ14" s="388"/>
      <c r="CR14" s="386"/>
      <c r="CS14" s="387"/>
      <c r="CT14" s="388"/>
      <c r="CU14" s="386"/>
      <c r="CV14" s="387"/>
      <c r="CW14" s="388"/>
      <c r="CX14" s="386"/>
      <c r="CY14" s="387"/>
      <c r="CZ14" s="388"/>
    </row>
    <row r="15">
      <c r="A15" s="395" t="s">
        <v>336</v>
      </c>
      <c r="B15" s="396">
        <v>0.5</v>
      </c>
      <c r="C15" s="362" t="str">
        <f>'5-0 Товары'!C15</f>
        <v>ID_T005</v>
      </c>
      <c r="D15" s="363" t="str">
        <f>'5-0 Товары'!D15</f>
        <v>5</v>
      </c>
      <c r="E15" s="364" t="str">
        <f>'5-0 Товары'!E15</f>
        <v>Масляный сепаратор Артикул 03498328</v>
      </c>
      <c r="F15" s="380"/>
      <c r="G15" s="380"/>
      <c r="H15" s="364" t="str">
        <f>'5-0 Товары'!F15</f>
        <v/>
      </c>
      <c r="I15" s="391"/>
      <c r="J15" s="364" t="str">
        <f>'5-0 Товары'!G15</f>
        <v>шт.</v>
      </c>
      <c r="K15" s="366">
        <f>'5-0 Товары'!H15</f>
        <v>3</v>
      </c>
      <c r="L15" s="382">
        <f t="shared" si="1"/>
        <v>0</v>
      </c>
      <c r="M15" s="382">
        <v>0.0</v>
      </c>
      <c r="N15" s="380" t="str">
        <f>IFERROR(__xludf.DUMMYFUNCTION("""COMPUTED_VALUE"""),"Мало 0")</f>
        <v>Мало 0</v>
      </c>
      <c r="O15" s="369" t="str">
        <f>'5-0 Товары'!I15</f>
        <v/>
      </c>
      <c r="P15" s="371" t="str">
        <f>'5-0 Товары'!N15</f>
        <v/>
      </c>
      <c r="Q15" s="197"/>
      <c r="R15" s="193"/>
      <c r="S15" s="187"/>
      <c r="T15" s="187">
        <f>IFERROR(__xludf.DUMMYFUNCTION("""COMPUTED_VALUE"""),0.0)</f>
        <v>0</v>
      </c>
      <c r="U15" s="187"/>
      <c r="V15" s="187"/>
      <c r="W15" s="187"/>
      <c r="X15" s="187"/>
      <c r="Y15" s="187" t="s">
        <v>96</v>
      </c>
      <c r="Z15" s="193" t="str">
        <f t="shared" si="2"/>
        <v>ID_T005</v>
      </c>
      <c r="AA15" s="383"/>
      <c r="AB15" s="384"/>
      <c r="AC15" s="385"/>
      <c r="AD15" s="383"/>
      <c r="AE15" s="384"/>
      <c r="AF15" s="385"/>
      <c r="AG15" s="383"/>
      <c r="AH15" s="384"/>
      <c r="AI15" s="385"/>
      <c r="AJ15" s="383"/>
      <c r="AK15" s="384"/>
      <c r="AL15" s="385"/>
      <c r="AM15" s="383"/>
      <c r="AN15" s="384"/>
      <c r="AO15" s="385"/>
      <c r="AP15" s="383"/>
      <c r="AQ15" s="384"/>
      <c r="AR15" s="385"/>
      <c r="AS15" s="383"/>
      <c r="AT15" s="384"/>
      <c r="AU15" s="385"/>
      <c r="AV15" s="383"/>
      <c r="AW15" s="384"/>
      <c r="AX15" s="385"/>
      <c r="AY15" s="383"/>
      <c r="AZ15" s="384"/>
      <c r="BA15" s="385"/>
      <c r="BB15" s="386"/>
      <c r="BC15" s="387"/>
      <c r="BD15" s="388"/>
      <c r="BE15" s="386"/>
      <c r="BF15" s="387"/>
      <c r="BG15" s="388"/>
      <c r="BH15" s="386"/>
      <c r="BI15" s="387"/>
      <c r="BJ15" s="388"/>
      <c r="BK15" s="386"/>
      <c r="BL15" s="387"/>
      <c r="BM15" s="388"/>
      <c r="BN15" s="386"/>
      <c r="BO15" s="387"/>
      <c r="BP15" s="388"/>
      <c r="BQ15" s="386"/>
      <c r="BR15" s="387"/>
      <c r="BS15" s="388"/>
      <c r="BT15" s="386"/>
      <c r="BU15" s="387"/>
      <c r="BV15" s="388"/>
      <c r="BW15" s="386"/>
      <c r="BX15" s="387"/>
      <c r="BY15" s="388"/>
      <c r="BZ15" s="386"/>
      <c r="CA15" s="387"/>
      <c r="CB15" s="388"/>
      <c r="CC15" s="386"/>
      <c r="CD15" s="387"/>
      <c r="CE15" s="388"/>
      <c r="CF15" s="386"/>
      <c r="CG15" s="387"/>
      <c r="CH15" s="388"/>
      <c r="CI15" s="386"/>
      <c r="CJ15" s="387"/>
      <c r="CK15" s="388"/>
      <c r="CL15" s="386"/>
      <c r="CM15" s="387"/>
      <c r="CN15" s="388"/>
      <c r="CO15" s="386"/>
      <c r="CP15" s="387"/>
      <c r="CQ15" s="388"/>
      <c r="CR15" s="386"/>
      <c r="CS15" s="387"/>
      <c r="CT15" s="388"/>
      <c r="CU15" s="386"/>
      <c r="CV15" s="387"/>
      <c r="CW15" s="388"/>
      <c r="CX15" s="386"/>
      <c r="CY15" s="387"/>
      <c r="CZ15" s="388"/>
    </row>
    <row r="16">
      <c r="A16" s="397" t="s">
        <v>355</v>
      </c>
      <c r="B16" s="398"/>
      <c r="C16" s="362" t="str">
        <f>'5-0 Товары'!C16</f>
        <v>ID_T006</v>
      </c>
      <c r="D16" s="363" t="str">
        <f>'5-0 Товары'!D16</f>
        <v>6</v>
      </c>
      <c r="E16" s="364" t="str">
        <f>'5-0 Товары'!E16</f>
        <v>Масляный фильтр Артикул 89675429</v>
      </c>
      <c r="F16" s="380"/>
      <c r="G16" s="380"/>
      <c r="H16" s="364" t="str">
        <f>'5-0 Товары'!F16</f>
        <v/>
      </c>
      <c r="I16" s="391"/>
      <c r="J16" s="364" t="str">
        <f>'5-0 Товары'!G16</f>
        <v>шт.</v>
      </c>
      <c r="K16" s="366">
        <f>'5-0 Товары'!H16</f>
        <v>3</v>
      </c>
      <c r="L16" s="382">
        <f t="shared" si="1"/>
        <v>0</v>
      </c>
      <c r="M16" s="382">
        <v>0.0</v>
      </c>
      <c r="N16" s="380" t="str">
        <f>IFERROR(__xludf.DUMMYFUNCTION("""COMPUTED_VALUE"""),"Мало 0")</f>
        <v>Мало 0</v>
      </c>
      <c r="O16" s="369" t="str">
        <f>'5-0 Товары'!I16</f>
        <v/>
      </c>
      <c r="P16" s="371" t="str">
        <f>'5-0 Товары'!N16</f>
        <v/>
      </c>
      <c r="Q16" s="197"/>
      <c r="R16" s="193"/>
      <c r="S16" s="187"/>
      <c r="T16" s="187">
        <f>IFERROR(__xludf.DUMMYFUNCTION("""COMPUTED_VALUE"""),0.0)</f>
        <v>0</v>
      </c>
      <c r="U16" s="187"/>
      <c r="V16" s="187"/>
      <c r="W16" s="187"/>
      <c r="X16" s="187"/>
      <c r="Y16" s="187" t="s">
        <v>96</v>
      </c>
      <c r="Z16" s="193" t="str">
        <f t="shared" si="2"/>
        <v>ID_T006</v>
      </c>
      <c r="AA16" s="383"/>
      <c r="AB16" s="384"/>
      <c r="AC16" s="385"/>
      <c r="AD16" s="383"/>
      <c r="AE16" s="384"/>
      <c r="AF16" s="385"/>
      <c r="AG16" s="383"/>
      <c r="AH16" s="384"/>
      <c r="AI16" s="385"/>
      <c r="AJ16" s="383"/>
      <c r="AK16" s="384"/>
      <c r="AL16" s="385"/>
      <c r="AM16" s="383"/>
      <c r="AN16" s="384"/>
      <c r="AO16" s="385"/>
      <c r="AP16" s="383"/>
      <c r="AQ16" s="384"/>
      <c r="AR16" s="385"/>
      <c r="AS16" s="383"/>
      <c r="AT16" s="384"/>
      <c r="AU16" s="385"/>
      <c r="AV16" s="383"/>
      <c r="AW16" s="384"/>
      <c r="AX16" s="385"/>
      <c r="AY16" s="383"/>
      <c r="AZ16" s="384"/>
      <c r="BA16" s="385"/>
      <c r="BB16" s="386"/>
      <c r="BC16" s="387"/>
      <c r="BD16" s="388"/>
      <c r="BE16" s="386"/>
      <c r="BF16" s="387"/>
      <c r="BG16" s="388"/>
      <c r="BH16" s="386"/>
      <c r="BI16" s="387"/>
      <c r="BJ16" s="388"/>
      <c r="BK16" s="386"/>
      <c r="BL16" s="387"/>
      <c r="BM16" s="388"/>
      <c r="BN16" s="386"/>
      <c r="BO16" s="387"/>
      <c r="BP16" s="388"/>
      <c r="BQ16" s="386"/>
      <c r="BR16" s="387"/>
      <c r="BS16" s="388"/>
      <c r="BT16" s="386"/>
      <c r="BU16" s="387"/>
      <c r="BV16" s="388"/>
      <c r="BW16" s="386"/>
      <c r="BX16" s="387"/>
      <c r="BY16" s="388"/>
      <c r="BZ16" s="386"/>
      <c r="CA16" s="387"/>
      <c r="CB16" s="388"/>
      <c r="CC16" s="386"/>
      <c r="CD16" s="387"/>
      <c r="CE16" s="388"/>
      <c r="CF16" s="386"/>
      <c r="CG16" s="387"/>
      <c r="CH16" s="388"/>
      <c r="CI16" s="386"/>
      <c r="CJ16" s="387"/>
      <c r="CK16" s="388"/>
      <c r="CL16" s="386"/>
      <c r="CM16" s="387"/>
      <c r="CN16" s="388"/>
      <c r="CO16" s="386"/>
      <c r="CP16" s="387"/>
      <c r="CQ16" s="388"/>
      <c r="CR16" s="386"/>
      <c r="CS16" s="387"/>
      <c r="CT16" s="388"/>
      <c r="CU16" s="386"/>
      <c r="CV16" s="387"/>
      <c r="CW16" s="388"/>
      <c r="CX16" s="386"/>
      <c r="CY16" s="387"/>
      <c r="CZ16" s="388"/>
    </row>
    <row r="17">
      <c r="A17" s="399" t="s">
        <v>371</v>
      </c>
      <c r="B17" s="400">
        <v>3.0</v>
      </c>
      <c r="C17" s="362" t="str">
        <f>'5-0 Товары'!C17</f>
        <v>ID_T007</v>
      </c>
      <c r="D17" s="363" t="str">
        <f>'5-0 Товары'!D17</f>
        <v>7</v>
      </c>
      <c r="E17" s="364" t="str">
        <f>'5-0 Товары'!E17</f>
        <v>Воздушный фильтр - Артикул 81166609</v>
      </c>
      <c r="F17" s="380"/>
      <c r="G17" s="380"/>
      <c r="H17" s="364" t="str">
        <f>'5-0 Товары'!F17</f>
        <v/>
      </c>
      <c r="I17" s="391"/>
      <c r="J17" s="364" t="str">
        <f>'5-0 Товары'!G17</f>
        <v>шт.</v>
      </c>
      <c r="K17" s="366">
        <f>'5-0 Товары'!H17</f>
        <v>3</v>
      </c>
      <c r="L17" s="382">
        <f t="shared" si="1"/>
        <v>0</v>
      </c>
      <c r="M17" s="382">
        <v>0.0</v>
      </c>
      <c r="N17" s="380" t="str">
        <f>IFERROR(__xludf.DUMMYFUNCTION("""COMPUTED_VALUE"""),"Мало 0")</f>
        <v>Мало 0</v>
      </c>
      <c r="O17" s="369" t="str">
        <f>'5-0 Товары'!I17</f>
        <v/>
      </c>
      <c r="P17" s="371" t="str">
        <f>'5-0 Товары'!N17</f>
        <v/>
      </c>
      <c r="Q17" s="197"/>
      <c r="R17" s="193"/>
      <c r="S17" s="187"/>
      <c r="T17" s="187">
        <f>IFERROR(__xludf.DUMMYFUNCTION("""COMPUTED_VALUE"""),0.0)</f>
        <v>0</v>
      </c>
      <c r="U17" s="187"/>
      <c r="V17" s="187"/>
      <c r="W17" s="187"/>
      <c r="X17" s="187"/>
      <c r="Y17" s="187" t="s">
        <v>96</v>
      </c>
      <c r="Z17" s="193" t="str">
        <f t="shared" si="2"/>
        <v>ID_T007</v>
      </c>
      <c r="AA17" s="383"/>
      <c r="AB17" s="384"/>
      <c r="AC17" s="385"/>
      <c r="AD17" s="383"/>
      <c r="AE17" s="384"/>
      <c r="AF17" s="385"/>
      <c r="AG17" s="383"/>
      <c r="AH17" s="384"/>
      <c r="AI17" s="385"/>
      <c r="AJ17" s="383"/>
      <c r="AK17" s="384"/>
      <c r="AL17" s="385"/>
      <c r="AM17" s="383"/>
      <c r="AN17" s="384"/>
      <c r="AO17" s="385"/>
      <c r="AP17" s="383"/>
      <c r="AQ17" s="384"/>
      <c r="AR17" s="385"/>
      <c r="AS17" s="383"/>
      <c r="AT17" s="384"/>
      <c r="AU17" s="385"/>
      <c r="AV17" s="383"/>
      <c r="AW17" s="384"/>
      <c r="AX17" s="385"/>
      <c r="AY17" s="383"/>
      <c r="AZ17" s="384"/>
      <c r="BA17" s="385"/>
      <c r="BB17" s="386"/>
      <c r="BC17" s="387"/>
      <c r="BD17" s="388"/>
      <c r="BE17" s="386"/>
      <c r="BF17" s="387"/>
      <c r="BG17" s="388"/>
      <c r="BH17" s="386"/>
      <c r="BI17" s="387"/>
      <c r="BJ17" s="388"/>
      <c r="BK17" s="386"/>
      <c r="BL17" s="387"/>
      <c r="BM17" s="388"/>
      <c r="BN17" s="386"/>
      <c r="BO17" s="387"/>
      <c r="BP17" s="388"/>
      <c r="BQ17" s="386"/>
      <c r="BR17" s="387"/>
      <c r="BS17" s="388"/>
      <c r="BT17" s="386"/>
      <c r="BU17" s="387"/>
      <c r="BV17" s="388"/>
      <c r="BW17" s="386"/>
      <c r="BX17" s="387"/>
      <c r="BY17" s="388"/>
      <c r="BZ17" s="386"/>
      <c r="CA17" s="387"/>
      <c r="CB17" s="388"/>
      <c r="CC17" s="386"/>
      <c r="CD17" s="387"/>
      <c r="CE17" s="388"/>
      <c r="CF17" s="386"/>
      <c r="CG17" s="387"/>
      <c r="CH17" s="388"/>
      <c r="CI17" s="386"/>
      <c r="CJ17" s="387"/>
      <c r="CK17" s="388"/>
      <c r="CL17" s="386"/>
      <c r="CM17" s="387"/>
      <c r="CN17" s="388"/>
      <c r="CO17" s="386"/>
      <c r="CP17" s="387"/>
      <c r="CQ17" s="388"/>
      <c r="CR17" s="386"/>
      <c r="CS17" s="387"/>
      <c r="CT17" s="388"/>
      <c r="CU17" s="386"/>
      <c r="CV17" s="387"/>
      <c r="CW17" s="388"/>
      <c r="CX17" s="386"/>
      <c r="CY17" s="387"/>
      <c r="CZ17" s="388"/>
    </row>
    <row r="18">
      <c r="A18" s="348" t="s">
        <v>421</v>
      </c>
      <c r="B18" s="401"/>
      <c r="C18" s="362" t="str">
        <f>'5-0 Товары'!C18</f>
        <v>ID_T008</v>
      </c>
      <c r="D18" s="363" t="str">
        <f>'5-0 Товары'!D18</f>
        <v>8</v>
      </c>
      <c r="E18" s="364" t="str">
        <f>'5-0 Товары'!E18</f>
        <v>Сервисный набор арт. 2906020000 </v>
      </c>
      <c r="F18" s="380"/>
      <c r="G18" s="380"/>
      <c r="H18" s="364" t="str">
        <f>'5-0 Товары'!F18</f>
        <v/>
      </c>
      <c r="I18" s="391"/>
      <c r="J18" s="364" t="str">
        <f>'5-0 Товары'!G18</f>
        <v>шт.</v>
      </c>
      <c r="K18" s="366">
        <f>'5-0 Товары'!H18</f>
        <v>3</v>
      </c>
      <c r="L18" s="382">
        <f t="shared" si="1"/>
        <v>0</v>
      </c>
      <c r="M18" s="382">
        <v>0.0</v>
      </c>
      <c r="N18" s="380" t="str">
        <f>IFERROR(__xludf.DUMMYFUNCTION("""COMPUTED_VALUE"""),"Мало 0")</f>
        <v>Мало 0</v>
      </c>
      <c r="O18" s="369" t="str">
        <f>'5-0 Товары'!I18</f>
        <v/>
      </c>
      <c r="P18" s="371" t="str">
        <f>'5-0 Товары'!N18</f>
        <v/>
      </c>
      <c r="Q18" s="197"/>
      <c r="R18" s="193"/>
      <c r="S18" s="187"/>
      <c r="T18" s="187">
        <f>IFERROR(__xludf.DUMMYFUNCTION("""COMPUTED_VALUE"""),0.0)</f>
        <v>0</v>
      </c>
      <c r="U18" s="187"/>
      <c r="V18" s="187"/>
      <c r="W18" s="187"/>
      <c r="X18" s="187"/>
      <c r="Y18" s="187" t="s">
        <v>96</v>
      </c>
      <c r="Z18" s="193" t="str">
        <f t="shared" si="2"/>
        <v>ID_T008</v>
      </c>
      <c r="AA18" s="383"/>
      <c r="AB18" s="384"/>
      <c r="AC18" s="385"/>
      <c r="AD18" s="383"/>
      <c r="AE18" s="384"/>
      <c r="AF18" s="385"/>
      <c r="AG18" s="383"/>
      <c r="AH18" s="384"/>
      <c r="AI18" s="385"/>
      <c r="AJ18" s="383"/>
      <c r="AK18" s="384"/>
      <c r="AL18" s="385"/>
      <c r="AM18" s="383"/>
      <c r="AN18" s="384"/>
      <c r="AO18" s="385"/>
      <c r="AP18" s="383"/>
      <c r="AQ18" s="384"/>
      <c r="AR18" s="385"/>
      <c r="AS18" s="383"/>
      <c r="AT18" s="384"/>
      <c r="AU18" s="385"/>
      <c r="AV18" s="383"/>
      <c r="AW18" s="384"/>
      <c r="AX18" s="385"/>
      <c r="AY18" s="383"/>
      <c r="AZ18" s="384"/>
      <c r="BA18" s="385"/>
      <c r="BB18" s="386"/>
      <c r="BC18" s="387"/>
      <c r="BD18" s="388"/>
      <c r="BE18" s="386"/>
      <c r="BF18" s="387"/>
      <c r="BG18" s="388"/>
      <c r="BH18" s="386"/>
      <c r="BI18" s="387"/>
      <c r="BJ18" s="388"/>
      <c r="BK18" s="386"/>
      <c r="BL18" s="387"/>
      <c r="BM18" s="388"/>
      <c r="BN18" s="386"/>
      <c r="BO18" s="387"/>
      <c r="BP18" s="388"/>
      <c r="BQ18" s="386"/>
      <c r="BR18" s="387"/>
      <c r="BS18" s="388"/>
      <c r="BT18" s="386"/>
      <c r="BU18" s="387"/>
      <c r="BV18" s="388"/>
      <c r="BW18" s="386"/>
      <c r="BX18" s="387"/>
      <c r="BY18" s="388"/>
      <c r="BZ18" s="386"/>
      <c r="CA18" s="387"/>
      <c r="CB18" s="388"/>
      <c r="CC18" s="386"/>
      <c r="CD18" s="387"/>
      <c r="CE18" s="388"/>
      <c r="CF18" s="386"/>
      <c r="CG18" s="387"/>
      <c r="CH18" s="388"/>
      <c r="CI18" s="386"/>
      <c r="CJ18" s="387"/>
      <c r="CK18" s="388"/>
      <c r="CL18" s="386"/>
      <c r="CM18" s="387"/>
      <c r="CN18" s="388"/>
      <c r="CO18" s="386"/>
      <c r="CP18" s="387"/>
      <c r="CQ18" s="388"/>
      <c r="CR18" s="386"/>
      <c r="CS18" s="387"/>
      <c r="CT18" s="388"/>
      <c r="CU18" s="386"/>
      <c r="CV18" s="387"/>
      <c r="CW18" s="388"/>
      <c r="CX18" s="386"/>
      <c r="CY18" s="387"/>
      <c r="CZ18" s="388"/>
    </row>
    <row r="19">
      <c r="A19" s="1"/>
      <c r="B19" s="402"/>
      <c r="C19" s="362" t="str">
        <f>'5-0 Товары'!C19</f>
        <v>ID_T009</v>
      </c>
      <c r="D19" s="363" t="str">
        <f>'5-0 Товары'!D19</f>
        <v>9</v>
      </c>
      <c r="E19" s="364" t="str">
        <f>'5-0 Товары'!E19</f>
        <v>Сервисный набор 8000 ч. арт. 2906075700</v>
      </c>
      <c r="F19" s="380"/>
      <c r="G19" s="380"/>
      <c r="H19" s="364" t="str">
        <f>'5-0 Товары'!F19</f>
        <v/>
      </c>
      <c r="I19" s="391"/>
      <c r="J19" s="364" t="str">
        <f>'5-0 Товары'!G19</f>
        <v>шт.</v>
      </c>
      <c r="K19" s="366">
        <f>'5-0 Товары'!H19</f>
        <v>3</v>
      </c>
      <c r="L19" s="382">
        <f t="shared" si="1"/>
        <v>0</v>
      </c>
      <c r="M19" s="382">
        <v>0.0</v>
      </c>
      <c r="N19" s="380" t="str">
        <f>IFERROR(__xludf.DUMMYFUNCTION("""COMPUTED_VALUE"""),"Мало 0")</f>
        <v>Мало 0</v>
      </c>
      <c r="O19" s="369" t="str">
        <f>'5-0 Товары'!I19</f>
        <v/>
      </c>
      <c r="P19" s="371" t="str">
        <f>'5-0 Товары'!N19</f>
        <v/>
      </c>
      <c r="Q19" s="197"/>
      <c r="R19" s="193"/>
      <c r="S19" s="187"/>
      <c r="T19" s="187">
        <f>IFERROR(__xludf.DUMMYFUNCTION("""COMPUTED_VALUE"""),0.0)</f>
        <v>0</v>
      </c>
      <c r="U19" s="187"/>
      <c r="V19" s="187"/>
      <c r="W19" s="187"/>
      <c r="X19" s="187"/>
      <c r="Y19" s="187" t="s">
        <v>96</v>
      </c>
      <c r="Z19" s="193" t="str">
        <f t="shared" si="2"/>
        <v>ID_T009</v>
      </c>
      <c r="AA19" s="383"/>
      <c r="AB19" s="384"/>
      <c r="AC19" s="385"/>
      <c r="AD19" s="383"/>
      <c r="AE19" s="384"/>
      <c r="AF19" s="385"/>
      <c r="AG19" s="383"/>
      <c r="AH19" s="384"/>
      <c r="AI19" s="385"/>
      <c r="AJ19" s="383"/>
      <c r="AK19" s="384"/>
      <c r="AL19" s="385"/>
      <c r="AM19" s="383"/>
      <c r="AN19" s="384"/>
      <c r="AO19" s="385"/>
      <c r="AP19" s="383"/>
      <c r="AQ19" s="384"/>
      <c r="AR19" s="385"/>
      <c r="AS19" s="383"/>
      <c r="AT19" s="384"/>
      <c r="AU19" s="385"/>
      <c r="AV19" s="383"/>
      <c r="AW19" s="384"/>
      <c r="AX19" s="385"/>
      <c r="AY19" s="383"/>
      <c r="AZ19" s="384"/>
      <c r="BA19" s="385"/>
      <c r="BB19" s="386"/>
      <c r="BC19" s="387"/>
      <c r="BD19" s="388"/>
      <c r="BE19" s="386"/>
      <c r="BF19" s="387"/>
      <c r="BG19" s="388"/>
      <c r="BH19" s="386"/>
      <c r="BI19" s="387"/>
      <c r="BJ19" s="388"/>
      <c r="BK19" s="386"/>
      <c r="BL19" s="387"/>
      <c r="BM19" s="388"/>
      <c r="BN19" s="386"/>
      <c r="BO19" s="387"/>
      <c r="BP19" s="388"/>
      <c r="BQ19" s="386"/>
      <c r="BR19" s="387"/>
      <c r="BS19" s="388"/>
      <c r="BT19" s="386"/>
      <c r="BU19" s="387"/>
      <c r="BV19" s="388"/>
      <c r="BW19" s="386"/>
      <c r="BX19" s="387"/>
      <c r="BY19" s="388"/>
      <c r="BZ19" s="386"/>
      <c r="CA19" s="387"/>
      <c r="CB19" s="388"/>
      <c r="CC19" s="386"/>
      <c r="CD19" s="387"/>
      <c r="CE19" s="388"/>
      <c r="CF19" s="386"/>
      <c r="CG19" s="387"/>
      <c r="CH19" s="388"/>
      <c r="CI19" s="386"/>
      <c r="CJ19" s="387"/>
      <c r="CK19" s="388"/>
      <c r="CL19" s="386"/>
      <c r="CM19" s="387"/>
      <c r="CN19" s="388"/>
      <c r="CO19" s="386"/>
      <c r="CP19" s="387"/>
      <c r="CQ19" s="388"/>
      <c r="CR19" s="386"/>
      <c r="CS19" s="387"/>
      <c r="CT19" s="388"/>
      <c r="CU19" s="386"/>
      <c r="CV19" s="387"/>
      <c r="CW19" s="388"/>
      <c r="CX19" s="386"/>
      <c r="CY19" s="387"/>
      <c r="CZ19" s="388"/>
    </row>
    <row r="20">
      <c r="A20" s="1"/>
      <c r="B20" s="402"/>
      <c r="C20" s="362" t="str">
        <f>'5-0 Товары'!C20</f>
        <v>ID_T010</v>
      </c>
      <c r="D20" s="363" t="str">
        <f>'5-0 Товары'!D20</f>
        <v>10</v>
      </c>
      <c r="E20" s="364" t="str">
        <f>'5-0 Товары'!E20</f>
        <v>Масляный сепаратор </v>
      </c>
      <c r="F20" s="380"/>
      <c r="G20" s="380"/>
      <c r="H20" s="364" t="str">
        <f>'5-0 Товары'!F20</f>
        <v/>
      </c>
      <c r="I20" s="391"/>
      <c r="J20" s="364" t="str">
        <f>'5-0 Товары'!G20</f>
        <v>шт.</v>
      </c>
      <c r="K20" s="366">
        <f>'5-0 Товары'!H20</f>
        <v>3</v>
      </c>
      <c r="L20" s="382">
        <f t="shared" si="1"/>
        <v>0</v>
      </c>
      <c r="M20" s="382">
        <v>0.0</v>
      </c>
      <c r="N20" s="380" t="str">
        <f>IFERROR(__xludf.DUMMYFUNCTION("""COMPUTED_VALUE"""),"Мало 0")</f>
        <v>Мало 0</v>
      </c>
      <c r="O20" s="369" t="str">
        <f>'5-0 Товары'!I20</f>
        <v/>
      </c>
      <c r="P20" s="371" t="str">
        <f>'5-0 Товары'!N20</f>
        <v/>
      </c>
      <c r="Q20" s="197"/>
      <c r="R20" s="193"/>
      <c r="S20" s="187"/>
      <c r="T20" s="187">
        <f>IFERROR(__xludf.DUMMYFUNCTION("""COMPUTED_VALUE"""),0.0)</f>
        <v>0</v>
      </c>
      <c r="U20" s="187"/>
      <c r="V20" s="187"/>
      <c r="W20" s="187"/>
      <c r="X20" s="187"/>
      <c r="Y20" s="187" t="s">
        <v>96</v>
      </c>
      <c r="Z20" s="193" t="str">
        <f t="shared" si="2"/>
        <v>ID_T010</v>
      </c>
      <c r="AA20" s="383"/>
      <c r="AB20" s="384"/>
      <c r="AC20" s="385"/>
      <c r="AD20" s="383"/>
      <c r="AE20" s="384"/>
      <c r="AF20" s="385"/>
      <c r="AG20" s="383"/>
      <c r="AH20" s="384"/>
      <c r="AI20" s="385"/>
      <c r="AJ20" s="383"/>
      <c r="AK20" s="384"/>
      <c r="AL20" s="385"/>
      <c r="AM20" s="383"/>
      <c r="AN20" s="384"/>
      <c r="AO20" s="385"/>
      <c r="AP20" s="383"/>
      <c r="AQ20" s="384"/>
      <c r="AR20" s="385"/>
      <c r="AS20" s="383"/>
      <c r="AT20" s="384"/>
      <c r="AU20" s="385"/>
      <c r="AV20" s="383"/>
      <c r="AW20" s="384"/>
      <c r="AX20" s="385"/>
      <c r="AY20" s="383"/>
      <c r="AZ20" s="384"/>
      <c r="BA20" s="385"/>
      <c r="BB20" s="386"/>
      <c r="BC20" s="387"/>
      <c r="BD20" s="388"/>
      <c r="BE20" s="386"/>
      <c r="BF20" s="387"/>
      <c r="BG20" s="388"/>
      <c r="BH20" s="386"/>
      <c r="BI20" s="387"/>
      <c r="BJ20" s="388"/>
      <c r="BK20" s="386"/>
      <c r="BL20" s="387"/>
      <c r="BM20" s="388"/>
      <c r="BN20" s="386"/>
      <c r="BO20" s="387"/>
      <c r="BP20" s="388"/>
      <c r="BQ20" s="386"/>
      <c r="BR20" s="387"/>
      <c r="BS20" s="388"/>
      <c r="BT20" s="386"/>
      <c r="BU20" s="387"/>
      <c r="BV20" s="388"/>
      <c r="BW20" s="386"/>
      <c r="BX20" s="387"/>
      <c r="BY20" s="388"/>
      <c r="BZ20" s="386"/>
      <c r="CA20" s="387"/>
      <c r="CB20" s="388"/>
      <c r="CC20" s="386"/>
      <c r="CD20" s="387"/>
      <c r="CE20" s="388"/>
      <c r="CF20" s="386"/>
      <c r="CG20" s="387"/>
      <c r="CH20" s="388"/>
      <c r="CI20" s="386"/>
      <c r="CJ20" s="387"/>
      <c r="CK20" s="388"/>
      <c r="CL20" s="386"/>
      <c r="CM20" s="387"/>
      <c r="CN20" s="388"/>
      <c r="CO20" s="386"/>
      <c r="CP20" s="387"/>
      <c r="CQ20" s="388"/>
      <c r="CR20" s="386"/>
      <c r="CS20" s="387"/>
      <c r="CT20" s="388"/>
      <c r="CU20" s="386"/>
      <c r="CV20" s="387"/>
      <c r="CW20" s="388"/>
      <c r="CX20" s="386"/>
      <c r="CY20" s="387"/>
      <c r="CZ20" s="388"/>
    </row>
    <row r="21">
      <c r="A21" s="1"/>
      <c r="B21" s="402"/>
      <c r="C21" s="362" t="str">
        <f>'5-0 Товары'!C21</f>
        <v>ID_T011</v>
      </c>
      <c r="D21" s="363" t="str">
        <f>'5-0 Товары'!D21</f>
        <v>11</v>
      </c>
      <c r="E21" s="364" t="str">
        <f>'5-0 Товары'!E21</f>
        <v>Воздушный фильтр</v>
      </c>
      <c r="F21" s="380"/>
      <c r="G21" s="380"/>
      <c r="H21" s="364" t="str">
        <f>'5-0 Товары'!F21</f>
        <v/>
      </c>
      <c r="I21" s="391"/>
      <c r="J21" s="364" t="str">
        <f>'5-0 Товары'!G21</f>
        <v>шт.</v>
      </c>
      <c r="K21" s="366">
        <f>'5-0 Товары'!H21</f>
        <v>6</v>
      </c>
      <c r="L21" s="382">
        <f t="shared" si="1"/>
        <v>0</v>
      </c>
      <c r="M21" s="382">
        <v>0.0</v>
      </c>
      <c r="N21" s="380" t="str">
        <f>IFERROR(__xludf.DUMMYFUNCTION("""COMPUTED_VALUE"""),"Мало 0")</f>
        <v>Мало 0</v>
      </c>
      <c r="O21" s="369" t="str">
        <f>'5-0 Товары'!I21</f>
        <v/>
      </c>
      <c r="P21" s="371" t="str">
        <f>'5-0 Товары'!N21</f>
        <v/>
      </c>
      <c r="Q21" s="197"/>
      <c r="R21" s="193"/>
      <c r="S21" s="187"/>
      <c r="T21" s="187">
        <f>IFERROR(__xludf.DUMMYFUNCTION("""COMPUTED_VALUE"""),0.0)</f>
        <v>0</v>
      </c>
      <c r="U21" s="187"/>
      <c r="V21" s="187"/>
      <c r="W21" s="187"/>
      <c r="X21" s="187"/>
      <c r="Y21" s="187" t="s">
        <v>96</v>
      </c>
      <c r="Z21" s="193" t="str">
        <f t="shared" si="2"/>
        <v>ID_T011</v>
      </c>
      <c r="AA21" s="383"/>
      <c r="AB21" s="384"/>
      <c r="AC21" s="385"/>
      <c r="AD21" s="383"/>
      <c r="AE21" s="384"/>
      <c r="AF21" s="385"/>
      <c r="AG21" s="383"/>
      <c r="AH21" s="384"/>
      <c r="AI21" s="385"/>
      <c r="AJ21" s="383"/>
      <c r="AK21" s="384"/>
      <c r="AL21" s="385"/>
      <c r="AM21" s="383"/>
      <c r="AN21" s="384"/>
      <c r="AO21" s="385"/>
      <c r="AP21" s="383"/>
      <c r="AQ21" s="384"/>
      <c r="AR21" s="385"/>
      <c r="AS21" s="383"/>
      <c r="AT21" s="384"/>
      <c r="AU21" s="385"/>
      <c r="AV21" s="383"/>
      <c r="AW21" s="384"/>
      <c r="AX21" s="385"/>
      <c r="AY21" s="383"/>
      <c r="AZ21" s="384"/>
      <c r="BA21" s="385"/>
      <c r="BB21" s="386"/>
      <c r="BC21" s="387"/>
      <c r="BD21" s="388"/>
      <c r="BE21" s="386"/>
      <c r="BF21" s="387"/>
      <c r="BG21" s="388"/>
      <c r="BH21" s="386"/>
      <c r="BI21" s="387"/>
      <c r="BJ21" s="388"/>
      <c r="BK21" s="386"/>
      <c r="BL21" s="387"/>
      <c r="BM21" s="388"/>
      <c r="BN21" s="386"/>
      <c r="BO21" s="387"/>
      <c r="BP21" s="388"/>
      <c r="BQ21" s="386"/>
      <c r="BR21" s="387"/>
      <c r="BS21" s="388"/>
      <c r="BT21" s="386"/>
      <c r="BU21" s="387"/>
      <c r="BV21" s="388"/>
      <c r="BW21" s="386"/>
      <c r="BX21" s="387"/>
      <c r="BY21" s="388"/>
      <c r="BZ21" s="386"/>
      <c r="CA21" s="387"/>
      <c r="CB21" s="388"/>
      <c r="CC21" s="386"/>
      <c r="CD21" s="387"/>
      <c r="CE21" s="388"/>
      <c r="CF21" s="386"/>
      <c r="CG21" s="387"/>
      <c r="CH21" s="388"/>
      <c r="CI21" s="386"/>
      <c r="CJ21" s="387"/>
      <c r="CK21" s="388"/>
      <c r="CL21" s="386"/>
      <c r="CM21" s="387"/>
      <c r="CN21" s="388"/>
      <c r="CO21" s="386"/>
      <c r="CP21" s="387"/>
      <c r="CQ21" s="388"/>
      <c r="CR21" s="386"/>
      <c r="CS21" s="387"/>
      <c r="CT21" s="388"/>
      <c r="CU21" s="386"/>
      <c r="CV21" s="387"/>
      <c r="CW21" s="388"/>
      <c r="CX21" s="386"/>
      <c r="CY21" s="387"/>
      <c r="CZ21" s="388"/>
    </row>
    <row r="22">
      <c r="A22" s="1"/>
      <c r="B22" s="402"/>
      <c r="C22" s="362" t="str">
        <f>'5-0 Товары'!C22</f>
        <v>ID_T012</v>
      </c>
      <c r="D22" s="363" t="str">
        <f>'5-0 Товары'!D22</f>
        <v>12</v>
      </c>
      <c r="E22" s="364" t="str">
        <f>'5-0 Товары'!E22</f>
        <v>Масляный фильтр</v>
      </c>
      <c r="F22" s="380"/>
      <c r="G22" s="380"/>
      <c r="H22" s="364" t="str">
        <f>'5-0 Товары'!F22</f>
        <v/>
      </c>
      <c r="I22" s="391"/>
      <c r="J22" s="364" t="str">
        <f>'5-0 Товары'!G22</f>
        <v>шт.</v>
      </c>
      <c r="K22" s="366">
        <f>'5-0 Товары'!H22</f>
        <v>6</v>
      </c>
      <c r="L22" s="382">
        <f t="shared" si="1"/>
        <v>0</v>
      </c>
      <c r="M22" s="382">
        <v>0.0</v>
      </c>
      <c r="N22" s="380" t="str">
        <f>IFERROR(__xludf.DUMMYFUNCTION("""COMPUTED_VALUE"""),"Мало 0")</f>
        <v>Мало 0</v>
      </c>
      <c r="O22" s="369" t="str">
        <f>'5-0 Товары'!I22</f>
        <v/>
      </c>
      <c r="P22" s="371" t="str">
        <f>'5-0 Товары'!N22</f>
        <v/>
      </c>
      <c r="Q22" s="197"/>
      <c r="R22" s="193"/>
      <c r="S22" s="187"/>
      <c r="T22" s="187">
        <f>IFERROR(__xludf.DUMMYFUNCTION("""COMPUTED_VALUE"""),0.0)</f>
        <v>0</v>
      </c>
      <c r="U22" s="187"/>
      <c r="V22" s="187"/>
      <c r="W22" s="187"/>
      <c r="X22" s="187"/>
      <c r="Y22" s="187" t="s">
        <v>96</v>
      </c>
      <c r="Z22" s="193" t="str">
        <f t="shared" si="2"/>
        <v>ID_T012</v>
      </c>
      <c r="AA22" s="383"/>
      <c r="AB22" s="384"/>
      <c r="AC22" s="385"/>
      <c r="AD22" s="383"/>
      <c r="AE22" s="384"/>
      <c r="AF22" s="385"/>
      <c r="AG22" s="383"/>
      <c r="AH22" s="384"/>
      <c r="AI22" s="385"/>
      <c r="AJ22" s="383"/>
      <c r="AK22" s="384"/>
      <c r="AL22" s="385"/>
      <c r="AM22" s="383"/>
      <c r="AN22" s="384"/>
      <c r="AO22" s="385"/>
      <c r="AP22" s="383"/>
      <c r="AQ22" s="384"/>
      <c r="AR22" s="385"/>
      <c r="AS22" s="383"/>
      <c r="AT22" s="384"/>
      <c r="AU22" s="385"/>
      <c r="AV22" s="383"/>
      <c r="AW22" s="384"/>
      <c r="AX22" s="385"/>
      <c r="AY22" s="383"/>
      <c r="AZ22" s="384"/>
      <c r="BA22" s="385"/>
      <c r="BB22" s="386"/>
      <c r="BC22" s="387"/>
      <c r="BD22" s="388"/>
      <c r="BE22" s="386"/>
      <c r="BF22" s="387"/>
      <c r="BG22" s="388"/>
      <c r="BH22" s="386"/>
      <c r="BI22" s="387"/>
      <c r="BJ22" s="388"/>
      <c r="BK22" s="386"/>
      <c r="BL22" s="387"/>
      <c r="BM22" s="388"/>
      <c r="BN22" s="386"/>
      <c r="BO22" s="387"/>
      <c r="BP22" s="388"/>
      <c r="BQ22" s="386"/>
      <c r="BR22" s="387"/>
      <c r="BS22" s="388"/>
      <c r="BT22" s="386"/>
      <c r="BU22" s="387"/>
      <c r="BV22" s="388"/>
      <c r="BW22" s="386"/>
      <c r="BX22" s="387"/>
      <c r="BY22" s="388"/>
      <c r="BZ22" s="386"/>
      <c r="CA22" s="387"/>
      <c r="CB22" s="388"/>
      <c r="CC22" s="386"/>
      <c r="CD22" s="387"/>
      <c r="CE22" s="388"/>
      <c r="CF22" s="386"/>
      <c r="CG22" s="387"/>
      <c r="CH22" s="388"/>
      <c r="CI22" s="386"/>
      <c r="CJ22" s="387"/>
      <c r="CK22" s="388"/>
      <c r="CL22" s="386"/>
      <c r="CM22" s="387"/>
      <c r="CN22" s="388"/>
      <c r="CO22" s="386"/>
      <c r="CP22" s="387"/>
      <c r="CQ22" s="388"/>
      <c r="CR22" s="386"/>
      <c r="CS22" s="387"/>
      <c r="CT22" s="388"/>
      <c r="CU22" s="386"/>
      <c r="CV22" s="387"/>
      <c r="CW22" s="388"/>
      <c r="CX22" s="386"/>
      <c r="CY22" s="387"/>
      <c r="CZ22" s="388"/>
    </row>
    <row r="23">
      <c r="A23" s="1"/>
      <c r="B23" s="402"/>
      <c r="C23" s="362" t="str">
        <f>'5-0 Товары'!C23</f>
        <v>ID_T013</v>
      </c>
      <c r="D23" s="363" t="str">
        <f>'5-0 Товары'!D23</f>
        <v>13</v>
      </c>
      <c r="E23" s="364" t="str">
        <f>'5-0 Товары'!E23</f>
        <v>Масляный сепаратор DS 3084 </v>
      </c>
      <c r="F23" s="380"/>
      <c r="G23" s="380"/>
      <c r="H23" s="364" t="str">
        <f>'5-0 Товары'!F23</f>
        <v/>
      </c>
      <c r="I23" s="391"/>
      <c r="J23" s="364" t="str">
        <f>'5-0 Товары'!G23</f>
        <v>шт.</v>
      </c>
      <c r="K23" s="366">
        <f>'5-0 Товары'!H23</f>
        <v>2</v>
      </c>
      <c r="L23" s="382">
        <f t="shared" si="1"/>
        <v>0</v>
      </c>
      <c r="M23" s="382">
        <v>0.0</v>
      </c>
      <c r="N23" s="380" t="str">
        <f>IFERROR(__xludf.DUMMYFUNCTION("""COMPUTED_VALUE"""),"Мало 0")</f>
        <v>Мало 0</v>
      </c>
      <c r="O23" s="369" t="str">
        <f>'5-0 Товары'!I23</f>
        <v/>
      </c>
      <c r="P23" s="371" t="str">
        <f>'5-0 Товары'!N23</f>
        <v/>
      </c>
      <c r="Q23" s="197"/>
      <c r="R23" s="193"/>
      <c r="S23" s="187"/>
      <c r="T23" s="187">
        <f>IFERROR(__xludf.DUMMYFUNCTION("""COMPUTED_VALUE"""),0.0)</f>
        <v>0</v>
      </c>
      <c r="U23" s="187"/>
      <c r="V23" s="187"/>
      <c r="W23" s="187"/>
      <c r="X23" s="187"/>
      <c r="Y23" s="187" t="s">
        <v>96</v>
      </c>
      <c r="Z23" s="193" t="str">
        <f t="shared" si="2"/>
        <v>ID_T013</v>
      </c>
      <c r="AA23" s="383"/>
      <c r="AB23" s="384"/>
      <c r="AC23" s="385"/>
      <c r="AD23" s="383"/>
      <c r="AE23" s="384"/>
      <c r="AF23" s="385"/>
      <c r="AG23" s="383"/>
      <c r="AH23" s="384"/>
      <c r="AI23" s="385"/>
      <c r="AJ23" s="383"/>
      <c r="AK23" s="384"/>
      <c r="AL23" s="385"/>
      <c r="AM23" s="383"/>
      <c r="AN23" s="384"/>
      <c r="AO23" s="385"/>
      <c r="AP23" s="383"/>
      <c r="AQ23" s="384"/>
      <c r="AR23" s="385"/>
      <c r="AS23" s="383"/>
      <c r="AT23" s="384"/>
      <c r="AU23" s="385"/>
      <c r="AV23" s="383"/>
      <c r="AW23" s="384"/>
      <c r="AX23" s="385"/>
      <c r="AY23" s="383"/>
      <c r="AZ23" s="384"/>
      <c r="BA23" s="385"/>
      <c r="BB23" s="386"/>
      <c r="BC23" s="387"/>
      <c r="BD23" s="388"/>
      <c r="BE23" s="386"/>
      <c r="BF23" s="387"/>
      <c r="BG23" s="388"/>
      <c r="BH23" s="386"/>
      <c r="BI23" s="387"/>
      <c r="BJ23" s="388"/>
      <c r="BK23" s="386"/>
      <c r="BL23" s="387"/>
      <c r="BM23" s="388"/>
      <c r="BN23" s="386"/>
      <c r="BO23" s="387"/>
      <c r="BP23" s="388"/>
      <c r="BQ23" s="386"/>
      <c r="BR23" s="387"/>
      <c r="BS23" s="388"/>
      <c r="BT23" s="386"/>
      <c r="BU23" s="387"/>
      <c r="BV23" s="388"/>
      <c r="BW23" s="386"/>
      <c r="BX23" s="387"/>
      <c r="BY23" s="388"/>
      <c r="BZ23" s="386"/>
      <c r="CA23" s="387"/>
      <c r="CB23" s="388"/>
      <c r="CC23" s="386"/>
      <c r="CD23" s="387"/>
      <c r="CE23" s="388"/>
      <c r="CF23" s="386"/>
      <c r="CG23" s="387"/>
      <c r="CH23" s="388"/>
      <c r="CI23" s="386"/>
      <c r="CJ23" s="387"/>
      <c r="CK23" s="388"/>
      <c r="CL23" s="386"/>
      <c r="CM23" s="387"/>
      <c r="CN23" s="388"/>
      <c r="CO23" s="386"/>
      <c r="CP23" s="387"/>
      <c r="CQ23" s="388"/>
      <c r="CR23" s="386"/>
      <c r="CS23" s="387"/>
      <c r="CT23" s="388"/>
      <c r="CU23" s="386"/>
      <c r="CV23" s="387"/>
      <c r="CW23" s="388"/>
      <c r="CX23" s="386"/>
      <c r="CY23" s="387"/>
      <c r="CZ23" s="388"/>
    </row>
    <row r="24">
      <c r="A24" s="1"/>
      <c r="B24" s="402"/>
      <c r="C24" s="362" t="str">
        <f>'5-0 Товары'!C24</f>
        <v>ID_T014</v>
      </c>
      <c r="D24" s="363" t="str">
        <f>'5-0 Товары'!D24</f>
        <v>14</v>
      </c>
      <c r="E24" s="364" t="str">
        <f>'5-0 Товары'!E24</f>
        <v>Воздушный фильтр ЛААЗ ЭФВ 721.1109560 (7405. 1109560)</v>
      </c>
      <c r="F24" s="380"/>
      <c r="G24" s="380"/>
      <c r="H24" s="364" t="str">
        <f>'5-0 Товары'!F24</f>
        <v/>
      </c>
      <c r="I24" s="391"/>
      <c r="J24" s="364" t="str">
        <f>'5-0 Товары'!G24</f>
        <v>шт.</v>
      </c>
      <c r="K24" s="366">
        <f>'5-0 Товары'!H24</f>
        <v>4</v>
      </c>
      <c r="L24" s="382">
        <f t="shared" si="1"/>
        <v>0</v>
      </c>
      <c r="M24" s="382">
        <v>0.0</v>
      </c>
      <c r="N24" s="380" t="str">
        <f>IFERROR(__xludf.DUMMYFUNCTION("""COMPUTED_VALUE"""),"Мало 0")</f>
        <v>Мало 0</v>
      </c>
      <c r="O24" s="369" t="str">
        <f>'5-0 Товары'!I24</f>
        <v/>
      </c>
      <c r="P24" s="371" t="str">
        <f>'5-0 Товары'!N24</f>
        <v/>
      </c>
      <c r="Q24" s="197"/>
      <c r="R24" s="193"/>
      <c r="S24" s="187"/>
      <c r="T24" s="187">
        <f>IFERROR(__xludf.DUMMYFUNCTION("""COMPUTED_VALUE"""),0.0)</f>
        <v>0</v>
      </c>
      <c r="U24" s="187"/>
      <c r="V24" s="187"/>
      <c r="W24" s="187"/>
      <c r="X24" s="187"/>
      <c r="Y24" s="187" t="s">
        <v>96</v>
      </c>
      <c r="Z24" s="193" t="str">
        <f t="shared" si="2"/>
        <v>ID_T014</v>
      </c>
      <c r="AA24" s="383"/>
      <c r="AB24" s="384"/>
      <c r="AC24" s="385"/>
      <c r="AD24" s="383"/>
      <c r="AE24" s="384"/>
      <c r="AF24" s="385"/>
      <c r="AG24" s="383"/>
      <c r="AH24" s="384"/>
      <c r="AI24" s="385"/>
      <c r="AJ24" s="383"/>
      <c r="AK24" s="384"/>
      <c r="AL24" s="385"/>
      <c r="AM24" s="383"/>
      <c r="AN24" s="384"/>
      <c r="AO24" s="385"/>
      <c r="AP24" s="383"/>
      <c r="AQ24" s="384"/>
      <c r="AR24" s="385"/>
      <c r="AS24" s="383"/>
      <c r="AT24" s="384"/>
      <c r="AU24" s="385"/>
      <c r="AV24" s="383"/>
      <c r="AW24" s="384"/>
      <c r="AX24" s="385"/>
      <c r="AY24" s="383"/>
      <c r="AZ24" s="384"/>
      <c r="BA24" s="385"/>
      <c r="BB24" s="386"/>
      <c r="BC24" s="387"/>
      <c r="BD24" s="388"/>
      <c r="BE24" s="386"/>
      <c r="BF24" s="387"/>
      <c r="BG24" s="388"/>
      <c r="BH24" s="386"/>
      <c r="BI24" s="387"/>
      <c r="BJ24" s="388"/>
      <c r="BK24" s="386"/>
      <c r="BL24" s="387"/>
      <c r="BM24" s="388"/>
      <c r="BN24" s="386"/>
      <c r="BO24" s="387"/>
      <c r="BP24" s="388"/>
      <c r="BQ24" s="386"/>
      <c r="BR24" s="387"/>
      <c r="BS24" s="388"/>
      <c r="BT24" s="386"/>
      <c r="BU24" s="387"/>
      <c r="BV24" s="388"/>
      <c r="BW24" s="386"/>
      <c r="BX24" s="387"/>
      <c r="BY24" s="388"/>
      <c r="BZ24" s="386"/>
      <c r="CA24" s="387"/>
      <c r="CB24" s="388"/>
      <c r="CC24" s="386"/>
      <c r="CD24" s="387"/>
      <c r="CE24" s="388"/>
      <c r="CF24" s="386"/>
      <c r="CG24" s="387"/>
      <c r="CH24" s="388"/>
      <c r="CI24" s="386"/>
      <c r="CJ24" s="387"/>
      <c r="CK24" s="388"/>
      <c r="CL24" s="386"/>
      <c r="CM24" s="387"/>
      <c r="CN24" s="388"/>
      <c r="CO24" s="386"/>
      <c r="CP24" s="387"/>
      <c r="CQ24" s="388"/>
      <c r="CR24" s="386"/>
      <c r="CS24" s="387"/>
      <c r="CT24" s="388"/>
      <c r="CU24" s="386"/>
      <c r="CV24" s="387"/>
      <c r="CW24" s="388"/>
      <c r="CX24" s="386"/>
      <c r="CY24" s="387"/>
      <c r="CZ24" s="388"/>
    </row>
    <row r="25">
      <c r="A25" s="1"/>
      <c r="B25" s="402"/>
      <c r="C25" s="362" t="str">
        <f>'5-0 Товары'!C25</f>
        <v>ID_T015</v>
      </c>
      <c r="D25" s="363" t="str">
        <f>'5-0 Товары'!D25</f>
        <v>15</v>
      </c>
      <c r="E25" s="364" t="str">
        <f>'5-0 Товары'!E25</f>
        <v>Масляный фильтр W13145/3</v>
      </c>
      <c r="F25" s="380"/>
      <c r="G25" s="380"/>
      <c r="H25" s="364" t="str">
        <f>'5-0 Товары'!F25</f>
        <v/>
      </c>
      <c r="I25" s="391"/>
      <c r="J25" s="364" t="str">
        <f>'5-0 Товары'!G25</f>
        <v>шт.</v>
      </c>
      <c r="K25" s="366">
        <f>'5-0 Товары'!H25</f>
        <v>4</v>
      </c>
      <c r="L25" s="382">
        <f t="shared" si="1"/>
        <v>0</v>
      </c>
      <c r="M25" s="382">
        <v>0.0</v>
      </c>
      <c r="N25" s="380" t="str">
        <f>IFERROR(__xludf.DUMMYFUNCTION("""COMPUTED_VALUE"""),"Мало 0")</f>
        <v>Мало 0</v>
      </c>
      <c r="O25" s="369" t="str">
        <f>'5-0 Товары'!I25</f>
        <v/>
      </c>
      <c r="P25" s="371" t="str">
        <f>'5-0 Товары'!N25</f>
        <v/>
      </c>
      <c r="Q25" s="197"/>
      <c r="R25" s="193"/>
      <c r="S25" s="187"/>
      <c r="T25" s="187">
        <f>IFERROR(__xludf.DUMMYFUNCTION("""COMPUTED_VALUE"""),0.0)</f>
        <v>0</v>
      </c>
      <c r="U25" s="187"/>
      <c r="V25" s="187"/>
      <c r="W25" s="187"/>
      <c r="X25" s="187"/>
      <c r="Y25" s="187" t="s">
        <v>96</v>
      </c>
      <c r="Z25" s="193" t="str">
        <f t="shared" si="2"/>
        <v>ID_T015</v>
      </c>
      <c r="AA25" s="383"/>
      <c r="AB25" s="384"/>
      <c r="AC25" s="385"/>
      <c r="AD25" s="383"/>
      <c r="AE25" s="384"/>
      <c r="AF25" s="385"/>
      <c r="AG25" s="383"/>
      <c r="AH25" s="384"/>
      <c r="AI25" s="385"/>
      <c r="AJ25" s="383"/>
      <c r="AK25" s="384"/>
      <c r="AL25" s="385"/>
      <c r="AM25" s="383"/>
      <c r="AN25" s="384"/>
      <c r="AO25" s="385"/>
      <c r="AP25" s="383"/>
      <c r="AQ25" s="384"/>
      <c r="AR25" s="385"/>
      <c r="AS25" s="383"/>
      <c r="AT25" s="384"/>
      <c r="AU25" s="385"/>
      <c r="AV25" s="383"/>
      <c r="AW25" s="384"/>
      <c r="AX25" s="385"/>
      <c r="AY25" s="383"/>
      <c r="AZ25" s="384"/>
      <c r="BA25" s="385"/>
      <c r="BB25" s="386"/>
      <c r="BC25" s="387"/>
      <c r="BD25" s="388"/>
      <c r="BE25" s="386"/>
      <c r="BF25" s="387"/>
      <c r="BG25" s="388"/>
      <c r="BH25" s="386"/>
      <c r="BI25" s="387"/>
      <c r="BJ25" s="388"/>
      <c r="BK25" s="386"/>
      <c r="BL25" s="387"/>
      <c r="BM25" s="388"/>
      <c r="BN25" s="386"/>
      <c r="BO25" s="387"/>
      <c r="BP25" s="388"/>
      <c r="BQ25" s="386"/>
      <c r="BR25" s="387"/>
      <c r="BS25" s="388"/>
      <c r="BT25" s="386"/>
      <c r="BU25" s="387"/>
      <c r="BV25" s="388"/>
      <c r="BW25" s="386"/>
      <c r="BX25" s="387"/>
      <c r="BY25" s="388"/>
      <c r="BZ25" s="386"/>
      <c r="CA25" s="387"/>
      <c r="CB25" s="388"/>
      <c r="CC25" s="386"/>
      <c r="CD25" s="387"/>
      <c r="CE25" s="388"/>
      <c r="CF25" s="386"/>
      <c r="CG25" s="387"/>
      <c r="CH25" s="388"/>
      <c r="CI25" s="386"/>
      <c r="CJ25" s="387"/>
      <c r="CK25" s="388"/>
      <c r="CL25" s="386"/>
      <c r="CM25" s="387"/>
      <c r="CN25" s="388"/>
      <c r="CO25" s="386"/>
      <c r="CP25" s="387"/>
      <c r="CQ25" s="388"/>
      <c r="CR25" s="386"/>
      <c r="CS25" s="387"/>
      <c r="CT25" s="388"/>
      <c r="CU25" s="386"/>
      <c r="CV25" s="387"/>
      <c r="CW25" s="388"/>
      <c r="CX25" s="386"/>
      <c r="CY25" s="387"/>
      <c r="CZ25" s="388"/>
    </row>
    <row r="26">
      <c r="A26" s="1"/>
      <c r="B26" s="402"/>
      <c r="C26" s="362" t="str">
        <f>'5-0 Товары'!C26</f>
        <v>ID_T016</v>
      </c>
      <c r="D26" s="363" t="str">
        <f>'5-0 Товары'!D26</f>
        <v>16</v>
      </c>
      <c r="E26" s="364" t="str">
        <f>'5-0 Товары'!E26</f>
        <v/>
      </c>
      <c r="F26" s="380"/>
      <c r="G26" s="380"/>
      <c r="H26" s="364" t="str">
        <f>'5-0 Товары'!F26</f>
        <v/>
      </c>
      <c r="I26" s="391"/>
      <c r="J26" s="364" t="str">
        <f>'5-0 Товары'!G26</f>
        <v/>
      </c>
      <c r="K26" s="366" t="str">
        <f>'5-0 Товары'!H26</f>
        <v/>
      </c>
      <c r="L26" s="382">
        <f t="shared" si="1"/>
        <v>0</v>
      </c>
      <c r="M26" s="382">
        <v>0.0</v>
      </c>
      <c r="N26" s="380" t="str">
        <f>IFERROR(__xludf.DUMMYFUNCTION("""COMPUTED_VALUE"""),"Мало 0")</f>
        <v>Мало 0</v>
      </c>
      <c r="O26" s="369" t="str">
        <f>'5-0 Товары'!I26</f>
        <v/>
      </c>
      <c r="P26" s="371" t="str">
        <f>'5-0 Товары'!N26</f>
        <v/>
      </c>
      <c r="Q26" s="197"/>
      <c r="R26" s="193"/>
      <c r="S26" s="187"/>
      <c r="T26" s="187"/>
      <c r="U26" s="187"/>
      <c r="V26" s="187"/>
      <c r="W26" s="187"/>
      <c r="X26" s="187"/>
      <c r="Y26" s="187" t="s">
        <v>96</v>
      </c>
      <c r="Z26" s="193" t="str">
        <f t="shared" si="2"/>
        <v>ID_T016</v>
      </c>
      <c r="AA26" s="383"/>
      <c r="AB26" s="384"/>
      <c r="AC26" s="385"/>
      <c r="AD26" s="383"/>
      <c r="AE26" s="384"/>
      <c r="AF26" s="385"/>
      <c r="AG26" s="383"/>
      <c r="AH26" s="384"/>
      <c r="AI26" s="385"/>
      <c r="AJ26" s="383"/>
      <c r="AK26" s="384"/>
      <c r="AL26" s="385"/>
      <c r="AM26" s="383"/>
      <c r="AN26" s="384"/>
      <c r="AO26" s="385"/>
      <c r="AP26" s="383"/>
      <c r="AQ26" s="384"/>
      <c r="AR26" s="385"/>
      <c r="AS26" s="383"/>
      <c r="AT26" s="384"/>
      <c r="AU26" s="385"/>
      <c r="AV26" s="383"/>
      <c r="AW26" s="384"/>
      <c r="AX26" s="385"/>
      <c r="AY26" s="383"/>
      <c r="AZ26" s="384"/>
      <c r="BA26" s="385"/>
      <c r="BB26" s="386"/>
      <c r="BC26" s="387"/>
      <c r="BD26" s="388"/>
      <c r="BE26" s="386"/>
      <c r="BF26" s="387"/>
      <c r="BG26" s="388"/>
      <c r="BH26" s="386"/>
      <c r="BI26" s="387"/>
      <c r="BJ26" s="388"/>
      <c r="BK26" s="386"/>
      <c r="BL26" s="387"/>
      <c r="BM26" s="388"/>
      <c r="BN26" s="386"/>
      <c r="BO26" s="387"/>
      <c r="BP26" s="388"/>
      <c r="BQ26" s="386"/>
      <c r="BR26" s="387"/>
      <c r="BS26" s="388"/>
      <c r="BT26" s="386"/>
      <c r="BU26" s="387"/>
      <c r="BV26" s="388"/>
      <c r="BW26" s="386"/>
      <c r="BX26" s="387"/>
      <c r="BY26" s="388"/>
      <c r="BZ26" s="386"/>
      <c r="CA26" s="387"/>
      <c r="CB26" s="388"/>
      <c r="CC26" s="386"/>
      <c r="CD26" s="387"/>
      <c r="CE26" s="388"/>
      <c r="CF26" s="386"/>
      <c r="CG26" s="387"/>
      <c r="CH26" s="388"/>
      <c r="CI26" s="386"/>
      <c r="CJ26" s="387"/>
      <c r="CK26" s="388"/>
      <c r="CL26" s="386"/>
      <c r="CM26" s="387"/>
      <c r="CN26" s="388"/>
      <c r="CO26" s="386"/>
      <c r="CP26" s="387"/>
      <c r="CQ26" s="388"/>
      <c r="CR26" s="386"/>
      <c r="CS26" s="387"/>
      <c r="CT26" s="388"/>
      <c r="CU26" s="386"/>
      <c r="CV26" s="387"/>
      <c r="CW26" s="388"/>
      <c r="CX26" s="386"/>
      <c r="CY26" s="387"/>
      <c r="CZ26" s="388"/>
    </row>
    <row r="27">
      <c r="A27" s="1"/>
      <c r="B27" s="402"/>
      <c r="C27" s="362" t="str">
        <f>'5-0 Товары'!C27</f>
        <v>ID_T017</v>
      </c>
      <c r="D27" s="363" t="str">
        <f>'5-0 Товары'!D27</f>
        <v>17</v>
      </c>
      <c r="E27" s="364" t="str">
        <f>'5-0 Товары'!E27</f>
        <v/>
      </c>
      <c r="F27" s="380"/>
      <c r="G27" s="380"/>
      <c r="H27" s="364" t="str">
        <f>'5-0 Товары'!F27</f>
        <v/>
      </c>
      <c r="I27" s="391"/>
      <c r="J27" s="364" t="str">
        <f>'5-0 Товары'!G27</f>
        <v/>
      </c>
      <c r="K27" s="366" t="str">
        <f>'5-0 Товары'!H27</f>
        <v/>
      </c>
      <c r="L27" s="382">
        <f t="shared" si="1"/>
        <v>0</v>
      </c>
      <c r="M27" s="382">
        <v>0.0</v>
      </c>
      <c r="N27" s="380" t="str">
        <f>IFERROR(__xludf.DUMMYFUNCTION("""COMPUTED_VALUE"""),"Мало 0")</f>
        <v>Мало 0</v>
      </c>
      <c r="O27" s="369" t="str">
        <f>'5-0 Товары'!I27</f>
        <v/>
      </c>
      <c r="P27" s="371" t="str">
        <f>'5-0 Товары'!N27</f>
        <v/>
      </c>
      <c r="Q27" s="197"/>
      <c r="R27" s="193"/>
      <c r="S27" s="187"/>
      <c r="T27" s="187"/>
      <c r="U27" s="187"/>
      <c r="V27" s="187"/>
      <c r="W27" s="187"/>
      <c r="X27" s="187"/>
      <c r="Y27" s="187" t="s">
        <v>96</v>
      </c>
      <c r="Z27" s="193" t="str">
        <f t="shared" si="2"/>
        <v>ID_T017</v>
      </c>
      <c r="AA27" s="439"/>
      <c r="AB27" s="384"/>
      <c r="AC27" s="385"/>
      <c r="AD27" s="383"/>
      <c r="AE27" s="384"/>
      <c r="AF27" s="385"/>
      <c r="AG27" s="383"/>
      <c r="AH27" s="384"/>
      <c r="AI27" s="385"/>
      <c r="AJ27" s="383"/>
      <c r="AK27" s="384"/>
      <c r="AL27" s="385"/>
      <c r="AM27" s="383"/>
      <c r="AN27" s="384"/>
      <c r="AO27" s="385"/>
      <c r="AP27" s="383"/>
      <c r="AQ27" s="384"/>
      <c r="AR27" s="385"/>
      <c r="AS27" s="383"/>
      <c r="AT27" s="384"/>
      <c r="AU27" s="385"/>
      <c r="AV27" s="383"/>
      <c r="AW27" s="384"/>
      <c r="AX27" s="385"/>
      <c r="AY27" s="383"/>
      <c r="AZ27" s="384"/>
      <c r="BA27" s="385"/>
      <c r="BB27" s="386"/>
      <c r="BC27" s="387"/>
      <c r="BD27" s="388"/>
      <c r="BE27" s="386"/>
      <c r="BF27" s="387"/>
      <c r="BG27" s="388"/>
      <c r="BH27" s="386"/>
      <c r="BI27" s="387"/>
      <c r="BJ27" s="388"/>
      <c r="BK27" s="386"/>
      <c r="BL27" s="387"/>
      <c r="BM27" s="388"/>
      <c r="BN27" s="386"/>
      <c r="BO27" s="387"/>
      <c r="BP27" s="388"/>
      <c r="BQ27" s="386"/>
      <c r="BR27" s="387"/>
      <c r="BS27" s="388"/>
      <c r="BT27" s="386"/>
      <c r="BU27" s="387"/>
      <c r="BV27" s="388"/>
      <c r="BW27" s="386"/>
      <c r="BX27" s="387"/>
      <c r="BY27" s="388"/>
      <c r="BZ27" s="386"/>
      <c r="CA27" s="387"/>
      <c r="CB27" s="388"/>
      <c r="CC27" s="386"/>
      <c r="CD27" s="387"/>
      <c r="CE27" s="388"/>
      <c r="CF27" s="386"/>
      <c r="CG27" s="387"/>
      <c r="CH27" s="388"/>
      <c r="CI27" s="386"/>
      <c r="CJ27" s="387"/>
      <c r="CK27" s="388"/>
      <c r="CL27" s="386"/>
      <c r="CM27" s="387"/>
      <c r="CN27" s="388"/>
      <c r="CO27" s="386"/>
      <c r="CP27" s="387"/>
      <c r="CQ27" s="388"/>
      <c r="CR27" s="386"/>
      <c r="CS27" s="387"/>
      <c r="CT27" s="388"/>
      <c r="CU27" s="386"/>
      <c r="CV27" s="387"/>
      <c r="CW27" s="388"/>
      <c r="CX27" s="386"/>
      <c r="CY27" s="387"/>
      <c r="CZ27" s="388"/>
    </row>
    <row r="28">
      <c r="A28" s="1"/>
      <c r="B28" s="402"/>
      <c r="C28" s="362" t="str">
        <f>'5-0 Товары'!C28</f>
        <v>ID_T018</v>
      </c>
      <c r="D28" s="363" t="str">
        <f>'5-0 Товары'!D28</f>
        <v>18</v>
      </c>
      <c r="E28" s="364" t="str">
        <f>'5-0 Товары'!E28</f>
        <v/>
      </c>
      <c r="F28" s="380"/>
      <c r="G28" s="380"/>
      <c r="H28" s="364" t="str">
        <f>'5-0 Товары'!F28</f>
        <v/>
      </c>
      <c r="I28" s="391"/>
      <c r="J28" s="364" t="str">
        <f>'5-0 Товары'!G28</f>
        <v/>
      </c>
      <c r="K28" s="366" t="str">
        <f>'5-0 Товары'!H28</f>
        <v/>
      </c>
      <c r="L28" s="382">
        <f t="shared" si="1"/>
        <v>0</v>
      </c>
      <c r="M28" s="382">
        <v>0.0</v>
      </c>
      <c r="N28" s="380" t="str">
        <f>IFERROR(__xludf.DUMMYFUNCTION("""COMPUTED_VALUE"""),"Мало 0")</f>
        <v>Мало 0</v>
      </c>
      <c r="O28" s="369" t="str">
        <f>'5-0 Товары'!I28</f>
        <v/>
      </c>
      <c r="P28" s="371" t="str">
        <f>'5-0 Товары'!N28</f>
        <v/>
      </c>
      <c r="Q28" s="197"/>
      <c r="R28" s="193"/>
      <c r="S28" s="187"/>
      <c r="T28" s="187"/>
      <c r="U28" s="187"/>
      <c r="V28" s="187"/>
      <c r="W28" s="187"/>
      <c r="X28" s="187"/>
      <c r="Y28" s="187" t="s">
        <v>96</v>
      </c>
      <c r="Z28" s="193" t="str">
        <f t="shared" si="2"/>
        <v>ID_T018</v>
      </c>
      <c r="AA28" s="383"/>
      <c r="AB28" s="384"/>
      <c r="AC28" s="385"/>
      <c r="AD28" s="383"/>
      <c r="AE28" s="384"/>
      <c r="AF28" s="385"/>
      <c r="AG28" s="383"/>
      <c r="AH28" s="384"/>
      <c r="AI28" s="385"/>
      <c r="AJ28" s="383"/>
      <c r="AK28" s="384"/>
      <c r="AL28" s="385"/>
      <c r="AM28" s="383"/>
      <c r="AN28" s="384"/>
      <c r="AO28" s="385"/>
      <c r="AP28" s="383"/>
      <c r="AQ28" s="384"/>
      <c r="AR28" s="385"/>
      <c r="AS28" s="383"/>
      <c r="AT28" s="384"/>
      <c r="AU28" s="385"/>
      <c r="AV28" s="383"/>
      <c r="AW28" s="384"/>
      <c r="AX28" s="385"/>
      <c r="AY28" s="383"/>
      <c r="AZ28" s="384"/>
      <c r="BA28" s="385"/>
      <c r="BB28" s="386"/>
      <c r="BC28" s="387"/>
      <c r="BD28" s="388"/>
      <c r="BE28" s="386"/>
      <c r="BF28" s="387"/>
      <c r="BG28" s="388"/>
      <c r="BH28" s="386"/>
      <c r="BI28" s="387"/>
      <c r="BJ28" s="388"/>
      <c r="BK28" s="386"/>
      <c r="BL28" s="387"/>
      <c r="BM28" s="388"/>
      <c r="BN28" s="386"/>
      <c r="BO28" s="387"/>
      <c r="BP28" s="388"/>
      <c r="BQ28" s="386"/>
      <c r="BR28" s="387"/>
      <c r="BS28" s="388"/>
      <c r="BT28" s="386"/>
      <c r="BU28" s="387"/>
      <c r="BV28" s="388"/>
      <c r="BW28" s="386"/>
      <c r="BX28" s="387"/>
      <c r="BY28" s="388"/>
      <c r="BZ28" s="386"/>
      <c r="CA28" s="387"/>
      <c r="CB28" s="388"/>
      <c r="CC28" s="386"/>
      <c r="CD28" s="387"/>
      <c r="CE28" s="388"/>
      <c r="CF28" s="386"/>
      <c r="CG28" s="387"/>
      <c r="CH28" s="388"/>
      <c r="CI28" s="386"/>
      <c r="CJ28" s="387"/>
      <c r="CK28" s="388"/>
      <c r="CL28" s="386"/>
      <c r="CM28" s="387"/>
      <c r="CN28" s="388"/>
      <c r="CO28" s="386"/>
      <c r="CP28" s="387"/>
      <c r="CQ28" s="388"/>
      <c r="CR28" s="386"/>
      <c r="CS28" s="387"/>
      <c r="CT28" s="388"/>
      <c r="CU28" s="386"/>
      <c r="CV28" s="387"/>
      <c r="CW28" s="388"/>
      <c r="CX28" s="386"/>
      <c r="CY28" s="387"/>
      <c r="CZ28" s="388"/>
    </row>
    <row r="29">
      <c r="A29" s="1"/>
      <c r="B29" s="402"/>
      <c r="C29" s="362" t="str">
        <f>'5-0 Товары'!C29</f>
        <v>ID_T019</v>
      </c>
      <c r="D29" s="363" t="str">
        <f>'5-0 Товары'!D29</f>
        <v>19</v>
      </c>
      <c r="E29" s="364" t="str">
        <f>'5-0 Товары'!E29</f>
        <v/>
      </c>
      <c r="F29" s="380"/>
      <c r="G29" s="380"/>
      <c r="H29" s="364" t="str">
        <f>'5-0 Товары'!F29</f>
        <v/>
      </c>
      <c r="I29" s="391"/>
      <c r="J29" s="364" t="str">
        <f>'5-0 Товары'!G29</f>
        <v/>
      </c>
      <c r="K29" s="366" t="str">
        <f>'5-0 Товары'!H29</f>
        <v/>
      </c>
      <c r="L29" s="382">
        <f t="shared" si="1"/>
        <v>0</v>
      </c>
      <c r="M29" s="382">
        <v>0.0</v>
      </c>
      <c r="N29" s="380" t="str">
        <f>IFERROR(__xludf.DUMMYFUNCTION("""COMPUTED_VALUE"""),"Мало 0")</f>
        <v>Мало 0</v>
      </c>
      <c r="O29" s="369" t="str">
        <f>'5-0 Товары'!I29</f>
        <v/>
      </c>
      <c r="P29" s="371" t="str">
        <f>'5-0 Товары'!N29</f>
        <v/>
      </c>
      <c r="Q29" s="197"/>
      <c r="R29" s="193"/>
      <c r="S29" s="187"/>
      <c r="T29" s="187"/>
      <c r="U29" s="187"/>
      <c r="V29" s="187"/>
      <c r="W29" s="187"/>
      <c r="X29" s="187"/>
      <c r="Y29" s="187" t="s">
        <v>96</v>
      </c>
      <c r="Z29" s="193" t="str">
        <f t="shared" si="2"/>
        <v>ID_T019</v>
      </c>
      <c r="AA29" s="383"/>
      <c r="AB29" s="384"/>
      <c r="AC29" s="385"/>
      <c r="AD29" s="383"/>
      <c r="AE29" s="384"/>
      <c r="AF29" s="385"/>
      <c r="AG29" s="383"/>
      <c r="AH29" s="384"/>
      <c r="AI29" s="385"/>
      <c r="AJ29" s="383"/>
      <c r="AK29" s="384"/>
      <c r="AL29" s="385"/>
      <c r="AM29" s="383"/>
      <c r="AN29" s="384"/>
      <c r="AO29" s="385"/>
      <c r="AP29" s="383"/>
      <c r="AQ29" s="384"/>
      <c r="AR29" s="385"/>
      <c r="AS29" s="383"/>
      <c r="AT29" s="384"/>
      <c r="AU29" s="385"/>
      <c r="AV29" s="383"/>
      <c r="AW29" s="384"/>
      <c r="AX29" s="385"/>
      <c r="AY29" s="383"/>
      <c r="AZ29" s="384"/>
      <c r="BA29" s="385"/>
      <c r="BB29" s="386"/>
      <c r="BC29" s="387"/>
      <c r="BD29" s="388"/>
      <c r="BE29" s="386"/>
      <c r="BF29" s="387"/>
      <c r="BG29" s="388"/>
      <c r="BH29" s="386"/>
      <c r="BI29" s="387"/>
      <c r="BJ29" s="388"/>
      <c r="BK29" s="386"/>
      <c r="BL29" s="387"/>
      <c r="BM29" s="388"/>
      <c r="BN29" s="386"/>
      <c r="BO29" s="387"/>
      <c r="BP29" s="388"/>
      <c r="BQ29" s="386"/>
      <c r="BR29" s="387"/>
      <c r="BS29" s="388"/>
      <c r="BT29" s="386"/>
      <c r="BU29" s="387"/>
      <c r="BV29" s="388"/>
      <c r="BW29" s="386"/>
      <c r="BX29" s="387"/>
      <c r="BY29" s="388"/>
      <c r="BZ29" s="386"/>
      <c r="CA29" s="387"/>
      <c r="CB29" s="388"/>
      <c r="CC29" s="386"/>
      <c r="CD29" s="387"/>
      <c r="CE29" s="388"/>
      <c r="CF29" s="386"/>
      <c r="CG29" s="387"/>
      <c r="CH29" s="388"/>
      <c r="CI29" s="386"/>
      <c r="CJ29" s="387"/>
      <c r="CK29" s="388"/>
      <c r="CL29" s="386"/>
      <c r="CM29" s="387"/>
      <c r="CN29" s="388"/>
      <c r="CO29" s="386"/>
      <c r="CP29" s="387"/>
      <c r="CQ29" s="388"/>
      <c r="CR29" s="386"/>
      <c r="CS29" s="387"/>
      <c r="CT29" s="388"/>
      <c r="CU29" s="386"/>
      <c r="CV29" s="387"/>
      <c r="CW29" s="388"/>
      <c r="CX29" s="386"/>
      <c r="CY29" s="387"/>
      <c r="CZ29" s="388"/>
    </row>
    <row r="30">
      <c r="A30" s="1"/>
      <c r="B30" s="402"/>
      <c r="C30" s="362" t="str">
        <f>'5-0 Товары'!C30</f>
        <v>ID_T020</v>
      </c>
      <c r="D30" s="363" t="str">
        <f>'5-0 Товары'!D30</f>
        <v>20</v>
      </c>
      <c r="E30" s="364" t="str">
        <f>'5-0 Товары'!E30</f>
        <v/>
      </c>
      <c r="F30" s="380"/>
      <c r="G30" s="380"/>
      <c r="H30" s="364" t="str">
        <f>'5-0 Товары'!F30</f>
        <v/>
      </c>
      <c r="I30" s="391"/>
      <c r="J30" s="364" t="str">
        <f>'5-0 Товары'!G30</f>
        <v/>
      </c>
      <c r="K30" s="366" t="str">
        <f>'5-0 Товары'!H30</f>
        <v/>
      </c>
      <c r="L30" s="382">
        <f t="shared" si="1"/>
        <v>0</v>
      </c>
      <c r="M30" s="382">
        <v>0.0</v>
      </c>
      <c r="N30" s="380" t="str">
        <f>IFERROR(__xludf.DUMMYFUNCTION("""COMPUTED_VALUE"""),"Мало 0")</f>
        <v>Мало 0</v>
      </c>
      <c r="O30" s="369" t="str">
        <f>'5-0 Товары'!I30</f>
        <v/>
      </c>
      <c r="P30" s="371" t="str">
        <f>'5-0 Товары'!N30</f>
        <v/>
      </c>
      <c r="Q30" s="197"/>
      <c r="R30" s="193"/>
      <c r="S30" s="187"/>
      <c r="T30" s="187"/>
      <c r="U30" s="187"/>
      <c r="V30" s="187"/>
      <c r="W30" s="187"/>
      <c r="X30" s="187"/>
      <c r="Y30" s="187" t="s">
        <v>96</v>
      </c>
      <c r="Z30" s="193" t="str">
        <f t="shared" si="2"/>
        <v>ID_T020</v>
      </c>
      <c r="AA30" s="383"/>
      <c r="AB30" s="384"/>
      <c r="AC30" s="385"/>
      <c r="AD30" s="383"/>
      <c r="AE30" s="384"/>
      <c r="AF30" s="385"/>
      <c r="AG30" s="383"/>
      <c r="AH30" s="384"/>
      <c r="AI30" s="385"/>
      <c r="AJ30" s="383"/>
      <c r="AK30" s="384"/>
      <c r="AL30" s="385"/>
      <c r="AM30" s="383"/>
      <c r="AN30" s="384"/>
      <c r="AO30" s="385"/>
      <c r="AP30" s="383"/>
      <c r="AQ30" s="384"/>
      <c r="AR30" s="385"/>
      <c r="AS30" s="383"/>
      <c r="AT30" s="384"/>
      <c r="AU30" s="385"/>
      <c r="AV30" s="383"/>
      <c r="AW30" s="384"/>
      <c r="AX30" s="385"/>
      <c r="AY30" s="383"/>
      <c r="AZ30" s="384"/>
      <c r="BA30" s="385"/>
      <c r="BB30" s="386"/>
      <c r="BC30" s="387"/>
      <c r="BD30" s="388"/>
      <c r="BE30" s="386"/>
      <c r="BF30" s="387"/>
      <c r="BG30" s="388"/>
      <c r="BH30" s="386"/>
      <c r="BI30" s="387"/>
      <c r="BJ30" s="388"/>
      <c r="BK30" s="386"/>
      <c r="BL30" s="387"/>
      <c r="BM30" s="388"/>
      <c r="BN30" s="386"/>
      <c r="BO30" s="387"/>
      <c r="BP30" s="388"/>
      <c r="BQ30" s="386"/>
      <c r="BR30" s="387"/>
      <c r="BS30" s="388"/>
      <c r="BT30" s="386"/>
      <c r="BU30" s="387"/>
      <c r="BV30" s="388"/>
      <c r="BW30" s="386"/>
      <c r="BX30" s="387"/>
      <c r="BY30" s="388"/>
      <c r="BZ30" s="386"/>
      <c r="CA30" s="387"/>
      <c r="CB30" s="388"/>
      <c r="CC30" s="386"/>
      <c r="CD30" s="387"/>
      <c r="CE30" s="388"/>
      <c r="CF30" s="386"/>
      <c r="CG30" s="387"/>
      <c r="CH30" s="388"/>
      <c r="CI30" s="386"/>
      <c r="CJ30" s="387"/>
      <c r="CK30" s="388"/>
      <c r="CL30" s="386"/>
      <c r="CM30" s="387"/>
      <c r="CN30" s="388"/>
      <c r="CO30" s="386"/>
      <c r="CP30" s="387"/>
      <c r="CQ30" s="388"/>
      <c r="CR30" s="386"/>
      <c r="CS30" s="387"/>
      <c r="CT30" s="388"/>
      <c r="CU30" s="386"/>
      <c r="CV30" s="387"/>
      <c r="CW30" s="388"/>
      <c r="CX30" s="386"/>
      <c r="CY30" s="387"/>
      <c r="CZ30" s="388"/>
    </row>
    <row r="31">
      <c r="A31" s="1"/>
      <c r="B31" s="402"/>
      <c r="C31" s="362" t="str">
        <f>'5-0 Товары'!C31</f>
        <v/>
      </c>
      <c r="D31" s="363" t="str">
        <f>'5-0 Товары'!D31</f>
        <v/>
      </c>
      <c r="E31" s="364" t="str">
        <f>'5-0 Товары'!E31</f>
        <v/>
      </c>
      <c r="F31" s="380"/>
      <c r="G31" s="380"/>
      <c r="H31" s="364" t="str">
        <f>'5-0 Товары'!F31</f>
        <v/>
      </c>
      <c r="I31" s="391"/>
      <c r="J31" s="364" t="str">
        <f>'5-0 Товары'!G31</f>
        <v/>
      </c>
      <c r="K31" s="366" t="str">
        <f>'5-0 Товары'!H31</f>
        <v/>
      </c>
      <c r="L31" s="382" t="str">
        <f t="shared" si="1"/>
        <v/>
      </c>
      <c r="M31" s="382"/>
      <c r="N31" s="380"/>
      <c r="O31" s="369" t="str">
        <f>'5-0 Товары'!I31</f>
        <v/>
      </c>
      <c r="P31" s="371" t="str">
        <f>'5-0 Товары'!N31</f>
        <v/>
      </c>
      <c r="Q31" s="197"/>
      <c r="R31" s="193"/>
      <c r="S31" s="187"/>
      <c r="T31" s="187"/>
      <c r="U31" s="187"/>
      <c r="V31" s="187"/>
      <c r="W31" s="187"/>
      <c r="X31" s="187"/>
      <c r="Y31" s="187" t="s">
        <v>96</v>
      </c>
      <c r="Z31" s="193" t="str">
        <f t="shared" si="2"/>
        <v/>
      </c>
      <c r="AA31" s="383"/>
      <c r="AB31" s="384"/>
      <c r="AC31" s="385"/>
      <c r="AD31" s="383"/>
      <c r="AE31" s="384"/>
      <c r="AF31" s="385"/>
      <c r="AG31" s="383"/>
      <c r="AH31" s="384"/>
      <c r="AI31" s="385"/>
      <c r="AJ31" s="383"/>
      <c r="AK31" s="384"/>
      <c r="AL31" s="385"/>
      <c r="AM31" s="383"/>
      <c r="AN31" s="384"/>
      <c r="AO31" s="385"/>
      <c r="AP31" s="383"/>
      <c r="AQ31" s="384"/>
      <c r="AR31" s="385"/>
      <c r="AS31" s="383"/>
      <c r="AT31" s="384"/>
      <c r="AU31" s="385"/>
      <c r="AV31" s="383"/>
      <c r="AW31" s="384"/>
      <c r="AX31" s="385"/>
      <c r="AY31" s="383"/>
      <c r="AZ31" s="384"/>
      <c r="BA31" s="385"/>
      <c r="BB31" s="386"/>
      <c r="BC31" s="387"/>
      <c r="BD31" s="388"/>
      <c r="BE31" s="386"/>
      <c r="BF31" s="387"/>
      <c r="BG31" s="388"/>
      <c r="BH31" s="386"/>
      <c r="BI31" s="387"/>
      <c r="BJ31" s="388"/>
      <c r="BK31" s="386"/>
      <c r="BL31" s="387"/>
      <c r="BM31" s="388"/>
      <c r="BN31" s="386"/>
      <c r="BO31" s="387"/>
      <c r="BP31" s="388"/>
      <c r="BQ31" s="386"/>
      <c r="BR31" s="387"/>
      <c r="BS31" s="388"/>
      <c r="BT31" s="386"/>
      <c r="BU31" s="387"/>
      <c r="BV31" s="388"/>
      <c r="BW31" s="386"/>
      <c r="BX31" s="387"/>
      <c r="BY31" s="388"/>
      <c r="BZ31" s="386"/>
      <c r="CA31" s="387"/>
      <c r="CB31" s="388"/>
      <c r="CC31" s="386"/>
      <c r="CD31" s="387"/>
      <c r="CE31" s="388"/>
      <c r="CF31" s="386"/>
      <c r="CG31" s="387"/>
      <c r="CH31" s="388"/>
      <c r="CI31" s="386"/>
      <c r="CJ31" s="387"/>
      <c r="CK31" s="388"/>
      <c r="CL31" s="386"/>
      <c r="CM31" s="387"/>
      <c r="CN31" s="388"/>
      <c r="CO31" s="386"/>
      <c r="CP31" s="387"/>
      <c r="CQ31" s="388"/>
      <c r="CR31" s="386"/>
      <c r="CS31" s="387"/>
      <c r="CT31" s="388"/>
      <c r="CU31" s="386"/>
      <c r="CV31" s="387"/>
      <c r="CW31" s="388"/>
      <c r="CX31" s="386"/>
      <c r="CY31" s="387"/>
      <c r="CZ31" s="388"/>
    </row>
    <row r="32">
      <c r="A32" s="1"/>
      <c r="B32" s="402"/>
      <c r="C32" s="362" t="str">
        <f>'5-0 Товары'!C32</f>
        <v/>
      </c>
      <c r="D32" s="363" t="str">
        <f>'5-0 Товары'!D32</f>
        <v/>
      </c>
      <c r="E32" s="364" t="str">
        <f>'5-0 Товары'!E32</f>
        <v/>
      </c>
      <c r="F32" s="380"/>
      <c r="G32" s="380"/>
      <c r="H32" s="364" t="str">
        <f>'5-0 Товары'!F32</f>
        <v/>
      </c>
      <c r="I32" s="391"/>
      <c r="J32" s="364" t="str">
        <f>'5-0 Товары'!G32</f>
        <v/>
      </c>
      <c r="K32" s="366" t="str">
        <f>'5-0 Товары'!H32</f>
        <v/>
      </c>
      <c r="L32" s="382" t="str">
        <f t="shared" si="1"/>
        <v/>
      </c>
      <c r="M32" s="382"/>
      <c r="N32" s="380"/>
      <c r="O32" s="369" t="str">
        <f>'5-0 Товары'!I32</f>
        <v/>
      </c>
      <c r="P32" s="371" t="str">
        <f>'5-0 Товары'!N32</f>
        <v/>
      </c>
      <c r="Q32" s="197"/>
      <c r="R32" s="193"/>
      <c r="S32" s="187"/>
      <c r="T32" s="187"/>
      <c r="U32" s="187"/>
      <c r="V32" s="187"/>
      <c r="W32" s="187"/>
      <c r="X32" s="187"/>
      <c r="Y32" s="187" t="s">
        <v>96</v>
      </c>
      <c r="Z32" s="193" t="str">
        <f t="shared" si="2"/>
        <v/>
      </c>
      <c r="AA32" s="383"/>
      <c r="AB32" s="384"/>
      <c r="AC32" s="385"/>
      <c r="AD32" s="383"/>
      <c r="AE32" s="384"/>
      <c r="AF32" s="385"/>
      <c r="AG32" s="383"/>
      <c r="AH32" s="384"/>
      <c r="AI32" s="385"/>
      <c r="AJ32" s="383"/>
      <c r="AK32" s="384"/>
      <c r="AL32" s="385"/>
      <c r="AM32" s="383"/>
      <c r="AN32" s="384"/>
      <c r="AO32" s="385"/>
      <c r="AP32" s="383"/>
      <c r="AQ32" s="384"/>
      <c r="AR32" s="385"/>
      <c r="AS32" s="383"/>
      <c r="AT32" s="384"/>
      <c r="AU32" s="385"/>
      <c r="AV32" s="383"/>
      <c r="AW32" s="384"/>
      <c r="AX32" s="385"/>
      <c r="AY32" s="383"/>
      <c r="AZ32" s="384"/>
      <c r="BA32" s="385"/>
      <c r="BB32" s="386"/>
      <c r="BC32" s="387"/>
      <c r="BD32" s="388"/>
      <c r="BE32" s="386"/>
      <c r="BF32" s="387"/>
      <c r="BG32" s="388"/>
      <c r="BH32" s="386"/>
      <c r="BI32" s="387"/>
      <c r="BJ32" s="388"/>
      <c r="BK32" s="386"/>
      <c r="BL32" s="387"/>
      <c r="BM32" s="388"/>
      <c r="BN32" s="386"/>
      <c r="BO32" s="387"/>
      <c r="BP32" s="388"/>
      <c r="BQ32" s="386"/>
      <c r="BR32" s="387"/>
      <c r="BS32" s="388"/>
      <c r="BT32" s="386"/>
      <c r="BU32" s="387"/>
      <c r="BV32" s="388"/>
      <c r="BW32" s="386"/>
      <c r="BX32" s="387"/>
      <c r="BY32" s="388"/>
      <c r="BZ32" s="386"/>
      <c r="CA32" s="387"/>
      <c r="CB32" s="388"/>
      <c r="CC32" s="386"/>
      <c r="CD32" s="387"/>
      <c r="CE32" s="388"/>
      <c r="CF32" s="386"/>
      <c r="CG32" s="387"/>
      <c r="CH32" s="388"/>
      <c r="CI32" s="386"/>
      <c r="CJ32" s="387"/>
      <c r="CK32" s="388"/>
      <c r="CL32" s="386"/>
      <c r="CM32" s="387"/>
      <c r="CN32" s="388"/>
      <c r="CO32" s="386"/>
      <c r="CP32" s="387"/>
      <c r="CQ32" s="388"/>
      <c r="CR32" s="386"/>
      <c r="CS32" s="387"/>
      <c r="CT32" s="388"/>
      <c r="CU32" s="386"/>
      <c r="CV32" s="387"/>
      <c r="CW32" s="388"/>
      <c r="CX32" s="386"/>
      <c r="CY32" s="387"/>
      <c r="CZ32" s="388"/>
    </row>
    <row r="33">
      <c r="A33" s="1"/>
      <c r="B33" s="402"/>
      <c r="C33" s="362" t="str">
        <f>'5-0 Товары'!C33</f>
        <v/>
      </c>
      <c r="D33" s="363" t="str">
        <f>'5-0 Товары'!D33</f>
        <v/>
      </c>
      <c r="E33" s="364" t="str">
        <f>'5-0 Товары'!E33</f>
        <v/>
      </c>
      <c r="F33" s="380"/>
      <c r="G33" s="380"/>
      <c r="H33" s="364" t="str">
        <f>'5-0 Товары'!F33</f>
        <v/>
      </c>
      <c r="I33" s="391"/>
      <c r="J33" s="364" t="str">
        <f>'5-0 Товары'!G33</f>
        <v/>
      </c>
      <c r="K33" s="366" t="str">
        <f>'5-0 Товары'!H33</f>
        <v/>
      </c>
      <c r="L33" s="382" t="str">
        <f t="shared" si="1"/>
        <v/>
      </c>
      <c r="M33" s="382"/>
      <c r="N33" s="380"/>
      <c r="O33" s="369" t="str">
        <f>'5-0 Товары'!I33</f>
        <v/>
      </c>
      <c r="P33" s="371" t="str">
        <f>'5-0 Товары'!N33</f>
        <v/>
      </c>
      <c r="Q33" s="197"/>
      <c r="R33" s="193"/>
      <c r="S33" s="187"/>
      <c r="T33" s="187"/>
      <c r="U33" s="187"/>
      <c r="V33" s="187"/>
      <c r="W33" s="187"/>
      <c r="X33" s="187"/>
      <c r="Y33" s="187" t="s">
        <v>96</v>
      </c>
      <c r="Z33" s="193" t="str">
        <f t="shared" si="2"/>
        <v/>
      </c>
      <c r="AA33" s="383"/>
      <c r="AB33" s="384"/>
      <c r="AC33" s="385"/>
      <c r="AD33" s="383"/>
      <c r="AE33" s="384"/>
      <c r="AF33" s="385"/>
      <c r="AG33" s="383"/>
      <c r="AH33" s="384"/>
      <c r="AI33" s="385"/>
      <c r="AJ33" s="383"/>
      <c r="AK33" s="384"/>
      <c r="AL33" s="385"/>
      <c r="AM33" s="383"/>
      <c r="AN33" s="384"/>
      <c r="AO33" s="385"/>
      <c r="AP33" s="383"/>
      <c r="AQ33" s="384"/>
      <c r="AR33" s="385"/>
      <c r="AS33" s="383"/>
      <c r="AT33" s="384"/>
      <c r="AU33" s="385"/>
      <c r="AV33" s="383"/>
      <c r="AW33" s="384"/>
      <c r="AX33" s="385"/>
      <c r="AY33" s="383"/>
      <c r="AZ33" s="384"/>
      <c r="BA33" s="385"/>
      <c r="BB33" s="386"/>
      <c r="BC33" s="387"/>
      <c r="BD33" s="388"/>
      <c r="BE33" s="386"/>
      <c r="BF33" s="387"/>
      <c r="BG33" s="388"/>
      <c r="BH33" s="386"/>
      <c r="BI33" s="387"/>
      <c r="BJ33" s="388"/>
      <c r="BK33" s="386"/>
      <c r="BL33" s="387"/>
      <c r="BM33" s="388"/>
      <c r="BN33" s="386"/>
      <c r="BO33" s="387"/>
      <c r="BP33" s="388"/>
      <c r="BQ33" s="386"/>
      <c r="BR33" s="387"/>
      <c r="BS33" s="388"/>
      <c r="BT33" s="386"/>
      <c r="BU33" s="387"/>
      <c r="BV33" s="388"/>
      <c r="BW33" s="386"/>
      <c r="BX33" s="387"/>
      <c r="BY33" s="388"/>
      <c r="BZ33" s="386"/>
      <c r="CA33" s="387"/>
      <c r="CB33" s="388"/>
      <c r="CC33" s="386"/>
      <c r="CD33" s="387"/>
      <c r="CE33" s="388"/>
      <c r="CF33" s="386"/>
      <c r="CG33" s="387"/>
      <c r="CH33" s="388"/>
      <c r="CI33" s="386"/>
      <c r="CJ33" s="387"/>
      <c r="CK33" s="388"/>
      <c r="CL33" s="386"/>
      <c r="CM33" s="387"/>
      <c r="CN33" s="388"/>
      <c r="CO33" s="386"/>
      <c r="CP33" s="387"/>
      <c r="CQ33" s="388"/>
      <c r="CR33" s="386"/>
      <c r="CS33" s="387"/>
      <c r="CT33" s="388"/>
      <c r="CU33" s="386"/>
      <c r="CV33" s="387"/>
      <c r="CW33" s="388"/>
      <c r="CX33" s="386"/>
      <c r="CY33" s="387"/>
      <c r="CZ33" s="388"/>
    </row>
    <row r="34">
      <c r="A34" s="1"/>
      <c r="B34" s="402"/>
      <c r="C34" s="362" t="str">
        <f>'5-0 Товары'!C34</f>
        <v/>
      </c>
      <c r="D34" s="363" t="str">
        <f>'5-0 Товары'!D34</f>
        <v/>
      </c>
      <c r="E34" s="364" t="str">
        <f>'5-0 Товары'!E34</f>
        <v/>
      </c>
      <c r="F34" s="380"/>
      <c r="G34" s="380"/>
      <c r="H34" s="364" t="str">
        <f>'5-0 Товары'!F34</f>
        <v/>
      </c>
      <c r="I34" s="391"/>
      <c r="J34" s="364" t="str">
        <f>'5-0 Товары'!G34</f>
        <v/>
      </c>
      <c r="K34" s="366" t="str">
        <f>'5-0 Товары'!H34</f>
        <v/>
      </c>
      <c r="L34" s="382" t="str">
        <f t="shared" si="1"/>
        <v/>
      </c>
      <c r="M34" s="382"/>
      <c r="N34" s="380"/>
      <c r="O34" s="369" t="str">
        <f>'5-0 Товары'!I34</f>
        <v/>
      </c>
      <c r="P34" s="371" t="str">
        <f>'5-0 Товары'!N34</f>
        <v/>
      </c>
      <c r="Q34" s="197"/>
      <c r="R34" s="193"/>
      <c r="S34" s="187"/>
      <c r="T34" s="187"/>
      <c r="U34" s="187"/>
      <c r="V34" s="187"/>
      <c r="W34" s="187"/>
      <c r="X34" s="187"/>
      <c r="Y34" s="187" t="s">
        <v>96</v>
      </c>
      <c r="Z34" s="193" t="str">
        <f t="shared" si="2"/>
        <v/>
      </c>
      <c r="AA34" s="383"/>
      <c r="AB34" s="384"/>
      <c r="AC34" s="385"/>
      <c r="AD34" s="383"/>
      <c r="AE34" s="384"/>
      <c r="AF34" s="385"/>
      <c r="AG34" s="383"/>
      <c r="AH34" s="384"/>
      <c r="AI34" s="385"/>
      <c r="AJ34" s="383"/>
      <c r="AK34" s="384"/>
      <c r="AL34" s="385"/>
      <c r="AM34" s="383"/>
      <c r="AN34" s="384"/>
      <c r="AO34" s="385"/>
      <c r="AP34" s="383"/>
      <c r="AQ34" s="384"/>
      <c r="AR34" s="385"/>
      <c r="AS34" s="383"/>
      <c r="AT34" s="384"/>
      <c r="AU34" s="385"/>
      <c r="AV34" s="383"/>
      <c r="AW34" s="384"/>
      <c r="AX34" s="385"/>
      <c r="AY34" s="383"/>
      <c r="AZ34" s="384"/>
      <c r="BA34" s="385"/>
      <c r="BB34" s="386"/>
      <c r="BC34" s="387"/>
      <c r="BD34" s="388"/>
      <c r="BE34" s="386"/>
      <c r="BF34" s="387"/>
      <c r="BG34" s="388"/>
      <c r="BH34" s="386"/>
      <c r="BI34" s="387"/>
      <c r="BJ34" s="388"/>
      <c r="BK34" s="386"/>
      <c r="BL34" s="387"/>
      <c r="BM34" s="388"/>
      <c r="BN34" s="386"/>
      <c r="BO34" s="387"/>
      <c r="BP34" s="388"/>
      <c r="BQ34" s="386"/>
      <c r="BR34" s="387"/>
      <c r="BS34" s="388"/>
      <c r="BT34" s="386"/>
      <c r="BU34" s="387"/>
      <c r="BV34" s="388"/>
      <c r="BW34" s="386"/>
      <c r="BX34" s="387"/>
      <c r="BY34" s="388"/>
      <c r="BZ34" s="386"/>
      <c r="CA34" s="387"/>
      <c r="CB34" s="388"/>
      <c r="CC34" s="386"/>
      <c r="CD34" s="387"/>
      <c r="CE34" s="388"/>
      <c r="CF34" s="386"/>
      <c r="CG34" s="387"/>
      <c r="CH34" s="388"/>
      <c r="CI34" s="386"/>
      <c r="CJ34" s="387"/>
      <c r="CK34" s="388"/>
      <c r="CL34" s="386"/>
      <c r="CM34" s="387"/>
      <c r="CN34" s="388"/>
      <c r="CO34" s="386"/>
      <c r="CP34" s="387"/>
      <c r="CQ34" s="388"/>
      <c r="CR34" s="386"/>
      <c r="CS34" s="387"/>
      <c r="CT34" s="388"/>
      <c r="CU34" s="386"/>
      <c r="CV34" s="387"/>
      <c r="CW34" s="388"/>
      <c r="CX34" s="386"/>
      <c r="CY34" s="387"/>
      <c r="CZ34" s="388"/>
    </row>
    <row r="35">
      <c r="A35" s="1"/>
      <c r="B35" s="402"/>
      <c r="C35" s="362" t="str">
        <f>'5-0 Товары'!C35</f>
        <v/>
      </c>
      <c r="D35" s="363" t="str">
        <f>'5-0 Товары'!D35</f>
        <v/>
      </c>
      <c r="E35" s="364" t="str">
        <f>'5-0 Товары'!E35</f>
        <v/>
      </c>
      <c r="F35" s="380"/>
      <c r="G35" s="380"/>
      <c r="H35" s="364" t="str">
        <f>'5-0 Товары'!F35</f>
        <v/>
      </c>
      <c r="I35" s="391"/>
      <c r="J35" s="364" t="str">
        <f>'5-0 Товары'!G35</f>
        <v/>
      </c>
      <c r="K35" s="366" t="str">
        <f>'5-0 Товары'!H35</f>
        <v/>
      </c>
      <c r="L35" s="382" t="str">
        <f t="shared" si="1"/>
        <v/>
      </c>
      <c r="M35" s="382"/>
      <c r="N35" s="380"/>
      <c r="O35" s="369" t="str">
        <f>'5-0 Товары'!I35</f>
        <v/>
      </c>
      <c r="P35" s="371" t="str">
        <f>'5-0 Товары'!N35</f>
        <v/>
      </c>
      <c r="Q35" s="197"/>
      <c r="R35" s="193"/>
      <c r="S35" s="187"/>
      <c r="T35" s="187"/>
      <c r="U35" s="187"/>
      <c r="V35" s="187"/>
      <c r="W35" s="187"/>
      <c r="X35" s="187"/>
      <c r="Y35" s="187" t="s">
        <v>96</v>
      </c>
      <c r="Z35" s="193" t="str">
        <f t="shared" si="2"/>
        <v/>
      </c>
      <c r="AA35" s="383"/>
      <c r="AB35" s="384"/>
      <c r="AC35" s="385"/>
      <c r="AD35" s="383"/>
      <c r="AE35" s="384"/>
      <c r="AF35" s="385"/>
      <c r="AG35" s="383"/>
      <c r="AH35" s="384"/>
      <c r="AI35" s="385"/>
      <c r="AJ35" s="383"/>
      <c r="AK35" s="384"/>
      <c r="AL35" s="385"/>
      <c r="AM35" s="383"/>
      <c r="AN35" s="384"/>
      <c r="AO35" s="385"/>
      <c r="AP35" s="383"/>
      <c r="AQ35" s="384"/>
      <c r="AR35" s="385"/>
      <c r="AS35" s="383"/>
      <c r="AT35" s="384"/>
      <c r="AU35" s="385"/>
      <c r="AV35" s="383"/>
      <c r="AW35" s="384"/>
      <c r="AX35" s="385"/>
      <c r="AY35" s="383"/>
      <c r="AZ35" s="384"/>
      <c r="BA35" s="385"/>
      <c r="BB35" s="386"/>
      <c r="BC35" s="387"/>
      <c r="BD35" s="388"/>
      <c r="BE35" s="386"/>
      <c r="BF35" s="387"/>
      <c r="BG35" s="388"/>
      <c r="BH35" s="386"/>
      <c r="BI35" s="387"/>
      <c r="BJ35" s="388"/>
      <c r="BK35" s="386"/>
      <c r="BL35" s="387"/>
      <c r="BM35" s="388"/>
      <c r="BN35" s="386"/>
      <c r="BO35" s="387"/>
      <c r="BP35" s="388"/>
      <c r="BQ35" s="386"/>
      <c r="BR35" s="387"/>
      <c r="BS35" s="388"/>
      <c r="BT35" s="386"/>
      <c r="BU35" s="387"/>
      <c r="BV35" s="388"/>
      <c r="BW35" s="386"/>
      <c r="BX35" s="387"/>
      <c r="BY35" s="388"/>
      <c r="BZ35" s="386"/>
      <c r="CA35" s="387"/>
      <c r="CB35" s="388"/>
      <c r="CC35" s="386"/>
      <c r="CD35" s="387"/>
      <c r="CE35" s="388"/>
      <c r="CF35" s="386"/>
      <c r="CG35" s="387"/>
      <c r="CH35" s="388"/>
      <c r="CI35" s="386"/>
      <c r="CJ35" s="387"/>
      <c r="CK35" s="388"/>
      <c r="CL35" s="386"/>
      <c r="CM35" s="387"/>
      <c r="CN35" s="388"/>
      <c r="CO35" s="386"/>
      <c r="CP35" s="387"/>
      <c r="CQ35" s="388"/>
      <c r="CR35" s="386"/>
      <c r="CS35" s="387"/>
      <c r="CT35" s="388"/>
      <c r="CU35" s="386"/>
      <c r="CV35" s="387"/>
      <c r="CW35" s="388"/>
      <c r="CX35" s="386"/>
      <c r="CY35" s="387"/>
      <c r="CZ35" s="388"/>
    </row>
    <row r="36">
      <c r="A36" s="1"/>
      <c r="B36" s="402"/>
      <c r="C36" s="362" t="str">
        <f>'5-0 Товары'!C36</f>
        <v/>
      </c>
      <c r="D36" s="363" t="str">
        <f>'5-0 Товары'!D36</f>
        <v/>
      </c>
      <c r="E36" s="364" t="str">
        <f>'5-0 Товары'!E36</f>
        <v/>
      </c>
      <c r="F36" s="380"/>
      <c r="G36" s="380"/>
      <c r="H36" s="364" t="str">
        <f>'5-0 Товары'!F36</f>
        <v/>
      </c>
      <c r="I36" s="391"/>
      <c r="J36" s="364" t="str">
        <f>'5-0 Товары'!G36</f>
        <v/>
      </c>
      <c r="K36" s="366" t="str">
        <f>'5-0 Товары'!H36</f>
        <v/>
      </c>
      <c r="L36" s="382" t="str">
        <f t="shared" si="1"/>
        <v/>
      </c>
      <c r="M36" s="382"/>
      <c r="N36" s="380"/>
      <c r="O36" s="369" t="str">
        <f>'5-0 Товары'!I36</f>
        <v/>
      </c>
      <c r="P36" s="371" t="str">
        <f>'5-0 Товары'!N36</f>
        <v/>
      </c>
      <c r="Q36" s="197"/>
      <c r="R36" s="193"/>
      <c r="S36" s="187"/>
      <c r="T36" s="187"/>
      <c r="U36" s="187"/>
      <c r="V36" s="187"/>
      <c r="W36" s="187"/>
      <c r="X36" s="187"/>
      <c r="Y36" s="187" t="s">
        <v>96</v>
      </c>
      <c r="Z36" s="193" t="str">
        <f t="shared" si="2"/>
        <v/>
      </c>
      <c r="AA36" s="383"/>
      <c r="AB36" s="384"/>
      <c r="AC36" s="385"/>
      <c r="AD36" s="383"/>
      <c r="AE36" s="384"/>
      <c r="AF36" s="385"/>
      <c r="AG36" s="383"/>
      <c r="AH36" s="384"/>
      <c r="AI36" s="385"/>
      <c r="AJ36" s="383"/>
      <c r="AK36" s="384"/>
      <c r="AL36" s="385"/>
      <c r="AM36" s="383"/>
      <c r="AN36" s="384"/>
      <c r="AO36" s="385"/>
      <c r="AP36" s="383"/>
      <c r="AQ36" s="384"/>
      <c r="AR36" s="385"/>
      <c r="AS36" s="383"/>
      <c r="AT36" s="384"/>
      <c r="AU36" s="385"/>
      <c r="AV36" s="383"/>
      <c r="AW36" s="384"/>
      <c r="AX36" s="385"/>
      <c r="AY36" s="383"/>
      <c r="AZ36" s="384"/>
      <c r="BA36" s="385"/>
      <c r="BB36" s="386"/>
      <c r="BC36" s="387"/>
      <c r="BD36" s="388"/>
      <c r="BE36" s="386"/>
      <c r="BF36" s="387"/>
      <c r="BG36" s="388"/>
      <c r="BH36" s="386"/>
      <c r="BI36" s="387"/>
      <c r="BJ36" s="388"/>
      <c r="BK36" s="386"/>
      <c r="BL36" s="387"/>
      <c r="BM36" s="388"/>
      <c r="BN36" s="386"/>
      <c r="BO36" s="387"/>
      <c r="BP36" s="388"/>
      <c r="BQ36" s="386"/>
      <c r="BR36" s="387"/>
      <c r="BS36" s="388"/>
      <c r="BT36" s="386"/>
      <c r="BU36" s="387"/>
      <c r="BV36" s="388"/>
      <c r="BW36" s="386"/>
      <c r="BX36" s="387"/>
      <c r="BY36" s="388"/>
      <c r="BZ36" s="386"/>
      <c r="CA36" s="387"/>
      <c r="CB36" s="388"/>
      <c r="CC36" s="386"/>
      <c r="CD36" s="387"/>
      <c r="CE36" s="388"/>
      <c r="CF36" s="386"/>
      <c r="CG36" s="387"/>
      <c r="CH36" s="388"/>
      <c r="CI36" s="386"/>
      <c r="CJ36" s="387"/>
      <c r="CK36" s="388"/>
      <c r="CL36" s="386"/>
      <c r="CM36" s="387"/>
      <c r="CN36" s="388"/>
      <c r="CO36" s="386"/>
      <c r="CP36" s="387"/>
      <c r="CQ36" s="388"/>
      <c r="CR36" s="386"/>
      <c r="CS36" s="387"/>
      <c r="CT36" s="388"/>
      <c r="CU36" s="386"/>
      <c r="CV36" s="387"/>
      <c r="CW36" s="388"/>
      <c r="CX36" s="386"/>
      <c r="CY36" s="387"/>
      <c r="CZ36" s="388"/>
    </row>
    <row r="37">
      <c r="A37" s="1"/>
      <c r="B37" s="402"/>
      <c r="C37" s="362" t="str">
        <f>'5-0 Товары'!C37</f>
        <v/>
      </c>
      <c r="D37" s="363" t="str">
        <f>'5-0 Товары'!D37</f>
        <v/>
      </c>
      <c r="E37" s="364" t="str">
        <f>'5-0 Товары'!E37</f>
        <v/>
      </c>
      <c r="F37" s="380"/>
      <c r="G37" s="380"/>
      <c r="H37" s="364" t="str">
        <f>'5-0 Товары'!F37</f>
        <v/>
      </c>
      <c r="I37" s="391"/>
      <c r="J37" s="364" t="str">
        <f>'5-0 Товары'!G37</f>
        <v/>
      </c>
      <c r="K37" s="366" t="str">
        <f>'5-0 Товары'!H37</f>
        <v/>
      </c>
      <c r="L37" s="382" t="str">
        <f t="shared" si="1"/>
        <v/>
      </c>
      <c r="M37" s="382"/>
      <c r="N37" s="380"/>
      <c r="O37" s="369" t="str">
        <f>'5-0 Товары'!I37</f>
        <v/>
      </c>
      <c r="P37" s="371" t="str">
        <f>'5-0 Товары'!N37</f>
        <v/>
      </c>
      <c r="Q37" s="197"/>
      <c r="R37" s="193"/>
      <c r="S37" s="187"/>
      <c r="T37" s="187"/>
      <c r="U37" s="187"/>
      <c r="V37" s="187"/>
      <c r="W37" s="187"/>
      <c r="X37" s="187"/>
      <c r="Y37" s="187" t="s">
        <v>96</v>
      </c>
      <c r="Z37" s="193" t="str">
        <f t="shared" si="2"/>
        <v/>
      </c>
      <c r="AA37" s="383"/>
      <c r="AB37" s="384"/>
      <c r="AC37" s="385"/>
      <c r="AD37" s="383"/>
      <c r="AE37" s="384"/>
      <c r="AF37" s="385"/>
      <c r="AG37" s="383"/>
      <c r="AH37" s="384"/>
      <c r="AI37" s="385"/>
      <c r="AJ37" s="383"/>
      <c r="AK37" s="384"/>
      <c r="AL37" s="385"/>
      <c r="AM37" s="383"/>
      <c r="AN37" s="384"/>
      <c r="AO37" s="385"/>
      <c r="AP37" s="383"/>
      <c r="AQ37" s="384"/>
      <c r="AR37" s="385"/>
      <c r="AS37" s="383"/>
      <c r="AT37" s="384"/>
      <c r="AU37" s="385"/>
      <c r="AV37" s="383"/>
      <c r="AW37" s="384"/>
      <c r="AX37" s="385"/>
      <c r="AY37" s="383"/>
      <c r="AZ37" s="384"/>
      <c r="BA37" s="385"/>
      <c r="BB37" s="386"/>
      <c r="BC37" s="387"/>
      <c r="BD37" s="388"/>
      <c r="BE37" s="386"/>
      <c r="BF37" s="387"/>
      <c r="BG37" s="388"/>
      <c r="BH37" s="386"/>
      <c r="BI37" s="387"/>
      <c r="BJ37" s="388"/>
      <c r="BK37" s="386"/>
      <c r="BL37" s="387"/>
      <c r="BM37" s="388"/>
      <c r="BN37" s="386"/>
      <c r="BO37" s="387"/>
      <c r="BP37" s="388"/>
      <c r="BQ37" s="386"/>
      <c r="BR37" s="387"/>
      <c r="BS37" s="388"/>
      <c r="BT37" s="386"/>
      <c r="BU37" s="387"/>
      <c r="BV37" s="388"/>
      <c r="BW37" s="386"/>
      <c r="BX37" s="387"/>
      <c r="BY37" s="388"/>
      <c r="BZ37" s="386"/>
      <c r="CA37" s="387"/>
      <c r="CB37" s="388"/>
      <c r="CC37" s="386"/>
      <c r="CD37" s="387"/>
      <c r="CE37" s="388"/>
      <c r="CF37" s="386"/>
      <c r="CG37" s="387"/>
      <c r="CH37" s="388"/>
      <c r="CI37" s="386"/>
      <c r="CJ37" s="387"/>
      <c r="CK37" s="388"/>
      <c r="CL37" s="386"/>
      <c r="CM37" s="387"/>
      <c r="CN37" s="388"/>
      <c r="CO37" s="386"/>
      <c r="CP37" s="387"/>
      <c r="CQ37" s="388"/>
      <c r="CR37" s="386"/>
      <c r="CS37" s="387"/>
      <c r="CT37" s="388"/>
      <c r="CU37" s="386"/>
      <c r="CV37" s="387"/>
      <c r="CW37" s="388"/>
      <c r="CX37" s="386"/>
      <c r="CY37" s="387"/>
      <c r="CZ37" s="388"/>
    </row>
    <row r="38">
      <c r="A38" s="1"/>
      <c r="B38" s="402"/>
      <c r="C38" s="362" t="str">
        <f>'5-0 Товары'!C38</f>
        <v/>
      </c>
      <c r="D38" s="363" t="str">
        <f>'5-0 Товары'!D38</f>
        <v/>
      </c>
      <c r="E38" s="364" t="str">
        <f>'5-0 Товары'!E38</f>
        <v/>
      </c>
      <c r="F38" s="380"/>
      <c r="G38" s="380"/>
      <c r="H38" s="364" t="str">
        <f>'5-0 Товары'!F38</f>
        <v/>
      </c>
      <c r="I38" s="391"/>
      <c r="J38" s="364" t="str">
        <f>'5-0 Товары'!G38</f>
        <v/>
      </c>
      <c r="K38" s="366" t="str">
        <f>'5-0 Товары'!H38</f>
        <v/>
      </c>
      <c r="L38" s="382" t="str">
        <f t="shared" si="1"/>
        <v/>
      </c>
      <c r="M38" s="382"/>
      <c r="N38" s="380"/>
      <c r="O38" s="369" t="str">
        <f>'5-0 Товары'!I38</f>
        <v/>
      </c>
      <c r="P38" s="371" t="str">
        <f>'5-0 Товары'!N38</f>
        <v/>
      </c>
      <c r="Q38" s="197"/>
      <c r="R38" s="193"/>
      <c r="S38" s="187"/>
      <c r="T38" s="187"/>
      <c r="U38" s="187"/>
      <c r="V38" s="187"/>
      <c r="W38" s="187"/>
      <c r="X38" s="187"/>
      <c r="Y38" s="187" t="s">
        <v>96</v>
      </c>
      <c r="Z38" s="193" t="str">
        <f t="shared" si="2"/>
        <v/>
      </c>
      <c r="AA38" s="383"/>
      <c r="AB38" s="384"/>
      <c r="AC38" s="385"/>
      <c r="AD38" s="383"/>
      <c r="AE38" s="384"/>
      <c r="AF38" s="385"/>
      <c r="AG38" s="383"/>
      <c r="AH38" s="384"/>
      <c r="AI38" s="385"/>
      <c r="AJ38" s="383"/>
      <c r="AK38" s="384"/>
      <c r="AL38" s="385"/>
      <c r="AM38" s="383"/>
      <c r="AN38" s="384"/>
      <c r="AO38" s="385"/>
      <c r="AP38" s="383"/>
      <c r="AQ38" s="384"/>
      <c r="AR38" s="385"/>
      <c r="AS38" s="383"/>
      <c r="AT38" s="384"/>
      <c r="AU38" s="385"/>
      <c r="AV38" s="383"/>
      <c r="AW38" s="384"/>
      <c r="AX38" s="385"/>
      <c r="AY38" s="383"/>
      <c r="AZ38" s="384"/>
      <c r="BA38" s="385"/>
      <c r="BB38" s="386"/>
      <c r="BC38" s="387"/>
      <c r="BD38" s="388"/>
      <c r="BE38" s="386"/>
      <c r="BF38" s="387"/>
      <c r="BG38" s="388"/>
      <c r="BH38" s="386"/>
      <c r="BI38" s="387"/>
      <c r="BJ38" s="388"/>
      <c r="BK38" s="386"/>
      <c r="BL38" s="387"/>
      <c r="BM38" s="388"/>
      <c r="BN38" s="386"/>
      <c r="BO38" s="387"/>
      <c r="BP38" s="388"/>
      <c r="BQ38" s="386"/>
      <c r="BR38" s="387"/>
      <c r="BS38" s="388"/>
      <c r="BT38" s="386"/>
      <c r="BU38" s="387"/>
      <c r="BV38" s="388"/>
      <c r="BW38" s="386"/>
      <c r="BX38" s="387"/>
      <c r="BY38" s="388"/>
      <c r="BZ38" s="386"/>
      <c r="CA38" s="387"/>
      <c r="CB38" s="388"/>
      <c r="CC38" s="386"/>
      <c r="CD38" s="387"/>
      <c r="CE38" s="388"/>
      <c r="CF38" s="386"/>
      <c r="CG38" s="387"/>
      <c r="CH38" s="388"/>
      <c r="CI38" s="386"/>
      <c r="CJ38" s="387"/>
      <c r="CK38" s="388"/>
      <c r="CL38" s="386"/>
      <c r="CM38" s="387"/>
      <c r="CN38" s="388"/>
      <c r="CO38" s="386"/>
      <c r="CP38" s="387"/>
      <c r="CQ38" s="388"/>
      <c r="CR38" s="386"/>
      <c r="CS38" s="387"/>
      <c r="CT38" s="388"/>
      <c r="CU38" s="386"/>
      <c r="CV38" s="387"/>
      <c r="CW38" s="388"/>
      <c r="CX38" s="386"/>
      <c r="CY38" s="387"/>
      <c r="CZ38" s="388"/>
    </row>
    <row r="39">
      <c r="A39" s="1"/>
      <c r="B39" s="402"/>
      <c r="C39" s="362" t="str">
        <f>'5-0 Товары'!C39</f>
        <v/>
      </c>
      <c r="D39" s="363" t="str">
        <f>'5-0 Товары'!D39</f>
        <v/>
      </c>
      <c r="E39" s="364" t="str">
        <f>'5-0 Товары'!E39</f>
        <v/>
      </c>
      <c r="F39" s="380"/>
      <c r="G39" s="380"/>
      <c r="H39" s="364" t="str">
        <f>'5-0 Товары'!F39</f>
        <v/>
      </c>
      <c r="I39" s="391"/>
      <c r="J39" s="364" t="str">
        <f>'5-0 Товары'!G39</f>
        <v/>
      </c>
      <c r="K39" s="366" t="str">
        <f>'5-0 Товары'!H39</f>
        <v/>
      </c>
      <c r="L39" s="382" t="str">
        <f t="shared" si="1"/>
        <v/>
      </c>
      <c r="M39" s="382"/>
      <c r="N39" s="380"/>
      <c r="O39" s="369" t="str">
        <f>'5-0 Товары'!I39</f>
        <v/>
      </c>
      <c r="P39" s="371" t="str">
        <f>'5-0 Товары'!N39</f>
        <v/>
      </c>
      <c r="Q39" s="197"/>
      <c r="R39" s="193"/>
      <c r="S39" s="187"/>
      <c r="T39" s="187"/>
      <c r="U39" s="187"/>
      <c r="V39" s="187"/>
      <c r="W39" s="187"/>
      <c r="X39" s="187"/>
      <c r="Y39" s="187" t="s">
        <v>96</v>
      </c>
      <c r="Z39" s="193" t="str">
        <f t="shared" si="2"/>
        <v/>
      </c>
      <c r="AA39" s="383"/>
      <c r="AB39" s="384"/>
      <c r="AC39" s="385"/>
      <c r="AD39" s="383"/>
      <c r="AE39" s="384"/>
      <c r="AF39" s="385"/>
      <c r="AG39" s="383"/>
      <c r="AH39" s="384"/>
      <c r="AI39" s="385"/>
      <c r="AJ39" s="383"/>
      <c r="AK39" s="384"/>
      <c r="AL39" s="385"/>
      <c r="AM39" s="383"/>
      <c r="AN39" s="384"/>
      <c r="AO39" s="385"/>
      <c r="AP39" s="383"/>
      <c r="AQ39" s="384"/>
      <c r="AR39" s="385"/>
      <c r="AS39" s="383"/>
      <c r="AT39" s="384"/>
      <c r="AU39" s="385"/>
      <c r="AV39" s="383"/>
      <c r="AW39" s="384"/>
      <c r="AX39" s="385"/>
      <c r="AY39" s="383"/>
      <c r="AZ39" s="384"/>
      <c r="BA39" s="385"/>
      <c r="BB39" s="386"/>
      <c r="BC39" s="387"/>
      <c r="BD39" s="388"/>
      <c r="BE39" s="386"/>
      <c r="BF39" s="387"/>
      <c r="BG39" s="388"/>
      <c r="BH39" s="386"/>
      <c r="BI39" s="387"/>
      <c r="BJ39" s="388"/>
      <c r="BK39" s="386"/>
      <c r="BL39" s="387"/>
      <c r="BM39" s="388"/>
      <c r="BN39" s="386"/>
      <c r="BO39" s="387"/>
      <c r="BP39" s="388"/>
      <c r="BQ39" s="386"/>
      <c r="BR39" s="387"/>
      <c r="BS39" s="388"/>
      <c r="BT39" s="386"/>
      <c r="BU39" s="387"/>
      <c r="BV39" s="388"/>
      <c r="BW39" s="386"/>
      <c r="BX39" s="387"/>
      <c r="BY39" s="388"/>
      <c r="BZ39" s="386"/>
      <c r="CA39" s="387"/>
      <c r="CB39" s="388"/>
      <c r="CC39" s="386"/>
      <c r="CD39" s="387"/>
      <c r="CE39" s="388"/>
      <c r="CF39" s="386"/>
      <c r="CG39" s="387"/>
      <c r="CH39" s="388"/>
      <c r="CI39" s="386"/>
      <c r="CJ39" s="387"/>
      <c r="CK39" s="388"/>
      <c r="CL39" s="386"/>
      <c r="CM39" s="387"/>
      <c r="CN39" s="388"/>
      <c r="CO39" s="386"/>
      <c r="CP39" s="387"/>
      <c r="CQ39" s="388"/>
      <c r="CR39" s="386"/>
      <c r="CS39" s="387"/>
      <c r="CT39" s="388"/>
      <c r="CU39" s="386"/>
      <c r="CV39" s="387"/>
      <c r="CW39" s="388"/>
      <c r="CX39" s="386"/>
      <c r="CY39" s="387"/>
      <c r="CZ39" s="388"/>
    </row>
    <row r="40">
      <c r="A40" s="1"/>
      <c r="B40" s="402"/>
      <c r="C40" s="362" t="str">
        <f>'5-0 Товары'!C40</f>
        <v/>
      </c>
      <c r="D40" s="363" t="str">
        <f>'5-0 Товары'!D40</f>
        <v/>
      </c>
      <c r="E40" s="364" t="str">
        <f>'5-0 Товары'!E40</f>
        <v/>
      </c>
      <c r="F40" s="380"/>
      <c r="G40" s="380"/>
      <c r="H40" s="364" t="str">
        <f>'5-0 Товары'!F40</f>
        <v/>
      </c>
      <c r="I40" s="391"/>
      <c r="J40" s="364" t="str">
        <f>'5-0 Товары'!G40</f>
        <v/>
      </c>
      <c r="K40" s="366" t="str">
        <f>'5-0 Товары'!H40</f>
        <v/>
      </c>
      <c r="L40" s="382" t="str">
        <f t="shared" si="1"/>
        <v/>
      </c>
      <c r="M40" s="382"/>
      <c r="N40" s="380"/>
      <c r="O40" s="369" t="str">
        <f>'5-0 Товары'!I40</f>
        <v/>
      </c>
      <c r="P40" s="371" t="str">
        <f>'5-0 Товары'!N40</f>
        <v/>
      </c>
      <c r="Q40" s="197"/>
      <c r="R40" s="193"/>
      <c r="S40" s="187"/>
      <c r="T40" s="187"/>
      <c r="U40" s="187"/>
      <c r="V40" s="187"/>
      <c r="W40" s="187"/>
      <c r="X40" s="187"/>
      <c r="Y40" s="187" t="s">
        <v>96</v>
      </c>
      <c r="Z40" s="193" t="str">
        <f t="shared" si="2"/>
        <v/>
      </c>
      <c r="AA40" s="383"/>
      <c r="AB40" s="384"/>
      <c r="AC40" s="385"/>
      <c r="AD40" s="383"/>
      <c r="AE40" s="384"/>
      <c r="AF40" s="385"/>
      <c r="AG40" s="383"/>
      <c r="AH40" s="384"/>
      <c r="AI40" s="385"/>
      <c r="AJ40" s="383"/>
      <c r="AK40" s="384"/>
      <c r="AL40" s="385"/>
      <c r="AM40" s="383"/>
      <c r="AN40" s="384"/>
      <c r="AO40" s="385"/>
      <c r="AP40" s="383"/>
      <c r="AQ40" s="384"/>
      <c r="AR40" s="385"/>
      <c r="AS40" s="383"/>
      <c r="AT40" s="384"/>
      <c r="AU40" s="385"/>
      <c r="AV40" s="383"/>
      <c r="AW40" s="384"/>
      <c r="AX40" s="385"/>
      <c r="AY40" s="383"/>
      <c r="AZ40" s="384"/>
      <c r="BA40" s="385"/>
      <c r="BB40" s="386"/>
      <c r="BC40" s="387"/>
      <c r="BD40" s="388"/>
      <c r="BE40" s="386"/>
      <c r="BF40" s="387"/>
      <c r="BG40" s="388"/>
      <c r="BH40" s="386"/>
      <c r="BI40" s="387"/>
      <c r="BJ40" s="388"/>
      <c r="BK40" s="386"/>
      <c r="BL40" s="387"/>
      <c r="BM40" s="388"/>
      <c r="BN40" s="386"/>
      <c r="BO40" s="387"/>
      <c r="BP40" s="388"/>
      <c r="BQ40" s="386"/>
      <c r="BR40" s="387"/>
      <c r="BS40" s="388"/>
      <c r="BT40" s="386"/>
      <c r="BU40" s="387"/>
      <c r="BV40" s="388"/>
      <c r="BW40" s="386"/>
      <c r="BX40" s="387"/>
      <c r="BY40" s="388"/>
      <c r="BZ40" s="386"/>
      <c r="CA40" s="387"/>
      <c r="CB40" s="388"/>
      <c r="CC40" s="386"/>
      <c r="CD40" s="387"/>
      <c r="CE40" s="388"/>
      <c r="CF40" s="386"/>
      <c r="CG40" s="387"/>
      <c r="CH40" s="388"/>
      <c r="CI40" s="386"/>
      <c r="CJ40" s="387"/>
      <c r="CK40" s="388"/>
      <c r="CL40" s="386"/>
      <c r="CM40" s="387"/>
      <c r="CN40" s="388"/>
      <c r="CO40" s="386"/>
      <c r="CP40" s="387"/>
      <c r="CQ40" s="388"/>
      <c r="CR40" s="386"/>
      <c r="CS40" s="387"/>
      <c r="CT40" s="388"/>
      <c r="CU40" s="386"/>
      <c r="CV40" s="387"/>
      <c r="CW40" s="388"/>
      <c r="CX40" s="386"/>
      <c r="CY40" s="387"/>
      <c r="CZ40" s="388"/>
    </row>
    <row r="41">
      <c r="A41" s="1"/>
      <c r="B41" s="402"/>
      <c r="C41" s="362" t="str">
        <f>'5-0 Товары'!C41</f>
        <v/>
      </c>
      <c r="D41" s="363" t="str">
        <f>'5-0 Товары'!D41</f>
        <v/>
      </c>
      <c r="E41" s="364" t="str">
        <f>'5-0 Товары'!E41</f>
        <v/>
      </c>
      <c r="F41" s="380"/>
      <c r="G41" s="380"/>
      <c r="H41" s="364" t="str">
        <f>'5-0 Товары'!F41</f>
        <v/>
      </c>
      <c r="I41" s="391"/>
      <c r="J41" s="364" t="str">
        <f>'5-0 Товары'!G41</f>
        <v/>
      </c>
      <c r="K41" s="366" t="str">
        <f>'5-0 Товары'!H41</f>
        <v/>
      </c>
      <c r="L41" s="382" t="str">
        <f t="shared" si="1"/>
        <v/>
      </c>
      <c r="M41" s="382"/>
      <c r="N41" s="380"/>
      <c r="O41" s="369" t="str">
        <f>'5-0 Товары'!I41</f>
        <v/>
      </c>
      <c r="P41" s="371" t="str">
        <f>'5-0 Товары'!N41</f>
        <v/>
      </c>
      <c r="Q41" s="197"/>
      <c r="R41" s="193"/>
      <c r="S41" s="187"/>
      <c r="T41" s="187"/>
      <c r="U41" s="187"/>
      <c r="V41" s="187"/>
      <c r="W41" s="187"/>
      <c r="X41" s="187"/>
      <c r="Y41" s="187" t="s">
        <v>96</v>
      </c>
      <c r="Z41" s="193" t="str">
        <f t="shared" si="2"/>
        <v/>
      </c>
      <c r="AA41" s="383"/>
      <c r="AB41" s="384"/>
      <c r="AC41" s="385"/>
      <c r="AD41" s="383"/>
      <c r="AE41" s="384"/>
      <c r="AF41" s="385"/>
      <c r="AG41" s="383"/>
      <c r="AH41" s="384"/>
      <c r="AI41" s="385"/>
      <c r="AJ41" s="383"/>
      <c r="AK41" s="384"/>
      <c r="AL41" s="385"/>
      <c r="AM41" s="383"/>
      <c r="AN41" s="384"/>
      <c r="AO41" s="385"/>
      <c r="AP41" s="383"/>
      <c r="AQ41" s="384"/>
      <c r="AR41" s="385"/>
      <c r="AS41" s="383"/>
      <c r="AT41" s="384"/>
      <c r="AU41" s="385"/>
      <c r="AV41" s="383"/>
      <c r="AW41" s="384"/>
      <c r="AX41" s="385"/>
      <c r="AY41" s="383"/>
      <c r="AZ41" s="384"/>
      <c r="BA41" s="385"/>
      <c r="BB41" s="386"/>
      <c r="BC41" s="387"/>
      <c r="BD41" s="388"/>
      <c r="BE41" s="386"/>
      <c r="BF41" s="387"/>
      <c r="BG41" s="388"/>
      <c r="BH41" s="386"/>
      <c r="BI41" s="387"/>
      <c r="BJ41" s="388"/>
      <c r="BK41" s="386"/>
      <c r="BL41" s="387"/>
      <c r="BM41" s="388"/>
      <c r="BN41" s="386"/>
      <c r="BO41" s="387"/>
      <c r="BP41" s="388"/>
      <c r="BQ41" s="386"/>
      <c r="BR41" s="387"/>
      <c r="BS41" s="388"/>
      <c r="BT41" s="386"/>
      <c r="BU41" s="387"/>
      <c r="BV41" s="388"/>
      <c r="BW41" s="386"/>
      <c r="BX41" s="387"/>
      <c r="BY41" s="388"/>
      <c r="BZ41" s="386"/>
      <c r="CA41" s="387"/>
      <c r="CB41" s="388"/>
      <c r="CC41" s="386"/>
      <c r="CD41" s="387"/>
      <c r="CE41" s="388"/>
      <c r="CF41" s="386"/>
      <c r="CG41" s="387"/>
      <c r="CH41" s="388"/>
      <c r="CI41" s="386"/>
      <c r="CJ41" s="387"/>
      <c r="CK41" s="388"/>
      <c r="CL41" s="386"/>
      <c r="CM41" s="387"/>
      <c r="CN41" s="388"/>
      <c r="CO41" s="386"/>
      <c r="CP41" s="387"/>
      <c r="CQ41" s="388"/>
      <c r="CR41" s="386"/>
      <c r="CS41" s="387"/>
      <c r="CT41" s="388"/>
      <c r="CU41" s="386"/>
      <c r="CV41" s="387"/>
      <c r="CW41" s="388"/>
      <c r="CX41" s="386"/>
      <c r="CY41" s="387"/>
      <c r="CZ41" s="388"/>
    </row>
    <row r="42">
      <c r="A42" s="1"/>
      <c r="B42" s="402"/>
      <c r="C42" s="362" t="str">
        <f>'5-0 Товары'!C42</f>
        <v/>
      </c>
      <c r="D42" s="363" t="str">
        <f>'5-0 Товары'!D42</f>
        <v/>
      </c>
      <c r="E42" s="364" t="str">
        <f>'5-0 Товары'!E42</f>
        <v/>
      </c>
      <c r="F42" s="380"/>
      <c r="G42" s="380"/>
      <c r="H42" s="364" t="str">
        <f>'5-0 Товары'!F42</f>
        <v/>
      </c>
      <c r="I42" s="391"/>
      <c r="J42" s="364" t="str">
        <f>'5-0 Товары'!G42</f>
        <v/>
      </c>
      <c r="K42" s="366" t="str">
        <f>'5-0 Товары'!H42</f>
        <v/>
      </c>
      <c r="L42" s="382" t="str">
        <f t="shared" si="1"/>
        <v/>
      </c>
      <c r="M42" s="382"/>
      <c r="N42" s="380"/>
      <c r="O42" s="369" t="str">
        <f>'5-0 Товары'!I42</f>
        <v/>
      </c>
      <c r="P42" s="371" t="str">
        <f>'5-0 Товары'!N42</f>
        <v/>
      </c>
      <c r="Q42" s="197"/>
      <c r="R42" s="193"/>
      <c r="S42" s="187"/>
      <c r="T42" s="187"/>
      <c r="U42" s="187"/>
      <c r="V42" s="187"/>
      <c r="W42" s="187"/>
      <c r="X42" s="187"/>
      <c r="Y42" s="187" t="s">
        <v>96</v>
      </c>
      <c r="Z42" s="193" t="str">
        <f t="shared" si="2"/>
        <v/>
      </c>
      <c r="AA42" s="383"/>
      <c r="AB42" s="384"/>
      <c r="AC42" s="385"/>
      <c r="AD42" s="383"/>
      <c r="AE42" s="384"/>
      <c r="AF42" s="385"/>
      <c r="AG42" s="383"/>
      <c r="AH42" s="384"/>
      <c r="AI42" s="385"/>
      <c r="AJ42" s="383"/>
      <c r="AK42" s="384"/>
      <c r="AL42" s="385"/>
      <c r="AM42" s="383"/>
      <c r="AN42" s="384"/>
      <c r="AO42" s="385"/>
      <c r="AP42" s="383"/>
      <c r="AQ42" s="384"/>
      <c r="AR42" s="385"/>
      <c r="AS42" s="383"/>
      <c r="AT42" s="384"/>
      <c r="AU42" s="385"/>
      <c r="AV42" s="383"/>
      <c r="AW42" s="384"/>
      <c r="AX42" s="385"/>
      <c r="AY42" s="383"/>
      <c r="AZ42" s="384"/>
      <c r="BA42" s="385"/>
      <c r="BB42" s="386"/>
      <c r="BC42" s="387"/>
      <c r="BD42" s="388"/>
      <c r="BE42" s="386"/>
      <c r="BF42" s="387"/>
      <c r="BG42" s="388"/>
      <c r="BH42" s="386"/>
      <c r="BI42" s="387"/>
      <c r="BJ42" s="388"/>
      <c r="BK42" s="386"/>
      <c r="BL42" s="387"/>
      <c r="BM42" s="388"/>
      <c r="BN42" s="386"/>
      <c r="BO42" s="387"/>
      <c r="BP42" s="388"/>
      <c r="BQ42" s="386"/>
      <c r="BR42" s="387"/>
      <c r="BS42" s="388"/>
      <c r="BT42" s="386"/>
      <c r="BU42" s="387"/>
      <c r="BV42" s="388"/>
      <c r="BW42" s="386"/>
      <c r="BX42" s="387"/>
      <c r="BY42" s="388"/>
      <c r="BZ42" s="386"/>
      <c r="CA42" s="387"/>
      <c r="CB42" s="388"/>
      <c r="CC42" s="386"/>
      <c r="CD42" s="387"/>
      <c r="CE42" s="388"/>
      <c r="CF42" s="386"/>
      <c r="CG42" s="387"/>
      <c r="CH42" s="388"/>
      <c r="CI42" s="386"/>
      <c r="CJ42" s="387"/>
      <c r="CK42" s="388"/>
      <c r="CL42" s="386"/>
      <c r="CM42" s="387"/>
      <c r="CN42" s="388"/>
      <c r="CO42" s="386"/>
      <c r="CP42" s="387"/>
      <c r="CQ42" s="388"/>
      <c r="CR42" s="386"/>
      <c r="CS42" s="387"/>
      <c r="CT42" s="388"/>
      <c r="CU42" s="386"/>
      <c r="CV42" s="387"/>
      <c r="CW42" s="388"/>
      <c r="CX42" s="386"/>
      <c r="CY42" s="387"/>
      <c r="CZ42" s="388"/>
    </row>
    <row r="43">
      <c r="A43" s="1"/>
      <c r="B43" s="402"/>
      <c r="C43" s="362" t="str">
        <f>'5-0 Товары'!C43</f>
        <v/>
      </c>
      <c r="D43" s="363" t="str">
        <f>'5-0 Товары'!D43</f>
        <v/>
      </c>
      <c r="E43" s="364" t="str">
        <f>'5-0 Товары'!E43</f>
        <v/>
      </c>
      <c r="F43" s="380"/>
      <c r="G43" s="380"/>
      <c r="H43" s="364" t="str">
        <f>'5-0 Товары'!F43</f>
        <v/>
      </c>
      <c r="I43" s="391"/>
      <c r="J43" s="364" t="str">
        <f>'5-0 Товары'!G43</f>
        <v/>
      </c>
      <c r="K43" s="366" t="str">
        <f>'5-0 Товары'!H43</f>
        <v/>
      </c>
      <c r="L43" s="382" t="str">
        <f t="shared" si="1"/>
        <v/>
      </c>
      <c r="M43" s="382"/>
      <c r="N43" s="380"/>
      <c r="O43" s="369" t="str">
        <f>'5-0 Товары'!I43</f>
        <v/>
      </c>
      <c r="P43" s="371" t="str">
        <f>'5-0 Товары'!N43</f>
        <v/>
      </c>
      <c r="Q43" s="197"/>
      <c r="R43" s="193"/>
      <c r="S43" s="187"/>
      <c r="T43" s="187"/>
      <c r="U43" s="187"/>
      <c r="V43" s="187"/>
      <c r="W43" s="187"/>
      <c r="X43" s="187"/>
      <c r="Y43" s="187" t="s">
        <v>96</v>
      </c>
      <c r="Z43" s="193" t="str">
        <f t="shared" si="2"/>
        <v/>
      </c>
      <c r="AA43" s="383"/>
      <c r="AB43" s="384"/>
      <c r="AC43" s="385"/>
      <c r="AD43" s="383"/>
      <c r="AE43" s="384"/>
      <c r="AF43" s="385"/>
      <c r="AG43" s="383"/>
      <c r="AH43" s="384"/>
      <c r="AI43" s="385"/>
      <c r="AJ43" s="383"/>
      <c r="AK43" s="384"/>
      <c r="AL43" s="385"/>
      <c r="AM43" s="383"/>
      <c r="AN43" s="384"/>
      <c r="AO43" s="385"/>
      <c r="AP43" s="383"/>
      <c r="AQ43" s="384"/>
      <c r="AR43" s="385"/>
      <c r="AS43" s="383"/>
      <c r="AT43" s="384"/>
      <c r="AU43" s="385"/>
      <c r="AV43" s="383"/>
      <c r="AW43" s="384"/>
      <c r="AX43" s="385"/>
      <c r="AY43" s="383"/>
      <c r="AZ43" s="384"/>
      <c r="BA43" s="385"/>
      <c r="BB43" s="386"/>
      <c r="BC43" s="387"/>
      <c r="BD43" s="388"/>
      <c r="BE43" s="386"/>
      <c r="BF43" s="387"/>
      <c r="BG43" s="388"/>
      <c r="BH43" s="386"/>
      <c r="BI43" s="387"/>
      <c r="BJ43" s="388"/>
      <c r="BK43" s="386"/>
      <c r="BL43" s="387"/>
      <c r="BM43" s="388"/>
      <c r="BN43" s="386"/>
      <c r="BO43" s="387"/>
      <c r="BP43" s="388"/>
      <c r="BQ43" s="386"/>
      <c r="BR43" s="387"/>
      <c r="BS43" s="388"/>
      <c r="BT43" s="386"/>
      <c r="BU43" s="387"/>
      <c r="BV43" s="388"/>
      <c r="BW43" s="386"/>
      <c r="BX43" s="387"/>
      <c r="BY43" s="388"/>
      <c r="BZ43" s="386"/>
      <c r="CA43" s="387"/>
      <c r="CB43" s="388"/>
      <c r="CC43" s="386"/>
      <c r="CD43" s="387"/>
      <c r="CE43" s="388"/>
      <c r="CF43" s="386"/>
      <c r="CG43" s="387"/>
      <c r="CH43" s="388"/>
      <c r="CI43" s="386"/>
      <c r="CJ43" s="387"/>
      <c r="CK43" s="388"/>
      <c r="CL43" s="386"/>
      <c r="CM43" s="387"/>
      <c r="CN43" s="388"/>
      <c r="CO43" s="386"/>
      <c r="CP43" s="387"/>
      <c r="CQ43" s="388"/>
      <c r="CR43" s="386"/>
      <c r="CS43" s="387"/>
      <c r="CT43" s="388"/>
      <c r="CU43" s="386"/>
      <c r="CV43" s="387"/>
      <c r="CW43" s="388"/>
      <c r="CX43" s="386"/>
      <c r="CY43" s="387"/>
      <c r="CZ43" s="388"/>
    </row>
    <row r="44">
      <c r="A44" s="1"/>
      <c r="B44" s="402"/>
      <c r="C44" s="362" t="str">
        <f>'5-0 Товары'!C44</f>
        <v/>
      </c>
      <c r="D44" s="363" t="str">
        <f>'5-0 Товары'!D44</f>
        <v/>
      </c>
      <c r="E44" s="364" t="str">
        <f>'5-0 Товары'!E44</f>
        <v/>
      </c>
      <c r="F44" s="380"/>
      <c r="G44" s="380"/>
      <c r="H44" s="364" t="str">
        <f>'5-0 Товары'!F44</f>
        <v/>
      </c>
      <c r="I44" s="391"/>
      <c r="J44" s="364" t="str">
        <f>'5-0 Товары'!G44</f>
        <v/>
      </c>
      <c r="K44" s="366" t="str">
        <f>'5-0 Товары'!H44</f>
        <v/>
      </c>
      <c r="L44" s="382" t="str">
        <f t="shared" si="1"/>
        <v/>
      </c>
      <c r="M44" s="382"/>
      <c r="N44" s="380"/>
      <c r="O44" s="369" t="str">
        <f>'5-0 Товары'!I44</f>
        <v/>
      </c>
      <c r="P44" s="371" t="str">
        <f>'5-0 Товары'!N44</f>
        <v/>
      </c>
      <c r="Q44" s="197"/>
      <c r="R44" s="193"/>
      <c r="S44" s="187"/>
      <c r="T44" s="187"/>
      <c r="U44" s="187"/>
      <c r="V44" s="187"/>
      <c r="W44" s="187"/>
      <c r="X44" s="187"/>
      <c r="Y44" s="187" t="s">
        <v>96</v>
      </c>
      <c r="Z44" s="193" t="str">
        <f t="shared" si="2"/>
        <v/>
      </c>
      <c r="AA44" s="383"/>
      <c r="AB44" s="384"/>
      <c r="AC44" s="385"/>
      <c r="AD44" s="383"/>
      <c r="AE44" s="384"/>
      <c r="AF44" s="385"/>
      <c r="AG44" s="383"/>
      <c r="AH44" s="384"/>
      <c r="AI44" s="385"/>
      <c r="AJ44" s="383"/>
      <c r="AK44" s="384"/>
      <c r="AL44" s="385"/>
      <c r="AM44" s="383"/>
      <c r="AN44" s="384"/>
      <c r="AO44" s="385"/>
      <c r="AP44" s="383"/>
      <c r="AQ44" s="384"/>
      <c r="AR44" s="385"/>
      <c r="AS44" s="383"/>
      <c r="AT44" s="384"/>
      <c r="AU44" s="385"/>
      <c r="AV44" s="383"/>
      <c r="AW44" s="384"/>
      <c r="AX44" s="385"/>
      <c r="AY44" s="383"/>
      <c r="AZ44" s="384"/>
      <c r="BA44" s="385"/>
      <c r="BB44" s="386"/>
      <c r="BC44" s="387"/>
      <c r="BD44" s="388"/>
      <c r="BE44" s="386"/>
      <c r="BF44" s="387"/>
      <c r="BG44" s="388"/>
      <c r="BH44" s="386"/>
      <c r="BI44" s="387"/>
      <c r="BJ44" s="388"/>
      <c r="BK44" s="386"/>
      <c r="BL44" s="387"/>
      <c r="BM44" s="388"/>
      <c r="BN44" s="386"/>
      <c r="BO44" s="387"/>
      <c r="BP44" s="388"/>
      <c r="BQ44" s="386"/>
      <c r="BR44" s="387"/>
      <c r="BS44" s="388"/>
      <c r="BT44" s="386"/>
      <c r="BU44" s="387"/>
      <c r="BV44" s="388"/>
      <c r="BW44" s="386"/>
      <c r="BX44" s="387"/>
      <c r="BY44" s="388"/>
      <c r="BZ44" s="386"/>
      <c r="CA44" s="387"/>
      <c r="CB44" s="388"/>
      <c r="CC44" s="386"/>
      <c r="CD44" s="387"/>
      <c r="CE44" s="388"/>
      <c r="CF44" s="386"/>
      <c r="CG44" s="387"/>
      <c r="CH44" s="388"/>
      <c r="CI44" s="386"/>
      <c r="CJ44" s="387"/>
      <c r="CK44" s="388"/>
      <c r="CL44" s="386"/>
      <c r="CM44" s="387"/>
      <c r="CN44" s="388"/>
      <c r="CO44" s="386"/>
      <c r="CP44" s="387"/>
      <c r="CQ44" s="388"/>
      <c r="CR44" s="386"/>
      <c r="CS44" s="387"/>
      <c r="CT44" s="388"/>
      <c r="CU44" s="386"/>
      <c r="CV44" s="387"/>
      <c r="CW44" s="388"/>
      <c r="CX44" s="386"/>
      <c r="CY44" s="387"/>
      <c r="CZ44" s="388"/>
    </row>
    <row r="45">
      <c r="A45" s="1"/>
      <c r="B45" s="402"/>
      <c r="C45" s="362" t="str">
        <f>'5-0 Товары'!C45</f>
        <v/>
      </c>
      <c r="D45" s="363" t="str">
        <f>'5-0 Товары'!D45</f>
        <v/>
      </c>
      <c r="E45" s="364" t="str">
        <f>'5-0 Товары'!E45</f>
        <v/>
      </c>
      <c r="F45" s="380"/>
      <c r="G45" s="380"/>
      <c r="H45" s="364" t="str">
        <f>'5-0 Товары'!F45</f>
        <v/>
      </c>
      <c r="I45" s="391"/>
      <c r="J45" s="364" t="str">
        <f>'5-0 Товары'!G45</f>
        <v/>
      </c>
      <c r="K45" s="366" t="str">
        <f>'5-0 Товары'!H45</f>
        <v/>
      </c>
      <c r="L45" s="382" t="str">
        <f t="shared" si="1"/>
        <v/>
      </c>
      <c r="M45" s="382"/>
      <c r="N45" s="380"/>
      <c r="O45" s="369" t="str">
        <f>'5-0 Товары'!I45</f>
        <v/>
      </c>
      <c r="P45" s="371" t="str">
        <f>'5-0 Товары'!N45</f>
        <v/>
      </c>
      <c r="Q45" s="197"/>
      <c r="R45" s="193"/>
      <c r="S45" s="187"/>
      <c r="T45" s="187"/>
      <c r="U45" s="187"/>
      <c r="V45" s="187"/>
      <c r="W45" s="187"/>
      <c r="X45" s="187"/>
      <c r="Y45" s="187" t="s">
        <v>96</v>
      </c>
      <c r="Z45" s="193" t="str">
        <f t="shared" si="2"/>
        <v/>
      </c>
      <c r="AA45" s="383"/>
      <c r="AB45" s="384"/>
      <c r="AC45" s="385"/>
      <c r="AD45" s="383"/>
      <c r="AE45" s="384"/>
      <c r="AF45" s="385"/>
      <c r="AG45" s="383"/>
      <c r="AH45" s="384"/>
      <c r="AI45" s="385"/>
      <c r="AJ45" s="383"/>
      <c r="AK45" s="384"/>
      <c r="AL45" s="385"/>
      <c r="AM45" s="383"/>
      <c r="AN45" s="384"/>
      <c r="AO45" s="385"/>
      <c r="AP45" s="383"/>
      <c r="AQ45" s="384"/>
      <c r="AR45" s="385"/>
      <c r="AS45" s="383"/>
      <c r="AT45" s="384"/>
      <c r="AU45" s="385"/>
      <c r="AV45" s="383"/>
      <c r="AW45" s="384"/>
      <c r="AX45" s="385"/>
      <c r="AY45" s="383"/>
      <c r="AZ45" s="384"/>
      <c r="BA45" s="385"/>
      <c r="BB45" s="386"/>
      <c r="BC45" s="387"/>
      <c r="BD45" s="388"/>
      <c r="BE45" s="386"/>
      <c r="BF45" s="387"/>
      <c r="BG45" s="388"/>
      <c r="BH45" s="386"/>
      <c r="BI45" s="387"/>
      <c r="BJ45" s="388"/>
      <c r="BK45" s="386"/>
      <c r="BL45" s="387"/>
      <c r="BM45" s="388"/>
      <c r="BN45" s="386"/>
      <c r="BO45" s="387"/>
      <c r="BP45" s="388"/>
      <c r="BQ45" s="386"/>
      <c r="BR45" s="387"/>
      <c r="BS45" s="388"/>
      <c r="BT45" s="386"/>
      <c r="BU45" s="387"/>
      <c r="BV45" s="388"/>
      <c r="BW45" s="386"/>
      <c r="BX45" s="387"/>
      <c r="BY45" s="388"/>
      <c r="BZ45" s="386"/>
      <c r="CA45" s="387"/>
      <c r="CB45" s="388"/>
      <c r="CC45" s="386"/>
      <c r="CD45" s="387"/>
      <c r="CE45" s="388"/>
      <c r="CF45" s="386"/>
      <c r="CG45" s="387"/>
      <c r="CH45" s="388"/>
      <c r="CI45" s="386"/>
      <c r="CJ45" s="387"/>
      <c r="CK45" s="388"/>
      <c r="CL45" s="386"/>
      <c r="CM45" s="387"/>
      <c r="CN45" s="388"/>
      <c r="CO45" s="386"/>
      <c r="CP45" s="387"/>
      <c r="CQ45" s="388"/>
      <c r="CR45" s="386"/>
      <c r="CS45" s="387"/>
      <c r="CT45" s="388"/>
      <c r="CU45" s="386"/>
      <c r="CV45" s="387"/>
      <c r="CW45" s="388"/>
      <c r="CX45" s="386"/>
      <c r="CY45" s="387"/>
      <c r="CZ45" s="388"/>
    </row>
    <row r="46">
      <c r="A46" s="1"/>
      <c r="B46" s="402"/>
      <c r="C46" s="362" t="str">
        <f>'5-0 Товары'!C46</f>
        <v/>
      </c>
      <c r="D46" s="363" t="str">
        <f>'5-0 Товары'!D46</f>
        <v/>
      </c>
      <c r="E46" s="364" t="str">
        <f>'5-0 Товары'!E46</f>
        <v/>
      </c>
      <c r="F46" s="380"/>
      <c r="G46" s="380"/>
      <c r="H46" s="364" t="str">
        <f>'5-0 Товары'!F46</f>
        <v/>
      </c>
      <c r="I46" s="391"/>
      <c r="J46" s="364" t="str">
        <f>'5-0 Товары'!G46</f>
        <v/>
      </c>
      <c r="K46" s="366" t="str">
        <f>'5-0 Товары'!H46</f>
        <v/>
      </c>
      <c r="L46" s="382" t="str">
        <f t="shared" si="1"/>
        <v/>
      </c>
      <c r="M46" s="382"/>
      <c r="N46" s="380"/>
      <c r="O46" s="369" t="str">
        <f>'5-0 Товары'!I46</f>
        <v/>
      </c>
      <c r="P46" s="371" t="str">
        <f>'5-0 Товары'!N46</f>
        <v/>
      </c>
      <c r="Q46" s="197"/>
      <c r="R46" s="193"/>
      <c r="S46" s="187"/>
      <c r="T46" s="187"/>
      <c r="U46" s="187"/>
      <c r="V46" s="187"/>
      <c r="W46" s="187"/>
      <c r="X46" s="187"/>
      <c r="Y46" s="187" t="s">
        <v>96</v>
      </c>
      <c r="Z46" s="193" t="str">
        <f t="shared" si="2"/>
        <v/>
      </c>
      <c r="AA46" s="383"/>
      <c r="AB46" s="384"/>
      <c r="AC46" s="385"/>
      <c r="AD46" s="383"/>
      <c r="AE46" s="384"/>
      <c r="AF46" s="385"/>
      <c r="AG46" s="383"/>
      <c r="AH46" s="384"/>
      <c r="AI46" s="385"/>
      <c r="AJ46" s="383"/>
      <c r="AK46" s="384"/>
      <c r="AL46" s="385"/>
      <c r="AM46" s="383"/>
      <c r="AN46" s="384"/>
      <c r="AO46" s="385"/>
      <c r="AP46" s="383"/>
      <c r="AQ46" s="384"/>
      <c r="AR46" s="385"/>
      <c r="AS46" s="383"/>
      <c r="AT46" s="384"/>
      <c r="AU46" s="385"/>
      <c r="AV46" s="383"/>
      <c r="AW46" s="384"/>
      <c r="AX46" s="385"/>
      <c r="AY46" s="383"/>
      <c r="AZ46" s="384"/>
      <c r="BA46" s="385"/>
      <c r="BB46" s="386"/>
      <c r="BC46" s="387"/>
      <c r="BD46" s="388"/>
      <c r="BE46" s="386"/>
      <c r="BF46" s="387"/>
      <c r="BG46" s="388"/>
      <c r="BH46" s="386"/>
      <c r="BI46" s="387"/>
      <c r="BJ46" s="388"/>
      <c r="BK46" s="386"/>
      <c r="BL46" s="387"/>
      <c r="BM46" s="388"/>
      <c r="BN46" s="386"/>
      <c r="BO46" s="387"/>
      <c r="BP46" s="388"/>
      <c r="BQ46" s="386"/>
      <c r="BR46" s="387"/>
      <c r="BS46" s="388"/>
      <c r="BT46" s="386"/>
      <c r="BU46" s="387"/>
      <c r="BV46" s="388"/>
      <c r="BW46" s="386"/>
      <c r="BX46" s="387"/>
      <c r="BY46" s="388"/>
      <c r="BZ46" s="386"/>
      <c r="CA46" s="387"/>
      <c r="CB46" s="388"/>
      <c r="CC46" s="386"/>
      <c r="CD46" s="387"/>
      <c r="CE46" s="388"/>
      <c r="CF46" s="386"/>
      <c r="CG46" s="387"/>
      <c r="CH46" s="388"/>
      <c r="CI46" s="386"/>
      <c r="CJ46" s="387"/>
      <c r="CK46" s="388"/>
      <c r="CL46" s="386"/>
      <c r="CM46" s="387"/>
      <c r="CN46" s="388"/>
      <c r="CO46" s="386"/>
      <c r="CP46" s="387"/>
      <c r="CQ46" s="388"/>
      <c r="CR46" s="386"/>
      <c r="CS46" s="387"/>
      <c r="CT46" s="388"/>
      <c r="CU46" s="386"/>
      <c r="CV46" s="387"/>
      <c r="CW46" s="388"/>
      <c r="CX46" s="386"/>
      <c r="CY46" s="387"/>
      <c r="CZ46" s="388"/>
    </row>
    <row r="47">
      <c r="A47" s="1"/>
      <c r="B47" s="402"/>
      <c r="C47" s="362" t="str">
        <f>'5-0 Товары'!C47</f>
        <v/>
      </c>
      <c r="D47" s="363" t="str">
        <f>'5-0 Товары'!D47</f>
        <v/>
      </c>
      <c r="E47" s="364" t="str">
        <f>'5-0 Товары'!E47</f>
        <v/>
      </c>
      <c r="F47" s="380"/>
      <c r="G47" s="380"/>
      <c r="H47" s="364" t="str">
        <f>'5-0 Товары'!F47</f>
        <v/>
      </c>
      <c r="I47" s="391"/>
      <c r="J47" s="364" t="str">
        <f>'5-0 Товары'!G47</f>
        <v/>
      </c>
      <c r="K47" s="366" t="str">
        <f>'5-0 Товары'!H47</f>
        <v/>
      </c>
      <c r="L47" s="382" t="str">
        <f t="shared" si="1"/>
        <v/>
      </c>
      <c r="M47" s="382"/>
      <c r="N47" s="380"/>
      <c r="O47" s="369" t="str">
        <f>'5-0 Товары'!I47</f>
        <v/>
      </c>
      <c r="P47" s="371" t="str">
        <f>'5-0 Товары'!N47</f>
        <v/>
      </c>
      <c r="Q47" s="197"/>
      <c r="R47" s="193"/>
      <c r="S47" s="187"/>
      <c r="T47" s="187"/>
      <c r="U47" s="187"/>
      <c r="V47" s="187"/>
      <c r="W47" s="187"/>
      <c r="X47" s="187"/>
      <c r="Y47" s="187" t="s">
        <v>96</v>
      </c>
      <c r="Z47" s="193" t="str">
        <f t="shared" si="2"/>
        <v/>
      </c>
      <c r="AA47" s="383"/>
      <c r="AB47" s="384"/>
      <c r="AC47" s="385"/>
      <c r="AD47" s="383"/>
      <c r="AE47" s="384"/>
      <c r="AF47" s="385"/>
      <c r="AG47" s="383"/>
      <c r="AH47" s="384"/>
      <c r="AI47" s="385"/>
      <c r="AJ47" s="383"/>
      <c r="AK47" s="384"/>
      <c r="AL47" s="385"/>
      <c r="AM47" s="383"/>
      <c r="AN47" s="384"/>
      <c r="AO47" s="385"/>
      <c r="AP47" s="383"/>
      <c r="AQ47" s="384"/>
      <c r="AR47" s="385"/>
      <c r="AS47" s="383"/>
      <c r="AT47" s="384"/>
      <c r="AU47" s="385"/>
      <c r="AV47" s="383"/>
      <c r="AW47" s="384"/>
      <c r="AX47" s="385"/>
      <c r="AY47" s="383"/>
      <c r="AZ47" s="384"/>
      <c r="BA47" s="385"/>
      <c r="BB47" s="386"/>
      <c r="BC47" s="387"/>
      <c r="BD47" s="388"/>
      <c r="BE47" s="386"/>
      <c r="BF47" s="387"/>
      <c r="BG47" s="388"/>
      <c r="BH47" s="386"/>
      <c r="BI47" s="387"/>
      <c r="BJ47" s="388"/>
      <c r="BK47" s="386"/>
      <c r="BL47" s="387"/>
      <c r="BM47" s="388"/>
      <c r="BN47" s="386"/>
      <c r="BO47" s="387"/>
      <c r="BP47" s="388"/>
      <c r="BQ47" s="386"/>
      <c r="BR47" s="387"/>
      <c r="BS47" s="388"/>
      <c r="BT47" s="386"/>
      <c r="BU47" s="387"/>
      <c r="BV47" s="388"/>
      <c r="BW47" s="386"/>
      <c r="BX47" s="387"/>
      <c r="BY47" s="388"/>
      <c r="BZ47" s="386"/>
      <c r="CA47" s="387"/>
      <c r="CB47" s="388"/>
      <c r="CC47" s="386"/>
      <c r="CD47" s="387"/>
      <c r="CE47" s="388"/>
      <c r="CF47" s="386"/>
      <c r="CG47" s="387"/>
      <c r="CH47" s="388"/>
      <c r="CI47" s="386"/>
      <c r="CJ47" s="387"/>
      <c r="CK47" s="388"/>
      <c r="CL47" s="386"/>
      <c r="CM47" s="387"/>
      <c r="CN47" s="388"/>
      <c r="CO47" s="386"/>
      <c r="CP47" s="387"/>
      <c r="CQ47" s="388"/>
      <c r="CR47" s="386"/>
      <c r="CS47" s="387"/>
      <c r="CT47" s="388"/>
      <c r="CU47" s="386"/>
      <c r="CV47" s="387"/>
      <c r="CW47" s="388"/>
      <c r="CX47" s="386"/>
      <c r="CY47" s="387"/>
      <c r="CZ47" s="388"/>
    </row>
    <row r="48">
      <c r="A48" s="1"/>
      <c r="B48" s="402"/>
      <c r="C48" s="362" t="str">
        <f>'5-0 Товары'!C48</f>
        <v/>
      </c>
      <c r="D48" s="363" t="str">
        <f>'5-0 Товары'!D48</f>
        <v/>
      </c>
      <c r="E48" s="364" t="str">
        <f>'5-0 Товары'!E48</f>
        <v/>
      </c>
      <c r="F48" s="380"/>
      <c r="G48" s="380"/>
      <c r="H48" s="364" t="str">
        <f>'5-0 Товары'!F48</f>
        <v/>
      </c>
      <c r="I48" s="391"/>
      <c r="J48" s="364" t="str">
        <f>'5-0 Товары'!G48</f>
        <v/>
      </c>
      <c r="K48" s="366" t="str">
        <f>'5-0 Товары'!H48</f>
        <v/>
      </c>
      <c r="L48" s="382" t="str">
        <f t="shared" si="1"/>
        <v/>
      </c>
      <c r="M48" s="382"/>
      <c r="N48" s="380"/>
      <c r="O48" s="369" t="str">
        <f>'5-0 Товары'!I48</f>
        <v/>
      </c>
      <c r="P48" s="371" t="str">
        <f>'5-0 Товары'!N48</f>
        <v/>
      </c>
      <c r="Q48" s="197"/>
      <c r="R48" s="193"/>
      <c r="S48" s="187"/>
      <c r="T48" s="187"/>
      <c r="U48" s="187"/>
      <c r="V48" s="187"/>
      <c r="W48" s="187"/>
      <c r="X48" s="187"/>
      <c r="Y48" s="187" t="s">
        <v>96</v>
      </c>
      <c r="Z48" s="193" t="str">
        <f t="shared" si="2"/>
        <v/>
      </c>
      <c r="AA48" s="383"/>
      <c r="AB48" s="384"/>
      <c r="AC48" s="385"/>
      <c r="AD48" s="383"/>
      <c r="AE48" s="384"/>
      <c r="AF48" s="385"/>
      <c r="AG48" s="383"/>
      <c r="AH48" s="384"/>
      <c r="AI48" s="385"/>
      <c r="AJ48" s="383"/>
      <c r="AK48" s="384"/>
      <c r="AL48" s="385"/>
      <c r="AM48" s="383"/>
      <c r="AN48" s="384"/>
      <c r="AO48" s="385"/>
      <c r="AP48" s="383"/>
      <c r="AQ48" s="384"/>
      <c r="AR48" s="385"/>
      <c r="AS48" s="383"/>
      <c r="AT48" s="384"/>
      <c r="AU48" s="385"/>
      <c r="AV48" s="383"/>
      <c r="AW48" s="384"/>
      <c r="AX48" s="385"/>
      <c r="AY48" s="383"/>
      <c r="AZ48" s="384"/>
      <c r="BA48" s="385"/>
      <c r="BB48" s="386"/>
      <c r="BC48" s="387"/>
      <c r="BD48" s="388"/>
      <c r="BE48" s="386"/>
      <c r="BF48" s="387"/>
      <c r="BG48" s="388"/>
      <c r="BH48" s="386"/>
      <c r="BI48" s="387"/>
      <c r="BJ48" s="388"/>
      <c r="BK48" s="386"/>
      <c r="BL48" s="387"/>
      <c r="BM48" s="388"/>
      <c r="BN48" s="386"/>
      <c r="BO48" s="387"/>
      <c r="BP48" s="388"/>
      <c r="BQ48" s="386"/>
      <c r="BR48" s="387"/>
      <c r="BS48" s="388"/>
      <c r="BT48" s="386"/>
      <c r="BU48" s="387"/>
      <c r="BV48" s="388"/>
      <c r="BW48" s="386"/>
      <c r="BX48" s="387"/>
      <c r="BY48" s="388"/>
      <c r="BZ48" s="386"/>
      <c r="CA48" s="387"/>
      <c r="CB48" s="388"/>
      <c r="CC48" s="386"/>
      <c r="CD48" s="387"/>
      <c r="CE48" s="388"/>
      <c r="CF48" s="386"/>
      <c r="CG48" s="387"/>
      <c r="CH48" s="388"/>
      <c r="CI48" s="386"/>
      <c r="CJ48" s="387"/>
      <c r="CK48" s="388"/>
      <c r="CL48" s="386"/>
      <c r="CM48" s="387"/>
      <c r="CN48" s="388"/>
      <c r="CO48" s="386"/>
      <c r="CP48" s="387"/>
      <c r="CQ48" s="388"/>
      <c r="CR48" s="386"/>
      <c r="CS48" s="387"/>
      <c r="CT48" s="388"/>
      <c r="CU48" s="386"/>
      <c r="CV48" s="387"/>
      <c r="CW48" s="388"/>
      <c r="CX48" s="386"/>
      <c r="CY48" s="387"/>
      <c r="CZ48" s="388"/>
    </row>
    <row r="49">
      <c r="A49" s="1"/>
      <c r="B49" s="402"/>
      <c r="C49" s="362" t="str">
        <f>'5-0 Товары'!C49</f>
        <v/>
      </c>
      <c r="D49" s="363" t="str">
        <f>'5-0 Товары'!D49</f>
        <v/>
      </c>
      <c r="E49" s="364" t="str">
        <f>'5-0 Товары'!E49</f>
        <v/>
      </c>
      <c r="F49" s="380"/>
      <c r="G49" s="380"/>
      <c r="H49" s="364" t="str">
        <f>'5-0 Товары'!F49</f>
        <v/>
      </c>
      <c r="I49" s="391"/>
      <c r="J49" s="364" t="str">
        <f>'5-0 Товары'!G49</f>
        <v/>
      </c>
      <c r="K49" s="366" t="str">
        <f>'5-0 Товары'!H49</f>
        <v/>
      </c>
      <c r="L49" s="382" t="str">
        <f t="shared" si="1"/>
        <v/>
      </c>
      <c r="M49" s="382"/>
      <c r="N49" s="380"/>
      <c r="O49" s="369" t="str">
        <f>'5-0 Товары'!I49</f>
        <v/>
      </c>
      <c r="P49" s="371" t="str">
        <f>'5-0 Товары'!N49</f>
        <v/>
      </c>
      <c r="Q49" s="197"/>
      <c r="R49" s="193"/>
      <c r="S49" s="187"/>
      <c r="T49" s="187"/>
      <c r="U49" s="187"/>
      <c r="V49" s="187"/>
      <c r="W49" s="187"/>
      <c r="X49" s="187"/>
      <c r="Y49" s="187" t="s">
        <v>96</v>
      </c>
      <c r="Z49" s="193" t="str">
        <f t="shared" si="2"/>
        <v/>
      </c>
      <c r="AA49" s="383"/>
      <c r="AB49" s="384"/>
      <c r="AC49" s="385"/>
      <c r="AD49" s="383"/>
      <c r="AE49" s="384"/>
      <c r="AF49" s="385"/>
      <c r="AG49" s="383"/>
      <c r="AH49" s="384"/>
      <c r="AI49" s="385"/>
      <c r="AJ49" s="383"/>
      <c r="AK49" s="384"/>
      <c r="AL49" s="385"/>
      <c r="AM49" s="383"/>
      <c r="AN49" s="384"/>
      <c r="AO49" s="385"/>
      <c r="AP49" s="383"/>
      <c r="AQ49" s="384"/>
      <c r="AR49" s="385"/>
      <c r="AS49" s="383"/>
      <c r="AT49" s="384"/>
      <c r="AU49" s="385"/>
      <c r="AV49" s="383"/>
      <c r="AW49" s="384"/>
      <c r="AX49" s="385"/>
      <c r="AY49" s="383"/>
      <c r="AZ49" s="384"/>
      <c r="BA49" s="385"/>
      <c r="BB49" s="386"/>
      <c r="BC49" s="387"/>
      <c r="BD49" s="388"/>
      <c r="BE49" s="386"/>
      <c r="BF49" s="387"/>
      <c r="BG49" s="388"/>
      <c r="BH49" s="386"/>
      <c r="BI49" s="387"/>
      <c r="BJ49" s="388"/>
      <c r="BK49" s="386"/>
      <c r="BL49" s="387"/>
      <c r="BM49" s="388"/>
      <c r="BN49" s="386"/>
      <c r="BO49" s="387"/>
      <c r="BP49" s="388"/>
      <c r="BQ49" s="386"/>
      <c r="BR49" s="387"/>
      <c r="BS49" s="388"/>
      <c r="BT49" s="386"/>
      <c r="BU49" s="387"/>
      <c r="BV49" s="388"/>
      <c r="BW49" s="386"/>
      <c r="BX49" s="387"/>
      <c r="BY49" s="388"/>
      <c r="BZ49" s="386"/>
      <c r="CA49" s="387"/>
      <c r="CB49" s="388"/>
      <c r="CC49" s="386"/>
      <c r="CD49" s="387"/>
      <c r="CE49" s="388"/>
      <c r="CF49" s="386"/>
      <c r="CG49" s="387"/>
      <c r="CH49" s="388"/>
      <c r="CI49" s="386"/>
      <c r="CJ49" s="387"/>
      <c r="CK49" s="388"/>
      <c r="CL49" s="386"/>
      <c r="CM49" s="387"/>
      <c r="CN49" s="388"/>
      <c r="CO49" s="386"/>
      <c r="CP49" s="387"/>
      <c r="CQ49" s="388"/>
      <c r="CR49" s="386"/>
      <c r="CS49" s="387"/>
      <c r="CT49" s="388"/>
      <c r="CU49" s="386"/>
      <c r="CV49" s="387"/>
      <c r="CW49" s="388"/>
      <c r="CX49" s="386"/>
      <c r="CY49" s="387"/>
      <c r="CZ49" s="388"/>
    </row>
    <row r="50">
      <c r="A50" s="1"/>
      <c r="B50" s="402"/>
      <c r="C50" s="362" t="str">
        <f>'5-0 Товары'!C50</f>
        <v/>
      </c>
      <c r="D50" s="363" t="str">
        <f>'5-0 Товары'!D50</f>
        <v/>
      </c>
      <c r="E50" s="364" t="str">
        <f>'5-0 Товары'!E50</f>
        <v/>
      </c>
      <c r="F50" s="380"/>
      <c r="G50" s="380"/>
      <c r="H50" s="364" t="str">
        <f>'5-0 Товары'!F50</f>
        <v/>
      </c>
      <c r="I50" s="391"/>
      <c r="J50" s="364" t="str">
        <f>'5-0 Товары'!G50</f>
        <v/>
      </c>
      <c r="K50" s="366" t="str">
        <f>'5-0 Товары'!H50</f>
        <v/>
      </c>
      <c r="L50" s="382" t="str">
        <f t="shared" si="1"/>
        <v/>
      </c>
      <c r="M50" s="382"/>
      <c r="N50" s="380"/>
      <c r="O50" s="369" t="str">
        <f>'5-0 Товары'!I50</f>
        <v/>
      </c>
      <c r="P50" s="371" t="str">
        <f>'5-0 Товары'!N50</f>
        <v/>
      </c>
      <c r="Q50" s="197"/>
      <c r="R50" s="193"/>
      <c r="S50" s="187"/>
      <c r="T50" s="187"/>
      <c r="U50" s="187"/>
      <c r="V50" s="187"/>
      <c r="W50" s="187"/>
      <c r="X50" s="187"/>
      <c r="Y50" s="187" t="s">
        <v>96</v>
      </c>
      <c r="Z50" s="193" t="str">
        <f t="shared" si="2"/>
        <v/>
      </c>
      <c r="AA50" s="383"/>
      <c r="AB50" s="384"/>
      <c r="AC50" s="385"/>
      <c r="AD50" s="383"/>
      <c r="AE50" s="384"/>
      <c r="AF50" s="385"/>
      <c r="AG50" s="383"/>
      <c r="AH50" s="384"/>
      <c r="AI50" s="385"/>
      <c r="AJ50" s="383"/>
      <c r="AK50" s="384"/>
      <c r="AL50" s="385"/>
      <c r="AM50" s="383"/>
      <c r="AN50" s="384"/>
      <c r="AO50" s="385"/>
      <c r="AP50" s="383"/>
      <c r="AQ50" s="384"/>
      <c r="AR50" s="385"/>
      <c r="AS50" s="383"/>
      <c r="AT50" s="384"/>
      <c r="AU50" s="385"/>
      <c r="AV50" s="383"/>
      <c r="AW50" s="384"/>
      <c r="AX50" s="385"/>
      <c r="AY50" s="383"/>
      <c r="AZ50" s="384"/>
      <c r="BA50" s="385"/>
      <c r="BB50" s="386"/>
      <c r="BC50" s="387"/>
      <c r="BD50" s="388"/>
      <c r="BE50" s="386"/>
      <c r="BF50" s="387"/>
      <c r="BG50" s="388"/>
      <c r="BH50" s="386"/>
      <c r="BI50" s="387"/>
      <c r="BJ50" s="388"/>
      <c r="BK50" s="386"/>
      <c r="BL50" s="387"/>
      <c r="BM50" s="388"/>
      <c r="BN50" s="386"/>
      <c r="BO50" s="387"/>
      <c r="BP50" s="388"/>
      <c r="BQ50" s="386"/>
      <c r="BR50" s="387"/>
      <c r="BS50" s="388"/>
      <c r="BT50" s="386"/>
      <c r="BU50" s="387"/>
      <c r="BV50" s="388"/>
      <c r="BW50" s="386"/>
      <c r="BX50" s="387"/>
      <c r="BY50" s="388"/>
      <c r="BZ50" s="386"/>
      <c r="CA50" s="387"/>
      <c r="CB50" s="388"/>
      <c r="CC50" s="386"/>
      <c r="CD50" s="387"/>
      <c r="CE50" s="388"/>
      <c r="CF50" s="386"/>
      <c r="CG50" s="387"/>
      <c r="CH50" s="388"/>
      <c r="CI50" s="386"/>
      <c r="CJ50" s="387"/>
      <c r="CK50" s="388"/>
      <c r="CL50" s="386"/>
      <c r="CM50" s="387"/>
      <c r="CN50" s="388"/>
      <c r="CO50" s="386"/>
      <c r="CP50" s="387"/>
      <c r="CQ50" s="388"/>
      <c r="CR50" s="386"/>
      <c r="CS50" s="387"/>
      <c r="CT50" s="388"/>
      <c r="CU50" s="386"/>
      <c r="CV50" s="387"/>
      <c r="CW50" s="388"/>
      <c r="CX50" s="386"/>
      <c r="CY50" s="387"/>
      <c r="CZ50" s="388"/>
    </row>
    <row r="51">
      <c r="A51" s="1"/>
      <c r="B51" s="402"/>
      <c r="C51" s="362" t="str">
        <f>'5-0 Товары'!C51</f>
        <v/>
      </c>
      <c r="D51" s="363" t="str">
        <f>'5-0 Товары'!D51</f>
        <v/>
      </c>
      <c r="E51" s="364" t="str">
        <f>'5-0 Товары'!E51</f>
        <v/>
      </c>
      <c r="F51" s="380"/>
      <c r="G51" s="380"/>
      <c r="H51" s="364" t="str">
        <f>'5-0 Товары'!F51</f>
        <v/>
      </c>
      <c r="I51" s="391"/>
      <c r="J51" s="364" t="str">
        <f>'5-0 Товары'!G51</f>
        <v/>
      </c>
      <c r="K51" s="366" t="str">
        <f>'5-0 Товары'!H51</f>
        <v/>
      </c>
      <c r="L51" s="382" t="str">
        <f t="shared" si="1"/>
        <v/>
      </c>
      <c r="M51" s="382"/>
      <c r="N51" s="380"/>
      <c r="O51" s="369" t="str">
        <f>'5-0 Товары'!I51</f>
        <v/>
      </c>
      <c r="P51" s="371" t="str">
        <f>'5-0 Товары'!N51</f>
        <v/>
      </c>
      <c r="Q51" s="197"/>
      <c r="R51" s="193"/>
      <c r="S51" s="187"/>
      <c r="T51" s="187"/>
      <c r="U51" s="187"/>
      <c r="V51" s="187"/>
      <c r="W51" s="187"/>
      <c r="X51" s="187"/>
      <c r="Y51" s="187" t="s">
        <v>96</v>
      </c>
      <c r="Z51" s="193" t="str">
        <f t="shared" si="2"/>
        <v/>
      </c>
      <c r="AA51" s="383"/>
      <c r="AB51" s="384"/>
      <c r="AC51" s="385"/>
      <c r="AD51" s="383"/>
      <c r="AE51" s="384"/>
      <c r="AF51" s="385"/>
      <c r="AG51" s="383"/>
      <c r="AH51" s="384"/>
      <c r="AI51" s="385"/>
      <c r="AJ51" s="383"/>
      <c r="AK51" s="384"/>
      <c r="AL51" s="385"/>
      <c r="AM51" s="383"/>
      <c r="AN51" s="384"/>
      <c r="AO51" s="385"/>
      <c r="AP51" s="383"/>
      <c r="AQ51" s="384"/>
      <c r="AR51" s="385"/>
      <c r="AS51" s="383"/>
      <c r="AT51" s="384"/>
      <c r="AU51" s="385"/>
      <c r="AV51" s="383"/>
      <c r="AW51" s="384"/>
      <c r="AX51" s="385"/>
      <c r="AY51" s="383"/>
      <c r="AZ51" s="384"/>
      <c r="BA51" s="385"/>
      <c r="BB51" s="386"/>
      <c r="BC51" s="387"/>
      <c r="BD51" s="388"/>
      <c r="BE51" s="386"/>
      <c r="BF51" s="387"/>
      <c r="BG51" s="388"/>
      <c r="BH51" s="386"/>
      <c r="BI51" s="387"/>
      <c r="BJ51" s="388"/>
      <c r="BK51" s="386"/>
      <c r="BL51" s="387"/>
      <c r="BM51" s="388"/>
      <c r="BN51" s="386"/>
      <c r="BO51" s="387"/>
      <c r="BP51" s="388"/>
      <c r="BQ51" s="386"/>
      <c r="BR51" s="387"/>
      <c r="BS51" s="388"/>
      <c r="BT51" s="386"/>
      <c r="BU51" s="387"/>
      <c r="BV51" s="388"/>
      <c r="BW51" s="386"/>
      <c r="BX51" s="387"/>
      <c r="BY51" s="388"/>
      <c r="BZ51" s="386"/>
      <c r="CA51" s="387"/>
      <c r="CB51" s="388"/>
      <c r="CC51" s="386"/>
      <c r="CD51" s="387"/>
      <c r="CE51" s="388"/>
      <c r="CF51" s="386"/>
      <c r="CG51" s="387"/>
      <c r="CH51" s="388"/>
      <c r="CI51" s="386"/>
      <c r="CJ51" s="387"/>
      <c r="CK51" s="388"/>
      <c r="CL51" s="386"/>
      <c r="CM51" s="387"/>
      <c r="CN51" s="388"/>
      <c r="CO51" s="386"/>
      <c r="CP51" s="387"/>
      <c r="CQ51" s="388"/>
      <c r="CR51" s="386"/>
      <c r="CS51" s="387"/>
      <c r="CT51" s="388"/>
      <c r="CU51" s="386"/>
      <c r="CV51" s="387"/>
      <c r="CW51" s="388"/>
      <c r="CX51" s="386"/>
      <c r="CY51" s="387"/>
      <c r="CZ51" s="388"/>
    </row>
    <row r="52">
      <c r="A52" s="1"/>
      <c r="B52" s="402"/>
      <c r="C52" s="362" t="str">
        <f>'5-0 Товары'!C52</f>
        <v/>
      </c>
      <c r="D52" s="363" t="str">
        <f>'5-0 Товары'!D52</f>
        <v/>
      </c>
      <c r="E52" s="364" t="str">
        <f>'5-0 Товары'!E52</f>
        <v/>
      </c>
      <c r="F52" s="380"/>
      <c r="G52" s="380"/>
      <c r="H52" s="364" t="str">
        <f>'5-0 Товары'!F52</f>
        <v/>
      </c>
      <c r="I52" s="391"/>
      <c r="J52" s="364" t="str">
        <f>'5-0 Товары'!G52</f>
        <v/>
      </c>
      <c r="K52" s="366" t="str">
        <f>'5-0 Товары'!H52</f>
        <v/>
      </c>
      <c r="L52" s="382" t="str">
        <f t="shared" si="1"/>
        <v/>
      </c>
      <c r="M52" s="382"/>
      <c r="N52" s="380"/>
      <c r="O52" s="369" t="str">
        <f>'5-0 Товары'!I52</f>
        <v/>
      </c>
      <c r="P52" s="371" t="str">
        <f>'5-0 Товары'!N52</f>
        <v/>
      </c>
      <c r="Q52" s="197"/>
      <c r="R52" s="193"/>
      <c r="S52" s="187"/>
      <c r="T52" s="187"/>
      <c r="U52" s="187"/>
      <c r="V52" s="187"/>
      <c r="W52" s="187"/>
      <c r="X52" s="187"/>
      <c r="Y52" s="187" t="s">
        <v>96</v>
      </c>
      <c r="Z52" s="193" t="str">
        <f t="shared" si="2"/>
        <v/>
      </c>
      <c r="AA52" s="383"/>
      <c r="AB52" s="384"/>
      <c r="AC52" s="385"/>
      <c r="AD52" s="383"/>
      <c r="AE52" s="384"/>
      <c r="AF52" s="385"/>
      <c r="AG52" s="383"/>
      <c r="AH52" s="384"/>
      <c r="AI52" s="385"/>
      <c r="AJ52" s="383"/>
      <c r="AK52" s="384"/>
      <c r="AL52" s="385"/>
      <c r="AM52" s="383"/>
      <c r="AN52" s="384"/>
      <c r="AO52" s="385"/>
      <c r="AP52" s="383"/>
      <c r="AQ52" s="384"/>
      <c r="AR52" s="385"/>
      <c r="AS52" s="383"/>
      <c r="AT52" s="384"/>
      <c r="AU52" s="385"/>
      <c r="AV52" s="383"/>
      <c r="AW52" s="384"/>
      <c r="AX52" s="385"/>
      <c r="AY52" s="383"/>
      <c r="AZ52" s="384"/>
      <c r="BA52" s="385"/>
      <c r="BB52" s="386"/>
      <c r="BC52" s="387"/>
      <c r="BD52" s="388"/>
      <c r="BE52" s="386"/>
      <c r="BF52" s="387"/>
      <c r="BG52" s="388"/>
      <c r="BH52" s="386"/>
      <c r="BI52" s="387"/>
      <c r="BJ52" s="388"/>
      <c r="BK52" s="386"/>
      <c r="BL52" s="387"/>
      <c r="BM52" s="388"/>
      <c r="BN52" s="386"/>
      <c r="BO52" s="387"/>
      <c r="BP52" s="388"/>
      <c r="BQ52" s="386"/>
      <c r="BR52" s="387"/>
      <c r="BS52" s="388"/>
      <c r="BT52" s="386"/>
      <c r="BU52" s="387"/>
      <c r="BV52" s="388"/>
      <c r="BW52" s="386"/>
      <c r="BX52" s="387"/>
      <c r="BY52" s="388"/>
      <c r="BZ52" s="386"/>
      <c r="CA52" s="387"/>
      <c r="CB52" s="388"/>
      <c r="CC52" s="386"/>
      <c r="CD52" s="387"/>
      <c r="CE52" s="388"/>
      <c r="CF52" s="386"/>
      <c r="CG52" s="387"/>
      <c r="CH52" s="388"/>
      <c r="CI52" s="386"/>
      <c r="CJ52" s="387"/>
      <c r="CK52" s="388"/>
      <c r="CL52" s="386"/>
      <c r="CM52" s="387"/>
      <c r="CN52" s="388"/>
      <c r="CO52" s="386"/>
      <c r="CP52" s="387"/>
      <c r="CQ52" s="388"/>
      <c r="CR52" s="386"/>
      <c r="CS52" s="387"/>
      <c r="CT52" s="388"/>
      <c r="CU52" s="386"/>
      <c r="CV52" s="387"/>
      <c r="CW52" s="388"/>
      <c r="CX52" s="386"/>
      <c r="CY52" s="387"/>
      <c r="CZ52" s="388"/>
    </row>
    <row r="53">
      <c r="A53" s="1"/>
      <c r="B53" s="402"/>
      <c r="C53" s="362" t="str">
        <f>'5-0 Товары'!C53</f>
        <v/>
      </c>
      <c r="D53" s="363" t="str">
        <f>'5-0 Товары'!D53</f>
        <v/>
      </c>
      <c r="E53" s="364" t="str">
        <f>'5-0 Товары'!E53</f>
        <v/>
      </c>
      <c r="F53" s="380"/>
      <c r="G53" s="380"/>
      <c r="H53" s="364" t="str">
        <f>'5-0 Товары'!F53</f>
        <v/>
      </c>
      <c r="I53" s="391"/>
      <c r="J53" s="364" t="str">
        <f>'5-0 Товары'!G53</f>
        <v/>
      </c>
      <c r="K53" s="366" t="str">
        <f>'5-0 Товары'!H53</f>
        <v/>
      </c>
      <c r="L53" s="382" t="str">
        <f t="shared" si="1"/>
        <v/>
      </c>
      <c r="M53" s="382"/>
      <c r="N53" s="380"/>
      <c r="O53" s="369" t="str">
        <f>'5-0 Товары'!I53</f>
        <v/>
      </c>
      <c r="P53" s="371" t="str">
        <f>'5-0 Товары'!N53</f>
        <v/>
      </c>
      <c r="Q53" s="197"/>
      <c r="R53" s="193"/>
      <c r="S53" s="187"/>
      <c r="T53" s="187"/>
      <c r="U53" s="187"/>
      <c r="V53" s="187"/>
      <c r="W53" s="187"/>
      <c r="X53" s="187"/>
      <c r="Y53" s="187" t="s">
        <v>96</v>
      </c>
      <c r="Z53" s="193" t="str">
        <f t="shared" si="2"/>
        <v/>
      </c>
      <c r="AA53" s="383"/>
      <c r="AB53" s="384"/>
      <c r="AC53" s="385"/>
      <c r="AD53" s="383"/>
      <c r="AE53" s="384"/>
      <c r="AF53" s="385"/>
      <c r="AG53" s="383"/>
      <c r="AH53" s="384"/>
      <c r="AI53" s="385"/>
      <c r="AJ53" s="383"/>
      <c r="AK53" s="384"/>
      <c r="AL53" s="385"/>
      <c r="AM53" s="383"/>
      <c r="AN53" s="384"/>
      <c r="AO53" s="385"/>
      <c r="AP53" s="383"/>
      <c r="AQ53" s="384"/>
      <c r="AR53" s="385"/>
      <c r="AS53" s="383"/>
      <c r="AT53" s="384"/>
      <c r="AU53" s="385"/>
      <c r="AV53" s="383"/>
      <c r="AW53" s="384"/>
      <c r="AX53" s="385"/>
      <c r="AY53" s="383"/>
      <c r="AZ53" s="384"/>
      <c r="BA53" s="385"/>
      <c r="BB53" s="386"/>
      <c r="BC53" s="387"/>
      <c r="BD53" s="388"/>
      <c r="BE53" s="386"/>
      <c r="BF53" s="387"/>
      <c r="BG53" s="388"/>
      <c r="BH53" s="386"/>
      <c r="BI53" s="387"/>
      <c r="BJ53" s="388"/>
      <c r="BK53" s="386"/>
      <c r="BL53" s="387"/>
      <c r="BM53" s="388"/>
      <c r="BN53" s="386"/>
      <c r="BO53" s="387"/>
      <c r="BP53" s="388"/>
      <c r="BQ53" s="386"/>
      <c r="BR53" s="387"/>
      <c r="BS53" s="388"/>
      <c r="BT53" s="386"/>
      <c r="BU53" s="387"/>
      <c r="BV53" s="388"/>
      <c r="BW53" s="386"/>
      <c r="BX53" s="387"/>
      <c r="BY53" s="388"/>
      <c r="BZ53" s="386"/>
      <c r="CA53" s="387"/>
      <c r="CB53" s="388"/>
      <c r="CC53" s="386"/>
      <c r="CD53" s="387"/>
      <c r="CE53" s="388"/>
      <c r="CF53" s="386"/>
      <c r="CG53" s="387"/>
      <c r="CH53" s="388"/>
      <c r="CI53" s="386"/>
      <c r="CJ53" s="387"/>
      <c r="CK53" s="388"/>
      <c r="CL53" s="386"/>
      <c r="CM53" s="387"/>
      <c r="CN53" s="388"/>
      <c r="CO53" s="386"/>
      <c r="CP53" s="387"/>
      <c r="CQ53" s="388"/>
      <c r="CR53" s="386"/>
      <c r="CS53" s="387"/>
      <c r="CT53" s="388"/>
      <c r="CU53" s="386"/>
      <c r="CV53" s="387"/>
      <c r="CW53" s="388"/>
      <c r="CX53" s="386"/>
      <c r="CY53" s="387"/>
      <c r="CZ53" s="388"/>
    </row>
    <row r="54">
      <c r="A54" s="1"/>
      <c r="B54" s="402"/>
      <c r="C54" s="362" t="str">
        <f>'5-0 Товары'!C54</f>
        <v/>
      </c>
      <c r="D54" s="363" t="str">
        <f>'5-0 Товары'!D54</f>
        <v/>
      </c>
      <c r="E54" s="364" t="str">
        <f>'5-0 Товары'!E54</f>
        <v/>
      </c>
      <c r="F54" s="380"/>
      <c r="G54" s="380"/>
      <c r="H54" s="364" t="str">
        <f>'5-0 Товары'!F54</f>
        <v/>
      </c>
      <c r="I54" s="391"/>
      <c r="J54" s="364" t="str">
        <f>'5-0 Товары'!G54</f>
        <v/>
      </c>
      <c r="K54" s="366" t="str">
        <f>'5-0 Товары'!H54</f>
        <v/>
      </c>
      <c r="L54" s="382" t="str">
        <f t="shared" si="1"/>
        <v/>
      </c>
      <c r="M54" s="382"/>
      <c r="N54" s="380"/>
      <c r="O54" s="369" t="str">
        <f>'5-0 Товары'!I54</f>
        <v/>
      </c>
      <c r="P54" s="371" t="str">
        <f>'5-0 Товары'!N54</f>
        <v/>
      </c>
      <c r="Q54" s="197"/>
      <c r="R54" s="193"/>
      <c r="S54" s="187"/>
      <c r="T54" s="187"/>
      <c r="U54" s="187"/>
      <c r="V54" s="187"/>
      <c r="W54" s="187"/>
      <c r="X54" s="187"/>
      <c r="Y54" s="187" t="s">
        <v>96</v>
      </c>
      <c r="Z54" s="193" t="str">
        <f t="shared" si="2"/>
        <v/>
      </c>
      <c r="AA54" s="383"/>
      <c r="AB54" s="384"/>
      <c r="AC54" s="385"/>
      <c r="AD54" s="383"/>
      <c r="AE54" s="384"/>
      <c r="AF54" s="385"/>
      <c r="AG54" s="383"/>
      <c r="AH54" s="384"/>
      <c r="AI54" s="385"/>
      <c r="AJ54" s="383"/>
      <c r="AK54" s="384"/>
      <c r="AL54" s="385"/>
      <c r="AM54" s="383"/>
      <c r="AN54" s="384"/>
      <c r="AO54" s="385"/>
      <c r="AP54" s="383"/>
      <c r="AQ54" s="384"/>
      <c r="AR54" s="385"/>
      <c r="AS54" s="383"/>
      <c r="AT54" s="384"/>
      <c r="AU54" s="385"/>
      <c r="AV54" s="383"/>
      <c r="AW54" s="384"/>
      <c r="AX54" s="385"/>
      <c r="AY54" s="383"/>
      <c r="AZ54" s="384"/>
      <c r="BA54" s="385"/>
      <c r="BB54" s="386"/>
      <c r="BC54" s="387"/>
      <c r="BD54" s="388"/>
      <c r="BE54" s="386"/>
      <c r="BF54" s="387"/>
      <c r="BG54" s="388"/>
      <c r="BH54" s="386"/>
      <c r="BI54" s="387"/>
      <c r="BJ54" s="388"/>
      <c r="BK54" s="386"/>
      <c r="BL54" s="387"/>
      <c r="BM54" s="388"/>
      <c r="BN54" s="386"/>
      <c r="BO54" s="387"/>
      <c r="BP54" s="388"/>
      <c r="BQ54" s="386"/>
      <c r="BR54" s="387"/>
      <c r="BS54" s="388"/>
      <c r="BT54" s="386"/>
      <c r="BU54" s="387"/>
      <c r="BV54" s="388"/>
      <c r="BW54" s="386"/>
      <c r="BX54" s="387"/>
      <c r="BY54" s="388"/>
      <c r="BZ54" s="386"/>
      <c r="CA54" s="387"/>
      <c r="CB54" s="388"/>
      <c r="CC54" s="386"/>
      <c r="CD54" s="387"/>
      <c r="CE54" s="388"/>
      <c r="CF54" s="386"/>
      <c r="CG54" s="387"/>
      <c r="CH54" s="388"/>
      <c r="CI54" s="386"/>
      <c r="CJ54" s="387"/>
      <c r="CK54" s="388"/>
      <c r="CL54" s="386"/>
      <c r="CM54" s="387"/>
      <c r="CN54" s="388"/>
      <c r="CO54" s="386"/>
      <c r="CP54" s="387"/>
      <c r="CQ54" s="388"/>
      <c r="CR54" s="386"/>
      <c r="CS54" s="387"/>
      <c r="CT54" s="388"/>
      <c r="CU54" s="386"/>
      <c r="CV54" s="387"/>
      <c r="CW54" s="388"/>
      <c r="CX54" s="386"/>
      <c r="CY54" s="387"/>
      <c r="CZ54" s="388"/>
    </row>
    <row r="55">
      <c r="A55" s="1"/>
      <c r="B55" s="402"/>
      <c r="C55" s="362" t="str">
        <f>'5-0 Товары'!C55</f>
        <v/>
      </c>
      <c r="D55" s="363" t="str">
        <f>'5-0 Товары'!D55</f>
        <v/>
      </c>
      <c r="E55" s="364" t="str">
        <f>'5-0 Товары'!E55</f>
        <v/>
      </c>
      <c r="F55" s="380"/>
      <c r="G55" s="380"/>
      <c r="H55" s="364" t="str">
        <f>'5-0 Товары'!F55</f>
        <v/>
      </c>
      <c r="I55" s="391"/>
      <c r="J55" s="364" t="str">
        <f>'5-0 Товары'!G55</f>
        <v/>
      </c>
      <c r="K55" s="366" t="str">
        <f>'5-0 Товары'!H55</f>
        <v/>
      </c>
      <c r="L55" s="382" t="str">
        <f t="shared" si="1"/>
        <v/>
      </c>
      <c r="M55" s="382"/>
      <c r="N55" s="380"/>
      <c r="O55" s="369" t="str">
        <f>'5-0 Товары'!I55</f>
        <v/>
      </c>
      <c r="P55" s="371" t="str">
        <f>'5-0 Товары'!N55</f>
        <v/>
      </c>
      <c r="Q55" s="197"/>
      <c r="R55" s="193"/>
      <c r="S55" s="187"/>
      <c r="T55" s="187"/>
      <c r="U55" s="187"/>
      <c r="V55" s="187"/>
      <c r="W55" s="187"/>
      <c r="X55" s="187"/>
      <c r="Y55" s="187" t="s">
        <v>96</v>
      </c>
      <c r="Z55" s="193" t="str">
        <f t="shared" si="2"/>
        <v/>
      </c>
      <c r="AA55" s="383"/>
      <c r="AB55" s="384"/>
      <c r="AC55" s="385"/>
      <c r="AD55" s="383"/>
      <c r="AE55" s="384"/>
      <c r="AF55" s="385"/>
      <c r="AG55" s="383"/>
      <c r="AH55" s="384"/>
      <c r="AI55" s="385"/>
      <c r="AJ55" s="383"/>
      <c r="AK55" s="384"/>
      <c r="AL55" s="385"/>
      <c r="AM55" s="383"/>
      <c r="AN55" s="384"/>
      <c r="AO55" s="385"/>
      <c r="AP55" s="383"/>
      <c r="AQ55" s="384"/>
      <c r="AR55" s="385"/>
      <c r="AS55" s="383"/>
      <c r="AT55" s="384"/>
      <c r="AU55" s="385"/>
      <c r="AV55" s="383"/>
      <c r="AW55" s="384"/>
      <c r="AX55" s="385"/>
      <c r="AY55" s="383"/>
      <c r="AZ55" s="384"/>
      <c r="BA55" s="385"/>
      <c r="BB55" s="386"/>
      <c r="BC55" s="387"/>
      <c r="BD55" s="388"/>
      <c r="BE55" s="386"/>
      <c r="BF55" s="387"/>
      <c r="BG55" s="388"/>
      <c r="BH55" s="386"/>
      <c r="BI55" s="387"/>
      <c r="BJ55" s="388"/>
      <c r="BK55" s="386"/>
      <c r="BL55" s="387"/>
      <c r="BM55" s="388"/>
      <c r="BN55" s="386"/>
      <c r="BO55" s="387"/>
      <c r="BP55" s="388"/>
      <c r="BQ55" s="386"/>
      <c r="BR55" s="387"/>
      <c r="BS55" s="388"/>
      <c r="BT55" s="386"/>
      <c r="BU55" s="387"/>
      <c r="BV55" s="388"/>
      <c r="BW55" s="386"/>
      <c r="BX55" s="387"/>
      <c r="BY55" s="388"/>
      <c r="BZ55" s="386"/>
      <c r="CA55" s="387"/>
      <c r="CB55" s="388"/>
      <c r="CC55" s="386"/>
      <c r="CD55" s="387"/>
      <c r="CE55" s="388"/>
      <c r="CF55" s="386"/>
      <c r="CG55" s="387"/>
      <c r="CH55" s="388"/>
      <c r="CI55" s="386"/>
      <c r="CJ55" s="387"/>
      <c r="CK55" s="388"/>
      <c r="CL55" s="386"/>
      <c r="CM55" s="387"/>
      <c r="CN55" s="388"/>
      <c r="CO55" s="386"/>
      <c r="CP55" s="387"/>
      <c r="CQ55" s="388"/>
      <c r="CR55" s="386"/>
      <c r="CS55" s="387"/>
      <c r="CT55" s="388"/>
      <c r="CU55" s="386"/>
      <c r="CV55" s="387"/>
      <c r="CW55" s="388"/>
      <c r="CX55" s="386"/>
      <c r="CY55" s="387"/>
      <c r="CZ55" s="388"/>
    </row>
    <row r="56">
      <c r="A56" s="1"/>
      <c r="B56" s="402"/>
      <c r="C56" s="362" t="str">
        <f>'5-0 Товары'!C56</f>
        <v/>
      </c>
      <c r="D56" s="363" t="str">
        <f>'5-0 Товары'!D56</f>
        <v/>
      </c>
      <c r="E56" s="364" t="str">
        <f>'5-0 Товары'!E56</f>
        <v/>
      </c>
      <c r="F56" s="380"/>
      <c r="G56" s="380"/>
      <c r="H56" s="364" t="str">
        <f>'5-0 Товары'!F56</f>
        <v/>
      </c>
      <c r="I56" s="391"/>
      <c r="J56" s="364" t="str">
        <f>'5-0 Товары'!G56</f>
        <v/>
      </c>
      <c r="K56" s="366" t="str">
        <f>'5-0 Товары'!H56</f>
        <v/>
      </c>
      <c r="L56" s="382" t="str">
        <f t="shared" si="1"/>
        <v/>
      </c>
      <c r="M56" s="382"/>
      <c r="N56" s="380"/>
      <c r="O56" s="369" t="str">
        <f>'5-0 Товары'!I56</f>
        <v/>
      </c>
      <c r="P56" s="371" t="str">
        <f>'5-0 Товары'!N56</f>
        <v/>
      </c>
      <c r="Q56" s="197"/>
      <c r="R56" s="193"/>
      <c r="S56" s="187"/>
      <c r="T56" s="187"/>
      <c r="U56" s="187"/>
      <c r="V56" s="187"/>
      <c r="W56" s="187"/>
      <c r="X56" s="187"/>
      <c r="Y56" s="187" t="s">
        <v>96</v>
      </c>
      <c r="Z56" s="193" t="str">
        <f t="shared" si="2"/>
        <v/>
      </c>
      <c r="AA56" s="383"/>
      <c r="AB56" s="384"/>
      <c r="AC56" s="385"/>
      <c r="AD56" s="383"/>
      <c r="AE56" s="384"/>
      <c r="AF56" s="385"/>
      <c r="AG56" s="383"/>
      <c r="AH56" s="384"/>
      <c r="AI56" s="385"/>
      <c r="AJ56" s="383"/>
      <c r="AK56" s="384"/>
      <c r="AL56" s="385"/>
      <c r="AM56" s="383"/>
      <c r="AN56" s="384"/>
      <c r="AO56" s="385"/>
      <c r="AP56" s="383"/>
      <c r="AQ56" s="384"/>
      <c r="AR56" s="385"/>
      <c r="AS56" s="383"/>
      <c r="AT56" s="384"/>
      <c r="AU56" s="385"/>
      <c r="AV56" s="383"/>
      <c r="AW56" s="384"/>
      <c r="AX56" s="385"/>
      <c r="AY56" s="383"/>
      <c r="AZ56" s="384"/>
      <c r="BA56" s="385"/>
      <c r="BB56" s="386"/>
      <c r="BC56" s="387"/>
      <c r="BD56" s="388"/>
      <c r="BE56" s="386"/>
      <c r="BF56" s="387"/>
      <c r="BG56" s="388"/>
      <c r="BH56" s="386"/>
      <c r="BI56" s="387"/>
      <c r="BJ56" s="388"/>
      <c r="BK56" s="386"/>
      <c r="BL56" s="387"/>
      <c r="BM56" s="388"/>
      <c r="BN56" s="386"/>
      <c r="BO56" s="387"/>
      <c r="BP56" s="388"/>
      <c r="BQ56" s="386"/>
      <c r="BR56" s="387"/>
      <c r="BS56" s="388"/>
      <c r="BT56" s="386"/>
      <c r="BU56" s="387"/>
      <c r="BV56" s="388"/>
      <c r="BW56" s="386"/>
      <c r="BX56" s="387"/>
      <c r="BY56" s="388"/>
      <c r="BZ56" s="386"/>
      <c r="CA56" s="387"/>
      <c r="CB56" s="388"/>
      <c r="CC56" s="386"/>
      <c r="CD56" s="387"/>
      <c r="CE56" s="388"/>
      <c r="CF56" s="386"/>
      <c r="CG56" s="387"/>
      <c r="CH56" s="388"/>
      <c r="CI56" s="386"/>
      <c r="CJ56" s="387"/>
      <c r="CK56" s="388"/>
      <c r="CL56" s="386"/>
      <c r="CM56" s="387"/>
      <c r="CN56" s="388"/>
      <c r="CO56" s="386"/>
      <c r="CP56" s="387"/>
      <c r="CQ56" s="388"/>
      <c r="CR56" s="386"/>
      <c r="CS56" s="387"/>
      <c r="CT56" s="388"/>
      <c r="CU56" s="386"/>
      <c r="CV56" s="387"/>
      <c r="CW56" s="388"/>
      <c r="CX56" s="386"/>
      <c r="CY56" s="387"/>
      <c r="CZ56" s="388"/>
    </row>
    <row r="57">
      <c r="A57" s="1"/>
      <c r="B57" s="402"/>
      <c r="C57" s="362" t="str">
        <f>'5-0 Товары'!C57</f>
        <v/>
      </c>
      <c r="D57" s="363" t="str">
        <f>'5-0 Товары'!D57</f>
        <v/>
      </c>
      <c r="E57" s="364" t="str">
        <f>'5-0 Товары'!E57</f>
        <v/>
      </c>
      <c r="F57" s="380"/>
      <c r="G57" s="380"/>
      <c r="H57" s="364" t="str">
        <f>'5-0 Товары'!F57</f>
        <v/>
      </c>
      <c r="I57" s="391"/>
      <c r="J57" s="364" t="str">
        <f>'5-0 Товары'!G57</f>
        <v/>
      </c>
      <c r="K57" s="366" t="str">
        <f>'5-0 Товары'!H57</f>
        <v/>
      </c>
      <c r="L57" s="382" t="str">
        <f t="shared" si="1"/>
        <v/>
      </c>
      <c r="M57" s="382"/>
      <c r="N57" s="380"/>
      <c r="O57" s="369" t="str">
        <f>'5-0 Товары'!I57</f>
        <v/>
      </c>
      <c r="P57" s="371" t="str">
        <f>'5-0 Товары'!N57</f>
        <v/>
      </c>
      <c r="Q57" s="197"/>
      <c r="R57" s="193"/>
      <c r="S57" s="187"/>
      <c r="T57" s="187"/>
      <c r="U57" s="187"/>
      <c r="V57" s="187"/>
      <c r="W57" s="187"/>
      <c r="X57" s="187"/>
      <c r="Y57" s="187" t="s">
        <v>96</v>
      </c>
      <c r="Z57" s="193" t="str">
        <f t="shared" si="2"/>
        <v/>
      </c>
      <c r="AA57" s="383"/>
      <c r="AB57" s="384"/>
      <c r="AC57" s="385"/>
      <c r="AD57" s="383"/>
      <c r="AE57" s="384"/>
      <c r="AF57" s="385"/>
      <c r="AG57" s="383"/>
      <c r="AH57" s="384"/>
      <c r="AI57" s="385"/>
      <c r="AJ57" s="383"/>
      <c r="AK57" s="384"/>
      <c r="AL57" s="385"/>
      <c r="AM57" s="383"/>
      <c r="AN57" s="384"/>
      <c r="AO57" s="385"/>
      <c r="AP57" s="383"/>
      <c r="AQ57" s="384"/>
      <c r="AR57" s="385"/>
      <c r="AS57" s="383"/>
      <c r="AT57" s="384"/>
      <c r="AU57" s="385"/>
      <c r="AV57" s="383"/>
      <c r="AW57" s="384"/>
      <c r="AX57" s="385"/>
      <c r="AY57" s="383"/>
      <c r="AZ57" s="384"/>
      <c r="BA57" s="385"/>
      <c r="BB57" s="386"/>
      <c r="BC57" s="387"/>
      <c r="BD57" s="388"/>
      <c r="BE57" s="386"/>
      <c r="BF57" s="387"/>
      <c r="BG57" s="388"/>
      <c r="BH57" s="386"/>
      <c r="BI57" s="387"/>
      <c r="BJ57" s="388"/>
      <c r="BK57" s="386"/>
      <c r="BL57" s="387"/>
      <c r="BM57" s="388"/>
      <c r="BN57" s="386"/>
      <c r="BO57" s="387"/>
      <c r="BP57" s="388"/>
      <c r="BQ57" s="386"/>
      <c r="BR57" s="387"/>
      <c r="BS57" s="388"/>
      <c r="BT57" s="386"/>
      <c r="BU57" s="387"/>
      <c r="BV57" s="388"/>
      <c r="BW57" s="386"/>
      <c r="BX57" s="387"/>
      <c r="BY57" s="388"/>
      <c r="BZ57" s="386"/>
      <c r="CA57" s="387"/>
      <c r="CB57" s="388"/>
      <c r="CC57" s="386"/>
      <c r="CD57" s="387"/>
      <c r="CE57" s="388"/>
      <c r="CF57" s="386"/>
      <c r="CG57" s="387"/>
      <c r="CH57" s="388"/>
      <c r="CI57" s="386"/>
      <c r="CJ57" s="387"/>
      <c r="CK57" s="388"/>
      <c r="CL57" s="386"/>
      <c r="CM57" s="387"/>
      <c r="CN57" s="388"/>
      <c r="CO57" s="386"/>
      <c r="CP57" s="387"/>
      <c r="CQ57" s="388"/>
      <c r="CR57" s="386"/>
      <c r="CS57" s="387"/>
      <c r="CT57" s="388"/>
      <c r="CU57" s="386"/>
      <c r="CV57" s="387"/>
      <c r="CW57" s="388"/>
      <c r="CX57" s="386"/>
      <c r="CY57" s="387"/>
      <c r="CZ57" s="388"/>
    </row>
    <row r="58">
      <c r="A58" s="1"/>
      <c r="B58" s="402"/>
      <c r="C58" s="362" t="str">
        <f>'5-0 Товары'!C58</f>
        <v/>
      </c>
      <c r="D58" s="363" t="str">
        <f>'5-0 Товары'!D58</f>
        <v/>
      </c>
      <c r="E58" s="364" t="str">
        <f>'5-0 Товары'!E58</f>
        <v/>
      </c>
      <c r="F58" s="380"/>
      <c r="G58" s="380"/>
      <c r="H58" s="364" t="str">
        <f>'5-0 Товары'!F58</f>
        <v/>
      </c>
      <c r="I58" s="391"/>
      <c r="J58" s="364" t="str">
        <f>'5-0 Товары'!G58</f>
        <v/>
      </c>
      <c r="K58" s="366" t="str">
        <f>'5-0 Товары'!H58</f>
        <v/>
      </c>
      <c r="L58" s="382" t="str">
        <f t="shared" si="1"/>
        <v/>
      </c>
      <c r="M58" s="382"/>
      <c r="N58" s="380"/>
      <c r="O58" s="369" t="str">
        <f>'5-0 Товары'!I58</f>
        <v/>
      </c>
      <c r="P58" s="371" t="str">
        <f>'5-0 Товары'!N58</f>
        <v/>
      </c>
      <c r="Q58" s="197"/>
      <c r="R58" s="193"/>
      <c r="S58" s="187"/>
      <c r="T58" s="187"/>
      <c r="U58" s="187"/>
      <c r="V58" s="187"/>
      <c r="W58" s="187"/>
      <c r="X58" s="187"/>
      <c r="Y58" s="187" t="s">
        <v>96</v>
      </c>
      <c r="Z58" s="193" t="str">
        <f t="shared" si="2"/>
        <v/>
      </c>
      <c r="AA58" s="383"/>
      <c r="AB58" s="384"/>
      <c r="AC58" s="385"/>
      <c r="AD58" s="383"/>
      <c r="AE58" s="384"/>
      <c r="AF58" s="385"/>
      <c r="AG58" s="383"/>
      <c r="AH58" s="384"/>
      <c r="AI58" s="385"/>
      <c r="AJ58" s="383"/>
      <c r="AK58" s="384"/>
      <c r="AL58" s="385"/>
      <c r="AM58" s="383"/>
      <c r="AN58" s="384"/>
      <c r="AO58" s="385"/>
      <c r="AP58" s="383"/>
      <c r="AQ58" s="384"/>
      <c r="AR58" s="385"/>
      <c r="AS58" s="383"/>
      <c r="AT58" s="384"/>
      <c r="AU58" s="385"/>
      <c r="AV58" s="383"/>
      <c r="AW58" s="384"/>
      <c r="AX58" s="385"/>
      <c r="AY58" s="383"/>
      <c r="AZ58" s="384"/>
      <c r="BA58" s="385"/>
      <c r="BB58" s="386"/>
      <c r="BC58" s="387"/>
      <c r="BD58" s="388"/>
      <c r="BE58" s="386"/>
      <c r="BF58" s="387"/>
      <c r="BG58" s="388"/>
      <c r="BH58" s="386"/>
      <c r="BI58" s="387"/>
      <c r="BJ58" s="388"/>
      <c r="BK58" s="386"/>
      <c r="BL58" s="387"/>
      <c r="BM58" s="388"/>
      <c r="BN58" s="386"/>
      <c r="BO58" s="387"/>
      <c r="BP58" s="388"/>
      <c r="BQ58" s="386"/>
      <c r="BR58" s="387"/>
      <c r="BS58" s="388"/>
      <c r="BT58" s="386"/>
      <c r="BU58" s="387"/>
      <c r="BV58" s="388"/>
      <c r="BW58" s="386"/>
      <c r="BX58" s="387"/>
      <c r="BY58" s="388"/>
      <c r="BZ58" s="386"/>
      <c r="CA58" s="387"/>
      <c r="CB58" s="388"/>
      <c r="CC58" s="386"/>
      <c r="CD58" s="387"/>
      <c r="CE58" s="388"/>
      <c r="CF58" s="386"/>
      <c r="CG58" s="387"/>
      <c r="CH58" s="388"/>
      <c r="CI58" s="386"/>
      <c r="CJ58" s="387"/>
      <c r="CK58" s="388"/>
      <c r="CL58" s="386"/>
      <c r="CM58" s="387"/>
      <c r="CN58" s="388"/>
      <c r="CO58" s="386"/>
      <c r="CP58" s="387"/>
      <c r="CQ58" s="388"/>
      <c r="CR58" s="386"/>
      <c r="CS58" s="387"/>
      <c r="CT58" s="388"/>
      <c r="CU58" s="386"/>
      <c r="CV58" s="387"/>
      <c r="CW58" s="388"/>
      <c r="CX58" s="386"/>
      <c r="CY58" s="387"/>
      <c r="CZ58" s="388"/>
    </row>
    <row r="59">
      <c r="A59" s="1"/>
      <c r="B59" s="402"/>
      <c r="C59" s="362" t="str">
        <f>'5-0 Товары'!C59</f>
        <v/>
      </c>
      <c r="D59" s="363" t="str">
        <f>'5-0 Товары'!D59</f>
        <v/>
      </c>
      <c r="E59" s="364" t="str">
        <f>'5-0 Товары'!E59</f>
        <v/>
      </c>
      <c r="F59" s="380"/>
      <c r="G59" s="380"/>
      <c r="H59" s="364" t="str">
        <f>'5-0 Товары'!F59</f>
        <v/>
      </c>
      <c r="I59" s="391"/>
      <c r="J59" s="364" t="str">
        <f>'5-0 Товары'!G59</f>
        <v/>
      </c>
      <c r="K59" s="366" t="str">
        <f>'5-0 Товары'!H59</f>
        <v/>
      </c>
      <c r="L59" s="382" t="str">
        <f t="shared" si="1"/>
        <v/>
      </c>
      <c r="M59" s="382"/>
      <c r="N59" s="380"/>
      <c r="O59" s="369" t="str">
        <f>'5-0 Товары'!I59</f>
        <v/>
      </c>
      <c r="P59" s="371" t="str">
        <f>'5-0 Товары'!N59</f>
        <v/>
      </c>
      <c r="Q59" s="197"/>
      <c r="R59" s="193"/>
      <c r="S59" s="187"/>
      <c r="T59" s="187"/>
      <c r="U59" s="187"/>
      <c r="V59" s="187"/>
      <c r="W59" s="187"/>
      <c r="X59" s="187"/>
      <c r="Y59" s="187" t="s">
        <v>96</v>
      </c>
      <c r="Z59" s="193" t="str">
        <f t="shared" si="2"/>
        <v/>
      </c>
      <c r="AA59" s="383"/>
      <c r="AB59" s="384"/>
      <c r="AC59" s="385"/>
      <c r="AD59" s="383"/>
      <c r="AE59" s="384"/>
      <c r="AF59" s="385"/>
      <c r="AG59" s="383"/>
      <c r="AH59" s="384"/>
      <c r="AI59" s="385"/>
      <c r="AJ59" s="383"/>
      <c r="AK59" s="384"/>
      <c r="AL59" s="385"/>
      <c r="AM59" s="383"/>
      <c r="AN59" s="384"/>
      <c r="AO59" s="385"/>
      <c r="AP59" s="383"/>
      <c r="AQ59" s="384"/>
      <c r="AR59" s="385"/>
      <c r="AS59" s="383"/>
      <c r="AT59" s="384"/>
      <c r="AU59" s="385"/>
      <c r="AV59" s="383"/>
      <c r="AW59" s="384"/>
      <c r="AX59" s="385"/>
      <c r="AY59" s="383"/>
      <c r="AZ59" s="384"/>
      <c r="BA59" s="385"/>
      <c r="BB59" s="386"/>
      <c r="BC59" s="387"/>
      <c r="BD59" s="388"/>
      <c r="BE59" s="386"/>
      <c r="BF59" s="387"/>
      <c r="BG59" s="388"/>
      <c r="BH59" s="386"/>
      <c r="BI59" s="387"/>
      <c r="BJ59" s="388"/>
      <c r="BK59" s="386"/>
      <c r="BL59" s="387"/>
      <c r="BM59" s="388"/>
      <c r="BN59" s="386"/>
      <c r="BO59" s="387"/>
      <c r="BP59" s="388"/>
      <c r="BQ59" s="386"/>
      <c r="BR59" s="387"/>
      <c r="BS59" s="388"/>
      <c r="BT59" s="386"/>
      <c r="BU59" s="387"/>
      <c r="BV59" s="388"/>
      <c r="BW59" s="386"/>
      <c r="BX59" s="387"/>
      <c r="BY59" s="388"/>
      <c r="BZ59" s="386"/>
      <c r="CA59" s="387"/>
      <c r="CB59" s="388"/>
      <c r="CC59" s="386"/>
      <c r="CD59" s="387"/>
      <c r="CE59" s="388"/>
      <c r="CF59" s="386"/>
      <c r="CG59" s="387"/>
      <c r="CH59" s="388"/>
      <c r="CI59" s="386"/>
      <c r="CJ59" s="387"/>
      <c r="CK59" s="388"/>
      <c r="CL59" s="386"/>
      <c r="CM59" s="387"/>
      <c r="CN59" s="388"/>
      <c r="CO59" s="386"/>
      <c r="CP59" s="387"/>
      <c r="CQ59" s="388"/>
      <c r="CR59" s="386"/>
      <c r="CS59" s="387"/>
      <c r="CT59" s="388"/>
      <c r="CU59" s="386"/>
      <c r="CV59" s="387"/>
      <c r="CW59" s="388"/>
      <c r="CX59" s="386"/>
      <c r="CY59" s="387"/>
      <c r="CZ59" s="388"/>
    </row>
    <row r="60">
      <c r="A60" s="1"/>
      <c r="B60" s="402"/>
      <c r="C60" s="362" t="str">
        <f>'5-0 Товары'!C60</f>
        <v/>
      </c>
      <c r="D60" s="363" t="str">
        <f>'5-0 Товары'!D60</f>
        <v/>
      </c>
      <c r="E60" s="364" t="str">
        <f>'5-0 Товары'!E60</f>
        <v/>
      </c>
      <c r="F60" s="380"/>
      <c r="G60" s="380"/>
      <c r="H60" s="364" t="str">
        <f>'5-0 Товары'!F60</f>
        <v/>
      </c>
      <c r="I60" s="391"/>
      <c r="J60" s="364" t="str">
        <f>'5-0 Товары'!G60</f>
        <v/>
      </c>
      <c r="K60" s="366" t="str">
        <f>'5-0 Товары'!H60</f>
        <v/>
      </c>
      <c r="L60" s="382" t="str">
        <f t="shared" si="1"/>
        <v/>
      </c>
      <c r="M60" s="382"/>
      <c r="N60" s="380"/>
      <c r="O60" s="369" t="str">
        <f>'5-0 Товары'!I60</f>
        <v/>
      </c>
      <c r="P60" s="371" t="str">
        <f>'5-0 Товары'!N60</f>
        <v/>
      </c>
      <c r="Q60" s="197"/>
      <c r="R60" s="193"/>
      <c r="S60" s="187"/>
      <c r="T60" s="187"/>
      <c r="U60" s="187"/>
      <c r="V60" s="187"/>
      <c r="W60" s="187"/>
      <c r="X60" s="187"/>
      <c r="Y60" s="187" t="s">
        <v>96</v>
      </c>
      <c r="Z60" s="193" t="str">
        <f t="shared" si="2"/>
        <v/>
      </c>
      <c r="AA60" s="383"/>
      <c r="AB60" s="384"/>
      <c r="AC60" s="385"/>
      <c r="AD60" s="383"/>
      <c r="AE60" s="384"/>
      <c r="AF60" s="385"/>
      <c r="AG60" s="383"/>
      <c r="AH60" s="384"/>
      <c r="AI60" s="385"/>
      <c r="AJ60" s="383"/>
      <c r="AK60" s="384"/>
      <c r="AL60" s="385"/>
      <c r="AM60" s="383"/>
      <c r="AN60" s="384"/>
      <c r="AO60" s="385"/>
      <c r="AP60" s="383"/>
      <c r="AQ60" s="384"/>
      <c r="AR60" s="385"/>
      <c r="AS60" s="383"/>
      <c r="AT60" s="384"/>
      <c r="AU60" s="385"/>
      <c r="AV60" s="383"/>
      <c r="AW60" s="384"/>
      <c r="AX60" s="385"/>
      <c r="AY60" s="383"/>
      <c r="AZ60" s="384"/>
      <c r="BA60" s="385"/>
      <c r="BB60" s="386"/>
      <c r="BC60" s="387"/>
      <c r="BD60" s="388"/>
      <c r="BE60" s="386"/>
      <c r="BF60" s="387"/>
      <c r="BG60" s="388"/>
      <c r="BH60" s="386"/>
      <c r="BI60" s="387"/>
      <c r="BJ60" s="388"/>
      <c r="BK60" s="386"/>
      <c r="BL60" s="387"/>
      <c r="BM60" s="388"/>
      <c r="BN60" s="386"/>
      <c r="BO60" s="387"/>
      <c r="BP60" s="388"/>
      <c r="BQ60" s="386"/>
      <c r="BR60" s="387"/>
      <c r="BS60" s="388"/>
      <c r="BT60" s="386"/>
      <c r="BU60" s="387"/>
      <c r="BV60" s="388"/>
      <c r="BW60" s="386"/>
      <c r="BX60" s="387"/>
      <c r="BY60" s="388"/>
      <c r="BZ60" s="386"/>
      <c r="CA60" s="387"/>
      <c r="CB60" s="388"/>
      <c r="CC60" s="386"/>
      <c r="CD60" s="387"/>
      <c r="CE60" s="388"/>
      <c r="CF60" s="386"/>
      <c r="CG60" s="387"/>
      <c r="CH60" s="388"/>
      <c r="CI60" s="386"/>
      <c r="CJ60" s="387"/>
      <c r="CK60" s="388"/>
      <c r="CL60" s="386"/>
      <c r="CM60" s="387"/>
      <c r="CN60" s="388"/>
      <c r="CO60" s="386"/>
      <c r="CP60" s="387"/>
      <c r="CQ60" s="388"/>
      <c r="CR60" s="386"/>
      <c r="CS60" s="387"/>
      <c r="CT60" s="388"/>
      <c r="CU60" s="386"/>
      <c r="CV60" s="387"/>
      <c r="CW60" s="388"/>
      <c r="CX60" s="386"/>
      <c r="CY60" s="387"/>
      <c r="CZ60" s="388"/>
    </row>
    <row r="61">
      <c r="A61" s="1"/>
      <c r="B61" s="402"/>
      <c r="C61" s="362" t="str">
        <f>'5-0 Товары'!C61</f>
        <v/>
      </c>
      <c r="D61" s="363" t="str">
        <f>'5-0 Товары'!D61</f>
        <v/>
      </c>
      <c r="E61" s="364" t="str">
        <f>'5-0 Товары'!E61</f>
        <v/>
      </c>
      <c r="F61" s="380"/>
      <c r="G61" s="380"/>
      <c r="H61" s="364" t="str">
        <f>'5-0 Товары'!F61</f>
        <v/>
      </c>
      <c r="I61" s="391"/>
      <c r="J61" s="364" t="str">
        <f>'5-0 Товары'!G61</f>
        <v/>
      </c>
      <c r="K61" s="366" t="str">
        <f>'5-0 Товары'!H61</f>
        <v/>
      </c>
      <c r="L61" s="382" t="str">
        <f t="shared" si="1"/>
        <v/>
      </c>
      <c r="M61" s="382"/>
      <c r="N61" s="380"/>
      <c r="O61" s="369" t="str">
        <f>'5-0 Товары'!I61</f>
        <v/>
      </c>
      <c r="P61" s="371" t="str">
        <f>'5-0 Товары'!N61</f>
        <v/>
      </c>
      <c r="Q61" s="197"/>
      <c r="R61" s="193"/>
      <c r="S61" s="187"/>
      <c r="T61" s="187"/>
      <c r="U61" s="187"/>
      <c r="V61" s="187"/>
      <c r="W61" s="187"/>
      <c r="X61" s="187"/>
      <c r="Y61" s="187" t="s">
        <v>96</v>
      </c>
      <c r="Z61" s="193" t="str">
        <f t="shared" si="2"/>
        <v/>
      </c>
      <c r="AA61" s="383"/>
      <c r="AB61" s="384"/>
      <c r="AC61" s="385"/>
      <c r="AD61" s="383"/>
      <c r="AE61" s="384"/>
      <c r="AF61" s="385"/>
      <c r="AG61" s="383"/>
      <c r="AH61" s="384"/>
      <c r="AI61" s="385"/>
      <c r="AJ61" s="383"/>
      <c r="AK61" s="384"/>
      <c r="AL61" s="385"/>
      <c r="AM61" s="383"/>
      <c r="AN61" s="384"/>
      <c r="AO61" s="385"/>
      <c r="AP61" s="383"/>
      <c r="AQ61" s="384"/>
      <c r="AR61" s="385"/>
      <c r="AS61" s="383"/>
      <c r="AT61" s="384"/>
      <c r="AU61" s="385"/>
      <c r="AV61" s="383"/>
      <c r="AW61" s="384"/>
      <c r="AX61" s="385"/>
      <c r="AY61" s="383"/>
      <c r="AZ61" s="384"/>
      <c r="BA61" s="385"/>
      <c r="BB61" s="386"/>
      <c r="BC61" s="387"/>
      <c r="BD61" s="388"/>
      <c r="BE61" s="386"/>
      <c r="BF61" s="387"/>
      <c r="BG61" s="388"/>
      <c r="BH61" s="386"/>
      <c r="BI61" s="387"/>
      <c r="BJ61" s="388"/>
      <c r="BK61" s="386"/>
      <c r="BL61" s="387"/>
      <c r="BM61" s="388"/>
      <c r="BN61" s="386"/>
      <c r="BO61" s="387"/>
      <c r="BP61" s="388"/>
      <c r="BQ61" s="386"/>
      <c r="BR61" s="387"/>
      <c r="BS61" s="388"/>
      <c r="BT61" s="386"/>
      <c r="BU61" s="387"/>
      <c r="BV61" s="388"/>
      <c r="BW61" s="386"/>
      <c r="BX61" s="387"/>
      <c r="BY61" s="388"/>
      <c r="BZ61" s="386"/>
      <c r="CA61" s="387"/>
      <c r="CB61" s="388"/>
      <c r="CC61" s="386"/>
      <c r="CD61" s="387"/>
      <c r="CE61" s="388"/>
      <c r="CF61" s="386"/>
      <c r="CG61" s="387"/>
      <c r="CH61" s="388"/>
      <c r="CI61" s="386"/>
      <c r="CJ61" s="387"/>
      <c r="CK61" s="388"/>
      <c r="CL61" s="386"/>
      <c r="CM61" s="387"/>
      <c r="CN61" s="388"/>
      <c r="CO61" s="386"/>
      <c r="CP61" s="387"/>
      <c r="CQ61" s="388"/>
      <c r="CR61" s="386"/>
      <c r="CS61" s="387"/>
      <c r="CT61" s="388"/>
      <c r="CU61" s="386"/>
      <c r="CV61" s="387"/>
      <c r="CW61" s="388"/>
      <c r="CX61" s="386"/>
      <c r="CY61" s="387"/>
      <c r="CZ61" s="388"/>
    </row>
    <row r="62">
      <c r="A62" s="1"/>
      <c r="B62" s="402"/>
      <c r="C62" s="362" t="str">
        <f>'5-0 Товары'!C62</f>
        <v/>
      </c>
      <c r="D62" s="363" t="str">
        <f>'5-0 Товары'!D62</f>
        <v/>
      </c>
      <c r="E62" s="364" t="str">
        <f>'5-0 Товары'!E62</f>
        <v/>
      </c>
      <c r="F62" s="380"/>
      <c r="G62" s="380"/>
      <c r="H62" s="364" t="str">
        <f>'5-0 Товары'!F62</f>
        <v/>
      </c>
      <c r="I62" s="391"/>
      <c r="J62" s="364" t="str">
        <f>'5-0 Товары'!G62</f>
        <v/>
      </c>
      <c r="K62" s="366" t="str">
        <f>'5-0 Товары'!H62</f>
        <v/>
      </c>
      <c r="L62" s="382" t="str">
        <f t="shared" si="1"/>
        <v/>
      </c>
      <c r="M62" s="382"/>
      <c r="N62" s="380"/>
      <c r="O62" s="369" t="str">
        <f>'5-0 Товары'!I62</f>
        <v/>
      </c>
      <c r="P62" s="371" t="str">
        <f>'5-0 Товары'!N62</f>
        <v/>
      </c>
      <c r="Q62" s="197"/>
      <c r="R62" s="193"/>
      <c r="S62" s="187"/>
      <c r="T62" s="187"/>
      <c r="U62" s="187"/>
      <c r="V62" s="187"/>
      <c r="W62" s="187"/>
      <c r="X62" s="187"/>
      <c r="Y62" s="187" t="s">
        <v>96</v>
      </c>
      <c r="Z62" s="193" t="str">
        <f t="shared" si="2"/>
        <v/>
      </c>
      <c r="AA62" s="383"/>
      <c r="AB62" s="384"/>
      <c r="AC62" s="385"/>
      <c r="AD62" s="383"/>
      <c r="AE62" s="384"/>
      <c r="AF62" s="385"/>
      <c r="AG62" s="383"/>
      <c r="AH62" s="384"/>
      <c r="AI62" s="385"/>
      <c r="AJ62" s="383"/>
      <c r="AK62" s="384"/>
      <c r="AL62" s="385"/>
      <c r="AM62" s="383"/>
      <c r="AN62" s="384"/>
      <c r="AO62" s="385"/>
      <c r="AP62" s="383"/>
      <c r="AQ62" s="384"/>
      <c r="AR62" s="385"/>
      <c r="AS62" s="383"/>
      <c r="AT62" s="384"/>
      <c r="AU62" s="385"/>
      <c r="AV62" s="383"/>
      <c r="AW62" s="384"/>
      <c r="AX62" s="385"/>
      <c r="AY62" s="383"/>
      <c r="AZ62" s="384"/>
      <c r="BA62" s="385"/>
      <c r="BB62" s="386"/>
      <c r="BC62" s="387"/>
      <c r="BD62" s="388"/>
      <c r="BE62" s="386"/>
      <c r="BF62" s="387"/>
      <c r="BG62" s="388"/>
      <c r="BH62" s="386"/>
      <c r="BI62" s="387"/>
      <c r="BJ62" s="388"/>
      <c r="BK62" s="386"/>
      <c r="BL62" s="387"/>
      <c r="BM62" s="388"/>
      <c r="BN62" s="386"/>
      <c r="BO62" s="387"/>
      <c r="BP62" s="388"/>
      <c r="BQ62" s="386"/>
      <c r="BR62" s="387"/>
      <c r="BS62" s="388"/>
      <c r="BT62" s="386"/>
      <c r="BU62" s="387"/>
      <c r="BV62" s="388"/>
      <c r="BW62" s="386"/>
      <c r="BX62" s="387"/>
      <c r="BY62" s="388"/>
      <c r="BZ62" s="386"/>
      <c r="CA62" s="387"/>
      <c r="CB62" s="388"/>
      <c r="CC62" s="386"/>
      <c r="CD62" s="387"/>
      <c r="CE62" s="388"/>
      <c r="CF62" s="386"/>
      <c r="CG62" s="387"/>
      <c r="CH62" s="388"/>
      <c r="CI62" s="386"/>
      <c r="CJ62" s="387"/>
      <c r="CK62" s="388"/>
      <c r="CL62" s="386"/>
      <c r="CM62" s="387"/>
      <c r="CN62" s="388"/>
      <c r="CO62" s="386"/>
      <c r="CP62" s="387"/>
      <c r="CQ62" s="388"/>
      <c r="CR62" s="386"/>
      <c r="CS62" s="387"/>
      <c r="CT62" s="388"/>
      <c r="CU62" s="386"/>
      <c r="CV62" s="387"/>
      <c r="CW62" s="388"/>
      <c r="CX62" s="386"/>
      <c r="CY62" s="387"/>
      <c r="CZ62" s="388"/>
    </row>
    <row r="63">
      <c r="A63" s="1"/>
      <c r="B63" s="402"/>
      <c r="C63" s="362" t="str">
        <f>'5-0 Товары'!C63</f>
        <v/>
      </c>
      <c r="D63" s="363" t="str">
        <f>'5-0 Товары'!D63</f>
        <v/>
      </c>
      <c r="E63" s="364" t="str">
        <f>'5-0 Товары'!E63</f>
        <v/>
      </c>
      <c r="F63" s="380"/>
      <c r="G63" s="380"/>
      <c r="H63" s="364" t="str">
        <f>'5-0 Товары'!F63</f>
        <v/>
      </c>
      <c r="I63" s="391"/>
      <c r="J63" s="364" t="str">
        <f>'5-0 Товары'!G63</f>
        <v/>
      </c>
      <c r="K63" s="366" t="str">
        <f>'5-0 Товары'!H63</f>
        <v/>
      </c>
      <c r="L63" s="382" t="str">
        <f t="shared" si="1"/>
        <v/>
      </c>
      <c r="M63" s="382"/>
      <c r="N63" s="380"/>
      <c r="O63" s="369" t="str">
        <f>'5-0 Товары'!I63</f>
        <v/>
      </c>
      <c r="P63" s="371" t="str">
        <f>'5-0 Товары'!N63</f>
        <v/>
      </c>
      <c r="Q63" s="197"/>
      <c r="R63" s="193"/>
      <c r="S63" s="187"/>
      <c r="T63" s="187"/>
      <c r="U63" s="187"/>
      <c r="V63" s="187"/>
      <c r="W63" s="187"/>
      <c r="X63" s="187"/>
      <c r="Y63" s="187" t="s">
        <v>96</v>
      </c>
      <c r="Z63" s="193" t="str">
        <f t="shared" si="2"/>
        <v/>
      </c>
      <c r="AA63" s="383"/>
      <c r="AB63" s="384"/>
      <c r="AC63" s="385"/>
      <c r="AD63" s="383"/>
      <c r="AE63" s="384"/>
      <c r="AF63" s="385"/>
      <c r="AG63" s="383"/>
      <c r="AH63" s="384"/>
      <c r="AI63" s="385"/>
      <c r="AJ63" s="383"/>
      <c r="AK63" s="384"/>
      <c r="AL63" s="385"/>
      <c r="AM63" s="383"/>
      <c r="AN63" s="384"/>
      <c r="AO63" s="385"/>
      <c r="AP63" s="383"/>
      <c r="AQ63" s="384"/>
      <c r="AR63" s="385"/>
      <c r="AS63" s="383"/>
      <c r="AT63" s="384"/>
      <c r="AU63" s="385"/>
      <c r="AV63" s="383"/>
      <c r="AW63" s="384"/>
      <c r="AX63" s="385"/>
      <c r="AY63" s="383"/>
      <c r="AZ63" s="384"/>
      <c r="BA63" s="385"/>
      <c r="BB63" s="386"/>
      <c r="BC63" s="387"/>
      <c r="BD63" s="388"/>
      <c r="BE63" s="386"/>
      <c r="BF63" s="387"/>
      <c r="BG63" s="388"/>
      <c r="BH63" s="386"/>
      <c r="BI63" s="387"/>
      <c r="BJ63" s="388"/>
      <c r="BK63" s="386"/>
      <c r="BL63" s="387"/>
      <c r="BM63" s="388"/>
      <c r="BN63" s="386"/>
      <c r="BO63" s="387"/>
      <c r="BP63" s="388"/>
      <c r="BQ63" s="386"/>
      <c r="BR63" s="387"/>
      <c r="BS63" s="388"/>
      <c r="BT63" s="386"/>
      <c r="BU63" s="387"/>
      <c r="BV63" s="388"/>
      <c r="BW63" s="386"/>
      <c r="BX63" s="387"/>
      <c r="BY63" s="388"/>
      <c r="BZ63" s="386"/>
      <c r="CA63" s="387"/>
      <c r="CB63" s="388"/>
      <c r="CC63" s="386"/>
      <c r="CD63" s="387"/>
      <c r="CE63" s="388"/>
      <c r="CF63" s="386"/>
      <c r="CG63" s="387"/>
      <c r="CH63" s="388"/>
      <c r="CI63" s="386"/>
      <c r="CJ63" s="387"/>
      <c r="CK63" s="388"/>
      <c r="CL63" s="386"/>
      <c r="CM63" s="387"/>
      <c r="CN63" s="388"/>
      <c r="CO63" s="386"/>
      <c r="CP63" s="387"/>
      <c r="CQ63" s="388"/>
      <c r="CR63" s="386"/>
      <c r="CS63" s="387"/>
      <c r="CT63" s="388"/>
      <c r="CU63" s="386"/>
      <c r="CV63" s="387"/>
      <c r="CW63" s="388"/>
      <c r="CX63" s="386"/>
      <c r="CY63" s="387"/>
      <c r="CZ63" s="388"/>
    </row>
    <row r="64">
      <c r="A64" s="1"/>
      <c r="B64" s="402"/>
      <c r="C64" s="362" t="str">
        <f>'5-0 Товары'!C64</f>
        <v/>
      </c>
      <c r="D64" s="363" t="str">
        <f>'5-0 Товары'!D64</f>
        <v/>
      </c>
      <c r="E64" s="364" t="str">
        <f>'5-0 Товары'!E64</f>
        <v/>
      </c>
      <c r="F64" s="380"/>
      <c r="G64" s="380"/>
      <c r="H64" s="364" t="str">
        <f>'5-0 Товары'!F64</f>
        <v/>
      </c>
      <c r="I64" s="391"/>
      <c r="J64" s="364" t="str">
        <f>'5-0 Товары'!G64</f>
        <v/>
      </c>
      <c r="K64" s="366" t="str">
        <f>'5-0 Товары'!H64</f>
        <v/>
      </c>
      <c r="L64" s="382" t="str">
        <f t="shared" si="1"/>
        <v/>
      </c>
      <c r="M64" s="382"/>
      <c r="N64" s="380"/>
      <c r="O64" s="369" t="str">
        <f>'5-0 Товары'!I64</f>
        <v/>
      </c>
      <c r="P64" s="371" t="str">
        <f>'5-0 Товары'!N64</f>
        <v/>
      </c>
      <c r="Q64" s="197"/>
      <c r="R64" s="193"/>
      <c r="S64" s="187"/>
      <c r="T64" s="187"/>
      <c r="U64" s="187"/>
      <c r="V64" s="187"/>
      <c r="W64" s="187"/>
      <c r="X64" s="187"/>
      <c r="Y64" s="187" t="s">
        <v>96</v>
      </c>
      <c r="Z64" s="193" t="str">
        <f t="shared" si="2"/>
        <v/>
      </c>
      <c r="AA64" s="383"/>
      <c r="AB64" s="384"/>
      <c r="AC64" s="385"/>
      <c r="AD64" s="383"/>
      <c r="AE64" s="384"/>
      <c r="AF64" s="385"/>
      <c r="AG64" s="383"/>
      <c r="AH64" s="384"/>
      <c r="AI64" s="385"/>
      <c r="AJ64" s="383"/>
      <c r="AK64" s="384"/>
      <c r="AL64" s="385"/>
      <c r="AM64" s="383"/>
      <c r="AN64" s="384"/>
      <c r="AO64" s="385"/>
      <c r="AP64" s="383"/>
      <c r="AQ64" s="384"/>
      <c r="AR64" s="385"/>
      <c r="AS64" s="383"/>
      <c r="AT64" s="384"/>
      <c r="AU64" s="385"/>
      <c r="AV64" s="383"/>
      <c r="AW64" s="384"/>
      <c r="AX64" s="385"/>
      <c r="AY64" s="383"/>
      <c r="AZ64" s="384"/>
      <c r="BA64" s="385"/>
      <c r="BB64" s="386"/>
      <c r="BC64" s="387"/>
      <c r="BD64" s="388"/>
      <c r="BE64" s="386"/>
      <c r="BF64" s="387"/>
      <c r="BG64" s="388"/>
      <c r="BH64" s="386"/>
      <c r="BI64" s="387"/>
      <c r="BJ64" s="388"/>
      <c r="BK64" s="386"/>
      <c r="BL64" s="387"/>
      <c r="BM64" s="388"/>
      <c r="BN64" s="386"/>
      <c r="BO64" s="387"/>
      <c r="BP64" s="388"/>
      <c r="BQ64" s="386"/>
      <c r="BR64" s="387"/>
      <c r="BS64" s="388"/>
      <c r="BT64" s="386"/>
      <c r="BU64" s="387"/>
      <c r="BV64" s="388"/>
      <c r="BW64" s="386"/>
      <c r="BX64" s="387"/>
      <c r="BY64" s="388"/>
      <c r="BZ64" s="386"/>
      <c r="CA64" s="387"/>
      <c r="CB64" s="388"/>
      <c r="CC64" s="386"/>
      <c r="CD64" s="387"/>
      <c r="CE64" s="388"/>
      <c r="CF64" s="386"/>
      <c r="CG64" s="387"/>
      <c r="CH64" s="388"/>
      <c r="CI64" s="386"/>
      <c r="CJ64" s="387"/>
      <c r="CK64" s="388"/>
      <c r="CL64" s="386"/>
      <c r="CM64" s="387"/>
      <c r="CN64" s="388"/>
      <c r="CO64" s="386"/>
      <c r="CP64" s="387"/>
      <c r="CQ64" s="388"/>
      <c r="CR64" s="386"/>
      <c r="CS64" s="387"/>
      <c r="CT64" s="388"/>
      <c r="CU64" s="386"/>
      <c r="CV64" s="387"/>
      <c r="CW64" s="388"/>
      <c r="CX64" s="386"/>
      <c r="CY64" s="387"/>
      <c r="CZ64" s="388"/>
    </row>
    <row r="65">
      <c r="A65" s="1"/>
      <c r="B65" s="402"/>
      <c r="C65" s="362" t="str">
        <f>'5-0 Товары'!C65</f>
        <v/>
      </c>
      <c r="D65" s="363" t="str">
        <f>'5-0 Товары'!D65</f>
        <v/>
      </c>
      <c r="E65" s="364" t="str">
        <f>'5-0 Товары'!E65</f>
        <v/>
      </c>
      <c r="F65" s="380"/>
      <c r="G65" s="380"/>
      <c r="H65" s="364" t="str">
        <f>'5-0 Товары'!F65</f>
        <v/>
      </c>
      <c r="I65" s="391"/>
      <c r="J65" s="364" t="str">
        <f>'5-0 Товары'!G65</f>
        <v/>
      </c>
      <c r="K65" s="366" t="str">
        <f>'5-0 Товары'!H65</f>
        <v/>
      </c>
      <c r="L65" s="382" t="str">
        <f t="shared" si="1"/>
        <v/>
      </c>
      <c r="M65" s="382"/>
      <c r="N65" s="380"/>
      <c r="O65" s="369" t="str">
        <f>'5-0 Товары'!I65</f>
        <v/>
      </c>
      <c r="P65" s="371" t="str">
        <f>'5-0 Товары'!N65</f>
        <v/>
      </c>
      <c r="Q65" s="197"/>
      <c r="R65" s="193"/>
      <c r="S65" s="187"/>
      <c r="T65" s="187"/>
      <c r="U65" s="187"/>
      <c r="V65" s="187"/>
      <c r="W65" s="187"/>
      <c r="X65" s="187"/>
      <c r="Y65" s="187" t="s">
        <v>96</v>
      </c>
      <c r="Z65" s="193" t="str">
        <f t="shared" si="2"/>
        <v/>
      </c>
      <c r="AA65" s="383"/>
      <c r="AB65" s="384"/>
      <c r="AC65" s="385"/>
      <c r="AD65" s="383"/>
      <c r="AE65" s="384"/>
      <c r="AF65" s="385"/>
      <c r="AG65" s="383"/>
      <c r="AH65" s="384"/>
      <c r="AI65" s="385"/>
      <c r="AJ65" s="383"/>
      <c r="AK65" s="384"/>
      <c r="AL65" s="385"/>
      <c r="AM65" s="383"/>
      <c r="AN65" s="384"/>
      <c r="AO65" s="385"/>
      <c r="AP65" s="383"/>
      <c r="AQ65" s="384"/>
      <c r="AR65" s="385"/>
      <c r="AS65" s="383"/>
      <c r="AT65" s="384"/>
      <c r="AU65" s="385"/>
      <c r="AV65" s="383"/>
      <c r="AW65" s="384"/>
      <c r="AX65" s="385"/>
      <c r="AY65" s="383"/>
      <c r="AZ65" s="384"/>
      <c r="BA65" s="385"/>
      <c r="BB65" s="386"/>
      <c r="BC65" s="387"/>
      <c r="BD65" s="388"/>
      <c r="BE65" s="386"/>
      <c r="BF65" s="387"/>
      <c r="BG65" s="388"/>
      <c r="BH65" s="386"/>
      <c r="BI65" s="387"/>
      <c r="BJ65" s="388"/>
      <c r="BK65" s="386"/>
      <c r="BL65" s="387"/>
      <c r="BM65" s="388"/>
      <c r="BN65" s="386"/>
      <c r="BO65" s="387"/>
      <c r="BP65" s="388"/>
      <c r="BQ65" s="386"/>
      <c r="BR65" s="387"/>
      <c r="BS65" s="388"/>
      <c r="BT65" s="386"/>
      <c r="BU65" s="387"/>
      <c r="BV65" s="388"/>
      <c r="BW65" s="386"/>
      <c r="BX65" s="387"/>
      <c r="BY65" s="388"/>
      <c r="BZ65" s="386"/>
      <c r="CA65" s="387"/>
      <c r="CB65" s="388"/>
      <c r="CC65" s="386"/>
      <c r="CD65" s="387"/>
      <c r="CE65" s="388"/>
      <c r="CF65" s="386"/>
      <c r="CG65" s="387"/>
      <c r="CH65" s="388"/>
      <c r="CI65" s="386"/>
      <c r="CJ65" s="387"/>
      <c r="CK65" s="388"/>
      <c r="CL65" s="386"/>
      <c r="CM65" s="387"/>
      <c r="CN65" s="388"/>
      <c r="CO65" s="386"/>
      <c r="CP65" s="387"/>
      <c r="CQ65" s="388"/>
      <c r="CR65" s="386"/>
      <c r="CS65" s="387"/>
      <c r="CT65" s="388"/>
      <c r="CU65" s="386"/>
      <c r="CV65" s="387"/>
      <c r="CW65" s="388"/>
      <c r="CX65" s="386"/>
      <c r="CY65" s="387"/>
      <c r="CZ65" s="388"/>
    </row>
    <row r="66">
      <c r="A66" s="1"/>
      <c r="B66" s="402"/>
      <c r="C66" s="362" t="str">
        <f>'5-0 Товары'!C66</f>
        <v/>
      </c>
      <c r="D66" s="363" t="str">
        <f>'5-0 Товары'!D66</f>
        <v/>
      </c>
      <c r="E66" s="364" t="str">
        <f>'5-0 Товары'!E66</f>
        <v/>
      </c>
      <c r="F66" s="380"/>
      <c r="G66" s="380"/>
      <c r="H66" s="364" t="str">
        <f>'5-0 Товары'!F66</f>
        <v/>
      </c>
      <c r="I66" s="391"/>
      <c r="J66" s="364" t="str">
        <f>'5-0 Товары'!G66</f>
        <v/>
      </c>
      <c r="K66" s="366" t="str">
        <f>'5-0 Товары'!H66</f>
        <v/>
      </c>
      <c r="L66" s="382" t="str">
        <f t="shared" si="1"/>
        <v/>
      </c>
      <c r="M66" s="382"/>
      <c r="N66" s="380"/>
      <c r="O66" s="369" t="str">
        <f>'5-0 Товары'!I66</f>
        <v/>
      </c>
      <c r="P66" s="371" t="str">
        <f>'5-0 Товары'!N66</f>
        <v/>
      </c>
      <c r="Q66" s="197"/>
      <c r="R66" s="193"/>
      <c r="S66" s="187"/>
      <c r="T66" s="187"/>
      <c r="U66" s="187"/>
      <c r="V66" s="187"/>
      <c r="W66" s="187"/>
      <c r="X66" s="187"/>
      <c r="Y66" s="187" t="s">
        <v>96</v>
      </c>
      <c r="Z66" s="193" t="str">
        <f t="shared" si="2"/>
        <v/>
      </c>
      <c r="AA66" s="383"/>
      <c r="AB66" s="384"/>
      <c r="AC66" s="385"/>
      <c r="AD66" s="383"/>
      <c r="AE66" s="384"/>
      <c r="AF66" s="385"/>
      <c r="AG66" s="383"/>
      <c r="AH66" s="384"/>
      <c r="AI66" s="385"/>
      <c r="AJ66" s="383"/>
      <c r="AK66" s="384"/>
      <c r="AL66" s="385"/>
      <c r="AM66" s="383"/>
      <c r="AN66" s="384"/>
      <c r="AO66" s="385"/>
      <c r="AP66" s="383"/>
      <c r="AQ66" s="384"/>
      <c r="AR66" s="385"/>
      <c r="AS66" s="383"/>
      <c r="AT66" s="384"/>
      <c r="AU66" s="385"/>
      <c r="AV66" s="383"/>
      <c r="AW66" s="384"/>
      <c r="AX66" s="385"/>
      <c r="AY66" s="383"/>
      <c r="AZ66" s="384"/>
      <c r="BA66" s="385"/>
      <c r="BB66" s="386"/>
      <c r="BC66" s="387"/>
      <c r="BD66" s="388"/>
      <c r="BE66" s="386"/>
      <c r="BF66" s="387"/>
      <c r="BG66" s="388"/>
      <c r="BH66" s="386"/>
      <c r="BI66" s="387"/>
      <c r="BJ66" s="388"/>
      <c r="BK66" s="386"/>
      <c r="BL66" s="387"/>
      <c r="BM66" s="388"/>
      <c r="BN66" s="386"/>
      <c r="BO66" s="387"/>
      <c r="BP66" s="388"/>
      <c r="BQ66" s="386"/>
      <c r="BR66" s="387"/>
      <c r="BS66" s="388"/>
      <c r="BT66" s="386"/>
      <c r="BU66" s="387"/>
      <c r="BV66" s="388"/>
      <c r="BW66" s="386"/>
      <c r="BX66" s="387"/>
      <c r="BY66" s="388"/>
      <c r="BZ66" s="386"/>
      <c r="CA66" s="387"/>
      <c r="CB66" s="388"/>
      <c r="CC66" s="386"/>
      <c r="CD66" s="387"/>
      <c r="CE66" s="388"/>
      <c r="CF66" s="386"/>
      <c r="CG66" s="387"/>
      <c r="CH66" s="388"/>
      <c r="CI66" s="386"/>
      <c r="CJ66" s="387"/>
      <c r="CK66" s="388"/>
      <c r="CL66" s="386"/>
      <c r="CM66" s="387"/>
      <c r="CN66" s="388"/>
      <c r="CO66" s="386"/>
      <c r="CP66" s="387"/>
      <c r="CQ66" s="388"/>
      <c r="CR66" s="386"/>
      <c r="CS66" s="387"/>
      <c r="CT66" s="388"/>
      <c r="CU66" s="386"/>
      <c r="CV66" s="387"/>
      <c r="CW66" s="388"/>
      <c r="CX66" s="386"/>
      <c r="CY66" s="387"/>
      <c r="CZ66" s="388"/>
    </row>
    <row r="67">
      <c r="A67" s="1"/>
      <c r="B67" s="402"/>
      <c r="C67" s="362" t="str">
        <f>'5-0 Товары'!C67</f>
        <v/>
      </c>
      <c r="D67" s="363" t="str">
        <f>'5-0 Товары'!D67</f>
        <v/>
      </c>
      <c r="E67" s="364" t="str">
        <f>'5-0 Товары'!E67</f>
        <v/>
      </c>
      <c r="F67" s="380"/>
      <c r="G67" s="380"/>
      <c r="H67" s="364" t="str">
        <f>'5-0 Товары'!F67</f>
        <v/>
      </c>
      <c r="I67" s="391"/>
      <c r="J67" s="364" t="str">
        <f>'5-0 Товары'!G67</f>
        <v/>
      </c>
      <c r="K67" s="366" t="str">
        <f>'5-0 Товары'!H67</f>
        <v/>
      </c>
      <c r="L67" s="382" t="str">
        <f t="shared" si="1"/>
        <v/>
      </c>
      <c r="M67" s="382"/>
      <c r="N67" s="380"/>
      <c r="O67" s="369" t="str">
        <f>'5-0 Товары'!I67</f>
        <v/>
      </c>
      <c r="P67" s="371" t="str">
        <f>'5-0 Товары'!N67</f>
        <v/>
      </c>
      <c r="Q67" s="197"/>
      <c r="R67" s="193"/>
      <c r="S67" s="187"/>
      <c r="T67" s="187"/>
      <c r="U67" s="187"/>
      <c r="V67" s="187"/>
      <c r="W67" s="187"/>
      <c r="X67" s="187"/>
      <c r="Y67" s="187" t="s">
        <v>96</v>
      </c>
      <c r="Z67" s="193" t="str">
        <f t="shared" si="2"/>
        <v/>
      </c>
      <c r="AA67" s="383"/>
      <c r="AB67" s="384"/>
      <c r="AC67" s="385"/>
      <c r="AD67" s="383"/>
      <c r="AE67" s="384"/>
      <c r="AF67" s="385"/>
      <c r="AG67" s="383"/>
      <c r="AH67" s="384"/>
      <c r="AI67" s="385"/>
      <c r="AJ67" s="383"/>
      <c r="AK67" s="384"/>
      <c r="AL67" s="385"/>
      <c r="AM67" s="383"/>
      <c r="AN67" s="384"/>
      <c r="AO67" s="385"/>
      <c r="AP67" s="383"/>
      <c r="AQ67" s="384"/>
      <c r="AR67" s="385"/>
      <c r="AS67" s="383"/>
      <c r="AT67" s="384"/>
      <c r="AU67" s="385"/>
      <c r="AV67" s="383"/>
      <c r="AW67" s="384"/>
      <c r="AX67" s="385"/>
      <c r="AY67" s="383"/>
      <c r="AZ67" s="384"/>
      <c r="BA67" s="385"/>
      <c r="BB67" s="386"/>
      <c r="BC67" s="387"/>
      <c r="BD67" s="388"/>
      <c r="BE67" s="386"/>
      <c r="BF67" s="387"/>
      <c r="BG67" s="388"/>
      <c r="BH67" s="386"/>
      <c r="BI67" s="387"/>
      <c r="BJ67" s="388"/>
      <c r="BK67" s="386"/>
      <c r="BL67" s="387"/>
      <c r="BM67" s="388"/>
      <c r="BN67" s="386"/>
      <c r="BO67" s="387"/>
      <c r="BP67" s="388"/>
      <c r="BQ67" s="386"/>
      <c r="BR67" s="387"/>
      <c r="BS67" s="388"/>
      <c r="BT67" s="386"/>
      <c r="BU67" s="387"/>
      <c r="BV67" s="388"/>
      <c r="BW67" s="386"/>
      <c r="BX67" s="387"/>
      <c r="BY67" s="388"/>
      <c r="BZ67" s="386"/>
      <c r="CA67" s="387"/>
      <c r="CB67" s="388"/>
      <c r="CC67" s="386"/>
      <c r="CD67" s="387"/>
      <c r="CE67" s="388"/>
      <c r="CF67" s="386"/>
      <c r="CG67" s="387"/>
      <c r="CH67" s="388"/>
      <c r="CI67" s="386"/>
      <c r="CJ67" s="387"/>
      <c r="CK67" s="388"/>
      <c r="CL67" s="386"/>
      <c r="CM67" s="387"/>
      <c r="CN67" s="388"/>
      <c r="CO67" s="386"/>
      <c r="CP67" s="387"/>
      <c r="CQ67" s="388"/>
      <c r="CR67" s="386"/>
      <c r="CS67" s="387"/>
      <c r="CT67" s="388"/>
      <c r="CU67" s="386"/>
      <c r="CV67" s="387"/>
      <c r="CW67" s="388"/>
      <c r="CX67" s="386"/>
      <c r="CY67" s="387"/>
      <c r="CZ67" s="388"/>
    </row>
    <row r="68">
      <c r="A68" s="1"/>
      <c r="B68" s="402"/>
      <c r="C68" s="362" t="str">
        <f>'5-0 Товары'!C68</f>
        <v/>
      </c>
      <c r="D68" s="363" t="str">
        <f>'5-0 Товары'!D68</f>
        <v/>
      </c>
      <c r="E68" s="364" t="str">
        <f>'5-0 Товары'!E68</f>
        <v/>
      </c>
      <c r="F68" s="380"/>
      <c r="G68" s="380"/>
      <c r="H68" s="364" t="str">
        <f>'5-0 Товары'!F68</f>
        <v/>
      </c>
      <c r="I68" s="391"/>
      <c r="J68" s="364" t="str">
        <f>'5-0 Товары'!G68</f>
        <v/>
      </c>
      <c r="K68" s="366" t="str">
        <f>'5-0 Товары'!H68</f>
        <v/>
      </c>
      <c r="L68" s="382" t="str">
        <f t="shared" si="1"/>
        <v/>
      </c>
      <c r="M68" s="382"/>
      <c r="N68" s="380"/>
      <c r="O68" s="369" t="str">
        <f>'5-0 Товары'!I68</f>
        <v/>
      </c>
      <c r="P68" s="371" t="str">
        <f>'5-0 Товары'!N68</f>
        <v/>
      </c>
      <c r="Q68" s="197"/>
      <c r="R68" s="193"/>
      <c r="S68" s="187"/>
      <c r="T68" s="187"/>
      <c r="U68" s="187"/>
      <c r="V68" s="187"/>
      <c r="W68" s="187"/>
      <c r="X68" s="187"/>
      <c r="Y68" s="187" t="s">
        <v>96</v>
      </c>
      <c r="Z68" s="193" t="str">
        <f t="shared" si="2"/>
        <v/>
      </c>
      <c r="AA68" s="383"/>
      <c r="AB68" s="384"/>
      <c r="AC68" s="385"/>
      <c r="AD68" s="383"/>
      <c r="AE68" s="384"/>
      <c r="AF68" s="385"/>
      <c r="AG68" s="383"/>
      <c r="AH68" s="384"/>
      <c r="AI68" s="385"/>
      <c r="AJ68" s="383"/>
      <c r="AK68" s="384"/>
      <c r="AL68" s="385"/>
      <c r="AM68" s="383"/>
      <c r="AN68" s="384"/>
      <c r="AO68" s="385"/>
      <c r="AP68" s="383"/>
      <c r="AQ68" s="384"/>
      <c r="AR68" s="385"/>
      <c r="AS68" s="383"/>
      <c r="AT68" s="384"/>
      <c r="AU68" s="385"/>
      <c r="AV68" s="383"/>
      <c r="AW68" s="384"/>
      <c r="AX68" s="385"/>
      <c r="AY68" s="383"/>
      <c r="AZ68" s="384"/>
      <c r="BA68" s="385"/>
      <c r="BB68" s="386"/>
      <c r="BC68" s="387"/>
      <c r="BD68" s="388"/>
      <c r="BE68" s="386"/>
      <c r="BF68" s="387"/>
      <c r="BG68" s="388"/>
      <c r="BH68" s="386"/>
      <c r="BI68" s="387"/>
      <c r="BJ68" s="388"/>
      <c r="BK68" s="386"/>
      <c r="BL68" s="387"/>
      <c r="BM68" s="388"/>
      <c r="BN68" s="386"/>
      <c r="BO68" s="387"/>
      <c r="BP68" s="388"/>
      <c r="BQ68" s="386"/>
      <c r="BR68" s="387"/>
      <c r="BS68" s="388"/>
      <c r="BT68" s="386"/>
      <c r="BU68" s="387"/>
      <c r="BV68" s="388"/>
      <c r="BW68" s="386"/>
      <c r="BX68" s="387"/>
      <c r="BY68" s="388"/>
      <c r="BZ68" s="386"/>
      <c r="CA68" s="387"/>
      <c r="CB68" s="388"/>
      <c r="CC68" s="386"/>
      <c r="CD68" s="387"/>
      <c r="CE68" s="388"/>
      <c r="CF68" s="386"/>
      <c r="CG68" s="387"/>
      <c r="CH68" s="388"/>
      <c r="CI68" s="386"/>
      <c r="CJ68" s="387"/>
      <c r="CK68" s="388"/>
      <c r="CL68" s="386"/>
      <c r="CM68" s="387"/>
      <c r="CN68" s="388"/>
      <c r="CO68" s="386"/>
      <c r="CP68" s="387"/>
      <c r="CQ68" s="388"/>
      <c r="CR68" s="386"/>
      <c r="CS68" s="387"/>
      <c r="CT68" s="388"/>
      <c r="CU68" s="386"/>
      <c r="CV68" s="387"/>
      <c r="CW68" s="388"/>
      <c r="CX68" s="386"/>
      <c r="CY68" s="387"/>
      <c r="CZ68" s="388"/>
    </row>
    <row r="69">
      <c r="A69" s="1"/>
      <c r="B69" s="402"/>
      <c r="C69" s="362" t="str">
        <f>'5-0 Товары'!C69</f>
        <v/>
      </c>
      <c r="D69" s="363" t="str">
        <f>'5-0 Товары'!D69</f>
        <v/>
      </c>
      <c r="E69" s="364" t="str">
        <f>'5-0 Товары'!E69</f>
        <v/>
      </c>
      <c r="F69" s="380"/>
      <c r="G69" s="380"/>
      <c r="H69" s="364" t="str">
        <f>'5-0 Товары'!F69</f>
        <v/>
      </c>
      <c r="I69" s="391"/>
      <c r="J69" s="364" t="str">
        <f>'5-0 Товары'!G69</f>
        <v/>
      </c>
      <c r="K69" s="366" t="str">
        <f>'5-0 Товары'!H69</f>
        <v/>
      </c>
      <c r="L69" s="382" t="str">
        <f t="shared" si="1"/>
        <v/>
      </c>
      <c r="M69" s="382"/>
      <c r="N69" s="380"/>
      <c r="O69" s="369" t="str">
        <f>'5-0 Товары'!I69</f>
        <v/>
      </c>
      <c r="P69" s="371" t="str">
        <f>'5-0 Товары'!N69</f>
        <v/>
      </c>
      <c r="Q69" s="197"/>
      <c r="R69" s="193"/>
      <c r="S69" s="187"/>
      <c r="T69" s="187"/>
      <c r="U69" s="187"/>
      <c r="V69" s="187"/>
      <c r="W69" s="187"/>
      <c r="X69" s="187"/>
      <c r="Y69" s="187" t="s">
        <v>96</v>
      </c>
      <c r="Z69" s="193" t="str">
        <f t="shared" si="2"/>
        <v/>
      </c>
      <c r="AA69" s="383"/>
      <c r="AB69" s="384"/>
      <c r="AC69" s="385"/>
      <c r="AD69" s="383"/>
      <c r="AE69" s="384"/>
      <c r="AF69" s="385"/>
      <c r="AG69" s="383"/>
      <c r="AH69" s="384"/>
      <c r="AI69" s="385"/>
      <c r="AJ69" s="383"/>
      <c r="AK69" s="384"/>
      <c r="AL69" s="385"/>
      <c r="AM69" s="383"/>
      <c r="AN69" s="384"/>
      <c r="AO69" s="385"/>
      <c r="AP69" s="383"/>
      <c r="AQ69" s="384"/>
      <c r="AR69" s="385"/>
      <c r="AS69" s="383"/>
      <c r="AT69" s="384"/>
      <c r="AU69" s="385"/>
      <c r="AV69" s="383"/>
      <c r="AW69" s="384"/>
      <c r="AX69" s="385"/>
      <c r="AY69" s="383"/>
      <c r="AZ69" s="384"/>
      <c r="BA69" s="385"/>
      <c r="BB69" s="386"/>
      <c r="BC69" s="387"/>
      <c r="BD69" s="388"/>
      <c r="BE69" s="386"/>
      <c r="BF69" s="387"/>
      <c r="BG69" s="388"/>
      <c r="BH69" s="386"/>
      <c r="BI69" s="387"/>
      <c r="BJ69" s="388"/>
      <c r="BK69" s="386"/>
      <c r="BL69" s="387"/>
      <c r="BM69" s="388"/>
      <c r="BN69" s="386"/>
      <c r="BO69" s="387"/>
      <c r="BP69" s="388"/>
      <c r="BQ69" s="386"/>
      <c r="BR69" s="387"/>
      <c r="BS69" s="388"/>
      <c r="BT69" s="386"/>
      <c r="BU69" s="387"/>
      <c r="BV69" s="388"/>
      <c r="BW69" s="386"/>
      <c r="BX69" s="387"/>
      <c r="BY69" s="388"/>
      <c r="BZ69" s="386"/>
      <c r="CA69" s="387"/>
      <c r="CB69" s="388"/>
      <c r="CC69" s="386"/>
      <c r="CD69" s="387"/>
      <c r="CE69" s="388"/>
      <c r="CF69" s="386"/>
      <c r="CG69" s="387"/>
      <c r="CH69" s="388"/>
      <c r="CI69" s="386"/>
      <c r="CJ69" s="387"/>
      <c r="CK69" s="388"/>
      <c r="CL69" s="386"/>
      <c r="CM69" s="387"/>
      <c r="CN69" s="388"/>
      <c r="CO69" s="386"/>
      <c r="CP69" s="387"/>
      <c r="CQ69" s="388"/>
      <c r="CR69" s="386"/>
      <c r="CS69" s="387"/>
      <c r="CT69" s="388"/>
      <c r="CU69" s="386"/>
      <c r="CV69" s="387"/>
      <c r="CW69" s="388"/>
      <c r="CX69" s="386"/>
      <c r="CY69" s="387"/>
      <c r="CZ69" s="388"/>
    </row>
    <row r="70">
      <c r="A70" s="1"/>
      <c r="B70" s="402"/>
      <c r="C70" s="362" t="str">
        <f>'5-0 Товары'!C70</f>
        <v/>
      </c>
      <c r="D70" s="363" t="str">
        <f>'5-0 Товары'!D70</f>
        <v/>
      </c>
      <c r="E70" s="364" t="str">
        <f>'5-0 Товары'!E70</f>
        <v/>
      </c>
      <c r="F70" s="380"/>
      <c r="G70" s="380"/>
      <c r="H70" s="364" t="str">
        <f>'5-0 Товары'!F70</f>
        <v/>
      </c>
      <c r="I70" s="391"/>
      <c r="J70" s="364" t="str">
        <f>'5-0 Товары'!G70</f>
        <v/>
      </c>
      <c r="K70" s="366" t="str">
        <f>'5-0 Товары'!H70</f>
        <v/>
      </c>
      <c r="L70" s="382" t="str">
        <f t="shared" si="1"/>
        <v/>
      </c>
      <c r="M70" s="382"/>
      <c r="N70" s="380"/>
      <c r="O70" s="369" t="str">
        <f>'5-0 Товары'!I70</f>
        <v/>
      </c>
      <c r="P70" s="371" t="str">
        <f>'5-0 Товары'!N70</f>
        <v/>
      </c>
      <c r="Q70" s="197"/>
      <c r="R70" s="193"/>
      <c r="S70" s="187"/>
      <c r="T70" s="187"/>
      <c r="U70" s="187"/>
      <c r="V70" s="187"/>
      <c r="W70" s="187"/>
      <c r="X70" s="187"/>
      <c r="Y70" s="187" t="s">
        <v>96</v>
      </c>
      <c r="Z70" s="193" t="str">
        <f t="shared" si="2"/>
        <v/>
      </c>
      <c r="AA70" s="383"/>
      <c r="AB70" s="384"/>
      <c r="AC70" s="385"/>
      <c r="AD70" s="383"/>
      <c r="AE70" s="384"/>
      <c r="AF70" s="385"/>
      <c r="AG70" s="383"/>
      <c r="AH70" s="384"/>
      <c r="AI70" s="385"/>
      <c r="AJ70" s="383"/>
      <c r="AK70" s="384"/>
      <c r="AL70" s="385"/>
      <c r="AM70" s="383"/>
      <c r="AN70" s="384"/>
      <c r="AO70" s="385"/>
      <c r="AP70" s="383"/>
      <c r="AQ70" s="384"/>
      <c r="AR70" s="385"/>
      <c r="AS70" s="383"/>
      <c r="AT70" s="384"/>
      <c r="AU70" s="385"/>
      <c r="AV70" s="383"/>
      <c r="AW70" s="384"/>
      <c r="AX70" s="385"/>
      <c r="AY70" s="383"/>
      <c r="AZ70" s="384"/>
      <c r="BA70" s="385"/>
      <c r="BB70" s="386"/>
      <c r="BC70" s="387"/>
      <c r="BD70" s="388"/>
      <c r="BE70" s="386"/>
      <c r="BF70" s="387"/>
      <c r="BG70" s="388"/>
      <c r="BH70" s="386"/>
      <c r="BI70" s="387"/>
      <c r="BJ70" s="388"/>
      <c r="BK70" s="386"/>
      <c r="BL70" s="387"/>
      <c r="BM70" s="388"/>
      <c r="BN70" s="386"/>
      <c r="BO70" s="387"/>
      <c r="BP70" s="388"/>
      <c r="BQ70" s="386"/>
      <c r="BR70" s="387"/>
      <c r="BS70" s="388"/>
      <c r="BT70" s="386"/>
      <c r="BU70" s="387"/>
      <c r="BV70" s="388"/>
      <c r="BW70" s="386"/>
      <c r="BX70" s="387"/>
      <c r="BY70" s="388"/>
      <c r="BZ70" s="386"/>
      <c r="CA70" s="387"/>
      <c r="CB70" s="388"/>
      <c r="CC70" s="386"/>
      <c r="CD70" s="387"/>
      <c r="CE70" s="388"/>
      <c r="CF70" s="386"/>
      <c r="CG70" s="387"/>
      <c r="CH70" s="388"/>
      <c r="CI70" s="386"/>
      <c r="CJ70" s="387"/>
      <c r="CK70" s="388"/>
      <c r="CL70" s="386"/>
      <c r="CM70" s="387"/>
      <c r="CN70" s="388"/>
      <c r="CO70" s="386"/>
      <c r="CP70" s="387"/>
      <c r="CQ70" s="388"/>
      <c r="CR70" s="386"/>
      <c r="CS70" s="387"/>
      <c r="CT70" s="388"/>
      <c r="CU70" s="386"/>
      <c r="CV70" s="387"/>
      <c r="CW70" s="388"/>
      <c r="CX70" s="386"/>
      <c r="CY70" s="387"/>
      <c r="CZ70" s="388"/>
    </row>
    <row r="71">
      <c r="A71" s="1"/>
      <c r="B71" s="402"/>
      <c r="C71" s="362" t="str">
        <f>'5-0 Товары'!C71</f>
        <v/>
      </c>
      <c r="D71" s="363" t="str">
        <f>'5-0 Товары'!D71</f>
        <v/>
      </c>
      <c r="E71" s="364" t="str">
        <f>'5-0 Товары'!E71</f>
        <v/>
      </c>
      <c r="F71" s="380"/>
      <c r="G71" s="380"/>
      <c r="H71" s="364" t="str">
        <f>'5-0 Товары'!F71</f>
        <v/>
      </c>
      <c r="I71" s="391"/>
      <c r="J71" s="364" t="str">
        <f>'5-0 Товары'!G71</f>
        <v/>
      </c>
      <c r="K71" s="366" t="str">
        <f>'5-0 Товары'!H71</f>
        <v/>
      </c>
      <c r="L71" s="382" t="str">
        <f t="shared" si="1"/>
        <v/>
      </c>
      <c r="M71" s="382"/>
      <c r="N71" s="380"/>
      <c r="O71" s="369" t="str">
        <f>'5-0 Товары'!I71</f>
        <v/>
      </c>
      <c r="P71" s="371" t="str">
        <f>'5-0 Товары'!N71</f>
        <v/>
      </c>
      <c r="Q71" s="197"/>
      <c r="R71" s="193"/>
      <c r="S71" s="187"/>
      <c r="T71" s="187"/>
      <c r="U71" s="187"/>
      <c r="V71" s="187"/>
      <c r="W71" s="187"/>
      <c r="X71" s="187"/>
      <c r="Y71" s="187" t="s">
        <v>96</v>
      </c>
      <c r="Z71" s="193" t="str">
        <f t="shared" si="2"/>
        <v/>
      </c>
      <c r="AA71" s="383"/>
      <c r="AB71" s="384"/>
      <c r="AC71" s="385"/>
      <c r="AD71" s="383"/>
      <c r="AE71" s="384"/>
      <c r="AF71" s="385"/>
      <c r="AG71" s="383"/>
      <c r="AH71" s="384"/>
      <c r="AI71" s="385"/>
      <c r="AJ71" s="383"/>
      <c r="AK71" s="384"/>
      <c r="AL71" s="385"/>
      <c r="AM71" s="383"/>
      <c r="AN71" s="384"/>
      <c r="AO71" s="385"/>
      <c r="AP71" s="383"/>
      <c r="AQ71" s="384"/>
      <c r="AR71" s="385"/>
      <c r="AS71" s="383"/>
      <c r="AT71" s="384"/>
      <c r="AU71" s="385"/>
      <c r="AV71" s="383"/>
      <c r="AW71" s="384"/>
      <c r="AX71" s="385"/>
      <c r="AY71" s="383"/>
      <c r="AZ71" s="384"/>
      <c r="BA71" s="385"/>
      <c r="BB71" s="386"/>
      <c r="BC71" s="387"/>
      <c r="BD71" s="388"/>
      <c r="BE71" s="386"/>
      <c r="BF71" s="387"/>
      <c r="BG71" s="388"/>
      <c r="BH71" s="386"/>
      <c r="BI71" s="387"/>
      <c r="BJ71" s="388"/>
      <c r="BK71" s="386"/>
      <c r="BL71" s="387"/>
      <c r="BM71" s="388"/>
      <c r="BN71" s="386"/>
      <c r="BO71" s="387"/>
      <c r="BP71" s="388"/>
      <c r="BQ71" s="386"/>
      <c r="BR71" s="387"/>
      <c r="BS71" s="388"/>
      <c r="BT71" s="386"/>
      <c r="BU71" s="387"/>
      <c r="BV71" s="388"/>
      <c r="BW71" s="386"/>
      <c r="BX71" s="387"/>
      <c r="BY71" s="388"/>
      <c r="BZ71" s="386"/>
      <c r="CA71" s="387"/>
      <c r="CB71" s="388"/>
      <c r="CC71" s="386"/>
      <c r="CD71" s="387"/>
      <c r="CE71" s="388"/>
      <c r="CF71" s="386"/>
      <c r="CG71" s="387"/>
      <c r="CH71" s="388"/>
      <c r="CI71" s="386"/>
      <c r="CJ71" s="387"/>
      <c r="CK71" s="388"/>
      <c r="CL71" s="386"/>
      <c r="CM71" s="387"/>
      <c r="CN71" s="388"/>
      <c r="CO71" s="386"/>
      <c r="CP71" s="387"/>
      <c r="CQ71" s="388"/>
      <c r="CR71" s="386"/>
      <c r="CS71" s="387"/>
      <c r="CT71" s="388"/>
      <c r="CU71" s="386"/>
      <c r="CV71" s="387"/>
      <c r="CW71" s="388"/>
      <c r="CX71" s="386"/>
      <c r="CY71" s="387"/>
      <c r="CZ71" s="388"/>
    </row>
    <row r="72">
      <c r="A72" s="1"/>
      <c r="B72" s="402"/>
      <c r="C72" s="362" t="str">
        <f>'5-0 Товары'!C72</f>
        <v/>
      </c>
      <c r="D72" s="363" t="str">
        <f>'5-0 Товары'!D72</f>
        <v/>
      </c>
      <c r="E72" s="364" t="str">
        <f>'5-0 Товары'!E72</f>
        <v/>
      </c>
      <c r="F72" s="380"/>
      <c r="G72" s="380"/>
      <c r="H72" s="364" t="str">
        <f>'5-0 Товары'!F72</f>
        <v/>
      </c>
      <c r="I72" s="391"/>
      <c r="J72" s="364" t="str">
        <f>'5-0 Товары'!G72</f>
        <v/>
      </c>
      <c r="K72" s="366" t="str">
        <f>'5-0 Товары'!H72</f>
        <v/>
      </c>
      <c r="L72" s="382" t="str">
        <f t="shared" si="1"/>
        <v/>
      </c>
      <c r="M72" s="382"/>
      <c r="N72" s="380"/>
      <c r="O72" s="369" t="str">
        <f>'5-0 Товары'!I72</f>
        <v/>
      </c>
      <c r="P72" s="371" t="str">
        <f>'5-0 Товары'!N72</f>
        <v/>
      </c>
      <c r="Q72" s="197"/>
      <c r="R72" s="193"/>
      <c r="S72" s="187"/>
      <c r="T72" s="187"/>
      <c r="U72" s="187"/>
      <c r="V72" s="187"/>
      <c r="W72" s="187"/>
      <c r="X72" s="187"/>
      <c r="Y72" s="187" t="s">
        <v>96</v>
      </c>
      <c r="Z72" s="193" t="str">
        <f t="shared" si="2"/>
        <v/>
      </c>
      <c r="AA72" s="383"/>
      <c r="AB72" s="384"/>
      <c r="AC72" s="385"/>
      <c r="AD72" s="383"/>
      <c r="AE72" s="384"/>
      <c r="AF72" s="385"/>
      <c r="AG72" s="383"/>
      <c r="AH72" s="384"/>
      <c r="AI72" s="385"/>
      <c r="AJ72" s="383"/>
      <c r="AK72" s="384"/>
      <c r="AL72" s="385"/>
      <c r="AM72" s="383"/>
      <c r="AN72" s="384"/>
      <c r="AO72" s="385"/>
      <c r="AP72" s="383"/>
      <c r="AQ72" s="384"/>
      <c r="AR72" s="385"/>
      <c r="AS72" s="383"/>
      <c r="AT72" s="384"/>
      <c r="AU72" s="385"/>
      <c r="AV72" s="383"/>
      <c r="AW72" s="384"/>
      <c r="AX72" s="385"/>
      <c r="AY72" s="383"/>
      <c r="AZ72" s="384"/>
      <c r="BA72" s="385"/>
      <c r="BB72" s="386"/>
      <c r="BC72" s="387"/>
      <c r="BD72" s="388"/>
      <c r="BE72" s="386"/>
      <c r="BF72" s="387"/>
      <c r="BG72" s="388"/>
      <c r="BH72" s="386"/>
      <c r="BI72" s="387"/>
      <c r="BJ72" s="388"/>
      <c r="BK72" s="386"/>
      <c r="BL72" s="387"/>
      <c r="BM72" s="388"/>
      <c r="BN72" s="386"/>
      <c r="BO72" s="387"/>
      <c r="BP72" s="388"/>
      <c r="BQ72" s="386"/>
      <c r="BR72" s="387"/>
      <c r="BS72" s="388"/>
      <c r="BT72" s="386"/>
      <c r="BU72" s="387"/>
      <c r="BV72" s="388"/>
      <c r="BW72" s="386"/>
      <c r="BX72" s="387"/>
      <c r="BY72" s="388"/>
      <c r="BZ72" s="386"/>
      <c r="CA72" s="387"/>
      <c r="CB72" s="388"/>
      <c r="CC72" s="386"/>
      <c r="CD72" s="387"/>
      <c r="CE72" s="388"/>
      <c r="CF72" s="386"/>
      <c r="CG72" s="387"/>
      <c r="CH72" s="388"/>
      <c r="CI72" s="386"/>
      <c r="CJ72" s="387"/>
      <c r="CK72" s="388"/>
      <c r="CL72" s="386"/>
      <c r="CM72" s="387"/>
      <c r="CN72" s="388"/>
      <c r="CO72" s="386"/>
      <c r="CP72" s="387"/>
      <c r="CQ72" s="388"/>
      <c r="CR72" s="386"/>
      <c r="CS72" s="387"/>
      <c r="CT72" s="388"/>
      <c r="CU72" s="386"/>
      <c r="CV72" s="387"/>
      <c r="CW72" s="388"/>
      <c r="CX72" s="386"/>
      <c r="CY72" s="387"/>
      <c r="CZ72" s="388"/>
    </row>
    <row r="73">
      <c r="A73" s="1"/>
      <c r="B73" s="402"/>
      <c r="C73" s="362" t="str">
        <f>'5-0 Товары'!C73</f>
        <v/>
      </c>
      <c r="D73" s="363" t="str">
        <f>'5-0 Товары'!D73</f>
        <v/>
      </c>
      <c r="E73" s="364" t="str">
        <f>'5-0 Товары'!E73</f>
        <v/>
      </c>
      <c r="F73" s="380"/>
      <c r="G73" s="380"/>
      <c r="H73" s="364" t="str">
        <f>'5-0 Товары'!F73</f>
        <v/>
      </c>
      <c r="I73" s="391"/>
      <c r="J73" s="364" t="str">
        <f>'5-0 Товары'!G73</f>
        <v/>
      </c>
      <c r="K73" s="366" t="str">
        <f>'5-0 Товары'!H73</f>
        <v/>
      </c>
      <c r="L73" s="382" t="str">
        <f t="shared" si="1"/>
        <v/>
      </c>
      <c r="M73" s="382"/>
      <c r="N73" s="380"/>
      <c r="O73" s="369" t="str">
        <f>'5-0 Товары'!I73</f>
        <v/>
      </c>
      <c r="P73" s="371" t="str">
        <f>'5-0 Товары'!N73</f>
        <v/>
      </c>
      <c r="Q73" s="197"/>
      <c r="R73" s="193"/>
      <c r="S73" s="187"/>
      <c r="T73" s="187"/>
      <c r="U73" s="187"/>
      <c r="V73" s="187"/>
      <c r="W73" s="187"/>
      <c r="X73" s="187"/>
      <c r="Y73" s="187" t="s">
        <v>96</v>
      </c>
      <c r="Z73" s="193" t="str">
        <f t="shared" si="2"/>
        <v/>
      </c>
      <c r="AA73" s="383"/>
      <c r="AB73" s="384"/>
      <c r="AC73" s="385"/>
      <c r="AD73" s="383"/>
      <c r="AE73" s="384"/>
      <c r="AF73" s="385"/>
      <c r="AG73" s="383"/>
      <c r="AH73" s="384"/>
      <c r="AI73" s="385"/>
      <c r="AJ73" s="383"/>
      <c r="AK73" s="384"/>
      <c r="AL73" s="385"/>
      <c r="AM73" s="383"/>
      <c r="AN73" s="384"/>
      <c r="AO73" s="385"/>
      <c r="AP73" s="383"/>
      <c r="AQ73" s="384"/>
      <c r="AR73" s="385"/>
      <c r="AS73" s="383"/>
      <c r="AT73" s="384"/>
      <c r="AU73" s="385"/>
      <c r="AV73" s="383"/>
      <c r="AW73" s="384"/>
      <c r="AX73" s="385"/>
      <c r="AY73" s="383"/>
      <c r="AZ73" s="384"/>
      <c r="BA73" s="385"/>
      <c r="BB73" s="386"/>
      <c r="BC73" s="387"/>
      <c r="BD73" s="388"/>
      <c r="BE73" s="386"/>
      <c r="BF73" s="387"/>
      <c r="BG73" s="388"/>
      <c r="BH73" s="386"/>
      <c r="BI73" s="387"/>
      <c r="BJ73" s="388"/>
      <c r="BK73" s="386"/>
      <c r="BL73" s="387"/>
      <c r="BM73" s="388"/>
      <c r="BN73" s="386"/>
      <c r="BO73" s="387"/>
      <c r="BP73" s="388"/>
      <c r="BQ73" s="386"/>
      <c r="BR73" s="387"/>
      <c r="BS73" s="388"/>
      <c r="BT73" s="386"/>
      <c r="BU73" s="387"/>
      <c r="BV73" s="388"/>
      <c r="BW73" s="386"/>
      <c r="BX73" s="387"/>
      <c r="BY73" s="388"/>
      <c r="BZ73" s="386"/>
      <c r="CA73" s="387"/>
      <c r="CB73" s="388"/>
      <c r="CC73" s="386"/>
      <c r="CD73" s="387"/>
      <c r="CE73" s="388"/>
      <c r="CF73" s="386"/>
      <c r="CG73" s="387"/>
      <c r="CH73" s="388"/>
      <c r="CI73" s="386"/>
      <c r="CJ73" s="387"/>
      <c r="CK73" s="388"/>
      <c r="CL73" s="386"/>
      <c r="CM73" s="387"/>
      <c r="CN73" s="388"/>
      <c r="CO73" s="386"/>
      <c r="CP73" s="387"/>
      <c r="CQ73" s="388"/>
      <c r="CR73" s="386"/>
      <c r="CS73" s="387"/>
      <c r="CT73" s="388"/>
      <c r="CU73" s="386"/>
      <c r="CV73" s="387"/>
      <c r="CW73" s="388"/>
      <c r="CX73" s="386"/>
      <c r="CY73" s="387"/>
      <c r="CZ73" s="388"/>
    </row>
    <row r="74">
      <c r="A74" s="1"/>
      <c r="B74" s="402"/>
      <c r="C74" s="362" t="str">
        <f>'5-0 Товары'!C74</f>
        <v/>
      </c>
      <c r="D74" s="363" t="str">
        <f>'5-0 Товары'!D74</f>
        <v/>
      </c>
      <c r="E74" s="364" t="str">
        <f>'5-0 Товары'!E74</f>
        <v/>
      </c>
      <c r="F74" s="380"/>
      <c r="G74" s="380"/>
      <c r="H74" s="364" t="str">
        <f>'5-0 Товары'!F74</f>
        <v/>
      </c>
      <c r="I74" s="391"/>
      <c r="J74" s="364" t="str">
        <f>'5-0 Товары'!G74</f>
        <v/>
      </c>
      <c r="K74" s="366" t="str">
        <f>'5-0 Товары'!H74</f>
        <v/>
      </c>
      <c r="L74" s="382" t="str">
        <f t="shared" si="1"/>
        <v/>
      </c>
      <c r="M74" s="382"/>
      <c r="N74" s="380"/>
      <c r="O74" s="369" t="str">
        <f>'5-0 Товары'!I74</f>
        <v/>
      </c>
      <c r="P74" s="371" t="str">
        <f>'5-0 Товары'!N74</f>
        <v/>
      </c>
      <c r="Q74" s="197"/>
      <c r="R74" s="193"/>
      <c r="S74" s="187"/>
      <c r="T74" s="187"/>
      <c r="U74" s="187"/>
      <c r="V74" s="187"/>
      <c r="W74" s="187"/>
      <c r="X74" s="187"/>
      <c r="Y74" s="187" t="s">
        <v>96</v>
      </c>
      <c r="Z74" s="193" t="str">
        <f t="shared" si="2"/>
        <v/>
      </c>
      <c r="AA74" s="383"/>
      <c r="AB74" s="384"/>
      <c r="AC74" s="385"/>
      <c r="AD74" s="383"/>
      <c r="AE74" s="384"/>
      <c r="AF74" s="385"/>
      <c r="AG74" s="383"/>
      <c r="AH74" s="384"/>
      <c r="AI74" s="385"/>
      <c r="AJ74" s="383"/>
      <c r="AK74" s="384"/>
      <c r="AL74" s="385"/>
      <c r="AM74" s="383"/>
      <c r="AN74" s="384"/>
      <c r="AO74" s="385"/>
      <c r="AP74" s="383"/>
      <c r="AQ74" s="384"/>
      <c r="AR74" s="385"/>
      <c r="AS74" s="383"/>
      <c r="AT74" s="384"/>
      <c r="AU74" s="385"/>
      <c r="AV74" s="383"/>
      <c r="AW74" s="384"/>
      <c r="AX74" s="385"/>
      <c r="AY74" s="383"/>
      <c r="AZ74" s="384"/>
      <c r="BA74" s="385"/>
      <c r="BB74" s="386"/>
      <c r="BC74" s="387"/>
      <c r="BD74" s="388"/>
      <c r="BE74" s="386"/>
      <c r="BF74" s="387"/>
      <c r="BG74" s="388"/>
      <c r="BH74" s="386"/>
      <c r="BI74" s="387"/>
      <c r="BJ74" s="388"/>
      <c r="BK74" s="386"/>
      <c r="BL74" s="387"/>
      <c r="BM74" s="388"/>
      <c r="BN74" s="386"/>
      <c r="BO74" s="387"/>
      <c r="BP74" s="388"/>
      <c r="BQ74" s="386"/>
      <c r="BR74" s="387"/>
      <c r="BS74" s="388"/>
      <c r="BT74" s="386"/>
      <c r="BU74" s="387"/>
      <c r="BV74" s="388"/>
      <c r="BW74" s="386"/>
      <c r="BX74" s="387"/>
      <c r="BY74" s="388"/>
      <c r="BZ74" s="386"/>
      <c r="CA74" s="387"/>
      <c r="CB74" s="388"/>
      <c r="CC74" s="386"/>
      <c r="CD74" s="387"/>
      <c r="CE74" s="388"/>
      <c r="CF74" s="386"/>
      <c r="CG74" s="387"/>
      <c r="CH74" s="388"/>
      <c r="CI74" s="386"/>
      <c r="CJ74" s="387"/>
      <c r="CK74" s="388"/>
      <c r="CL74" s="386"/>
      <c r="CM74" s="387"/>
      <c r="CN74" s="388"/>
      <c r="CO74" s="386"/>
      <c r="CP74" s="387"/>
      <c r="CQ74" s="388"/>
      <c r="CR74" s="386"/>
      <c r="CS74" s="387"/>
      <c r="CT74" s="388"/>
      <c r="CU74" s="386"/>
      <c r="CV74" s="387"/>
      <c r="CW74" s="388"/>
      <c r="CX74" s="386"/>
      <c r="CY74" s="387"/>
      <c r="CZ74" s="388"/>
    </row>
    <row r="75">
      <c r="A75" s="1"/>
      <c r="B75" s="402"/>
      <c r="C75" s="362" t="str">
        <f>'5-0 Товары'!C75</f>
        <v/>
      </c>
      <c r="D75" s="363" t="str">
        <f>'5-0 Товары'!D75</f>
        <v/>
      </c>
      <c r="E75" s="364" t="str">
        <f>'5-0 Товары'!E75</f>
        <v/>
      </c>
      <c r="F75" s="380"/>
      <c r="G75" s="380"/>
      <c r="H75" s="364" t="str">
        <f>'5-0 Товары'!F75</f>
        <v/>
      </c>
      <c r="I75" s="391"/>
      <c r="J75" s="364" t="str">
        <f>'5-0 Товары'!G75</f>
        <v/>
      </c>
      <c r="K75" s="366" t="str">
        <f>'5-0 Товары'!H75</f>
        <v/>
      </c>
      <c r="L75" s="382" t="str">
        <f t="shared" si="1"/>
        <v/>
      </c>
      <c r="M75" s="382"/>
      <c r="N75" s="380"/>
      <c r="O75" s="369" t="str">
        <f>'5-0 Товары'!I75</f>
        <v/>
      </c>
      <c r="P75" s="371" t="str">
        <f>'5-0 Товары'!N75</f>
        <v/>
      </c>
      <c r="Q75" s="197"/>
      <c r="R75" s="193"/>
      <c r="S75" s="187"/>
      <c r="T75" s="187"/>
      <c r="U75" s="187"/>
      <c r="V75" s="187"/>
      <c r="W75" s="187"/>
      <c r="X75" s="187"/>
      <c r="Y75" s="187" t="s">
        <v>96</v>
      </c>
      <c r="Z75" s="193" t="str">
        <f t="shared" si="2"/>
        <v/>
      </c>
      <c r="AA75" s="383"/>
      <c r="AB75" s="384"/>
      <c r="AC75" s="385"/>
      <c r="AD75" s="383"/>
      <c r="AE75" s="384"/>
      <c r="AF75" s="385"/>
      <c r="AG75" s="383"/>
      <c r="AH75" s="384"/>
      <c r="AI75" s="385"/>
      <c r="AJ75" s="383"/>
      <c r="AK75" s="384"/>
      <c r="AL75" s="385"/>
      <c r="AM75" s="383"/>
      <c r="AN75" s="384"/>
      <c r="AO75" s="385"/>
      <c r="AP75" s="383"/>
      <c r="AQ75" s="384"/>
      <c r="AR75" s="385"/>
      <c r="AS75" s="383"/>
      <c r="AT75" s="384"/>
      <c r="AU75" s="385"/>
      <c r="AV75" s="383"/>
      <c r="AW75" s="384"/>
      <c r="AX75" s="385"/>
      <c r="AY75" s="383"/>
      <c r="AZ75" s="384"/>
      <c r="BA75" s="385"/>
      <c r="BB75" s="386"/>
      <c r="BC75" s="387"/>
      <c r="BD75" s="388"/>
      <c r="BE75" s="386"/>
      <c r="BF75" s="387"/>
      <c r="BG75" s="388"/>
      <c r="BH75" s="386"/>
      <c r="BI75" s="387"/>
      <c r="BJ75" s="388"/>
      <c r="BK75" s="386"/>
      <c r="BL75" s="387"/>
      <c r="BM75" s="388"/>
      <c r="BN75" s="386"/>
      <c r="BO75" s="387"/>
      <c r="BP75" s="388"/>
      <c r="BQ75" s="386"/>
      <c r="BR75" s="387"/>
      <c r="BS75" s="388"/>
      <c r="BT75" s="386"/>
      <c r="BU75" s="387"/>
      <c r="BV75" s="388"/>
      <c r="BW75" s="386"/>
      <c r="BX75" s="387"/>
      <c r="BY75" s="388"/>
      <c r="BZ75" s="386"/>
      <c r="CA75" s="387"/>
      <c r="CB75" s="388"/>
      <c r="CC75" s="386"/>
      <c r="CD75" s="387"/>
      <c r="CE75" s="388"/>
      <c r="CF75" s="386"/>
      <c r="CG75" s="387"/>
      <c r="CH75" s="388"/>
      <c r="CI75" s="386"/>
      <c r="CJ75" s="387"/>
      <c r="CK75" s="388"/>
      <c r="CL75" s="386"/>
      <c r="CM75" s="387"/>
      <c r="CN75" s="388"/>
      <c r="CO75" s="386"/>
      <c r="CP75" s="387"/>
      <c r="CQ75" s="388"/>
      <c r="CR75" s="386"/>
      <c r="CS75" s="387"/>
      <c r="CT75" s="388"/>
      <c r="CU75" s="386"/>
      <c r="CV75" s="387"/>
      <c r="CW75" s="388"/>
      <c r="CX75" s="386"/>
      <c r="CY75" s="387"/>
      <c r="CZ75" s="388"/>
    </row>
    <row r="76">
      <c r="A76" s="1"/>
      <c r="B76" s="402"/>
      <c r="C76" s="362" t="str">
        <f>'5-0 Товары'!C76</f>
        <v/>
      </c>
      <c r="D76" s="363" t="str">
        <f>'5-0 Товары'!D76</f>
        <v/>
      </c>
      <c r="E76" s="364" t="str">
        <f>'5-0 Товары'!E76</f>
        <v/>
      </c>
      <c r="F76" s="380"/>
      <c r="G76" s="380"/>
      <c r="H76" s="364" t="str">
        <f>'5-0 Товары'!F76</f>
        <v/>
      </c>
      <c r="I76" s="391"/>
      <c r="J76" s="364" t="str">
        <f>'5-0 Товары'!G76</f>
        <v/>
      </c>
      <c r="K76" s="366" t="str">
        <f>'5-0 Товары'!H76</f>
        <v/>
      </c>
      <c r="L76" s="382" t="str">
        <f t="shared" si="1"/>
        <v/>
      </c>
      <c r="M76" s="382"/>
      <c r="N76" s="380"/>
      <c r="O76" s="369" t="str">
        <f>'5-0 Товары'!I76</f>
        <v/>
      </c>
      <c r="P76" s="371" t="str">
        <f>'5-0 Товары'!N76</f>
        <v/>
      </c>
      <c r="Q76" s="197"/>
      <c r="R76" s="193"/>
      <c r="S76" s="187"/>
      <c r="T76" s="187"/>
      <c r="U76" s="187"/>
      <c r="V76" s="187"/>
      <c r="W76" s="187"/>
      <c r="X76" s="187"/>
      <c r="Y76" s="187" t="s">
        <v>96</v>
      </c>
      <c r="Z76" s="193" t="str">
        <f t="shared" si="2"/>
        <v/>
      </c>
      <c r="AA76" s="383"/>
      <c r="AB76" s="384"/>
      <c r="AC76" s="385"/>
      <c r="AD76" s="383"/>
      <c r="AE76" s="384"/>
      <c r="AF76" s="385"/>
      <c r="AG76" s="383"/>
      <c r="AH76" s="384"/>
      <c r="AI76" s="385"/>
      <c r="AJ76" s="383"/>
      <c r="AK76" s="384"/>
      <c r="AL76" s="385"/>
      <c r="AM76" s="383"/>
      <c r="AN76" s="384"/>
      <c r="AO76" s="385"/>
      <c r="AP76" s="383"/>
      <c r="AQ76" s="384"/>
      <c r="AR76" s="385"/>
      <c r="AS76" s="383"/>
      <c r="AT76" s="384"/>
      <c r="AU76" s="385"/>
      <c r="AV76" s="383"/>
      <c r="AW76" s="384"/>
      <c r="AX76" s="385"/>
      <c r="AY76" s="383"/>
      <c r="AZ76" s="384"/>
      <c r="BA76" s="385"/>
      <c r="BB76" s="386"/>
      <c r="BC76" s="387"/>
      <c r="BD76" s="388"/>
      <c r="BE76" s="386"/>
      <c r="BF76" s="387"/>
      <c r="BG76" s="388"/>
      <c r="BH76" s="386"/>
      <c r="BI76" s="387"/>
      <c r="BJ76" s="388"/>
      <c r="BK76" s="386"/>
      <c r="BL76" s="387"/>
      <c r="BM76" s="388"/>
      <c r="BN76" s="386"/>
      <c r="BO76" s="387"/>
      <c r="BP76" s="388"/>
      <c r="BQ76" s="386"/>
      <c r="BR76" s="387"/>
      <c r="BS76" s="388"/>
      <c r="BT76" s="386"/>
      <c r="BU76" s="387"/>
      <c r="BV76" s="388"/>
      <c r="BW76" s="386"/>
      <c r="BX76" s="387"/>
      <c r="BY76" s="388"/>
      <c r="BZ76" s="386"/>
      <c r="CA76" s="387"/>
      <c r="CB76" s="388"/>
      <c r="CC76" s="386"/>
      <c r="CD76" s="387"/>
      <c r="CE76" s="388"/>
      <c r="CF76" s="386"/>
      <c r="CG76" s="387"/>
      <c r="CH76" s="388"/>
      <c r="CI76" s="386"/>
      <c r="CJ76" s="387"/>
      <c r="CK76" s="388"/>
      <c r="CL76" s="386"/>
      <c r="CM76" s="387"/>
      <c r="CN76" s="388"/>
      <c r="CO76" s="386"/>
      <c r="CP76" s="387"/>
      <c r="CQ76" s="388"/>
      <c r="CR76" s="386"/>
      <c r="CS76" s="387"/>
      <c r="CT76" s="388"/>
      <c r="CU76" s="386"/>
      <c r="CV76" s="387"/>
      <c r="CW76" s="388"/>
      <c r="CX76" s="386"/>
      <c r="CY76" s="387"/>
      <c r="CZ76" s="388"/>
    </row>
    <row r="77">
      <c r="A77" s="1"/>
      <c r="B77" s="402"/>
      <c r="C77" s="362" t="str">
        <f>'5-0 Товары'!C77</f>
        <v/>
      </c>
      <c r="D77" s="363" t="str">
        <f>'5-0 Товары'!D77</f>
        <v/>
      </c>
      <c r="E77" s="364" t="str">
        <f>'5-0 Товары'!E77</f>
        <v/>
      </c>
      <c r="F77" s="380"/>
      <c r="G77" s="380"/>
      <c r="H77" s="364" t="str">
        <f>'5-0 Товары'!F77</f>
        <v/>
      </c>
      <c r="I77" s="391"/>
      <c r="J77" s="364" t="str">
        <f>'5-0 Товары'!G77</f>
        <v/>
      </c>
      <c r="K77" s="366" t="str">
        <f>'5-0 Товары'!H77</f>
        <v/>
      </c>
      <c r="L77" s="382" t="str">
        <f t="shared" si="1"/>
        <v/>
      </c>
      <c r="M77" s="382"/>
      <c r="N77" s="380"/>
      <c r="O77" s="369" t="str">
        <f>'5-0 Товары'!I77</f>
        <v/>
      </c>
      <c r="P77" s="371" t="str">
        <f>'5-0 Товары'!N77</f>
        <v/>
      </c>
      <c r="Q77" s="197"/>
      <c r="R77" s="193"/>
      <c r="S77" s="187"/>
      <c r="T77" s="187"/>
      <c r="U77" s="187"/>
      <c r="V77" s="187"/>
      <c r="W77" s="187"/>
      <c r="X77" s="187"/>
      <c r="Y77" s="187" t="s">
        <v>96</v>
      </c>
      <c r="Z77" s="193" t="str">
        <f t="shared" si="2"/>
        <v/>
      </c>
      <c r="AA77" s="383"/>
      <c r="AB77" s="384"/>
      <c r="AC77" s="385"/>
      <c r="AD77" s="383"/>
      <c r="AE77" s="384"/>
      <c r="AF77" s="385"/>
      <c r="AG77" s="383"/>
      <c r="AH77" s="384"/>
      <c r="AI77" s="385"/>
      <c r="AJ77" s="383"/>
      <c r="AK77" s="384"/>
      <c r="AL77" s="385"/>
      <c r="AM77" s="383"/>
      <c r="AN77" s="384"/>
      <c r="AO77" s="385"/>
      <c r="AP77" s="383"/>
      <c r="AQ77" s="384"/>
      <c r="AR77" s="385"/>
      <c r="AS77" s="383"/>
      <c r="AT77" s="384"/>
      <c r="AU77" s="385"/>
      <c r="AV77" s="383"/>
      <c r="AW77" s="384"/>
      <c r="AX77" s="385"/>
      <c r="AY77" s="383"/>
      <c r="AZ77" s="384"/>
      <c r="BA77" s="385"/>
      <c r="BB77" s="386"/>
      <c r="BC77" s="387"/>
      <c r="BD77" s="388"/>
      <c r="BE77" s="386"/>
      <c r="BF77" s="387"/>
      <c r="BG77" s="388"/>
      <c r="BH77" s="386"/>
      <c r="BI77" s="387"/>
      <c r="BJ77" s="388"/>
      <c r="BK77" s="386"/>
      <c r="BL77" s="387"/>
      <c r="BM77" s="388"/>
      <c r="BN77" s="386"/>
      <c r="BO77" s="387"/>
      <c r="BP77" s="388"/>
      <c r="BQ77" s="386"/>
      <c r="BR77" s="387"/>
      <c r="BS77" s="388"/>
      <c r="BT77" s="386"/>
      <c r="BU77" s="387"/>
      <c r="BV77" s="388"/>
      <c r="BW77" s="386"/>
      <c r="BX77" s="387"/>
      <c r="BY77" s="388"/>
      <c r="BZ77" s="386"/>
      <c r="CA77" s="387"/>
      <c r="CB77" s="388"/>
      <c r="CC77" s="386"/>
      <c r="CD77" s="387"/>
      <c r="CE77" s="388"/>
      <c r="CF77" s="386"/>
      <c r="CG77" s="387"/>
      <c r="CH77" s="388"/>
      <c r="CI77" s="386"/>
      <c r="CJ77" s="387"/>
      <c r="CK77" s="388"/>
      <c r="CL77" s="386"/>
      <c r="CM77" s="387"/>
      <c r="CN77" s="388"/>
      <c r="CO77" s="386"/>
      <c r="CP77" s="387"/>
      <c r="CQ77" s="388"/>
      <c r="CR77" s="386"/>
      <c r="CS77" s="387"/>
      <c r="CT77" s="388"/>
      <c r="CU77" s="386"/>
      <c r="CV77" s="387"/>
      <c r="CW77" s="388"/>
      <c r="CX77" s="386"/>
      <c r="CY77" s="387"/>
      <c r="CZ77" s="388"/>
    </row>
    <row r="78">
      <c r="A78" s="1"/>
      <c r="B78" s="402"/>
      <c r="C78" s="362" t="str">
        <f>'5-0 Товары'!C78</f>
        <v/>
      </c>
      <c r="D78" s="363" t="str">
        <f>'5-0 Товары'!D78</f>
        <v/>
      </c>
      <c r="E78" s="364" t="str">
        <f>'5-0 Товары'!E78</f>
        <v/>
      </c>
      <c r="F78" s="380"/>
      <c r="G78" s="380"/>
      <c r="H78" s="364" t="str">
        <f>'5-0 Товары'!F78</f>
        <v/>
      </c>
      <c r="I78" s="391"/>
      <c r="J78" s="364" t="str">
        <f>'5-0 Товары'!G78</f>
        <v/>
      </c>
      <c r="K78" s="366" t="str">
        <f>'5-0 Товары'!H78</f>
        <v/>
      </c>
      <c r="L78" s="382" t="str">
        <f t="shared" si="1"/>
        <v/>
      </c>
      <c r="M78" s="382"/>
      <c r="N78" s="380"/>
      <c r="O78" s="369" t="str">
        <f>'5-0 Товары'!I78</f>
        <v/>
      </c>
      <c r="P78" s="371" t="str">
        <f>'5-0 Товары'!N78</f>
        <v/>
      </c>
      <c r="Q78" s="197"/>
      <c r="R78" s="193"/>
      <c r="S78" s="187"/>
      <c r="T78" s="187"/>
      <c r="U78" s="187"/>
      <c r="V78" s="187"/>
      <c r="W78" s="187"/>
      <c r="X78" s="187"/>
      <c r="Y78" s="187" t="s">
        <v>96</v>
      </c>
      <c r="Z78" s="193" t="str">
        <f t="shared" si="2"/>
        <v/>
      </c>
      <c r="AA78" s="383"/>
      <c r="AB78" s="384"/>
      <c r="AC78" s="385"/>
      <c r="AD78" s="383"/>
      <c r="AE78" s="384"/>
      <c r="AF78" s="385"/>
      <c r="AG78" s="383"/>
      <c r="AH78" s="384"/>
      <c r="AI78" s="385"/>
      <c r="AJ78" s="383"/>
      <c r="AK78" s="384"/>
      <c r="AL78" s="385"/>
      <c r="AM78" s="383"/>
      <c r="AN78" s="384"/>
      <c r="AO78" s="385"/>
      <c r="AP78" s="383"/>
      <c r="AQ78" s="384"/>
      <c r="AR78" s="385"/>
      <c r="AS78" s="383"/>
      <c r="AT78" s="384"/>
      <c r="AU78" s="385"/>
      <c r="AV78" s="383"/>
      <c r="AW78" s="384"/>
      <c r="AX78" s="385"/>
      <c r="AY78" s="383"/>
      <c r="AZ78" s="384"/>
      <c r="BA78" s="385"/>
      <c r="BB78" s="386"/>
      <c r="BC78" s="387"/>
      <c r="BD78" s="388"/>
      <c r="BE78" s="386"/>
      <c r="BF78" s="387"/>
      <c r="BG78" s="388"/>
      <c r="BH78" s="386"/>
      <c r="BI78" s="387"/>
      <c r="BJ78" s="388"/>
      <c r="BK78" s="386"/>
      <c r="BL78" s="387"/>
      <c r="BM78" s="388"/>
      <c r="BN78" s="386"/>
      <c r="BO78" s="387"/>
      <c r="BP78" s="388"/>
      <c r="BQ78" s="386"/>
      <c r="BR78" s="387"/>
      <c r="BS78" s="388"/>
      <c r="BT78" s="386"/>
      <c r="BU78" s="387"/>
      <c r="BV78" s="388"/>
      <c r="BW78" s="386"/>
      <c r="BX78" s="387"/>
      <c r="BY78" s="388"/>
      <c r="BZ78" s="386"/>
      <c r="CA78" s="387"/>
      <c r="CB78" s="388"/>
      <c r="CC78" s="386"/>
      <c r="CD78" s="387"/>
      <c r="CE78" s="388"/>
      <c r="CF78" s="386"/>
      <c r="CG78" s="387"/>
      <c r="CH78" s="388"/>
      <c r="CI78" s="386"/>
      <c r="CJ78" s="387"/>
      <c r="CK78" s="388"/>
      <c r="CL78" s="386"/>
      <c r="CM78" s="387"/>
      <c r="CN78" s="388"/>
      <c r="CO78" s="386"/>
      <c r="CP78" s="387"/>
      <c r="CQ78" s="388"/>
      <c r="CR78" s="386"/>
      <c r="CS78" s="387"/>
      <c r="CT78" s="388"/>
      <c r="CU78" s="386"/>
      <c r="CV78" s="387"/>
      <c r="CW78" s="388"/>
      <c r="CX78" s="386"/>
      <c r="CY78" s="387"/>
      <c r="CZ78" s="388"/>
    </row>
    <row r="79">
      <c r="A79" s="1"/>
      <c r="B79" s="402"/>
      <c r="C79" s="362" t="str">
        <f>'5-0 Товары'!C79</f>
        <v/>
      </c>
      <c r="D79" s="363" t="str">
        <f>'5-0 Товары'!D79</f>
        <v/>
      </c>
      <c r="E79" s="364" t="str">
        <f>'5-0 Товары'!E79</f>
        <v/>
      </c>
      <c r="F79" s="380"/>
      <c r="G79" s="380"/>
      <c r="H79" s="364" t="str">
        <f>'5-0 Товары'!F79</f>
        <v/>
      </c>
      <c r="I79" s="391"/>
      <c r="J79" s="364" t="str">
        <f>'5-0 Товары'!G79</f>
        <v/>
      </c>
      <c r="K79" s="366" t="str">
        <f>'5-0 Товары'!H79</f>
        <v/>
      </c>
      <c r="L79" s="382" t="str">
        <f t="shared" si="1"/>
        <v/>
      </c>
      <c r="M79" s="382"/>
      <c r="N79" s="380"/>
      <c r="O79" s="369" t="str">
        <f>'5-0 Товары'!I79</f>
        <v/>
      </c>
      <c r="P79" s="371" t="str">
        <f>'5-0 Товары'!N79</f>
        <v/>
      </c>
      <c r="Q79" s="197"/>
      <c r="R79" s="193"/>
      <c r="S79" s="187"/>
      <c r="T79" s="187"/>
      <c r="U79" s="187"/>
      <c r="V79" s="187"/>
      <c r="W79" s="187"/>
      <c r="X79" s="187"/>
      <c r="Y79" s="187" t="s">
        <v>96</v>
      </c>
      <c r="Z79" s="193" t="str">
        <f t="shared" si="2"/>
        <v/>
      </c>
      <c r="AA79" s="383"/>
      <c r="AB79" s="384"/>
      <c r="AC79" s="385"/>
      <c r="AD79" s="383"/>
      <c r="AE79" s="384"/>
      <c r="AF79" s="385"/>
      <c r="AG79" s="383"/>
      <c r="AH79" s="384"/>
      <c r="AI79" s="385"/>
      <c r="AJ79" s="383"/>
      <c r="AK79" s="384"/>
      <c r="AL79" s="385"/>
      <c r="AM79" s="383"/>
      <c r="AN79" s="384"/>
      <c r="AO79" s="385"/>
      <c r="AP79" s="383"/>
      <c r="AQ79" s="384"/>
      <c r="AR79" s="385"/>
      <c r="AS79" s="383"/>
      <c r="AT79" s="384"/>
      <c r="AU79" s="385"/>
      <c r="AV79" s="383"/>
      <c r="AW79" s="384"/>
      <c r="AX79" s="385"/>
      <c r="AY79" s="383"/>
      <c r="AZ79" s="384"/>
      <c r="BA79" s="385"/>
      <c r="BB79" s="386"/>
      <c r="BC79" s="387"/>
      <c r="BD79" s="388"/>
      <c r="BE79" s="386"/>
      <c r="BF79" s="387"/>
      <c r="BG79" s="388"/>
      <c r="BH79" s="386"/>
      <c r="BI79" s="387"/>
      <c r="BJ79" s="388"/>
      <c r="BK79" s="386"/>
      <c r="BL79" s="387"/>
      <c r="BM79" s="388"/>
      <c r="BN79" s="386"/>
      <c r="BO79" s="387"/>
      <c r="BP79" s="388"/>
      <c r="BQ79" s="386"/>
      <c r="BR79" s="387"/>
      <c r="BS79" s="388"/>
      <c r="BT79" s="386"/>
      <c r="BU79" s="387"/>
      <c r="BV79" s="388"/>
      <c r="BW79" s="386"/>
      <c r="BX79" s="387"/>
      <c r="BY79" s="388"/>
      <c r="BZ79" s="386"/>
      <c r="CA79" s="387"/>
      <c r="CB79" s="388"/>
      <c r="CC79" s="386"/>
      <c r="CD79" s="387"/>
      <c r="CE79" s="388"/>
      <c r="CF79" s="386"/>
      <c r="CG79" s="387"/>
      <c r="CH79" s="388"/>
      <c r="CI79" s="386"/>
      <c r="CJ79" s="387"/>
      <c r="CK79" s="388"/>
      <c r="CL79" s="386"/>
      <c r="CM79" s="387"/>
      <c r="CN79" s="388"/>
      <c r="CO79" s="386"/>
      <c r="CP79" s="387"/>
      <c r="CQ79" s="388"/>
      <c r="CR79" s="386"/>
      <c r="CS79" s="387"/>
      <c r="CT79" s="388"/>
      <c r="CU79" s="386"/>
      <c r="CV79" s="387"/>
      <c r="CW79" s="388"/>
      <c r="CX79" s="386"/>
      <c r="CY79" s="387"/>
      <c r="CZ79" s="388"/>
    </row>
    <row r="80">
      <c r="A80" s="1"/>
      <c r="B80" s="402"/>
      <c r="C80" s="362" t="str">
        <f>'5-0 Товары'!C80</f>
        <v/>
      </c>
      <c r="D80" s="363" t="str">
        <f>'5-0 Товары'!D80</f>
        <v/>
      </c>
      <c r="E80" s="364" t="str">
        <f>'5-0 Товары'!E80</f>
        <v/>
      </c>
      <c r="F80" s="380"/>
      <c r="G80" s="380"/>
      <c r="H80" s="364" t="str">
        <f>'5-0 Товары'!F80</f>
        <v/>
      </c>
      <c r="I80" s="391"/>
      <c r="J80" s="364" t="str">
        <f>'5-0 Товары'!G80</f>
        <v/>
      </c>
      <c r="K80" s="366" t="str">
        <f>'5-0 Товары'!H80</f>
        <v/>
      </c>
      <c r="L80" s="382" t="str">
        <f t="shared" si="1"/>
        <v/>
      </c>
      <c r="M80" s="382"/>
      <c r="N80" s="380"/>
      <c r="O80" s="369" t="str">
        <f>'5-0 Товары'!I80</f>
        <v/>
      </c>
      <c r="P80" s="371" t="str">
        <f>'5-0 Товары'!N80</f>
        <v/>
      </c>
      <c r="Q80" s="197"/>
      <c r="R80" s="193"/>
      <c r="S80" s="187"/>
      <c r="T80" s="187"/>
      <c r="U80" s="187"/>
      <c r="V80" s="187"/>
      <c r="W80" s="187"/>
      <c r="X80" s="187"/>
      <c r="Y80" s="187" t="s">
        <v>96</v>
      </c>
      <c r="Z80" s="193" t="str">
        <f t="shared" si="2"/>
        <v/>
      </c>
      <c r="AA80" s="383"/>
      <c r="AB80" s="384"/>
      <c r="AC80" s="385"/>
      <c r="AD80" s="383"/>
      <c r="AE80" s="384"/>
      <c r="AF80" s="385"/>
      <c r="AG80" s="383"/>
      <c r="AH80" s="384"/>
      <c r="AI80" s="385"/>
      <c r="AJ80" s="383"/>
      <c r="AK80" s="384"/>
      <c r="AL80" s="385"/>
      <c r="AM80" s="383"/>
      <c r="AN80" s="384"/>
      <c r="AO80" s="385"/>
      <c r="AP80" s="383"/>
      <c r="AQ80" s="384"/>
      <c r="AR80" s="385"/>
      <c r="AS80" s="383"/>
      <c r="AT80" s="384"/>
      <c r="AU80" s="385"/>
      <c r="AV80" s="383"/>
      <c r="AW80" s="384"/>
      <c r="AX80" s="385"/>
      <c r="AY80" s="383"/>
      <c r="AZ80" s="384"/>
      <c r="BA80" s="385"/>
      <c r="BB80" s="386"/>
      <c r="BC80" s="387"/>
      <c r="BD80" s="388"/>
      <c r="BE80" s="386"/>
      <c r="BF80" s="387"/>
      <c r="BG80" s="388"/>
      <c r="BH80" s="386"/>
      <c r="BI80" s="387"/>
      <c r="BJ80" s="388"/>
      <c r="BK80" s="386"/>
      <c r="BL80" s="387"/>
      <c r="BM80" s="388"/>
      <c r="BN80" s="386"/>
      <c r="BO80" s="387"/>
      <c r="BP80" s="388"/>
      <c r="BQ80" s="386"/>
      <c r="BR80" s="387"/>
      <c r="BS80" s="388"/>
      <c r="BT80" s="386"/>
      <c r="BU80" s="387"/>
      <c r="BV80" s="388"/>
      <c r="BW80" s="386"/>
      <c r="BX80" s="387"/>
      <c r="BY80" s="388"/>
      <c r="BZ80" s="386"/>
      <c r="CA80" s="387"/>
      <c r="CB80" s="388"/>
      <c r="CC80" s="386"/>
      <c r="CD80" s="387"/>
      <c r="CE80" s="388"/>
      <c r="CF80" s="386"/>
      <c r="CG80" s="387"/>
      <c r="CH80" s="388"/>
      <c r="CI80" s="386"/>
      <c r="CJ80" s="387"/>
      <c r="CK80" s="388"/>
      <c r="CL80" s="386"/>
      <c r="CM80" s="387"/>
      <c r="CN80" s="388"/>
      <c r="CO80" s="386"/>
      <c r="CP80" s="387"/>
      <c r="CQ80" s="388"/>
      <c r="CR80" s="386"/>
      <c r="CS80" s="387"/>
      <c r="CT80" s="388"/>
      <c r="CU80" s="386"/>
      <c r="CV80" s="387"/>
      <c r="CW80" s="388"/>
      <c r="CX80" s="386"/>
      <c r="CY80" s="387"/>
      <c r="CZ80" s="388"/>
    </row>
    <row r="81">
      <c r="A81" s="1"/>
      <c r="B81" s="402"/>
      <c r="C81" s="362" t="str">
        <f>'5-0 Товары'!C81</f>
        <v/>
      </c>
      <c r="D81" s="363" t="str">
        <f>'5-0 Товары'!D81</f>
        <v/>
      </c>
      <c r="E81" s="364" t="str">
        <f>'5-0 Товары'!E81</f>
        <v/>
      </c>
      <c r="F81" s="380"/>
      <c r="G81" s="380"/>
      <c r="H81" s="364" t="str">
        <f>'5-0 Товары'!F81</f>
        <v/>
      </c>
      <c r="I81" s="391"/>
      <c r="J81" s="364" t="str">
        <f>'5-0 Товары'!G81</f>
        <v/>
      </c>
      <c r="K81" s="366" t="str">
        <f>'5-0 Товары'!H81</f>
        <v/>
      </c>
      <c r="L81" s="382" t="str">
        <f t="shared" si="1"/>
        <v/>
      </c>
      <c r="M81" s="382"/>
      <c r="N81" s="380"/>
      <c r="O81" s="369" t="str">
        <f>'5-0 Товары'!I81</f>
        <v/>
      </c>
      <c r="P81" s="371" t="str">
        <f>'5-0 Товары'!N81</f>
        <v/>
      </c>
      <c r="Q81" s="197"/>
      <c r="R81" s="193"/>
      <c r="S81" s="187"/>
      <c r="T81" s="187"/>
      <c r="U81" s="187"/>
      <c r="V81" s="187"/>
      <c r="W81" s="187"/>
      <c r="X81" s="187"/>
      <c r="Y81" s="187" t="s">
        <v>96</v>
      </c>
      <c r="Z81" s="193" t="str">
        <f t="shared" si="2"/>
        <v/>
      </c>
      <c r="AA81" s="383"/>
      <c r="AB81" s="384"/>
      <c r="AC81" s="385"/>
      <c r="AD81" s="383"/>
      <c r="AE81" s="384"/>
      <c r="AF81" s="385"/>
      <c r="AG81" s="383"/>
      <c r="AH81" s="384"/>
      <c r="AI81" s="385"/>
      <c r="AJ81" s="383"/>
      <c r="AK81" s="384"/>
      <c r="AL81" s="385"/>
      <c r="AM81" s="383"/>
      <c r="AN81" s="384"/>
      <c r="AO81" s="385"/>
      <c r="AP81" s="383"/>
      <c r="AQ81" s="384"/>
      <c r="AR81" s="385"/>
      <c r="AS81" s="383"/>
      <c r="AT81" s="384"/>
      <c r="AU81" s="385"/>
      <c r="AV81" s="383"/>
      <c r="AW81" s="384"/>
      <c r="AX81" s="385"/>
      <c r="AY81" s="383"/>
      <c r="AZ81" s="384"/>
      <c r="BA81" s="385"/>
      <c r="BB81" s="386"/>
      <c r="BC81" s="387"/>
      <c r="BD81" s="388"/>
      <c r="BE81" s="386"/>
      <c r="BF81" s="387"/>
      <c r="BG81" s="388"/>
      <c r="BH81" s="386"/>
      <c r="BI81" s="387"/>
      <c r="BJ81" s="388"/>
      <c r="BK81" s="386"/>
      <c r="BL81" s="387"/>
      <c r="BM81" s="388"/>
      <c r="BN81" s="386"/>
      <c r="BO81" s="387"/>
      <c r="BP81" s="388"/>
      <c r="BQ81" s="386"/>
      <c r="BR81" s="387"/>
      <c r="BS81" s="388"/>
      <c r="BT81" s="386"/>
      <c r="BU81" s="387"/>
      <c r="BV81" s="388"/>
      <c r="BW81" s="386"/>
      <c r="BX81" s="387"/>
      <c r="BY81" s="388"/>
      <c r="BZ81" s="386"/>
      <c r="CA81" s="387"/>
      <c r="CB81" s="388"/>
      <c r="CC81" s="386"/>
      <c r="CD81" s="387"/>
      <c r="CE81" s="388"/>
      <c r="CF81" s="386"/>
      <c r="CG81" s="387"/>
      <c r="CH81" s="388"/>
      <c r="CI81" s="386"/>
      <c r="CJ81" s="387"/>
      <c r="CK81" s="388"/>
      <c r="CL81" s="386"/>
      <c r="CM81" s="387"/>
      <c r="CN81" s="388"/>
      <c r="CO81" s="386"/>
      <c r="CP81" s="387"/>
      <c r="CQ81" s="388"/>
      <c r="CR81" s="386"/>
      <c r="CS81" s="387"/>
      <c r="CT81" s="388"/>
      <c r="CU81" s="386"/>
      <c r="CV81" s="387"/>
      <c r="CW81" s="388"/>
      <c r="CX81" s="386"/>
      <c r="CY81" s="387"/>
      <c r="CZ81" s="388"/>
    </row>
    <row r="82">
      <c r="A82" s="1"/>
      <c r="B82" s="402"/>
      <c r="C82" s="362" t="str">
        <f>'5-0 Товары'!C82</f>
        <v/>
      </c>
      <c r="D82" s="363" t="str">
        <f>'5-0 Товары'!D82</f>
        <v/>
      </c>
      <c r="E82" s="364" t="str">
        <f>'5-0 Товары'!E82</f>
        <v/>
      </c>
      <c r="F82" s="380"/>
      <c r="G82" s="380"/>
      <c r="H82" s="364" t="str">
        <f>'5-0 Товары'!F82</f>
        <v/>
      </c>
      <c r="I82" s="391"/>
      <c r="J82" s="364" t="str">
        <f>'5-0 Товары'!G82</f>
        <v/>
      </c>
      <c r="K82" s="366" t="str">
        <f>'5-0 Товары'!H82</f>
        <v/>
      </c>
      <c r="L82" s="382" t="str">
        <f t="shared" si="1"/>
        <v/>
      </c>
      <c r="M82" s="382"/>
      <c r="N82" s="380"/>
      <c r="O82" s="369" t="str">
        <f>'5-0 Товары'!I82</f>
        <v/>
      </c>
      <c r="P82" s="371" t="str">
        <f>'5-0 Товары'!N82</f>
        <v/>
      </c>
      <c r="Q82" s="197"/>
      <c r="R82" s="193"/>
      <c r="S82" s="187"/>
      <c r="T82" s="187"/>
      <c r="U82" s="187"/>
      <c r="V82" s="187"/>
      <c r="W82" s="187"/>
      <c r="X82" s="187"/>
      <c r="Y82" s="187" t="s">
        <v>96</v>
      </c>
      <c r="Z82" s="193" t="str">
        <f t="shared" si="2"/>
        <v/>
      </c>
      <c r="AA82" s="383"/>
      <c r="AB82" s="384"/>
      <c r="AC82" s="385"/>
      <c r="AD82" s="383"/>
      <c r="AE82" s="384"/>
      <c r="AF82" s="385"/>
      <c r="AG82" s="383"/>
      <c r="AH82" s="384"/>
      <c r="AI82" s="385"/>
      <c r="AJ82" s="383"/>
      <c r="AK82" s="384"/>
      <c r="AL82" s="385"/>
      <c r="AM82" s="383"/>
      <c r="AN82" s="384"/>
      <c r="AO82" s="385"/>
      <c r="AP82" s="383"/>
      <c r="AQ82" s="384"/>
      <c r="AR82" s="385"/>
      <c r="AS82" s="383"/>
      <c r="AT82" s="384"/>
      <c r="AU82" s="385"/>
      <c r="AV82" s="383"/>
      <c r="AW82" s="384"/>
      <c r="AX82" s="385"/>
      <c r="AY82" s="383"/>
      <c r="AZ82" s="384"/>
      <c r="BA82" s="385"/>
      <c r="BB82" s="386"/>
      <c r="BC82" s="387"/>
      <c r="BD82" s="388"/>
      <c r="BE82" s="386"/>
      <c r="BF82" s="387"/>
      <c r="BG82" s="388"/>
      <c r="BH82" s="386"/>
      <c r="BI82" s="387"/>
      <c r="BJ82" s="388"/>
      <c r="BK82" s="386"/>
      <c r="BL82" s="387"/>
      <c r="BM82" s="388"/>
      <c r="BN82" s="386"/>
      <c r="BO82" s="387"/>
      <c r="BP82" s="388"/>
      <c r="BQ82" s="386"/>
      <c r="BR82" s="387"/>
      <c r="BS82" s="388"/>
      <c r="BT82" s="386"/>
      <c r="BU82" s="387"/>
      <c r="BV82" s="388"/>
      <c r="BW82" s="386"/>
      <c r="BX82" s="387"/>
      <c r="BY82" s="388"/>
      <c r="BZ82" s="386"/>
      <c r="CA82" s="387"/>
      <c r="CB82" s="388"/>
      <c r="CC82" s="386"/>
      <c r="CD82" s="387"/>
      <c r="CE82" s="388"/>
      <c r="CF82" s="386"/>
      <c r="CG82" s="387"/>
      <c r="CH82" s="388"/>
      <c r="CI82" s="386"/>
      <c r="CJ82" s="387"/>
      <c r="CK82" s="388"/>
      <c r="CL82" s="386"/>
      <c r="CM82" s="387"/>
      <c r="CN82" s="388"/>
      <c r="CO82" s="386"/>
      <c r="CP82" s="387"/>
      <c r="CQ82" s="388"/>
      <c r="CR82" s="386"/>
      <c r="CS82" s="387"/>
      <c r="CT82" s="388"/>
      <c r="CU82" s="386"/>
      <c r="CV82" s="387"/>
      <c r="CW82" s="388"/>
      <c r="CX82" s="386"/>
      <c r="CY82" s="387"/>
      <c r="CZ82" s="388"/>
    </row>
    <row r="83">
      <c r="A83" s="1"/>
      <c r="B83" s="402"/>
      <c r="C83" s="362" t="str">
        <f>'5-0 Товары'!C83</f>
        <v/>
      </c>
      <c r="D83" s="363" t="str">
        <f>'5-0 Товары'!D83</f>
        <v/>
      </c>
      <c r="E83" s="364" t="str">
        <f>'5-0 Товары'!E83</f>
        <v/>
      </c>
      <c r="F83" s="380"/>
      <c r="G83" s="380"/>
      <c r="H83" s="364" t="str">
        <f>'5-0 Товары'!F83</f>
        <v/>
      </c>
      <c r="I83" s="391"/>
      <c r="J83" s="364" t="str">
        <f>'5-0 Товары'!G83</f>
        <v/>
      </c>
      <c r="K83" s="366" t="str">
        <f>'5-0 Товары'!H83</f>
        <v/>
      </c>
      <c r="L83" s="382" t="str">
        <f t="shared" si="1"/>
        <v/>
      </c>
      <c r="M83" s="382"/>
      <c r="N83" s="380"/>
      <c r="O83" s="369" t="str">
        <f>'5-0 Товары'!I83</f>
        <v/>
      </c>
      <c r="P83" s="371" t="str">
        <f>'5-0 Товары'!N83</f>
        <v/>
      </c>
      <c r="Q83" s="197"/>
      <c r="R83" s="193"/>
      <c r="S83" s="187"/>
      <c r="T83" s="187"/>
      <c r="U83" s="187"/>
      <c r="V83" s="187"/>
      <c r="W83" s="187"/>
      <c r="X83" s="187"/>
      <c r="Y83" s="187" t="s">
        <v>96</v>
      </c>
      <c r="Z83" s="193" t="str">
        <f t="shared" si="2"/>
        <v/>
      </c>
      <c r="AA83" s="383"/>
      <c r="AB83" s="384"/>
      <c r="AC83" s="385"/>
      <c r="AD83" s="383"/>
      <c r="AE83" s="384"/>
      <c r="AF83" s="385"/>
      <c r="AG83" s="383"/>
      <c r="AH83" s="384"/>
      <c r="AI83" s="385"/>
      <c r="AJ83" s="383"/>
      <c r="AK83" s="384"/>
      <c r="AL83" s="385"/>
      <c r="AM83" s="383"/>
      <c r="AN83" s="384"/>
      <c r="AO83" s="385"/>
      <c r="AP83" s="383"/>
      <c r="AQ83" s="384"/>
      <c r="AR83" s="385"/>
      <c r="AS83" s="383"/>
      <c r="AT83" s="384"/>
      <c r="AU83" s="385"/>
      <c r="AV83" s="383"/>
      <c r="AW83" s="384"/>
      <c r="AX83" s="385"/>
      <c r="AY83" s="383"/>
      <c r="AZ83" s="384"/>
      <c r="BA83" s="385"/>
      <c r="BB83" s="386"/>
      <c r="BC83" s="387"/>
      <c r="BD83" s="388"/>
      <c r="BE83" s="386"/>
      <c r="BF83" s="387"/>
      <c r="BG83" s="388"/>
      <c r="BH83" s="386"/>
      <c r="BI83" s="387"/>
      <c r="BJ83" s="388"/>
      <c r="BK83" s="386"/>
      <c r="BL83" s="387"/>
      <c r="BM83" s="388"/>
      <c r="BN83" s="386"/>
      <c r="BO83" s="387"/>
      <c r="BP83" s="388"/>
      <c r="BQ83" s="386"/>
      <c r="BR83" s="387"/>
      <c r="BS83" s="388"/>
      <c r="BT83" s="386"/>
      <c r="BU83" s="387"/>
      <c r="BV83" s="388"/>
      <c r="BW83" s="386"/>
      <c r="BX83" s="387"/>
      <c r="BY83" s="388"/>
      <c r="BZ83" s="386"/>
      <c r="CA83" s="387"/>
      <c r="CB83" s="388"/>
      <c r="CC83" s="386"/>
      <c r="CD83" s="387"/>
      <c r="CE83" s="388"/>
      <c r="CF83" s="386"/>
      <c r="CG83" s="387"/>
      <c r="CH83" s="388"/>
      <c r="CI83" s="386"/>
      <c r="CJ83" s="387"/>
      <c r="CK83" s="388"/>
      <c r="CL83" s="386"/>
      <c r="CM83" s="387"/>
      <c r="CN83" s="388"/>
      <c r="CO83" s="386"/>
      <c r="CP83" s="387"/>
      <c r="CQ83" s="388"/>
      <c r="CR83" s="386"/>
      <c r="CS83" s="387"/>
      <c r="CT83" s="388"/>
      <c r="CU83" s="386"/>
      <c r="CV83" s="387"/>
      <c r="CW83" s="388"/>
      <c r="CX83" s="386"/>
      <c r="CY83" s="387"/>
      <c r="CZ83" s="388"/>
    </row>
    <row r="84">
      <c r="A84" s="1"/>
      <c r="B84" s="402"/>
      <c r="C84" s="362" t="str">
        <f>'5-0 Товары'!C84</f>
        <v/>
      </c>
      <c r="D84" s="363" t="str">
        <f>'5-0 Товары'!D84</f>
        <v/>
      </c>
      <c r="E84" s="364" t="str">
        <f>'5-0 Товары'!E84</f>
        <v/>
      </c>
      <c r="F84" s="380"/>
      <c r="G84" s="380"/>
      <c r="H84" s="364" t="str">
        <f>'5-0 Товары'!F84</f>
        <v/>
      </c>
      <c r="I84" s="391"/>
      <c r="J84" s="364" t="str">
        <f>'5-0 Товары'!G84</f>
        <v/>
      </c>
      <c r="K84" s="366" t="str">
        <f>'5-0 Товары'!H84</f>
        <v/>
      </c>
      <c r="L84" s="382" t="str">
        <f t="shared" si="1"/>
        <v/>
      </c>
      <c r="M84" s="382"/>
      <c r="N84" s="380"/>
      <c r="O84" s="369" t="str">
        <f>'5-0 Товары'!I84</f>
        <v/>
      </c>
      <c r="P84" s="371" t="str">
        <f>'5-0 Товары'!N84</f>
        <v/>
      </c>
      <c r="Q84" s="197"/>
      <c r="R84" s="193"/>
      <c r="S84" s="187"/>
      <c r="T84" s="187"/>
      <c r="U84" s="187"/>
      <c r="V84" s="187"/>
      <c r="W84" s="187"/>
      <c r="X84" s="187"/>
      <c r="Y84" s="187" t="s">
        <v>96</v>
      </c>
      <c r="Z84" s="193" t="str">
        <f t="shared" si="2"/>
        <v/>
      </c>
      <c r="AA84" s="383"/>
      <c r="AB84" s="384"/>
      <c r="AC84" s="385"/>
      <c r="AD84" s="383"/>
      <c r="AE84" s="384"/>
      <c r="AF84" s="385"/>
      <c r="AG84" s="383"/>
      <c r="AH84" s="384"/>
      <c r="AI84" s="385"/>
      <c r="AJ84" s="383"/>
      <c r="AK84" s="384"/>
      <c r="AL84" s="385"/>
      <c r="AM84" s="383"/>
      <c r="AN84" s="384"/>
      <c r="AO84" s="385"/>
      <c r="AP84" s="383"/>
      <c r="AQ84" s="384"/>
      <c r="AR84" s="385"/>
      <c r="AS84" s="383"/>
      <c r="AT84" s="384"/>
      <c r="AU84" s="385"/>
      <c r="AV84" s="383"/>
      <c r="AW84" s="384"/>
      <c r="AX84" s="385"/>
      <c r="AY84" s="383"/>
      <c r="AZ84" s="384"/>
      <c r="BA84" s="385"/>
      <c r="BB84" s="386"/>
      <c r="BC84" s="387"/>
      <c r="BD84" s="388"/>
      <c r="BE84" s="386"/>
      <c r="BF84" s="387"/>
      <c r="BG84" s="388"/>
      <c r="BH84" s="386"/>
      <c r="BI84" s="387"/>
      <c r="BJ84" s="388"/>
      <c r="BK84" s="386"/>
      <c r="BL84" s="387"/>
      <c r="BM84" s="388"/>
      <c r="BN84" s="386"/>
      <c r="BO84" s="387"/>
      <c r="BP84" s="388"/>
      <c r="BQ84" s="386"/>
      <c r="BR84" s="387"/>
      <c r="BS84" s="388"/>
      <c r="BT84" s="386"/>
      <c r="BU84" s="387"/>
      <c r="BV84" s="388"/>
      <c r="BW84" s="386"/>
      <c r="BX84" s="387"/>
      <c r="BY84" s="388"/>
      <c r="BZ84" s="386"/>
      <c r="CA84" s="387"/>
      <c r="CB84" s="388"/>
      <c r="CC84" s="386"/>
      <c r="CD84" s="387"/>
      <c r="CE84" s="388"/>
      <c r="CF84" s="386"/>
      <c r="CG84" s="387"/>
      <c r="CH84" s="388"/>
      <c r="CI84" s="386"/>
      <c r="CJ84" s="387"/>
      <c r="CK84" s="388"/>
      <c r="CL84" s="386"/>
      <c r="CM84" s="387"/>
      <c r="CN84" s="388"/>
      <c r="CO84" s="386"/>
      <c r="CP84" s="387"/>
      <c r="CQ84" s="388"/>
      <c r="CR84" s="386"/>
      <c r="CS84" s="387"/>
      <c r="CT84" s="388"/>
      <c r="CU84" s="386"/>
      <c r="CV84" s="387"/>
      <c r="CW84" s="388"/>
      <c r="CX84" s="386"/>
      <c r="CY84" s="387"/>
      <c r="CZ84" s="388"/>
    </row>
    <row r="85">
      <c r="A85" s="1"/>
      <c r="B85" s="402"/>
      <c r="C85" s="362" t="str">
        <f>'5-0 Товары'!C85</f>
        <v/>
      </c>
      <c r="D85" s="363" t="str">
        <f>'5-0 Товары'!D85</f>
        <v/>
      </c>
      <c r="E85" s="364" t="str">
        <f>'5-0 Товары'!E85</f>
        <v/>
      </c>
      <c r="F85" s="380"/>
      <c r="G85" s="380"/>
      <c r="H85" s="364" t="str">
        <f>'5-0 Товары'!F85</f>
        <v/>
      </c>
      <c r="I85" s="391"/>
      <c r="J85" s="364" t="str">
        <f>'5-0 Товары'!G85</f>
        <v/>
      </c>
      <c r="K85" s="366" t="str">
        <f>'5-0 Товары'!H85</f>
        <v/>
      </c>
      <c r="L85" s="382" t="str">
        <f t="shared" si="1"/>
        <v/>
      </c>
      <c r="M85" s="382"/>
      <c r="N85" s="380"/>
      <c r="O85" s="369" t="str">
        <f>'5-0 Товары'!I85</f>
        <v/>
      </c>
      <c r="P85" s="371" t="str">
        <f>'5-0 Товары'!N85</f>
        <v/>
      </c>
      <c r="Q85" s="197"/>
      <c r="R85" s="193"/>
      <c r="S85" s="187"/>
      <c r="T85" s="187"/>
      <c r="U85" s="187"/>
      <c r="V85" s="187"/>
      <c r="W85" s="187"/>
      <c r="X85" s="187"/>
      <c r="Y85" s="187" t="s">
        <v>96</v>
      </c>
      <c r="Z85" s="193" t="str">
        <f t="shared" si="2"/>
        <v/>
      </c>
      <c r="AA85" s="383"/>
      <c r="AB85" s="384"/>
      <c r="AC85" s="385"/>
      <c r="AD85" s="383"/>
      <c r="AE85" s="384"/>
      <c r="AF85" s="385"/>
      <c r="AG85" s="383"/>
      <c r="AH85" s="384"/>
      <c r="AI85" s="385"/>
      <c r="AJ85" s="383"/>
      <c r="AK85" s="384"/>
      <c r="AL85" s="385"/>
      <c r="AM85" s="383"/>
      <c r="AN85" s="384"/>
      <c r="AO85" s="385"/>
      <c r="AP85" s="383"/>
      <c r="AQ85" s="384"/>
      <c r="AR85" s="385"/>
      <c r="AS85" s="383"/>
      <c r="AT85" s="384"/>
      <c r="AU85" s="385"/>
      <c r="AV85" s="383"/>
      <c r="AW85" s="384"/>
      <c r="AX85" s="385"/>
      <c r="AY85" s="383"/>
      <c r="AZ85" s="384"/>
      <c r="BA85" s="385"/>
      <c r="BB85" s="386"/>
      <c r="BC85" s="387"/>
      <c r="BD85" s="388"/>
      <c r="BE85" s="386"/>
      <c r="BF85" s="387"/>
      <c r="BG85" s="388"/>
      <c r="BH85" s="386"/>
      <c r="BI85" s="387"/>
      <c r="BJ85" s="388"/>
      <c r="BK85" s="386"/>
      <c r="BL85" s="387"/>
      <c r="BM85" s="388"/>
      <c r="BN85" s="386"/>
      <c r="BO85" s="387"/>
      <c r="BP85" s="388"/>
      <c r="BQ85" s="386"/>
      <c r="BR85" s="387"/>
      <c r="BS85" s="388"/>
      <c r="BT85" s="386"/>
      <c r="BU85" s="387"/>
      <c r="BV85" s="388"/>
      <c r="BW85" s="386"/>
      <c r="BX85" s="387"/>
      <c r="BY85" s="388"/>
      <c r="BZ85" s="386"/>
      <c r="CA85" s="387"/>
      <c r="CB85" s="388"/>
      <c r="CC85" s="386"/>
      <c r="CD85" s="387"/>
      <c r="CE85" s="388"/>
      <c r="CF85" s="386"/>
      <c r="CG85" s="387"/>
      <c r="CH85" s="388"/>
      <c r="CI85" s="386"/>
      <c r="CJ85" s="387"/>
      <c r="CK85" s="388"/>
      <c r="CL85" s="386"/>
      <c r="CM85" s="387"/>
      <c r="CN85" s="388"/>
      <c r="CO85" s="386"/>
      <c r="CP85" s="387"/>
      <c r="CQ85" s="388"/>
      <c r="CR85" s="386"/>
      <c r="CS85" s="387"/>
      <c r="CT85" s="388"/>
      <c r="CU85" s="386"/>
      <c r="CV85" s="387"/>
      <c r="CW85" s="388"/>
      <c r="CX85" s="386"/>
      <c r="CY85" s="387"/>
      <c r="CZ85" s="388"/>
    </row>
    <row r="86">
      <c r="A86" s="1"/>
      <c r="B86" s="402"/>
      <c r="C86" s="362" t="str">
        <f>'5-0 Товары'!C86</f>
        <v/>
      </c>
      <c r="D86" s="363" t="str">
        <f>'5-0 Товары'!D86</f>
        <v/>
      </c>
      <c r="E86" s="364" t="str">
        <f>'5-0 Товары'!E86</f>
        <v/>
      </c>
      <c r="F86" s="380"/>
      <c r="G86" s="380"/>
      <c r="H86" s="364" t="str">
        <f>'5-0 Товары'!F86</f>
        <v/>
      </c>
      <c r="I86" s="391"/>
      <c r="J86" s="364" t="str">
        <f>'5-0 Товары'!G86</f>
        <v/>
      </c>
      <c r="K86" s="366" t="str">
        <f>'5-0 Товары'!H86</f>
        <v/>
      </c>
      <c r="L86" s="382" t="str">
        <f t="shared" si="1"/>
        <v/>
      </c>
      <c r="M86" s="382"/>
      <c r="N86" s="380"/>
      <c r="O86" s="369" t="str">
        <f>'5-0 Товары'!I86</f>
        <v/>
      </c>
      <c r="P86" s="371" t="str">
        <f>'5-0 Товары'!N86</f>
        <v/>
      </c>
      <c r="Q86" s="197"/>
      <c r="R86" s="193"/>
      <c r="S86" s="187"/>
      <c r="T86" s="187"/>
      <c r="U86" s="187"/>
      <c r="V86" s="187"/>
      <c r="W86" s="187"/>
      <c r="X86" s="187"/>
      <c r="Y86" s="187" t="s">
        <v>96</v>
      </c>
      <c r="Z86" s="193" t="str">
        <f t="shared" si="2"/>
        <v/>
      </c>
      <c r="AA86" s="383"/>
      <c r="AB86" s="384"/>
      <c r="AC86" s="385"/>
      <c r="AD86" s="383"/>
      <c r="AE86" s="384"/>
      <c r="AF86" s="385"/>
      <c r="AG86" s="383"/>
      <c r="AH86" s="384"/>
      <c r="AI86" s="385"/>
      <c r="AJ86" s="383"/>
      <c r="AK86" s="384"/>
      <c r="AL86" s="385"/>
      <c r="AM86" s="383"/>
      <c r="AN86" s="384"/>
      <c r="AO86" s="385"/>
      <c r="AP86" s="383"/>
      <c r="AQ86" s="384"/>
      <c r="AR86" s="385"/>
      <c r="AS86" s="383"/>
      <c r="AT86" s="384"/>
      <c r="AU86" s="385"/>
      <c r="AV86" s="383"/>
      <c r="AW86" s="384"/>
      <c r="AX86" s="385"/>
      <c r="AY86" s="383"/>
      <c r="AZ86" s="384"/>
      <c r="BA86" s="385"/>
      <c r="BB86" s="386"/>
      <c r="BC86" s="387"/>
      <c r="BD86" s="388"/>
      <c r="BE86" s="386"/>
      <c r="BF86" s="387"/>
      <c r="BG86" s="388"/>
      <c r="BH86" s="386"/>
      <c r="BI86" s="387"/>
      <c r="BJ86" s="388"/>
      <c r="BK86" s="386"/>
      <c r="BL86" s="387"/>
      <c r="BM86" s="388"/>
      <c r="BN86" s="386"/>
      <c r="BO86" s="387"/>
      <c r="BP86" s="388"/>
      <c r="BQ86" s="386"/>
      <c r="BR86" s="387"/>
      <c r="BS86" s="388"/>
      <c r="BT86" s="386"/>
      <c r="BU86" s="387"/>
      <c r="BV86" s="388"/>
      <c r="BW86" s="386"/>
      <c r="BX86" s="387"/>
      <c r="BY86" s="388"/>
      <c r="BZ86" s="386"/>
      <c r="CA86" s="387"/>
      <c r="CB86" s="388"/>
      <c r="CC86" s="386"/>
      <c r="CD86" s="387"/>
      <c r="CE86" s="388"/>
      <c r="CF86" s="386"/>
      <c r="CG86" s="387"/>
      <c r="CH86" s="388"/>
      <c r="CI86" s="386"/>
      <c r="CJ86" s="387"/>
      <c r="CK86" s="388"/>
      <c r="CL86" s="386"/>
      <c r="CM86" s="387"/>
      <c r="CN86" s="388"/>
      <c r="CO86" s="386"/>
      <c r="CP86" s="387"/>
      <c r="CQ86" s="388"/>
      <c r="CR86" s="386"/>
      <c r="CS86" s="387"/>
      <c r="CT86" s="388"/>
      <c r="CU86" s="386"/>
      <c r="CV86" s="387"/>
      <c r="CW86" s="388"/>
      <c r="CX86" s="386"/>
      <c r="CY86" s="387"/>
      <c r="CZ86" s="388"/>
    </row>
    <row r="87">
      <c r="A87" s="1"/>
      <c r="B87" s="402"/>
      <c r="C87" s="362" t="str">
        <f>'5-0 Товары'!C87</f>
        <v/>
      </c>
      <c r="D87" s="363" t="str">
        <f>'5-0 Товары'!D87</f>
        <v/>
      </c>
      <c r="E87" s="364" t="str">
        <f>'5-0 Товары'!E87</f>
        <v/>
      </c>
      <c r="F87" s="380"/>
      <c r="G87" s="380"/>
      <c r="H87" s="364" t="str">
        <f>'5-0 Товары'!F87</f>
        <v/>
      </c>
      <c r="I87" s="391"/>
      <c r="J87" s="364" t="str">
        <f>'5-0 Товары'!G87</f>
        <v/>
      </c>
      <c r="K87" s="366" t="str">
        <f>'5-0 Товары'!H87</f>
        <v/>
      </c>
      <c r="L87" s="382" t="str">
        <f t="shared" si="1"/>
        <v/>
      </c>
      <c r="M87" s="382"/>
      <c r="N87" s="380"/>
      <c r="O87" s="369" t="str">
        <f>'5-0 Товары'!I87</f>
        <v/>
      </c>
      <c r="P87" s="371" t="str">
        <f>'5-0 Товары'!N87</f>
        <v/>
      </c>
      <c r="Q87" s="197"/>
      <c r="R87" s="193"/>
      <c r="S87" s="187"/>
      <c r="T87" s="187"/>
      <c r="U87" s="187"/>
      <c r="V87" s="187"/>
      <c r="W87" s="187"/>
      <c r="X87" s="187"/>
      <c r="Y87" s="187" t="s">
        <v>96</v>
      </c>
      <c r="Z87" s="193" t="str">
        <f t="shared" si="2"/>
        <v/>
      </c>
      <c r="AA87" s="383"/>
      <c r="AB87" s="384"/>
      <c r="AC87" s="385"/>
      <c r="AD87" s="383"/>
      <c r="AE87" s="384"/>
      <c r="AF87" s="385"/>
      <c r="AG87" s="383"/>
      <c r="AH87" s="384"/>
      <c r="AI87" s="385"/>
      <c r="AJ87" s="383"/>
      <c r="AK87" s="384"/>
      <c r="AL87" s="385"/>
      <c r="AM87" s="383"/>
      <c r="AN87" s="384"/>
      <c r="AO87" s="385"/>
      <c r="AP87" s="383"/>
      <c r="AQ87" s="384"/>
      <c r="AR87" s="385"/>
      <c r="AS87" s="383"/>
      <c r="AT87" s="384"/>
      <c r="AU87" s="385"/>
      <c r="AV87" s="383"/>
      <c r="AW87" s="384"/>
      <c r="AX87" s="385"/>
      <c r="AY87" s="383"/>
      <c r="AZ87" s="384"/>
      <c r="BA87" s="385"/>
      <c r="BB87" s="386"/>
      <c r="BC87" s="387"/>
      <c r="BD87" s="388"/>
      <c r="BE87" s="386"/>
      <c r="BF87" s="387"/>
      <c r="BG87" s="388"/>
      <c r="BH87" s="386"/>
      <c r="BI87" s="387"/>
      <c r="BJ87" s="388"/>
      <c r="BK87" s="386"/>
      <c r="BL87" s="387"/>
      <c r="BM87" s="388"/>
      <c r="BN87" s="386"/>
      <c r="BO87" s="387"/>
      <c r="BP87" s="388"/>
      <c r="BQ87" s="386"/>
      <c r="BR87" s="387"/>
      <c r="BS87" s="388"/>
      <c r="BT87" s="386"/>
      <c r="BU87" s="387"/>
      <c r="BV87" s="388"/>
      <c r="BW87" s="386"/>
      <c r="BX87" s="387"/>
      <c r="BY87" s="388"/>
      <c r="BZ87" s="386"/>
      <c r="CA87" s="387"/>
      <c r="CB87" s="388"/>
      <c r="CC87" s="386"/>
      <c r="CD87" s="387"/>
      <c r="CE87" s="388"/>
      <c r="CF87" s="386"/>
      <c r="CG87" s="387"/>
      <c r="CH87" s="388"/>
      <c r="CI87" s="386"/>
      <c r="CJ87" s="387"/>
      <c r="CK87" s="388"/>
      <c r="CL87" s="386"/>
      <c r="CM87" s="387"/>
      <c r="CN87" s="388"/>
      <c r="CO87" s="386"/>
      <c r="CP87" s="387"/>
      <c r="CQ87" s="388"/>
      <c r="CR87" s="386"/>
      <c r="CS87" s="387"/>
      <c r="CT87" s="388"/>
      <c r="CU87" s="386"/>
      <c r="CV87" s="387"/>
      <c r="CW87" s="388"/>
      <c r="CX87" s="386"/>
      <c r="CY87" s="387"/>
      <c r="CZ87" s="388"/>
    </row>
    <row r="88">
      <c r="A88" s="1"/>
      <c r="B88" s="402"/>
      <c r="C88" s="362" t="str">
        <f>'5-0 Товары'!C88</f>
        <v/>
      </c>
      <c r="D88" s="363" t="str">
        <f>'5-0 Товары'!D88</f>
        <v/>
      </c>
      <c r="E88" s="364" t="str">
        <f>'5-0 Товары'!E88</f>
        <v/>
      </c>
      <c r="F88" s="380"/>
      <c r="G88" s="380"/>
      <c r="H88" s="364" t="str">
        <f>'5-0 Товары'!F88</f>
        <v/>
      </c>
      <c r="I88" s="391"/>
      <c r="J88" s="364" t="str">
        <f>'5-0 Товары'!G88</f>
        <v/>
      </c>
      <c r="K88" s="366" t="str">
        <f>'5-0 Товары'!H88</f>
        <v/>
      </c>
      <c r="L88" s="382" t="str">
        <f t="shared" si="1"/>
        <v/>
      </c>
      <c r="M88" s="382"/>
      <c r="N88" s="380"/>
      <c r="O88" s="369" t="str">
        <f>'5-0 Товары'!I88</f>
        <v/>
      </c>
      <c r="P88" s="371" t="str">
        <f>'5-0 Товары'!N88</f>
        <v/>
      </c>
      <c r="Q88" s="197"/>
      <c r="R88" s="193"/>
      <c r="S88" s="187"/>
      <c r="T88" s="187"/>
      <c r="U88" s="187"/>
      <c r="V88" s="187"/>
      <c r="W88" s="187"/>
      <c r="X88" s="187"/>
      <c r="Y88" s="187" t="s">
        <v>96</v>
      </c>
      <c r="Z88" s="193" t="str">
        <f t="shared" si="2"/>
        <v/>
      </c>
      <c r="AA88" s="383"/>
      <c r="AB88" s="384"/>
      <c r="AC88" s="385"/>
      <c r="AD88" s="383"/>
      <c r="AE88" s="384"/>
      <c r="AF88" s="385"/>
      <c r="AG88" s="383"/>
      <c r="AH88" s="384"/>
      <c r="AI88" s="385"/>
      <c r="AJ88" s="383"/>
      <c r="AK88" s="384"/>
      <c r="AL88" s="385"/>
      <c r="AM88" s="383"/>
      <c r="AN88" s="384"/>
      <c r="AO88" s="385"/>
      <c r="AP88" s="383"/>
      <c r="AQ88" s="384"/>
      <c r="AR88" s="385"/>
      <c r="AS88" s="383"/>
      <c r="AT88" s="384"/>
      <c r="AU88" s="385"/>
      <c r="AV88" s="383"/>
      <c r="AW88" s="384"/>
      <c r="AX88" s="385"/>
      <c r="AY88" s="383"/>
      <c r="AZ88" s="384"/>
      <c r="BA88" s="385"/>
      <c r="BB88" s="386"/>
      <c r="BC88" s="387"/>
      <c r="BD88" s="388"/>
      <c r="BE88" s="386"/>
      <c r="BF88" s="387"/>
      <c r="BG88" s="388"/>
      <c r="BH88" s="386"/>
      <c r="BI88" s="387"/>
      <c r="BJ88" s="388"/>
      <c r="BK88" s="386"/>
      <c r="BL88" s="387"/>
      <c r="BM88" s="388"/>
      <c r="BN88" s="386"/>
      <c r="BO88" s="387"/>
      <c r="BP88" s="388"/>
      <c r="BQ88" s="386"/>
      <c r="BR88" s="387"/>
      <c r="BS88" s="388"/>
      <c r="BT88" s="386"/>
      <c r="BU88" s="387"/>
      <c r="BV88" s="388"/>
      <c r="BW88" s="386"/>
      <c r="BX88" s="387"/>
      <c r="BY88" s="388"/>
      <c r="BZ88" s="386"/>
      <c r="CA88" s="387"/>
      <c r="CB88" s="388"/>
      <c r="CC88" s="386"/>
      <c r="CD88" s="387"/>
      <c r="CE88" s="388"/>
      <c r="CF88" s="386"/>
      <c r="CG88" s="387"/>
      <c r="CH88" s="388"/>
      <c r="CI88" s="386"/>
      <c r="CJ88" s="387"/>
      <c r="CK88" s="388"/>
      <c r="CL88" s="386"/>
      <c r="CM88" s="387"/>
      <c r="CN88" s="388"/>
      <c r="CO88" s="386"/>
      <c r="CP88" s="387"/>
      <c r="CQ88" s="388"/>
      <c r="CR88" s="386"/>
      <c r="CS88" s="387"/>
      <c r="CT88" s="388"/>
      <c r="CU88" s="386"/>
      <c r="CV88" s="387"/>
      <c r="CW88" s="388"/>
      <c r="CX88" s="386"/>
      <c r="CY88" s="387"/>
      <c r="CZ88" s="388"/>
    </row>
    <row r="89">
      <c r="A89" s="1"/>
      <c r="B89" s="402"/>
      <c r="C89" s="362" t="str">
        <f>'5-0 Товары'!C89</f>
        <v/>
      </c>
      <c r="D89" s="363" t="str">
        <f>'5-0 Товары'!D89</f>
        <v/>
      </c>
      <c r="E89" s="364" t="str">
        <f>'5-0 Товары'!E89</f>
        <v/>
      </c>
      <c r="F89" s="380"/>
      <c r="G89" s="380"/>
      <c r="H89" s="364" t="str">
        <f>'5-0 Товары'!F89</f>
        <v/>
      </c>
      <c r="I89" s="391"/>
      <c r="J89" s="364" t="str">
        <f>'5-0 Товары'!G89</f>
        <v/>
      </c>
      <c r="K89" s="366" t="str">
        <f>'5-0 Товары'!H89</f>
        <v/>
      </c>
      <c r="L89" s="382" t="str">
        <f t="shared" si="1"/>
        <v/>
      </c>
      <c r="M89" s="382"/>
      <c r="N89" s="380"/>
      <c r="O89" s="369" t="str">
        <f>'5-0 Товары'!I89</f>
        <v/>
      </c>
      <c r="P89" s="371" t="str">
        <f>'5-0 Товары'!N89</f>
        <v/>
      </c>
      <c r="Q89" s="197"/>
      <c r="R89" s="193"/>
      <c r="S89" s="187"/>
      <c r="T89" s="187"/>
      <c r="U89" s="187"/>
      <c r="V89" s="187"/>
      <c r="W89" s="187"/>
      <c r="X89" s="187"/>
      <c r="Y89" s="187" t="s">
        <v>96</v>
      </c>
      <c r="Z89" s="193" t="str">
        <f t="shared" si="2"/>
        <v/>
      </c>
      <c r="AA89" s="383"/>
      <c r="AB89" s="384"/>
      <c r="AC89" s="385"/>
      <c r="AD89" s="383"/>
      <c r="AE89" s="384"/>
      <c r="AF89" s="385"/>
      <c r="AG89" s="383"/>
      <c r="AH89" s="384"/>
      <c r="AI89" s="385"/>
      <c r="AJ89" s="383"/>
      <c r="AK89" s="384"/>
      <c r="AL89" s="385"/>
      <c r="AM89" s="383"/>
      <c r="AN89" s="384"/>
      <c r="AO89" s="385"/>
      <c r="AP89" s="383"/>
      <c r="AQ89" s="384"/>
      <c r="AR89" s="385"/>
      <c r="AS89" s="383"/>
      <c r="AT89" s="384"/>
      <c r="AU89" s="385"/>
      <c r="AV89" s="383"/>
      <c r="AW89" s="384"/>
      <c r="AX89" s="385"/>
      <c r="AY89" s="383"/>
      <c r="AZ89" s="384"/>
      <c r="BA89" s="385"/>
      <c r="BB89" s="386"/>
      <c r="BC89" s="387"/>
      <c r="BD89" s="388"/>
      <c r="BE89" s="386"/>
      <c r="BF89" s="387"/>
      <c r="BG89" s="388"/>
      <c r="BH89" s="386"/>
      <c r="BI89" s="387"/>
      <c r="BJ89" s="388"/>
      <c r="BK89" s="386"/>
      <c r="BL89" s="387"/>
      <c r="BM89" s="388"/>
      <c r="BN89" s="386"/>
      <c r="BO89" s="387"/>
      <c r="BP89" s="388"/>
      <c r="BQ89" s="386"/>
      <c r="BR89" s="387"/>
      <c r="BS89" s="388"/>
      <c r="BT89" s="386"/>
      <c r="BU89" s="387"/>
      <c r="BV89" s="388"/>
      <c r="BW89" s="386"/>
      <c r="BX89" s="387"/>
      <c r="BY89" s="388"/>
      <c r="BZ89" s="386"/>
      <c r="CA89" s="387"/>
      <c r="CB89" s="388"/>
      <c r="CC89" s="386"/>
      <c r="CD89" s="387"/>
      <c r="CE89" s="388"/>
      <c r="CF89" s="386"/>
      <c r="CG89" s="387"/>
      <c r="CH89" s="388"/>
      <c r="CI89" s="386"/>
      <c r="CJ89" s="387"/>
      <c r="CK89" s="388"/>
      <c r="CL89" s="386"/>
      <c r="CM89" s="387"/>
      <c r="CN89" s="388"/>
      <c r="CO89" s="386"/>
      <c r="CP89" s="387"/>
      <c r="CQ89" s="388"/>
      <c r="CR89" s="386"/>
      <c r="CS89" s="387"/>
      <c r="CT89" s="388"/>
      <c r="CU89" s="386"/>
      <c r="CV89" s="387"/>
      <c r="CW89" s="388"/>
      <c r="CX89" s="386"/>
      <c r="CY89" s="387"/>
      <c r="CZ89" s="388"/>
    </row>
    <row r="90">
      <c r="A90" s="1"/>
      <c r="B90" s="402"/>
      <c r="C90" s="362" t="str">
        <f>'5-0 Товары'!C90</f>
        <v/>
      </c>
      <c r="D90" s="363" t="str">
        <f>'5-0 Товары'!D90</f>
        <v/>
      </c>
      <c r="E90" s="364" t="str">
        <f>'5-0 Товары'!E90</f>
        <v/>
      </c>
      <c r="F90" s="380"/>
      <c r="G90" s="380"/>
      <c r="H90" s="364" t="str">
        <f>'5-0 Товары'!F90</f>
        <v/>
      </c>
      <c r="I90" s="391"/>
      <c r="J90" s="364" t="str">
        <f>'5-0 Товары'!G90</f>
        <v/>
      </c>
      <c r="K90" s="366" t="str">
        <f>'5-0 Товары'!H90</f>
        <v/>
      </c>
      <c r="L90" s="382" t="str">
        <f t="shared" si="1"/>
        <v/>
      </c>
      <c r="M90" s="382"/>
      <c r="N90" s="380"/>
      <c r="O90" s="369" t="str">
        <f>'5-0 Товары'!I90</f>
        <v/>
      </c>
      <c r="P90" s="371" t="str">
        <f>'5-0 Товары'!N90</f>
        <v/>
      </c>
      <c r="Q90" s="197"/>
      <c r="R90" s="193"/>
      <c r="S90" s="187"/>
      <c r="T90" s="187"/>
      <c r="U90" s="187"/>
      <c r="V90" s="187"/>
      <c r="W90" s="187"/>
      <c r="X90" s="187"/>
      <c r="Y90" s="187" t="s">
        <v>96</v>
      </c>
      <c r="Z90" s="193" t="str">
        <f t="shared" si="2"/>
        <v/>
      </c>
      <c r="AA90" s="383"/>
      <c r="AB90" s="384"/>
      <c r="AC90" s="385"/>
      <c r="AD90" s="383"/>
      <c r="AE90" s="384"/>
      <c r="AF90" s="385"/>
      <c r="AG90" s="383"/>
      <c r="AH90" s="384"/>
      <c r="AI90" s="385"/>
      <c r="AJ90" s="383"/>
      <c r="AK90" s="384"/>
      <c r="AL90" s="385"/>
      <c r="AM90" s="383"/>
      <c r="AN90" s="384"/>
      <c r="AO90" s="385"/>
      <c r="AP90" s="383"/>
      <c r="AQ90" s="384"/>
      <c r="AR90" s="385"/>
      <c r="AS90" s="383"/>
      <c r="AT90" s="384"/>
      <c r="AU90" s="385"/>
      <c r="AV90" s="383"/>
      <c r="AW90" s="384"/>
      <c r="AX90" s="385"/>
      <c r="AY90" s="383"/>
      <c r="AZ90" s="384"/>
      <c r="BA90" s="385"/>
      <c r="BB90" s="386"/>
      <c r="BC90" s="387"/>
      <c r="BD90" s="388"/>
      <c r="BE90" s="386"/>
      <c r="BF90" s="387"/>
      <c r="BG90" s="388"/>
      <c r="BH90" s="386"/>
      <c r="BI90" s="387"/>
      <c r="BJ90" s="388"/>
      <c r="BK90" s="386"/>
      <c r="BL90" s="387"/>
      <c r="BM90" s="388"/>
      <c r="BN90" s="386"/>
      <c r="BO90" s="387"/>
      <c r="BP90" s="388"/>
      <c r="BQ90" s="386"/>
      <c r="BR90" s="387"/>
      <c r="BS90" s="388"/>
      <c r="BT90" s="386"/>
      <c r="BU90" s="387"/>
      <c r="BV90" s="388"/>
      <c r="BW90" s="386"/>
      <c r="BX90" s="387"/>
      <c r="BY90" s="388"/>
      <c r="BZ90" s="386"/>
      <c r="CA90" s="387"/>
      <c r="CB90" s="388"/>
      <c r="CC90" s="386"/>
      <c r="CD90" s="387"/>
      <c r="CE90" s="388"/>
      <c r="CF90" s="386"/>
      <c r="CG90" s="387"/>
      <c r="CH90" s="388"/>
      <c r="CI90" s="386"/>
      <c r="CJ90" s="387"/>
      <c r="CK90" s="388"/>
      <c r="CL90" s="386"/>
      <c r="CM90" s="387"/>
      <c r="CN90" s="388"/>
      <c r="CO90" s="386"/>
      <c r="CP90" s="387"/>
      <c r="CQ90" s="388"/>
      <c r="CR90" s="386"/>
      <c r="CS90" s="387"/>
      <c r="CT90" s="388"/>
      <c r="CU90" s="386"/>
      <c r="CV90" s="387"/>
      <c r="CW90" s="388"/>
      <c r="CX90" s="386"/>
      <c r="CY90" s="387"/>
      <c r="CZ90" s="388"/>
    </row>
    <row r="91">
      <c r="A91" s="1"/>
      <c r="B91" s="402"/>
      <c r="C91" s="362" t="str">
        <f>'5-0 Товары'!C91</f>
        <v/>
      </c>
      <c r="D91" s="363" t="str">
        <f>'5-0 Товары'!D91</f>
        <v/>
      </c>
      <c r="E91" s="364" t="str">
        <f>'5-0 Товары'!E91</f>
        <v/>
      </c>
      <c r="F91" s="380"/>
      <c r="G91" s="380"/>
      <c r="H91" s="364" t="str">
        <f>'5-0 Товары'!F91</f>
        <v/>
      </c>
      <c r="I91" s="391"/>
      <c r="J91" s="364" t="str">
        <f>'5-0 Товары'!G91</f>
        <v/>
      </c>
      <c r="K91" s="366" t="str">
        <f>'5-0 Товары'!H91</f>
        <v/>
      </c>
      <c r="L91" s="382" t="str">
        <f t="shared" si="1"/>
        <v/>
      </c>
      <c r="M91" s="382"/>
      <c r="N91" s="380"/>
      <c r="O91" s="369" t="str">
        <f>'5-0 Товары'!I91</f>
        <v/>
      </c>
      <c r="P91" s="371" t="str">
        <f>'5-0 Товары'!N91</f>
        <v/>
      </c>
      <c r="Q91" s="197"/>
      <c r="R91" s="193"/>
      <c r="S91" s="187"/>
      <c r="T91" s="187"/>
      <c r="U91" s="187"/>
      <c r="V91" s="187"/>
      <c r="W91" s="187"/>
      <c r="X91" s="187"/>
      <c r="Y91" s="187" t="s">
        <v>96</v>
      </c>
      <c r="Z91" s="193" t="str">
        <f t="shared" si="2"/>
        <v/>
      </c>
      <c r="AA91" s="383"/>
      <c r="AB91" s="384"/>
      <c r="AC91" s="385"/>
      <c r="AD91" s="383"/>
      <c r="AE91" s="384"/>
      <c r="AF91" s="385"/>
      <c r="AG91" s="383"/>
      <c r="AH91" s="384"/>
      <c r="AI91" s="385"/>
      <c r="AJ91" s="383"/>
      <c r="AK91" s="384"/>
      <c r="AL91" s="385"/>
      <c r="AM91" s="383"/>
      <c r="AN91" s="384"/>
      <c r="AO91" s="385"/>
      <c r="AP91" s="383"/>
      <c r="AQ91" s="384"/>
      <c r="AR91" s="385"/>
      <c r="AS91" s="383"/>
      <c r="AT91" s="384"/>
      <c r="AU91" s="385"/>
      <c r="AV91" s="383"/>
      <c r="AW91" s="384"/>
      <c r="AX91" s="385"/>
      <c r="AY91" s="383"/>
      <c r="AZ91" s="384"/>
      <c r="BA91" s="385"/>
      <c r="BB91" s="386"/>
      <c r="BC91" s="387"/>
      <c r="BD91" s="388"/>
      <c r="BE91" s="386"/>
      <c r="BF91" s="387"/>
      <c r="BG91" s="388"/>
      <c r="BH91" s="386"/>
      <c r="BI91" s="387"/>
      <c r="BJ91" s="388"/>
      <c r="BK91" s="386"/>
      <c r="BL91" s="387"/>
      <c r="BM91" s="388"/>
      <c r="BN91" s="386"/>
      <c r="BO91" s="387"/>
      <c r="BP91" s="388"/>
      <c r="BQ91" s="386"/>
      <c r="BR91" s="387"/>
      <c r="BS91" s="388"/>
      <c r="BT91" s="386"/>
      <c r="BU91" s="387"/>
      <c r="BV91" s="388"/>
      <c r="BW91" s="386"/>
      <c r="BX91" s="387"/>
      <c r="BY91" s="388"/>
      <c r="BZ91" s="386"/>
      <c r="CA91" s="387"/>
      <c r="CB91" s="388"/>
      <c r="CC91" s="386"/>
      <c r="CD91" s="387"/>
      <c r="CE91" s="388"/>
      <c r="CF91" s="386"/>
      <c r="CG91" s="387"/>
      <c r="CH91" s="388"/>
      <c r="CI91" s="386"/>
      <c r="CJ91" s="387"/>
      <c r="CK91" s="388"/>
      <c r="CL91" s="386"/>
      <c r="CM91" s="387"/>
      <c r="CN91" s="388"/>
      <c r="CO91" s="386"/>
      <c r="CP91" s="387"/>
      <c r="CQ91" s="388"/>
      <c r="CR91" s="386"/>
      <c r="CS91" s="387"/>
      <c r="CT91" s="388"/>
      <c r="CU91" s="386"/>
      <c r="CV91" s="387"/>
      <c r="CW91" s="388"/>
      <c r="CX91" s="386"/>
      <c r="CY91" s="387"/>
      <c r="CZ91" s="388"/>
    </row>
    <row r="92">
      <c r="A92" s="1"/>
      <c r="B92" s="402"/>
      <c r="C92" s="362" t="str">
        <f>'5-0 Товары'!C92</f>
        <v/>
      </c>
      <c r="D92" s="363" t="str">
        <f>'5-0 Товары'!D92</f>
        <v/>
      </c>
      <c r="E92" s="364" t="str">
        <f>'5-0 Товары'!E92</f>
        <v/>
      </c>
      <c r="F92" s="380"/>
      <c r="G92" s="380"/>
      <c r="H92" s="364" t="str">
        <f>'5-0 Товары'!F92</f>
        <v/>
      </c>
      <c r="I92" s="391"/>
      <c r="J92" s="364" t="str">
        <f>'5-0 Товары'!G92</f>
        <v/>
      </c>
      <c r="K92" s="366" t="str">
        <f>'5-0 Товары'!H92</f>
        <v/>
      </c>
      <c r="L92" s="382" t="str">
        <f t="shared" si="1"/>
        <v/>
      </c>
      <c r="M92" s="382"/>
      <c r="N92" s="380"/>
      <c r="O92" s="369" t="str">
        <f>'5-0 Товары'!I92</f>
        <v/>
      </c>
      <c r="P92" s="371" t="str">
        <f>'5-0 Товары'!N92</f>
        <v/>
      </c>
      <c r="Q92" s="197"/>
      <c r="R92" s="193"/>
      <c r="S92" s="187"/>
      <c r="T92" s="187"/>
      <c r="U92" s="187"/>
      <c r="V92" s="187"/>
      <c r="W92" s="187"/>
      <c r="X92" s="187"/>
      <c r="Y92" s="187" t="s">
        <v>96</v>
      </c>
      <c r="Z92" s="193" t="str">
        <f t="shared" si="2"/>
        <v/>
      </c>
      <c r="AA92" s="383"/>
      <c r="AB92" s="384"/>
      <c r="AC92" s="385"/>
      <c r="AD92" s="383"/>
      <c r="AE92" s="384"/>
      <c r="AF92" s="385"/>
      <c r="AG92" s="383"/>
      <c r="AH92" s="384"/>
      <c r="AI92" s="385"/>
      <c r="AJ92" s="383"/>
      <c r="AK92" s="384"/>
      <c r="AL92" s="385"/>
      <c r="AM92" s="383"/>
      <c r="AN92" s="384"/>
      <c r="AO92" s="385"/>
      <c r="AP92" s="383"/>
      <c r="AQ92" s="384"/>
      <c r="AR92" s="385"/>
      <c r="AS92" s="383"/>
      <c r="AT92" s="384"/>
      <c r="AU92" s="385"/>
      <c r="AV92" s="383"/>
      <c r="AW92" s="384"/>
      <c r="AX92" s="385"/>
      <c r="AY92" s="383"/>
      <c r="AZ92" s="384"/>
      <c r="BA92" s="385"/>
      <c r="BB92" s="386"/>
      <c r="BC92" s="387"/>
      <c r="BD92" s="388"/>
      <c r="BE92" s="386"/>
      <c r="BF92" s="387"/>
      <c r="BG92" s="388"/>
      <c r="BH92" s="386"/>
      <c r="BI92" s="387"/>
      <c r="BJ92" s="388"/>
      <c r="BK92" s="386"/>
      <c r="BL92" s="387"/>
      <c r="BM92" s="388"/>
      <c r="BN92" s="386"/>
      <c r="BO92" s="387"/>
      <c r="BP92" s="388"/>
      <c r="BQ92" s="386"/>
      <c r="BR92" s="387"/>
      <c r="BS92" s="388"/>
      <c r="BT92" s="386"/>
      <c r="BU92" s="387"/>
      <c r="BV92" s="388"/>
      <c r="BW92" s="386"/>
      <c r="BX92" s="387"/>
      <c r="BY92" s="388"/>
      <c r="BZ92" s="386"/>
      <c r="CA92" s="387"/>
      <c r="CB92" s="388"/>
      <c r="CC92" s="386"/>
      <c r="CD92" s="387"/>
      <c r="CE92" s="388"/>
      <c r="CF92" s="386"/>
      <c r="CG92" s="387"/>
      <c r="CH92" s="388"/>
      <c r="CI92" s="386"/>
      <c r="CJ92" s="387"/>
      <c r="CK92" s="388"/>
      <c r="CL92" s="386"/>
      <c r="CM92" s="387"/>
      <c r="CN92" s="388"/>
      <c r="CO92" s="386"/>
      <c r="CP92" s="387"/>
      <c r="CQ92" s="388"/>
      <c r="CR92" s="386"/>
      <c r="CS92" s="387"/>
      <c r="CT92" s="388"/>
      <c r="CU92" s="386"/>
      <c r="CV92" s="387"/>
      <c r="CW92" s="388"/>
      <c r="CX92" s="386"/>
      <c r="CY92" s="387"/>
      <c r="CZ92" s="388"/>
    </row>
    <row r="93">
      <c r="A93" s="1"/>
      <c r="B93" s="402"/>
      <c r="C93" s="362" t="str">
        <f>'5-0 Товары'!C93</f>
        <v/>
      </c>
      <c r="D93" s="363" t="str">
        <f>'5-0 Товары'!D93</f>
        <v/>
      </c>
      <c r="E93" s="364" t="str">
        <f>'5-0 Товары'!E93</f>
        <v/>
      </c>
      <c r="F93" s="380"/>
      <c r="G93" s="380"/>
      <c r="H93" s="364" t="str">
        <f>'5-0 Товары'!F93</f>
        <v/>
      </c>
      <c r="I93" s="391"/>
      <c r="J93" s="364" t="str">
        <f>'5-0 Товары'!G93</f>
        <v/>
      </c>
      <c r="K93" s="366" t="str">
        <f>'5-0 Товары'!H93</f>
        <v/>
      </c>
      <c r="L93" s="382" t="str">
        <f t="shared" si="1"/>
        <v/>
      </c>
      <c r="M93" s="382"/>
      <c r="N93" s="380"/>
      <c r="O93" s="369" t="str">
        <f>'5-0 Товары'!I93</f>
        <v/>
      </c>
      <c r="P93" s="371" t="str">
        <f>'5-0 Товары'!N93</f>
        <v/>
      </c>
      <c r="Q93" s="197"/>
      <c r="R93" s="193"/>
      <c r="S93" s="187"/>
      <c r="T93" s="187"/>
      <c r="U93" s="187"/>
      <c r="V93" s="187"/>
      <c r="W93" s="187"/>
      <c r="X93" s="187"/>
      <c r="Y93" s="187" t="s">
        <v>96</v>
      </c>
      <c r="Z93" s="193" t="str">
        <f t="shared" si="2"/>
        <v/>
      </c>
      <c r="AA93" s="383"/>
      <c r="AB93" s="384"/>
      <c r="AC93" s="385"/>
      <c r="AD93" s="383"/>
      <c r="AE93" s="384"/>
      <c r="AF93" s="385"/>
      <c r="AG93" s="383"/>
      <c r="AH93" s="384"/>
      <c r="AI93" s="385"/>
      <c r="AJ93" s="383"/>
      <c r="AK93" s="384"/>
      <c r="AL93" s="385"/>
      <c r="AM93" s="383"/>
      <c r="AN93" s="384"/>
      <c r="AO93" s="385"/>
      <c r="AP93" s="383"/>
      <c r="AQ93" s="384"/>
      <c r="AR93" s="385"/>
      <c r="AS93" s="383"/>
      <c r="AT93" s="384"/>
      <c r="AU93" s="385"/>
      <c r="AV93" s="383"/>
      <c r="AW93" s="384"/>
      <c r="AX93" s="385"/>
      <c r="AY93" s="383"/>
      <c r="AZ93" s="384"/>
      <c r="BA93" s="385"/>
      <c r="BB93" s="386"/>
      <c r="BC93" s="387"/>
      <c r="BD93" s="388"/>
      <c r="BE93" s="386"/>
      <c r="BF93" s="387"/>
      <c r="BG93" s="388"/>
      <c r="BH93" s="386"/>
      <c r="BI93" s="387"/>
      <c r="BJ93" s="388"/>
      <c r="BK93" s="386"/>
      <c r="BL93" s="387"/>
      <c r="BM93" s="388"/>
      <c r="BN93" s="386"/>
      <c r="BO93" s="387"/>
      <c r="BP93" s="388"/>
      <c r="BQ93" s="386"/>
      <c r="BR93" s="387"/>
      <c r="BS93" s="388"/>
      <c r="BT93" s="386"/>
      <c r="BU93" s="387"/>
      <c r="BV93" s="388"/>
      <c r="BW93" s="386"/>
      <c r="BX93" s="387"/>
      <c r="BY93" s="388"/>
      <c r="BZ93" s="386"/>
      <c r="CA93" s="387"/>
      <c r="CB93" s="388"/>
      <c r="CC93" s="386"/>
      <c r="CD93" s="387"/>
      <c r="CE93" s="388"/>
      <c r="CF93" s="386"/>
      <c r="CG93" s="387"/>
      <c r="CH93" s="388"/>
      <c r="CI93" s="386"/>
      <c r="CJ93" s="387"/>
      <c r="CK93" s="388"/>
      <c r="CL93" s="386"/>
      <c r="CM93" s="387"/>
      <c r="CN93" s="388"/>
      <c r="CO93" s="386"/>
      <c r="CP93" s="387"/>
      <c r="CQ93" s="388"/>
      <c r="CR93" s="386"/>
      <c r="CS93" s="387"/>
      <c r="CT93" s="388"/>
      <c r="CU93" s="386"/>
      <c r="CV93" s="387"/>
      <c r="CW93" s="388"/>
      <c r="CX93" s="386"/>
      <c r="CY93" s="387"/>
      <c r="CZ93" s="388"/>
    </row>
    <row r="94">
      <c r="A94" s="1"/>
      <c r="B94" s="402"/>
      <c r="C94" s="362" t="str">
        <f>'5-0 Товары'!C94</f>
        <v/>
      </c>
      <c r="D94" s="363" t="str">
        <f>'5-0 Товары'!D94</f>
        <v/>
      </c>
      <c r="E94" s="364" t="str">
        <f>'5-0 Товары'!E94</f>
        <v/>
      </c>
      <c r="F94" s="380"/>
      <c r="G94" s="380"/>
      <c r="H94" s="364" t="str">
        <f>'5-0 Товары'!F94</f>
        <v/>
      </c>
      <c r="I94" s="391"/>
      <c r="J94" s="364" t="str">
        <f>'5-0 Товары'!G94</f>
        <v/>
      </c>
      <c r="K94" s="366" t="str">
        <f>'5-0 Товары'!H94</f>
        <v/>
      </c>
      <c r="L94" s="382" t="str">
        <f t="shared" si="1"/>
        <v/>
      </c>
      <c r="M94" s="382"/>
      <c r="N94" s="380"/>
      <c r="O94" s="369" t="str">
        <f>'5-0 Товары'!I94</f>
        <v/>
      </c>
      <c r="P94" s="371" t="str">
        <f>'5-0 Товары'!N94</f>
        <v/>
      </c>
      <c r="Q94" s="197"/>
      <c r="R94" s="193"/>
      <c r="S94" s="187"/>
      <c r="T94" s="187"/>
      <c r="U94" s="187"/>
      <c r="V94" s="187"/>
      <c r="W94" s="187"/>
      <c r="X94" s="187"/>
      <c r="Y94" s="187" t="s">
        <v>96</v>
      </c>
      <c r="Z94" s="193" t="str">
        <f t="shared" si="2"/>
        <v/>
      </c>
      <c r="AA94" s="383"/>
      <c r="AB94" s="384"/>
      <c r="AC94" s="385"/>
      <c r="AD94" s="383"/>
      <c r="AE94" s="384"/>
      <c r="AF94" s="385"/>
      <c r="AG94" s="383"/>
      <c r="AH94" s="384"/>
      <c r="AI94" s="385"/>
      <c r="AJ94" s="383"/>
      <c r="AK94" s="384"/>
      <c r="AL94" s="385"/>
      <c r="AM94" s="383"/>
      <c r="AN94" s="384"/>
      <c r="AO94" s="385"/>
      <c r="AP94" s="383"/>
      <c r="AQ94" s="384"/>
      <c r="AR94" s="385"/>
      <c r="AS94" s="383"/>
      <c r="AT94" s="384"/>
      <c r="AU94" s="385"/>
      <c r="AV94" s="383"/>
      <c r="AW94" s="384"/>
      <c r="AX94" s="385"/>
      <c r="AY94" s="383"/>
      <c r="AZ94" s="384"/>
      <c r="BA94" s="385"/>
      <c r="BB94" s="386"/>
      <c r="BC94" s="387"/>
      <c r="BD94" s="388"/>
      <c r="BE94" s="386"/>
      <c r="BF94" s="387"/>
      <c r="BG94" s="388"/>
      <c r="BH94" s="386"/>
      <c r="BI94" s="387"/>
      <c r="BJ94" s="388"/>
      <c r="BK94" s="386"/>
      <c r="BL94" s="387"/>
      <c r="BM94" s="388"/>
      <c r="BN94" s="386"/>
      <c r="BO94" s="387"/>
      <c r="BP94" s="388"/>
      <c r="BQ94" s="386"/>
      <c r="BR94" s="387"/>
      <c r="BS94" s="388"/>
      <c r="BT94" s="386"/>
      <c r="BU94" s="387"/>
      <c r="BV94" s="388"/>
      <c r="BW94" s="386"/>
      <c r="BX94" s="387"/>
      <c r="BY94" s="388"/>
      <c r="BZ94" s="386"/>
      <c r="CA94" s="387"/>
      <c r="CB94" s="388"/>
      <c r="CC94" s="386"/>
      <c r="CD94" s="387"/>
      <c r="CE94" s="388"/>
      <c r="CF94" s="386"/>
      <c r="CG94" s="387"/>
      <c r="CH94" s="388"/>
      <c r="CI94" s="386"/>
      <c r="CJ94" s="387"/>
      <c r="CK94" s="388"/>
      <c r="CL94" s="386"/>
      <c r="CM94" s="387"/>
      <c r="CN94" s="388"/>
      <c r="CO94" s="386"/>
      <c r="CP94" s="387"/>
      <c r="CQ94" s="388"/>
      <c r="CR94" s="386"/>
      <c r="CS94" s="387"/>
      <c r="CT94" s="388"/>
      <c r="CU94" s="386"/>
      <c r="CV94" s="387"/>
      <c r="CW94" s="388"/>
      <c r="CX94" s="386"/>
      <c r="CY94" s="387"/>
      <c r="CZ94" s="388"/>
    </row>
    <row r="95">
      <c r="A95" s="1"/>
      <c r="B95" s="402"/>
      <c r="C95" s="362" t="str">
        <f>'5-0 Товары'!C95</f>
        <v/>
      </c>
      <c r="D95" s="363" t="str">
        <f>'5-0 Товары'!D95</f>
        <v/>
      </c>
      <c r="E95" s="364" t="str">
        <f>'5-0 Товары'!E95</f>
        <v/>
      </c>
      <c r="F95" s="380"/>
      <c r="G95" s="380"/>
      <c r="H95" s="364" t="str">
        <f>'5-0 Товары'!F95</f>
        <v/>
      </c>
      <c r="I95" s="391"/>
      <c r="J95" s="364" t="str">
        <f>'5-0 Товары'!G95</f>
        <v/>
      </c>
      <c r="K95" s="366" t="str">
        <f>'5-0 Товары'!H95</f>
        <v/>
      </c>
      <c r="L95" s="382" t="str">
        <f t="shared" si="1"/>
        <v/>
      </c>
      <c r="M95" s="382"/>
      <c r="N95" s="380"/>
      <c r="O95" s="369" t="str">
        <f>'5-0 Товары'!I95</f>
        <v/>
      </c>
      <c r="P95" s="371" t="str">
        <f>'5-0 Товары'!N95</f>
        <v/>
      </c>
      <c r="Q95" s="197"/>
      <c r="R95" s="193"/>
      <c r="S95" s="187"/>
      <c r="T95" s="187"/>
      <c r="U95" s="187"/>
      <c r="V95" s="187"/>
      <c r="W95" s="187"/>
      <c r="X95" s="187"/>
      <c r="Y95" s="187" t="s">
        <v>96</v>
      </c>
      <c r="Z95" s="193" t="str">
        <f t="shared" si="2"/>
        <v/>
      </c>
      <c r="AA95" s="383"/>
      <c r="AB95" s="384"/>
      <c r="AC95" s="385"/>
      <c r="AD95" s="383"/>
      <c r="AE95" s="384"/>
      <c r="AF95" s="385"/>
      <c r="AG95" s="383"/>
      <c r="AH95" s="384"/>
      <c r="AI95" s="385"/>
      <c r="AJ95" s="383"/>
      <c r="AK95" s="384"/>
      <c r="AL95" s="385"/>
      <c r="AM95" s="383"/>
      <c r="AN95" s="384"/>
      <c r="AO95" s="385"/>
      <c r="AP95" s="383"/>
      <c r="AQ95" s="384"/>
      <c r="AR95" s="385"/>
      <c r="AS95" s="383"/>
      <c r="AT95" s="384"/>
      <c r="AU95" s="385"/>
      <c r="AV95" s="383"/>
      <c r="AW95" s="384"/>
      <c r="AX95" s="385"/>
      <c r="AY95" s="383"/>
      <c r="AZ95" s="384"/>
      <c r="BA95" s="385"/>
      <c r="BB95" s="386"/>
      <c r="BC95" s="387"/>
      <c r="BD95" s="388"/>
      <c r="BE95" s="386"/>
      <c r="BF95" s="387"/>
      <c r="BG95" s="388"/>
      <c r="BH95" s="386"/>
      <c r="BI95" s="387"/>
      <c r="BJ95" s="388"/>
      <c r="BK95" s="386"/>
      <c r="BL95" s="387"/>
      <c r="BM95" s="388"/>
      <c r="BN95" s="386"/>
      <c r="BO95" s="387"/>
      <c r="BP95" s="388"/>
      <c r="BQ95" s="386"/>
      <c r="BR95" s="387"/>
      <c r="BS95" s="388"/>
      <c r="BT95" s="386"/>
      <c r="BU95" s="387"/>
      <c r="BV95" s="388"/>
      <c r="BW95" s="386"/>
      <c r="BX95" s="387"/>
      <c r="BY95" s="388"/>
      <c r="BZ95" s="386"/>
      <c r="CA95" s="387"/>
      <c r="CB95" s="388"/>
      <c r="CC95" s="386"/>
      <c r="CD95" s="387"/>
      <c r="CE95" s="388"/>
      <c r="CF95" s="386"/>
      <c r="CG95" s="387"/>
      <c r="CH95" s="388"/>
      <c r="CI95" s="386"/>
      <c r="CJ95" s="387"/>
      <c r="CK95" s="388"/>
      <c r="CL95" s="386"/>
      <c r="CM95" s="387"/>
      <c r="CN95" s="388"/>
      <c r="CO95" s="386"/>
      <c r="CP95" s="387"/>
      <c r="CQ95" s="388"/>
      <c r="CR95" s="386"/>
      <c r="CS95" s="387"/>
      <c r="CT95" s="388"/>
      <c r="CU95" s="386"/>
      <c r="CV95" s="387"/>
      <c r="CW95" s="388"/>
      <c r="CX95" s="386"/>
      <c r="CY95" s="387"/>
      <c r="CZ95" s="388"/>
    </row>
    <row r="96">
      <c r="A96" s="1"/>
      <c r="B96" s="402"/>
      <c r="C96" s="362" t="str">
        <f>'5-0 Товары'!C96</f>
        <v/>
      </c>
      <c r="D96" s="363" t="str">
        <f>'5-0 Товары'!D96</f>
        <v/>
      </c>
      <c r="E96" s="364" t="str">
        <f>'5-0 Товары'!E96</f>
        <v/>
      </c>
      <c r="F96" s="380"/>
      <c r="G96" s="380"/>
      <c r="H96" s="364" t="str">
        <f>'5-0 Товары'!F96</f>
        <v/>
      </c>
      <c r="I96" s="391"/>
      <c r="J96" s="364" t="str">
        <f>'5-0 Товары'!G96</f>
        <v/>
      </c>
      <c r="K96" s="366" t="str">
        <f>'5-0 Товары'!H96</f>
        <v/>
      </c>
      <c r="L96" s="382" t="str">
        <f t="shared" si="1"/>
        <v/>
      </c>
      <c r="M96" s="382"/>
      <c r="N96" s="380"/>
      <c r="O96" s="369" t="str">
        <f>'5-0 Товары'!I96</f>
        <v/>
      </c>
      <c r="P96" s="371" t="str">
        <f>'5-0 Товары'!N96</f>
        <v/>
      </c>
      <c r="Q96" s="197"/>
      <c r="R96" s="193"/>
      <c r="S96" s="187"/>
      <c r="T96" s="187"/>
      <c r="U96" s="187"/>
      <c r="V96" s="187"/>
      <c r="W96" s="187"/>
      <c r="X96" s="187"/>
      <c r="Y96" s="187" t="s">
        <v>96</v>
      </c>
      <c r="Z96" s="193" t="str">
        <f t="shared" si="2"/>
        <v/>
      </c>
      <c r="AA96" s="383"/>
      <c r="AB96" s="384"/>
      <c r="AC96" s="385"/>
      <c r="AD96" s="383"/>
      <c r="AE96" s="384"/>
      <c r="AF96" s="385"/>
      <c r="AG96" s="383"/>
      <c r="AH96" s="384"/>
      <c r="AI96" s="385"/>
      <c r="AJ96" s="383"/>
      <c r="AK96" s="384"/>
      <c r="AL96" s="385"/>
      <c r="AM96" s="383"/>
      <c r="AN96" s="384"/>
      <c r="AO96" s="385"/>
      <c r="AP96" s="383"/>
      <c r="AQ96" s="384"/>
      <c r="AR96" s="385"/>
      <c r="AS96" s="383"/>
      <c r="AT96" s="384"/>
      <c r="AU96" s="385"/>
      <c r="AV96" s="383"/>
      <c r="AW96" s="384"/>
      <c r="AX96" s="385"/>
      <c r="AY96" s="383"/>
      <c r="AZ96" s="384"/>
      <c r="BA96" s="385"/>
      <c r="BB96" s="386"/>
      <c r="BC96" s="387"/>
      <c r="BD96" s="388"/>
      <c r="BE96" s="386"/>
      <c r="BF96" s="387"/>
      <c r="BG96" s="388"/>
      <c r="BH96" s="386"/>
      <c r="BI96" s="387"/>
      <c r="BJ96" s="388"/>
      <c r="BK96" s="386"/>
      <c r="BL96" s="387"/>
      <c r="BM96" s="388"/>
      <c r="BN96" s="386"/>
      <c r="BO96" s="387"/>
      <c r="BP96" s="388"/>
      <c r="BQ96" s="386"/>
      <c r="BR96" s="387"/>
      <c r="BS96" s="388"/>
      <c r="BT96" s="386"/>
      <c r="BU96" s="387"/>
      <c r="BV96" s="388"/>
      <c r="BW96" s="386"/>
      <c r="BX96" s="387"/>
      <c r="BY96" s="388"/>
      <c r="BZ96" s="386"/>
      <c r="CA96" s="387"/>
      <c r="CB96" s="388"/>
      <c r="CC96" s="386"/>
      <c r="CD96" s="387"/>
      <c r="CE96" s="388"/>
      <c r="CF96" s="386"/>
      <c r="CG96" s="387"/>
      <c r="CH96" s="388"/>
      <c r="CI96" s="386"/>
      <c r="CJ96" s="387"/>
      <c r="CK96" s="388"/>
      <c r="CL96" s="386"/>
      <c r="CM96" s="387"/>
      <c r="CN96" s="388"/>
      <c r="CO96" s="386"/>
      <c r="CP96" s="387"/>
      <c r="CQ96" s="388"/>
      <c r="CR96" s="386"/>
      <c r="CS96" s="387"/>
      <c r="CT96" s="388"/>
      <c r="CU96" s="386"/>
      <c r="CV96" s="387"/>
      <c r="CW96" s="388"/>
      <c r="CX96" s="386"/>
      <c r="CY96" s="387"/>
      <c r="CZ96" s="388"/>
    </row>
    <row r="97">
      <c r="A97" s="1"/>
      <c r="B97" s="402"/>
      <c r="C97" s="362" t="str">
        <f>'5-0 Товары'!C97</f>
        <v/>
      </c>
      <c r="D97" s="363" t="str">
        <f>'5-0 Товары'!D97</f>
        <v/>
      </c>
      <c r="E97" s="364" t="str">
        <f>'5-0 Товары'!E97</f>
        <v/>
      </c>
      <c r="F97" s="380"/>
      <c r="G97" s="380"/>
      <c r="H97" s="364" t="str">
        <f>'5-0 Товары'!F97</f>
        <v/>
      </c>
      <c r="I97" s="391"/>
      <c r="J97" s="364" t="str">
        <f>'5-0 Товары'!G97</f>
        <v/>
      </c>
      <c r="K97" s="366" t="str">
        <f>'5-0 Товары'!H97</f>
        <v/>
      </c>
      <c r="L97" s="382" t="str">
        <f t="shared" si="1"/>
        <v/>
      </c>
      <c r="M97" s="382"/>
      <c r="N97" s="380"/>
      <c r="O97" s="369" t="str">
        <f>'5-0 Товары'!I97</f>
        <v/>
      </c>
      <c r="P97" s="371" t="str">
        <f>'5-0 Товары'!N97</f>
        <v/>
      </c>
      <c r="Q97" s="197"/>
      <c r="R97" s="193"/>
      <c r="S97" s="187"/>
      <c r="T97" s="187"/>
      <c r="U97" s="187"/>
      <c r="V97" s="187"/>
      <c r="W97" s="187"/>
      <c r="X97" s="187"/>
      <c r="Y97" s="187" t="s">
        <v>96</v>
      </c>
      <c r="Z97" s="193" t="str">
        <f t="shared" si="2"/>
        <v/>
      </c>
      <c r="AA97" s="383"/>
      <c r="AB97" s="384"/>
      <c r="AC97" s="385"/>
      <c r="AD97" s="383"/>
      <c r="AE97" s="384"/>
      <c r="AF97" s="385"/>
      <c r="AG97" s="383"/>
      <c r="AH97" s="384"/>
      <c r="AI97" s="385"/>
      <c r="AJ97" s="383"/>
      <c r="AK97" s="384"/>
      <c r="AL97" s="385"/>
      <c r="AM97" s="383"/>
      <c r="AN97" s="384"/>
      <c r="AO97" s="385"/>
      <c r="AP97" s="383"/>
      <c r="AQ97" s="384"/>
      <c r="AR97" s="385"/>
      <c r="AS97" s="383"/>
      <c r="AT97" s="384"/>
      <c r="AU97" s="385"/>
      <c r="AV97" s="383"/>
      <c r="AW97" s="384"/>
      <c r="AX97" s="385"/>
      <c r="AY97" s="383"/>
      <c r="AZ97" s="384"/>
      <c r="BA97" s="385"/>
      <c r="BB97" s="386"/>
      <c r="BC97" s="387"/>
      <c r="BD97" s="388"/>
      <c r="BE97" s="386"/>
      <c r="BF97" s="387"/>
      <c r="BG97" s="388"/>
      <c r="BH97" s="386"/>
      <c r="BI97" s="387"/>
      <c r="BJ97" s="388"/>
      <c r="BK97" s="386"/>
      <c r="BL97" s="387"/>
      <c r="BM97" s="388"/>
      <c r="BN97" s="386"/>
      <c r="BO97" s="387"/>
      <c r="BP97" s="388"/>
      <c r="BQ97" s="386"/>
      <c r="BR97" s="387"/>
      <c r="BS97" s="388"/>
      <c r="BT97" s="386"/>
      <c r="BU97" s="387"/>
      <c r="BV97" s="388"/>
      <c r="BW97" s="386"/>
      <c r="BX97" s="387"/>
      <c r="BY97" s="388"/>
      <c r="BZ97" s="386"/>
      <c r="CA97" s="387"/>
      <c r="CB97" s="388"/>
      <c r="CC97" s="386"/>
      <c r="CD97" s="387"/>
      <c r="CE97" s="388"/>
      <c r="CF97" s="386"/>
      <c r="CG97" s="387"/>
      <c r="CH97" s="388"/>
      <c r="CI97" s="386"/>
      <c r="CJ97" s="387"/>
      <c r="CK97" s="388"/>
      <c r="CL97" s="386"/>
      <c r="CM97" s="387"/>
      <c r="CN97" s="388"/>
      <c r="CO97" s="386"/>
      <c r="CP97" s="387"/>
      <c r="CQ97" s="388"/>
      <c r="CR97" s="386"/>
      <c r="CS97" s="387"/>
      <c r="CT97" s="388"/>
      <c r="CU97" s="386"/>
      <c r="CV97" s="387"/>
      <c r="CW97" s="388"/>
      <c r="CX97" s="386"/>
      <c r="CY97" s="387"/>
      <c r="CZ97" s="388"/>
    </row>
    <row r="98">
      <c r="A98" s="1"/>
      <c r="B98" s="402"/>
      <c r="C98" s="362" t="str">
        <f>'5-0 Товары'!C98</f>
        <v/>
      </c>
      <c r="D98" s="363" t="str">
        <f>'5-0 Товары'!D98</f>
        <v/>
      </c>
      <c r="E98" s="364" t="str">
        <f>'5-0 Товары'!E98</f>
        <v/>
      </c>
      <c r="F98" s="380"/>
      <c r="G98" s="380"/>
      <c r="H98" s="364" t="str">
        <f>'5-0 Товары'!F98</f>
        <v/>
      </c>
      <c r="I98" s="391"/>
      <c r="J98" s="364" t="str">
        <f>'5-0 Товары'!G98</f>
        <v/>
      </c>
      <c r="K98" s="366" t="str">
        <f>'5-0 Товары'!H98</f>
        <v/>
      </c>
      <c r="L98" s="382" t="str">
        <f t="shared" si="1"/>
        <v/>
      </c>
      <c r="M98" s="382"/>
      <c r="N98" s="380"/>
      <c r="O98" s="369" t="str">
        <f>'5-0 Товары'!I98</f>
        <v/>
      </c>
      <c r="P98" s="371" t="str">
        <f>'5-0 Товары'!N98</f>
        <v/>
      </c>
      <c r="Q98" s="197"/>
      <c r="R98" s="193"/>
      <c r="S98" s="187"/>
      <c r="T98" s="187"/>
      <c r="U98" s="187"/>
      <c r="V98" s="187"/>
      <c r="W98" s="187"/>
      <c r="X98" s="187"/>
      <c r="Y98" s="187" t="s">
        <v>96</v>
      </c>
      <c r="Z98" s="193" t="str">
        <f t="shared" si="2"/>
        <v/>
      </c>
      <c r="AA98" s="383"/>
      <c r="AB98" s="384"/>
      <c r="AC98" s="385"/>
      <c r="AD98" s="383"/>
      <c r="AE98" s="384"/>
      <c r="AF98" s="385"/>
      <c r="AG98" s="383"/>
      <c r="AH98" s="384"/>
      <c r="AI98" s="385"/>
      <c r="AJ98" s="383"/>
      <c r="AK98" s="384"/>
      <c r="AL98" s="385"/>
      <c r="AM98" s="383"/>
      <c r="AN98" s="384"/>
      <c r="AO98" s="385"/>
      <c r="AP98" s="383"/>
      <c r="AQ98" s="384"/>
      <c r="AR98" s="385"/>
      <c r="AS98" s="383"/>
      <c r="AT98" s="384"/>
      <c r="AU98" s="385"/>
      <c r="AV98" s="383"/>
      <c r="AW98" s="384"/>
      <c r="AX98" s="385"/>
      <c r="AY98" s="383"/>
      <c r="AZ98" s="384"/>
      <c r="BA98" s="385"/>
      <c r="BB98" s="386"/>
      <c r="BC98" s="387"/>
      <c r="BD98" s="388"/>
      <c r="BE98" s="386"/>
      <c r="BF98" s="387"/>
      <c r="BG98" s="388"/>
      <c r="BH98" s="386"/>
      <c r="BI98" s="387"/>
      <c r="BJ98" s="388"/>
      <c r="BK98" s="386"/>
      <c r="BL98" s="387"/>
      <c r="BM98" s="388"/>
      <c r="BN98" s="386"/>
      <c r="BO98" s="387"/>
      <c r="BP98" s="388"/>
      <c r="BQ98" s="386"/>
      <c r="BR98" s="387"/>
      <c r="BS98" s="388"/>
      <c r="BT98" s="386"/>
      <c r="BU98" s="387"/>
      <c r="BV98" s="388"/>
      <c r="BW98" s="386"/>
      <c r="BX98" s="387"/>
      <c r="BY98" s="388"/>
      <c r="BZ98" s="386"/>
      <c r="CA98" s="387"/>
      <c r="CB98" s="388"/>
      <c r="CC98" s="386"/>
      <c r="CD98" s="387"/>
      <c r="CE98" s="388"/>
      <c r="CF98" s="386"/>
      <c r="CG98" s="387"/>
      <c r="CH98" s="388"/>
      <c r="CI98" s="386"/>
      <c r="CJ98" s="387"/>
      <c r="CK98" s="388"/>
      <c r="CL98" s="386"/>
      <c r="CM98" s="387"/>
      <c r="CN98" s="388"/>
      <c r="CO98" s="386"/>
      <c r="CP98" s="387"/>
      <c r="CQ98" s="388"/>
      <c r="CR98" s="386"/>
      <c r="CS98" s="387"/>
      <c r="CT98" s="388"/>
      <c r="CU98" s="386"/>
      <c r="CV98" s="387"/>
      <c r="CW98" s="388"/>
      <c r="CX98" s="386"/>
      <c r="CY98" s="387"/>
      <c r="CZ98" s="388"/>
    </row>
    <row r="99">
      <c r="A99" s="1"/>
      <c r="B99" s="402"/>
      <c r="C99" s="362" t="str">
        <f>'5-0 Товары'!C99</f>
        <v/>
      </c>
      <c r="D99" s="363" t="str">
        <f>'5-0 Товары'!D99</f>
        <v/>
      </c>
      <c r="E99" s="364" t="str">
        <f>'5-0 Товары'!E99</f>
        <v/>
      </c>
      <c r="F99" s="380"/>
      <c r="G99" s="380"/>
      <c r="H99" s="364" t="str">
        <f>'5-0 Товары'!F99</f>
        <v/>
      </c>
      <c r="I99" s="391"/>
      <c r="J99" s="364" t="str">
        <f>'5-0 Товары'!G99</f>
        <v/>
      </c>
      <c r="K99" s="366" t="str">
        <f>'5-0 Товары'!H99</f>
        <v/>
      </c>
      <c r="L99" s="382" t="str">
        <f t="shared" si="1"/>
        <v/>
      </c>
      <c r="M99" s="382"/>
      <c r="N99" s="380"/>
      <c r="O99" s="369" t="str">
        <f>'5-0 Товары'!I99</f>
        <v/>
      </c>
      <c r="P99" s="371" t="str">
        <f>'5-0 Товары'!N99</f>
        <v/>
      </c>
      <c r="Q99" s="197"/>
      <c r="R99" s="193"/>
      <c r="S99" s="187"/>
      <c r="T99" s="187"/>
      <c r="U99" s="187"/>
      <c r="V99" s="187"/>
      <c r="W99" s="187"/>
      <c r="X99" s="187"/>
      <c r="Y99" s="187" t="s">
        <v>96</v>
      </c>
      <c r="Z99" s="193" t="str">
        <f t="shared" si="2"/>
        <v/>
      </c>
      <c r="AA99" s="383"/>
      <c r="AB99" s="384"/>
      <c r="AC99" s="385"/>
      <c r="AD99" s="383"/>
      <c r="AE99" s="384"/>
      <c r="AF99" s="385"/>
      <c r="AG99" s="383"/>
      <c r="AH99" s="384"/>
      <c r="AI99" s="385"/>
      <c r="AJ99" s="383"/>
      <c r="AK99" s="384"/>
      <c r="AL99" s="385"/>
      <c r="AM99" s="383"/>
      <c r="AN99" s="384"/>
      <c r="AO99" s="385"/>
      <c r="AP99" s="383"/>
      <c r="AQ99" s="384"/>
      <c r="AR99" s="385"/>
      <c r="AS99" s="383"/>
      <c r="AT99" s="384"/>
      <c r="AU99" s="385"/>
      <c r="AV99" s="383"/>
      <c r="AW99" s="384"/>
      <c r="AX99" s="385"/>
      <c r="AY99" s="383"/>
      <c r="AZ99" s="384"/>
      <c r="BA99" s="385"/>
      <c r="BB99" s="386"/>
      <c r="BC99" s="387"/>
      <c r="BD99" s="388"/>
      <c r="BE99" s="386"/>
      <c r="BF99" s="387"/>
      <c r="BG99" s="388"/>
      <c r="BH99" s="386"/>
      <c r="BI99" s="387"/>
      <c r="BJ99" s="388"/>
      <c r="BK99" s="386"/>
      <c r="BL99" s="387"/>
      <c r="BM99" s="388"/>
      <c r="BN99" s="386"/>
      <c r="BO99" s="387"/>
      <c r="BP99" s="388"/>
      <c r="BQ99" s="386"/>
      <c r="BR99" s="387"/>
      <c r="BS99" s="388"/>
      <c r="BT99" s="386"/>
      <c r="BU99" s="387"/>
      <c r="BV99" s="388"/>
      <c r="BW99" s="386"/>
      <c r="BX99" s="387"/>
      <c r="BY99" s="388"/>
      <c r="BZ99" s="386"/>
      <c r="CA99" s="387"/>
      <c r="CB99" s="388"/>
      <c r="CC99" s="386"/>
      <c r="CD99" s="387"/>
      <c r="CE99" s="388"/>
      <c r="CF99" s="386"/>
      <c r="CG99" s="387"/>
      <c r="CH99" s="388"/>
      <c r="CI99" s="386"/>
      <c r="CJ99" s="387"/>
      <c r="CK99" s="388"/>
      <c r="CL99" s="386"/>
      <c r="CM99" s="387"/>
      <c r="CN99" s="388"/>
      <c r="CO99" s="386"/>
      <c r="CP99" s="387"/>
      <c r="CQ99" s="388"/>
      <c r="CR99" s="386"/>
      <c r="CS99" s="387"/>
      <c r="CT99" s="388"/>
      <c r="CU99" s="386"/>
      <c r="CV99" s="387"/>
      <c r="CW99" s="388"/>
      <c r="CX99" s="386"/>
      <c r="CY99" s="387"/>
      <c r="CZ99" s="388"/>
    </row>
    <row r="100">
      <c r="A100" s="1"/>
      <c r="B100" s="402"/>
      <c r="C100" s="362" t="str">
        <f>'5-0 Товары'!C100</f>
        <v/>
      </c>
      <c r="D100" s="363" t="str">
        <f>'5-0 Товары'!D100</f>
        <v/>
      </c>
      <c r="E100" s="364" t="str">
        <f>'5-0 Товары'!E100</f>
        <v/>
      </c>
      <c r="F100" s="380"/>
      <c r="G100" s="380"/>
      <c r="H100" s="364" t="str">
        <f>'5-0 Товары'!F100</f>
        <v/>
      </c>
      <c r="I100" s="391"/>
      <c r="J100" s="364" t="str">
        <f>'5-0 Товары'!G100</f>
        <v/>
      </c>
      <c r="K100" s="366" t="str">
        <f>'5-0 Товары'!H100</f>
        <v/>
      </c>
      <c r="L100" s="382" t="str">
        <f t="shared" si="1"/>
        <v/>
      </c>
      <c r="M100" s="382"/>
      <c r="N100" s="380"/>
      <c r="O100" s="369" t="str">
        <f>'5-0 Товары'!I100</f>
        <v/>
      </c>
      <c r="P100" s="371" t="str">
        <f>'5-0 Товары'!N100</f>
        <v/>
      </c>
      <c r="Q100" s="197"/>
      <c r="R100" s="193"/>
      <c r="S100" s="187"/>
      <c r="T100" s="187"/>
      <c r="U100" s="187"/>
      <c r="V100" s="187"/>
      <c r="W100" s="187"/>
      <c r="X100" s="187"/>
      <c r="Y100" s="187" t="s">
        <v>96</v>
      </c>
      <c r="Z100" s="193" t="str">
        <f t="shared" si="2"/>
        <v/>
      </c>
      <c r="AA100" s="383"/>
      <c r="AB100" s="384"/>
      <c r="AC100" s="385"/>
      <c r="AD100" s="383"/>
      <c r="AE100" s="384"/>
      <c r="AF100" s="385"/>
      <c r="AG100" s="383"/>
      <c r="AH100" s="384"/>
      <c r="AI100" s="385"/>
      <c r="AJ100" s="383"/>
      <c r="AK100" s="384"/>
      <c r="AL100" s="385"/>
      <c r="AM100" s="383"/>
      <c r="AN100" s="384"/>
      <c r="AO100" s="385"/>
      <c r="AP100" s="383"/>
      <c r="AQ100" s="384"/>
      <c r="AR100" s="385"/>
      <c r="AS100" s="383"/>
      <c r="AT100" s="384"/>
      <c r="AU100" s="385"/>
      <c r="AV100" s="383"/>
      <c r="AW100" s="384"/>
      <c r="AX100" s="385"/>
      <c r="AY100" s="383"/>
      <c r="AZ100" s="384"/>
      <c r="BA100" s="385"/>
      <c r="BB100" s="386"/>
      <c r="BC100" s="387"/>
      <c r="BD100" s="388"/>
      <c r="BE100" s="386"/>
      <c r="BF100" s="387"/>
      <c r="BG100" s="388"/>
      <c r="BH100" s="386"/>
      <c r="BI100" s="387"/>
      <c r="BJ100" s="388"/>
      <c r="BK100" s="386"/>
      <c r="BL100" s="387"/>
      <c r="BM100" s="388"/>
      <c r="BN100" s="386"/>
      <c r="BO100" s="387"/>
      <c r="BP100" s="388"/>
      <c r="BQ100" s="386"/>
      <c r="BR100" s="387"/>
      <c r="BS100" s="388"/>
      <c r="BT100" s="386"/>
      <c r="BU100" s="387"/>
      <c r="BV100" s="388"/>
      <c r="BW100" s="386"/>
      <c r="BX100" s="387"/>
      <c r="BY100" s="388"/>
      <c r="BZ100" s="386"/>
      <c r="CA100" s="387"/>
      <c r="CB100" s="388"/>
      <c r="CC100" s="386"/>
      <c r="CD100" s="387"/>
      <c r="CE100" s="388"/>
      <c r="CF100" s="386"/>
      <c r="CG100" s="387"/>
      <c r="CH100" s="388"/>
      <c r="CI100" s="386"/>
      <c r="CJ100" s="387"/>
      <c r="CK100" s="388"/>
      <c r="CL100" s="386"/>
      <c r="CM100" s="387"/>
      <c r="CN100" s="388"/>
      <c r="CO100" s="386"/>
      <c r="CP100" s="387"/>
      <c r="CQ100" s="388"/>
      <c r="CR100" s="386"/>
      <c r="CS100" s="387"/>
      <c r="CT100" s="388"/>
      <c r="CU100" s="386"/>
      <c r="CV100" s="387"/>
      <c r="CW100" s="388"/>
      <c r="CX100" s="386"/>
      <c r="CY100" s="387"/>
      <c r="CZ100" s="388"/>
    </row>
    <row r="101">
      <c r="A101" s="1"/>
      <c r="B101" s="402"/>
      <c r="C101" s="362" t="str">
        <f>'5-0 Товары'!C101</f>
        <v/>
      </c>
      <c r="D101" s="363" t="str">
        <f>'5-0 Товары'!D101</f>
        <v/>
      </c>
      <c r="E101" s="364" t="str">
        <f>'5-0 Товары'!E101</f>
        <v/>
      </c>
      <c r="F101" s="380"/>
      <c r="G101" s="380"/>
      <c r="H101" s="364" t="str">
        <f>'5-0 Товары'!F101</f>
        <v/>
      </c>
      <c r="I101" s="391"/>
      <c r="J101" s="364" t="str">
        <f>'5-0 Товары'!G101</f>
        <v/>
      </c>
      <c r="K101" s="366" t="str">
        <f>'5-0 Товары'!H101</f>
        <v/>
      </c>
      <c r="L101" s="382" t="str">
        <f t="shared" si="1"/>
        <v/>
      </c>
      <c r="M101" s="382"/>
      <c r="N101" s="380"/>
      <c r="O101" s="369" t="str">
        <f>'5-0 Товары'!I101</f>
        <v/>
      </c>
      <c r="P101" s="371" t="str">
        <f>'5-0 Товары'!N101</f>
        <v/>
      </c>
      <c r="Q101" s="197"/>
      <c r="R101" s="193"/>
      <c r="S101" s="187"/>
      <c r="T101" s="187"/>
      <c r="U101" s="187"/>
      <c r="V101" s="187"/>
      <c r="W101" s="187"/>
      <c r="X101" s="187"/>
      <c r="Y101" s="187" t="s">
        <v>96</v>
      </c>
      <c r="Z101" s="193" t="str">
        <f t="shared" si="2"/>
        <v/>
      </c>
      <c r="AA101" s="383"/>
      <c r="AB101" s="384"/>
      <c r="AC101" s="385"/>
      <c r="AD101" s="383"/>
      <c r="AE101" s="384"/>
      <c r="AF101" s="385"/>
      <c r="AG101" s="383"/>
      <c r="AH101" s="384"/>
      <c r="AI101" s="385"/>
      <c r="AJ101" s="383"/>
      <c r="AK101" s="384"/>
      <c r="AL101" s="385"/>
      <c r="AM101" s="383"/>
      <c r="AN101" s="384"/>
      <c r="AO101" s="385"/>
      <c r="AP101" s="383"/>
      <c r="AQ101" s="384"/>
      <c r="AR101" s="385"/>
      <c r="AS101" s="383"/>
      <c r="AT101" s="384"/>
      <c r="AU101" s="385"/>
      <c r="AV101" s="383"/>
      <c r="AW101" s="384"/>
      <c r="AX101" s="385"/>
      <c r="AY101" s="383"/>
      <c r="AZ101" s="384"/>
      <c r="BA101" s="385"/>
      <c r="BB101" s="386"/>
      <c r="BC101" s="387"/>
      <c r="BD101" s="388"/>
      <c r="BE101" s="386"/>
      <c r="BF101" s="387"/>
      <c r="BG101" s="388"/>
      <c r="BH101" s="386"/>
      <c r="BI101" s="387"/>
      <c r="BJ101" s="388"/>
      <c r="BK101" s="386"/>
      <c r="BL101" s="387"/>
      <c r="BM101" s="388"/>
      <c r="BN101" s="386"/>
      <c r="BO101" s="387"/>
      <c r="BP101" s="388"/>
      <c r="BQ101" s="386"/>
      <c r="BR101" s="387"/>
      <c r="BS101" s="388"/>
      <c r="BT101" s="386"/>
      <c r="BU101" s="387"/>
      <c r="BV101" s="388"/>
      <c r="BW101" s="386"/>
      <c r="BX101" s="387"/>
      <c r="BY101" s="388"/>
      <c r="BZ101" s="386"/>
      <c r="CA101" s="387"/>
      <c r="CB101" s="388"/>
      <c r="CC101" s="386"/>
      <c r="CD101" s="387"/>
      <c r="CE101" s="388"/>
      <c r="CF101" s="386"/>
      <c r="CG101" s="387"/>
      <c r="CH101" s="388"/>
      <c r="CI101" s="386"/>
      <c r="CJ101" s="387"/>
      <c r="CK101" s="388"/>
      <c r="CL101" s="386"/>
      <c r="CM101" s="387"/>
      <c r="CN101" s="388"/>
      <c r="CO101" s="386"/>
      <c r="CP101" s="387"/>
      <c r="CQ101" s="388"/>
      <c r="CR101" s="386"/>
      <c r="CS101" s="387"/>
      <c r="CT101" s="388"/>
      <c r="CU101" s="386"/>
      <c r="CV101" s="387"/>
      <c r="CW101" s="388"/>
      <c r="CX101" s="386"/>
      <c r="CY101" s="387"/>
      <c r="CZ101" s="388"/>
    </row>
    <row r="102">
      <c r="A102" s="1"/>
      <c r="B102" s="402"/>
      <c r="C102" s="362" t="str">
        <f>'5-0 Товары'!C102</f>
        <v/>
      </c>
      <c r="D102" s="363" t="str">
        <f>'5-0 Товары'!D102</f>
        <v/>
      </c>
      <c r="E102" s="364" t="str">
        <f>'5-0 Товары'!E102</f>
        <v/>
      </c>
      <c r="F102" s="380"/>
      <c r="G102" s="380"/>
      <c r="H102" s="364" t="str">
        <f>'5-0 Товары'!F102</f>
        <v/>
      </c>
      <c r="I102" s="391"/>
      <c r="J102" s="364" t="str">
        <f>'5-0 Товары'!G102</f>
        <v/>
      </c>
      <c r="K102" s="366" t="str">
        <f>'5-0 Товары'!H102</f>
        <v/>
      </c>
      <c r="L102" s="382" t="str">
        <f t="shared" si="1"/>
        <v/>
      </c>
      <c r="M102" s="382"/>
      <c r="N102" s="380"/>
      <c r="O102" s="369" t="str">
        <f>'5-0 Товары'!I102</f>
        <v/>
      </c>
      <c r="P102" s="371" t="str">
        <f>'5-0 Товары'!N102</f>
        <v/>
      </c>
      <c r="Q102" s="197"/>
      <c r="R102" s="193"/>
      <c r="S102" s="187"/>
      <c r="T102" s="187"/>
      <c r="U102" s="187"/>
      <c r="V102" s="187"/>
      <c r="W102" s="187"/>
      <c r="X102" s="187"/>
      <c r="Y102" s="187" t="s">
        <v>96</v>
      </c>
      <c r="Z102" s="193" t="str">
        <f t="shared" si="2"/>
        <v/>
      </c>
      <c r="AA102" s="383"/>
      <c r="AB102" s="384"/>
      <c r="AC102" s="385"/>
      <c r="AD102" s="383"/>
      <c r="AE102" s="384"/>
      <c r="AF102" s="385"/>
      <c r="AG102" s="383"/>
      <c r="AH102" s="384"/>
      <c r="AI102" s="385"/>
      <c r="AJ102" s="383"/>
      <c r="AK102" s="384"/>
      <c r="AL102" s="385"/>
      <c r="AM102" s="383"/>
      <c r="AN102" s="384"/>
      <c r="AO102" s="385"/>
      <c r="AP102" s="383"/>
      <c r="AQ102" s="384"/>
      <c r="AR102" s="385"/>
      <c r="AS102" s="383"/>
      <c r="AT102" s="384"/>
      <c r="AU102" s="385"/>
      <c r="AV102" s="383"/>
      <c r="AW102" s="384"/>
      <c r="AX102" s="385"/>
      <c r="AY102" s="383"/>
      <c r="AZ102" s="384"/>
      <c r="BA102" s="385"/>
      <c r="BB102" s="386"/>
      <c r="BC102" s="387"/>
      <c r="BD102" s="388"/>
      <c r="BE102" s="386"/>
      <c r="BF102" s="387"/>
      <c r="BG102" s="388"/>
      <c r="BH102" s="386"/>
      <c r="BI102" s="387"/>
      <c r="BJ102" s="388"/>
      <c r="BK102" s="386"/>
      <c r="BL102" s="387"/>
      <c r="BM102" s="388"/>
      <c r="BN102" s="386"/>
      <c r="BO102" s="387"/>
      <c r="BP102" s="388"/>
      <c r="BQ102" s="386"/>
      <c r="BR102" s="387"/>
      <c r="BS102" s="388"/>
      <c r="BT102" s="386"/>
      <c r="BU102" s="387"/>
      <c r="BV102" s="388"/>
      <c r="BW102" s="386"/>
      <c r="BX102" s="387"/>
      <c r="BY102" s="388"/>
      <c r="BZ102" s="386"/>
      <c r="CA102" s="387"/>
      <c r="CB102" s="388"/>
      <c r="CC102" s="386"/>
      <c r="CD102" s="387"/>
      <c r="CE102" s="388"/>
      <c r="CF102" s="386"/>
      <c r="CG102" s="387"/>
      <c r="CH102" s="388"/>
      <c r="CI102" s="386"/>
      <c r="CJ102" s="387"/>
      <c r="CK102" s="388"/>
      <c r="CL102" s="386"/>
      <c r="CM102" s="387"/>
      <c r="CN102" s="388"/>
      <c r="CO102" s="386"/>
      <c r="CP102" s="387"/>
      <c r="CQ102" s="388"/>
      <c r="CR102" s="386"/>
      <c r="CS102" s="387"/>
      <c r="CT102" s="388"/>
      <c r="CU102" s="386"/>
      <c r="CV102" s="387"/>
      <c r="CW102" s="388"/>
      <c r="CX102" s="386"/>
      <c r="CY102" s="387"/>
      <c r="CZ102" s="388"/>
    </row>
    <row r="103">
      <c r="A103" s="1"/>
      <c r="B103" s="402"/>
      <c r="C103" s="362" t="str">
        <f>'5-0 Товары'!C103</f>
        <v/>
      </c>
      <c r="D103" s="363" t="str">
        <f>'5-0 Товары'!D103</f>
        <v/>
      </c>
      <c r="E103" s="364" t="str">
        <f>'5-0 Товары'!E103</f>
        <v/>
      </c>
      <c r="F103" s="380"/>
      <c r="G103" s="380"/>
      <c r="H103" s="364" t="str">
        <f>'5-0 Товары'!F103</f>
        <v/>
      </c>
      <c r="I103" s="391"/>
      <c r="J103" s="364" t="str">
        <f>'5-0 Товары'!G103</f>
        <v/>
      </c>
      <c r="K103" s="366" t="str">
        <f>'5-0 Товары'!H103</f>
        <v/>
      </c>
      <c r="L103" s="382" t="str">
        <f t="shared" si="1"/>
        <v/>
      </c>
      <c r="M103" s="382"/>
      <c r="N103" s="380"/>
      <c r="O103" s="369" t="str">
        <f>'5-0 Товары'!I103</f>
        <v/>
      </c>
      <c r="P103" s="371" t="str">
        <f>'5-0 Товары'!N103</f>
        <v/>
      </c>
      <c r="Q103" s="197"/>
      <c r="R103" s="193"/>
      <c r="S103" s="187"/>
      <c r="T103" s="187"/>
      <c r="U103" s="187"/>
      <c r="V103" s="187"/>
      <c r="W103" s="187"/>
      <c r="X103" s="187"/>
      <c r="Y103" s="187" t="s">
        <v>96</v>
      </c>
      <c r="Z103" s="193" t="str">
        <f t="shared" si="2"/>
        <v/>
      </c>
      <c r="AA103" s="383"/>
      <c r="AB103" s="384"/>
      <c r="AC103" s="385"/>
      <c r="AD103" s="383"/>
      <c r="AE103" s="384"/>
      <c r="AF103" s="385"/>
      <c r="AG103" s="383"/>
      <c r="AH103" s="384"/>
      <c r="AI103" s="385"/>
      <c r="AJ103" s="383"/>
      <c r="AK103" s="384"/>
      <c r="AL103" s="385"/>
      <c r="AM103" s="383"/>
      <c r="AN103" s="384"/>
      <c r="AO103" s="385"/>
      <c r="AP103" s="383"/>
      <c r="AQ103" s="384"/>
      <c r="AR103" s="385"/>
      <c r="AS103" s="383"/>
      <c r="AT103" s="384"/>
      <c r="AU103" s="385"/>
      <c r="AV103" s="383"/>
      <c r="AW103" s="384"/>
      <c r="AX103" s="385"/>
      <c r="AY103" s="383"/>
      <c r="AZ103" s="384"/>
      <c r="BA103" s="385"/>
      <c r="BB103" s="386"/>
      <c r="BC103" s="387"/>
      <c r="BD103" s="388"/>
      <c r="BE103" s="386"/>
      <c r="BF103" s="387"/>
      <c r="BG103" s="388"/>
      <c r="BH103" s="386"/>
      <c r="BI103" s="387"/>
      <c r="BJ103" s="388"/>
      <c r="BK103" s="386"/>
      <c r="BL103" s="387"/>
      <c r="BM103" s="388"/>
      <c r="BN103" s="386"/>
      <c r="BO103" s="387"/>
      <c r="BP103" s="388"/>
      <c r="BQ103" s="386"/>
      <c r="BR103" s="387"/>
      <c r="BS103" s="388"/>
      <c r="BT103" s="386"/>
      <c r="BU103" s="387"/>
      <c r="BV103" s="388"/>
      <c r="BW103" s="386"/>
      <c r="BX103" s="387"/>
      <c r="BY103" s="388"/>
      <c r="BZ103" s="386"/>
      <c r="CA103" s="387"/>
      <c r="CB103" s="388"/>
      <c r="CC103" s="386"/>
      <c r="CD103" s="387"/>
      <c r="CE103" s="388"/>
      <c r="CF103" s="386"/>
      <c r="CG103" s="387"/>
      <c r="CH103" s="388"/>
      <c r="CI103" s="386"/>
      <c r="CJ103" s="387"/>
      <c r="CK103" s="388"/>
      <c r="CL103" s="386"/>
      <c r="CM103" s="387"/>
      <c r="CN103" s="388"/>
      <c r="CO103" s="386"/>
      <c r="CP103" s="387"/>
      <c r="CQ103" s="388"/>
      <c r="CR103" s="386"/>
      <c r="CS103" s="387"/>
      <c r="CT103" s="388"/>
      <c r="CU103" s="386"/>
      <c r="CV103" s="387"/>
      <c r="CW103" s="388"/>
      <c r="CX103" s="386"/>
      <c r="CY103" s="387"/>
      <c r="CZ103" s="388"/>
    </row>
    <row r="104">
      <c r="A104" s="1"/>
      <c r="B104" s="402"/>
      <c r="C104" s="362" t="str">
        <f>'5-0 Товары'!C104</f>
        <v/>
      </c>
      <c r="D104" s="363" t="str">
        <f>'5-0 Товары'!D104</f>
        <v/>
      </c>
      <c r="E104" s="364" t="str">
        <f>'5-0 Товары'!E104</f>
        <v/>
      </c>
      <c r="F104" s="380"/>
      <c r="G104" s="380"/>
      <c r="H104" s="364" t="str">
        <f>'5-0 Товары'!F104</f>
        <v/>
      </c>
      <c r="I104" s="391"/>
      <c r="J104" s="364" t="str">
        <f>'5-0 Товары'!G104</f>
        <v/>
      </c>
      <c r="K104" s="366" t="str">
        <f>'5-0 Товары'!H104</f>
        <v/>
      </c>
      <c r="L104" s="382" t="str">
        <f t="shared" si="1"/>
        <v/>
      </c>
      <c r="M104" s="382"/>
      <c r="N104" s="380"/>
      <c r="O104" s="369" t="str">
        <f>'5-0 Товары'!I104</f>
        <v/>
      </c>
      <c r="P104" s="371" t="str">
        <f>'5-0 Товары'!N104</f>
        <v/>
      </c>
      <c r="Q104" s="197"/>
      <c r="R104" s="193"/>
      <c r="S104" s="187"/>
      <c r="T104" s="187"/>
      <c r="U104" s="187"/>
      <c r="V104" s="187"/>
      <c r="W104" s="187"/>
      <c r="X104" s="187"/>
      <c r="Y104" s="187" t="s">
        <v>96</v>
      </c>
      <c r="Z104" s="193" t="str">
        <f t="shared" si="2"/>
        <v/>
      </c>
      <c r="AA104" s="383"/>
      <c r="AB104" s="384"/>
      <c r="AC104" s="385"/>
      <c r="AD104" s="383"/>
      <c r="AE104" s="384"/>
      <c r="AF104" s="385"/>
      <c r="AG104" s="383"/>
      <c r="AH104" s="384"/>
      <c r="AI104" s="385"/>
      <c r="AJ104" s="383"/>
      <c r="AK104" s="384"/>
      <c r="AL104" s="385"/>
      <c r="AM104" s="383"/>
      <c r="AN104" s="384"/>
      <c r="AO104" s="385"/>
      <c r="AP104" s="383"/>
      <c r="AQ104" s="384"/>
      <c r="AR104" s="385"/>
      <c r="AS104" s="383"/>
      <c r="AT104" s="384"/>
      <c r="AU104" s="385"/>
      <c r="AV104" s="383"/>
      <c r="AW104" s="384"/>
      <c r="AX104" s="385"/>
      <c r="AY104" s="383"/>
      <c r="AZ104" s="384"/>
      <c r="BA104" s="385"/>
      <c r="BB104" s="386"/>
      <c r="BC104" s="387"/>
      <c r="BD104" s="388"/>
      <c r="BE104" s="386"/>
      <c r="BF104" s="387"/>
      <c r="BG104" s="388"/>
      <c r="BH104" s="386"/>
      <c r="BI104" s="387"/>
      <c r="BJ104" s="388"/>
      <c r="BK104" s="386"/>
      <c r="BL104" s="387"/>
      <c r="BM104" s="388"/>
      <c r="BN104" s="386"/>
      <c r="BO104" s="387"/>
      <c r="BP104" s="388"/>
      <c r="BQ104" s="386"/>
      <c r="BR104" s="387"/>
      <c r="BS104" s="388"/>
      <c r="BT104" s="386"/>
      <c r="BU104" s="387"/>
      <c r="BV104" s="388"/>
      <c r="BW104" s="386"/>
      <c r="BX104" s="387"/>
      <c r="BY104" s="388"/>
      <c r="BZ104" s="386"/>
      <c r="CA104" s="387"/>
      <c r="CB104" s="388"/>
      <c r="CC104" s="386"/>
      <c r="CD104" s="387"/>
      <c r="CE104" s="388"/>
      <c r="CF104" s="386"/>
      <c r="CG104" s="387"/>
      <c r="CH104" s="388"/>
      <c r="CI104" s="386"/>
      <c r="CJ104" s="387"/>
      <c r="CK104" s="388"/>
      <c r="CL104" s="386"/>
      <c r="CM104" s="387"/>
      <c r="CN104" s="388"/>
      <c r="CO104" s="386"/>
      <c r="CP104" s="387"/>
      <c r="CQ104" s="388"/>
      <c r="CR104" s="386"/>
      <c r="CS104" s="387"/>
      <c r="CT104" s="388"/>
      <c r="CU104" s="386"/>
      <c r="CV104" s="387"/>
      <c r="CW104" s="388"/>
      <c r="CX104" s="386"/>
      <c r="CY104" s="387"/>
      <c r="CZ104" s="388"/>
    </row>
    <row r="105">
      <c r="A105" s="1"/>
      <c r="B105" s="402"/>
      <c r="C105" s="362" t="str">
        <f>'5-0 Товары'!C105</f>
        <v/>
      </c>
      <c r="D105" s="363" t="str">
        <f>'5-0 Товары'!D105</f>
        <v/>
      </c>
      <c r="E105" s="364" t="str">
        <f>'5-0 Товары'!E105</f>
        <v/>
      </c>
      <c r="F105" s="380"/>
      <c r="G105" s="380"/>
      <c r="H105" s="364" t="str">
        <f>'5-0 Товары'!F105</f>
        <v/>
      </c>
      <c r="I105" s="391"/>
      <c r="J105" s="364" t="str">
        <f>'5-0 Товары'!G105</f>
        <v/>
      </c>
      <c r="K105" s="366" t="str">
        <f>'5-0 Товары'!H105</f>
        <v/>
      </c>
      <c r="L105" s="382" t="str">
        <f t="shared" si="1"/>
        <v/>
      </c>
      <c r="M105" s="382"/>
      <c r="N105" s="380"/>
      <c r="O105" s="369" t="str">
        <f>'5-0 Товары'!I105</f>
        <v/>
      </c>
      <c r="P105" s="371" t="str">
        <f>'5-0 Товары'!N105</f>
        <v/>
      </c>
      <c r="Q105" s="197"/>
      <c r="R105" s="193"/>
      <c r="S105" s="187"/>
      <c r="T105" s="187"/>
      <c r="U105" s="187"/>
      <c r="V105" s="187"/>
      <c r="W105" s="187"/>
      <c r="X105" s="187"/>
      <c r="Y105" s="187" t="s">
        <v>96</v>
      </c>
      <c r="Z105" s="193" t="str">
        <f t="shared" si="2"/>
        <v/>
      </c>
      <c r="AA105" s="383"/>
      <c r="AB105" s="384"/>
      <c r="AC105" s="385"/>
      <c r="AD105" s="383"/>
      <c r="AE105" s="384"/>
      <c r="AF105" s="385"/>
      <c r="AG105" s="383"/>
      <c r="AH105" s="384"/>
      <c r="AI105" s="385"/>
      <c r="AJ105" s="383"/>
      <c r="AK105" s="384"/>
      <c r="AL105" s="385"/>
      <c r="AM105" s="383"/>
      <c r="AN105" s="384"/>
      <c r="AO105" s="385"/>
      <c r="AP105" s="383"/>
      <c r="AQ105" s="384"/>
      <c r="AR105" s="385"/>
      <c r="AS105" s="383"/>
      <c r="AT105" s="384"/>
      <c r="AU105" s="385"/>
      <c r="AV105" s="383"/>
      <c r="AW105" s="384"/>
      <c r="AX105" s="385"/>
      <c r="AY105" s="383"/>
      <c r="AZ105" s="384"/>
      <c r="BA105" s="385"/>
      <c r="BB105" s="386"/>
      <c r="BC105" s="387"/>
      <c r="BD105" s="388"/>
      <c r="BE105" s="386"/>
      <c r="BF105" s="387"/>
      <c r="BG105" s="388"/>
      <c r="BH105" s="386"/>
      <c r="BI105" s="387"/>
      <c r="BJ105" s="388"/>
      <c r="BK105" s="386"/>
      <c r="BL105" s="387"/>
      <c r="BM105" s="388"/>
      <c r="BN105" s="386"/>
      <c r="BO105" s="387"/>
      <c r="BP105" s="388"/>
      <c r="BQ105" s="386"/>
      <c r="BR105" s="387"/>
      <c r="BS105" s="388"/>
      <c r="BT105" s="386"/>
      <c r="BU105" s="387"/>
      <c r="BV105" s="388"/>
      <c r="BW105" s="386"/>
      <c r="BX105" s="387"/>
      <c r="BY105" s="388"/>
      <c r="BZ105" s="386"/>
      <c r="CA105" s="387"/>
      <c r="CB105" s="388"/>
      <c r="CC105" s="386"/>
      <c r="CD105" s="387"/>
      <c r="CE105" s="388"/>
      <c r="CF105" s="386"/>
      <c r="CG105" s="387"/>
      <c r="CH105" s="388"/>
      <c r="CI105" s="386"/>
      <c r="CJ105" s="387"/>
      <c r="CK105" s="388"/>
      <c r="CL105" s="386"/>
      <c r="CM105" s="387"/>
      <c r="CN105" s="388"/>
      <c r="CO105" s="386"/>
      <c r="CP105" s="387"/>
      <c r="CQ105" s="388"/>
      <c r="CR105" s="386"/>
      <c r="CS105" s="387"/>
      <c r="CT105" s="388"/>
      <c r="CU105" s="386"/>
      <c r="CV105" s="387"/>
      <c r="CW105" s="388"/>
      <c r="CX105" s="386"/>
      <c r="CY105" s="387"/>
      <c r="CZ105" s="388"/>
    </row>
    <row r="106">
      <c r="A106" s="1"/>
      <c r="B106" s="402"/>
      <c r="C106" s="362" t="str">
        <f>'5-0 Товары'!C106</f>
        <v/>
      </c>
      <c r="D106" s="363" t="str">
        <f>'5-0 Товары'!D106</f>
        <v/>
      </c>
      <c r="E106" s="364" t="str">
        <f>'5-0 Товары'!E106</f>
        <v/>
      </c>
      <c r="F106" s="380"/>
      <c r="G106" s="380"/>
      <c r="H106" s="364" t="str">
        <f>'5-0 Товары'!F106</f>
        <v/>
      </c>
      <c r="I106" s="391"/>
      <c r="J106" s="364" t="str">
        <f>'5-0 Товары'!G106</f>
        <v/>
      </c>
      <c r="K106" s="366" t="str">
        <f>'5-0 Товары'!H106</f>
        <v/>
      </c>
      <c r="L106" s="382" t="str">
        <f t="shared" si="1"/>
        <v/>
      </c>
      <c r="M106" s="382"/>
      <c r="N106" s="380"/>
      <c r="O106" s="369" t="str">
        <f>'5-0 Товары'!I106</f>
        <v/>
      </c>
      <c r="P106" s="371" t="str">
        <f>'5-0 Товары'!N106</f>
        <v/>
      </c>
      <c r="Q106" s="197"/>
      <c r="R106" s="193"/>
      <c r="S106" s="187"/>
      <c r="T106" s="187"/>
      <c r="U106" s="187"/>
      <c r="V106" s="187"/>
      <c r="W106" s="187"/>
      <c r="X106" s="187"/>
      <c r="Y106" s="187" t="s">
        <v>96</v>
      </c>
      <c r="Z106" s="193" t="str">
        <f t="shared" si="2"/>
        <v/>
      </c>
      <c r="AA106" s="383"/>
      <c r="AB106" s="384"/>
      <c r="AC106" s="385"/>
      <c r="AD106" s="383"/>
      <c r="AE106" s="384"/>
      <c r="AF106" s="385"/>
      <c r="AG106" s="383"/>
      <c r="AH106" s="384"/>
      <c r="AI106" s="385"/>
      <c r="AJ106" s="383"/>
      <c r="AK106" s="384"/>
      <c r="AL106" s="385"/>
      <c r="AM106" s="383"/>
      <c r="AN106" s="384"/>
      <c r="AO106" s="385"/>
      <c r="AP106" s="383"/>
      <c r="AQ106" s="384"/>
      <c r="AR106" s="385"/>
      <c r="AS106" s="383"/>
      <c r="AT106" s="384"/>
      <c r="AU106" s="385"/>
      <c r="AV106" s="383"/>
      <c r="AW106" s="384"/>
      <c r="AX106" s="385"/>
      <c r="AY106" s="383"/>
      <c r="AZ106" s="384"/>
      <c r="BA106" s="385"/>
      <c r="BB106" s="386"/>
      <c r="BC106" s="387"/>
      <c r="BD106" s="388"/>
      <c r="BE106" s="386"/>
      <c r="BF106" s="387"/>
      <c r="BG106" s="388"/>
      <c r="BH106" s="386"/>
      <c r="BI106" s="387"/>
      <c r="BJ106" s="388"/>
      <c r="BK106" s="386"/>
      <c r="BL106" s="387"/>
      <c r="BM106" s="388"/>
      <c r="BN106" s="386"/>
      <c r="BO106" s="387"/>
      <c r="BP106" s="388"/>
      <c r="BQ106" s="386"/>
      <c r="BR106" s="387"/>
      <c r="BS106" s="388"/>
      <c r="BT106" s="386"/>
      <c r="BU106" s="387"/>
      <c r="BV106" s="388"/>
      <c r="BW106" s="386"/>
      <c r="BX106" s="387"/>
      <c r="BY106" s="388"/>
      <c r="BZ106" s="386"/>
      <c r="CA106" s="387"/>
      <c r="CB106" s="388"/>
      <c r="CC106" s="386"/>
      <c r="CD106" s="387"/>
      <c r="CE106" s="388"/>
      <c r="CF106" s="386"/>
      <c r="CG106" s="387"/>
      <c r="CH106" s="388"/>
      <c r="CI106" s="386"/>
      <c r="CJ106" s="387"/>
      <c r="CK106" s="388"/>
      <c r="CL106" s="386"/>
      <c r="CM106" s="387"/>
      <c r="CN106" s="388"/>
      <c r="CO106" s="386"/>
      <c r="CP106" s="387"/>
      <c r="CQ106" s="388"/>
      <c r="CR106" s="386"/>
      <c r="CS106" s="387"/>
      <c r="CT106" s="388"/>
      <c r="CU106" s="386"/>
      <c r="CV106" s="387"/>
      <c r="CW106" s="388"/>
      <c r="CX106" s="386"/>
      <c r="CY106" s="387"/>
      <c r="CZ106" s="388"/>
    </row>
    <row r="107">
      <c r="A107" s="1"/>
      <c r="B107" s="402"/>
      <c r="C107" s="362" t="str">
        <f>'5-0 Товары'!C107</f>
        <v/>
      </c>
      <c r="D107" s="363" t="str">
        <f>'5-0 Товары'!D107</f>
        <v/>
      </c>
      <c r="E107" s="364" t="str">
        <f>'5-0 Товары'!E107</f>
        <v/>
      </c>
      <c r="F107" s="380"/>
      <c r="G107" s="380"/>
      <c r="H107" s="364" t="str">
        <f>'5-0 Товары'!F107</f>
        <v/>
      </c>
      <c r="I107" s="391"/>
      <c r="J107" s="364" t="str">
        <f>'5-0 Товары'!G107</f>
        <v/>
      </c>
      <c r="K107" s="366" t="str">
        <f>'5-0 Товары'!H107</f>
        <v/>
      </c>
      <c r="L107" s="382" t="str">
        <f t="shared" si="1"/>
        <v/>
      </c>
      <c r="M107" s="382"/>
      <c r="N107" s="380"/>
      <c r="O107" s="369" t="str">
        <f>'5-0 Товары'!I107</f>
        <v/>
      </c>
      <c r="P107" s="371" t="str">
        <f>'5-0 Товары'!N107</f>
        <v/>
      </c>
      <c r="Q107" s="197"/>
      <c r="R107" s="193"/>
      <c r="S107" s="187"/>
      <c r="T107" s="187"/>
      <c r="U107" s="187"/>
      <c r="V107" s="187"/>
      <c r="W107" s="187"/>
      <c r="X107" s="187"/>
      <c r="Y107" s="187" t="s">
        <v>96</v>
      </c>
      <c r="Z107" s="193" t="str">
        <f t="shared" si="2"/>
        <v/>
      </c>
      <c r="AA107" s="383"/>
      <c r="AB107" s="384"/>
      <c r="AC107" s="385"/>
      <c r="AD107" s="383"/>
      <c r="AE107" s="384"/>
      <c r="AF107" s="385"/>
      <c r="AG107" s="383"/>
      <c r="AH107" s="384"/>
      <c r="AI107" s="385"/>
      <c r="AJ107" s="383"/>
      <c r="AK107" s="384"/>
      <c r="AL107" s="385"/>
      <c r="AM107" s="383"/>
      <c r="AN107" s="384"/>
      <c r="AO107" s="385"/>
      <c r="AP107" s="383"/>
      <c r="AQ107" s="384"/>
      <c r="AR107" s="385"/>
      <c r="AS107" s="383"/>
      <c r="AT107" s="384"/>
      <c r="AU107" s="385"/>
      <c r="AV107" s="383"/>
      <c r="AW107" s="384"/>
      <c r="AX107" s="385"/>
      <c r="AY107" s="383"/>
      <c r="AZ107" s="384"/>
      <c r="BA107" s="385"/>
      <c r="BB107" s="386"/>
      <c r="BC107" s="387"/>
      <c r="BD107" s="388"/>
      <c r="BE107" s="386"/>
      <c r="BF107" s="387"/>
      <c r="BG107" s="388"/>
      <c r="BH107" s="386"/>
      <c r="BI107" s="387"/>
      <c r="BJ107" s="388"/>
      <c r="BK107" s="386"/>
      <c r="BL107" s="387"/>
      <c r="BM107" s="388"/>
      <c r="BN107" s="386"/>
      <c r="BO107" s="387"/>
      <c r="BP107" s="388"/>
      <c r="BQ107" s="386"/>
      <c r="BR107" s="387"/>
      <c r="BS107" s="388"/>
      <c r="BT107" s="386"/>
      <c r="BU107" s="387"/>
      <c r="BV107" s="388"/>
      <c r="BW107" s="386"/>
      <c r="BX107" s="387"/>
      <c r="BY107" s="388"/>
      <c r="BZ107" s="386"/>
      <c r="CA107" s="387"/>
      <c r="CB107" s="388"/>
      <c r="CC107" s="386"/>
      <c r="CD107" s="387"/>
      <c r="CE107" s="388"/>
      <c r="CF107" s="386"/>
      <c r="CG107" s="387"/>
      <c r="CH107" s="388"/>
      <c r="CI107" s="386"/>
      <c r="CJ107" s="387"/>
      <c r="CK107" s="388"/>
      <c r="CL107" s="386"/>
      <c r="CM107" s="387"/>
      <c r="CN107" s="388"/>
      <c r="CO107" s="386"/>
      <c r="CP107" s="387"/>
      <c r="CQ107" s="388"/>
      <c r="CR107" s="386"/>
      <c r="CS107" s="387"/>
      <c r="CT107" s="388"/>
      <c r="CU107" s="386"/>
      <c r="CV107" s="387"/>
      <c r="CW107" s="388"/>
      <c r="CX107" s="386"/>
      <c r="CY107" s="387"/>
      <c r="CZ107" s="388"/>
    </row>
    <row r="108">
      <c r="A108" s="1"/>
      <c r="B108" s="402"/>
      <c r="C108" s="362" t="str">
        <f>'5-0 Товары'!C108</f>
        <v/>
      </c>
      <c r="D108" s="363" t="str">
        <f>'5-0 Товары'!D108</f>
        <v/>
      </c>
      <c r="E108" s="364" t="str">
        <f>'5-0 Товары'!E108</f>
        <v/>
      </c>
      <c r="F108" s="380"/>
      <c r="G108" s="380"/>
      <c r="H108" s="364" t="str">
        <f>'5-0 Товары'!F108</f>
        <v/>
      </c>
      <c r="I108" s="391"/>
      <c r="J108" s="364" t="str">
        <f>'5-0 Товары'!G108</f>
        <v/>
      </c>
      <c r="K108" s="366" t="str">
        <f>'5-0 Товары'!H108</f>
        <v/>
      </c>
      <c r="L108" s="382" t="str">
        <f t="shared" si="1"/>
        <v/>
      </c>
      <c r="M108" s="382"/>
      <c r="N108" s="380"/>
      <c r="O108" s="369" t="str">
        <f>'5-0 Товары'!I108</f>
        <v/>
      </c>
      <c r="P108" s="371" t="str">
        <f>'5-0 Товары'!N108</f>
        <v/>
      </c>
      <c r="Q108" s="197"/>
      <c r="R108" s="193"/>
      <c r="S108" s="187"/>
      <c r="T108" s="187"/>
      <c r="U108" s="187"/>
      <c r="V108" s="187"/>
      <c r="W108" s="187"/>
      <c r="X108" s="187"/>
      <c r="Y108" s="187" t="s">
        <v>96</v>
      </c>
      <c r="Z108" s="193" t="str">
        <f t="shared" si="2"/>
        <v/>
      </c>
      <c r="AA108" s="383"/>
      <c r="AB108" s="384"/>
      <c r="AC108" s="385"/>
      <c r="AD108" s="383"/>
      <c r="AE108" s="384"/>
      <c r="AF108" s="385"/>
      <c r="AG108" s="383"/>
      <c r="AH108" s="384"/>
      <c r="AI108" s="385"/>
      <c r="AJ108" s="383"/>
      <c r="AK108" s="384"/>
      <c r="AL108" s="385"/>
      <c r="AM108" s="383"/>
      <c r="AN108" s="384"/>
      <c r="AO108" s="385"/>
      <c r="AP108" s="383"/>
      <c r="AQ108" s="384"/>
      <c r="AR108" s="385"/>
      <c r="AS108" s="383"/>
      <c r="AT108" s="384"/>
      <c r="AU108" s="385"/>
      <c r="AV108" s="383"/>
      <c r="AW108" s="384"/>
      <c r="AX108" s="385"/>
      <c r="AY108" s="383"/>
      <c r="AZ108" s="384"/>
      <c r="BA108" s="385"/>
      <c r="BB108" s="386"/>
      <c r="BC108" s="387"/>
      <c r="BD108" s="388"/>
      <c r="BE108" s="386"/>
      <c r="BF108" s="387"/>
      <c r="BG108" s="388"/>
      <c r="BH108" s="386"/>
      <c r="BI108" s="387"/>
      <c r="BJ108" s="388"/>
      <c r="BK108" s="386"/>
      <c r="BL108" s="387"/>
      <c r="BM108" s="388"/>
      <c r="BN108" s="386"/>
      <c r="BO108" s="387"/>
      <c r="BP108" s="388"/>
      <c r="BQ108" s="386"/>
      <c r="BR108" s="387"/>
      <c r="BS108" s="388"/>
      <c r="BT108" s="386"/>
      <c r="BU108" s="387"/>
      <c r="BV108" s="388"/>
      <c r="BW108" s="386"/>
      <c r="BX108" s="387"/>
      <c r="BY108" s="388"/>
      <c r="BZ108" s="386"/>
      <c r="CA108" s="387"/>
      <c r="CB108" s="388"/>
      <c r="CC108" s="386"/>
      <c r="CD108" s="387"/>
      <c r="CE108" s="388"/>
      <c r="CF108" s="386"/>
      <c r="CG108" s="387"/>
      <c r="CH108" s="388"/>
      <c r="CI108" s="386"/>
      <c r="CJ108" s="387"/>
      <c r="CK108" s="388"/>
      <c r="CL108" s="386"/>
      <c r="CM108" s="387"/>
      <c r="CN108" s="388"/>
      <c r="CO108" s="386"/>
      <c r="CP108" s="387"/>
      <c r="CQ108" s="388"/>
      <c r="CR108" s="386"/>
      <c r="CS108" s="387"/>
      <c r="CT108" s="388"/>
      <c r="CU108" s="386"/>
      <c r="CV108" s="387"/>
      <c r="CW108" s="388"/>
      <c r="CX108" s="386"/>
      <c r="CY108" s="387"/>
      <c r="CZ108" s="388"/>
    </row>
    <row r="109">
      <c r="A109" s="1"/>
      <c r="B109" s="402"/>
      <c r="C109" s="362" t="str">
        <f>'5-0 Товары'!C109</f>
        <v/>
      </c>
      <c r="D109" s="363" t="str">
        <f>'5-0 Товары'!D109</f>
        <v/>
      </c>
      <c r="E109" s="364" t="str">
        <f>'5-0 Товары'!E109</f>
        <v/>
      </c>
      <c r="F109" s="380"/>
      <c r="G109" s="380"/>
      <c r="H109" s="364" t="str">
        <f>'5-0 Товары'!F109</f>
        <v/>
      </c>
      <c r="I109" s="391"/>
      <c r="J109" s="364" t="str">
        <f>'5-0 Товары'!G109</f>
        <v/>
      </c>
      <c r="K109" s="366" t="str">
        <f>'5-0 Товары'!H109</f>
        <v/>
      </c>
      <c r="L109" s="382" t="str">
        <f t="shared" si="1"/>
        <v/>
      </c>
      <c r="M109" s="382"/>
      <c r="N109" s="380"/>
      <c r="O109" s="369" t="str">
        <f>'5-0 Товары'!I109</f>
        <v/>
      </c>
      <c r="P109" s="371" t="str">
        <f>'5-0 Товары'!N109</f>
        <v/>
      </c>
      <c r="Q109" s="197"/>
      <c r="R109" s="193"/>
      <c r="S109" s="187"/>
      <c r="T109" s="187"/>
      <c r="U109" s="187"/>
      <c r="V109" s="187"/>
      <c r="W109" s="187"/>
      <c r="X109" s="187"/>
      <c r="Y109" s="187" t="s">
        <v>96</v>
      </c>
      <c r="Z109" s="193" t="str">
        <f t="shared" si="2"/>
        <v/>
      </c>
      <c r="AA109" s="383"/>
      <c r="AB109" s="384"/>
      <c r="AC109" s="385"/>
      <c r="AD109" s="383"/>
      <c r="AE109" s="384"/>
      <c r="AF109" s="385"/>
      <c r="AG109" s="383"/>
      <c r="AH109" s="384"/>
      <c r="AI109" s="385"/>
      <c r="AJ109" s="383"/>
      <c r="AK109" s="384"/>
      <c r="AL109" s="385"/>
      <c r="AM109" s="383"/>
      <c r="AN109" s="384"/>
      <c r="AO109" s="385"/>
      <c r="AP109" s="383"/>
      <c r="AQ109" s="384"/>
      <c r="AR109" s="385"/>
      <c r="AS109" s="383"/>
      <c r="AT109" s="384"/>
      <c r="AU109" s="385"/>
      <c r="AV109" s="383"/>
      <c r="AW109" s="384"/>
      <c r="AX109" s="385"/>
      <c r="AY109" s="383"/>
      <c r="AZ109" s="384"/>
      <c r="BA109" s="385"/>
      <c r="BB109" s="386"/>
      <c r="BC109" s="387"/>
      <c r="BD109" s="388"/>
      <c r="BE109" s="386"/>
      <c r="BF109" s="387"/>
      <c r="BG109" s="388"/>
      <c r="BH109" s="386"/>
      <c r="BI109" s="387"/>
      <c r="BJ109" s="388"/>
      <c r="BK109" s="386"/>
      <c r="BL109" s="387"/>
      <c r="BM109" s="388"/>
      <c r="BN109" s="386"/>
      <c r="BO109" s="387"/>
      <c r="BP109" s="388"/>
      <c r="BQ109" s="386"/>
      <c r="BR109" s="387"/>
      <c r="BS109" s="388"/>
      <c r="BT109" s="386"/>
      <c r="BU109" s="387"/>
      <c r="BV109" s="388"/>
      <c r="BW109" s="386"/>
      <c r="BX109" s="387"/>
      <c r="BY109" s="388"/>
      <c r="BZ109" s="386"/>
      <c r="CA109" s="387"/>
      <c r="CB109" s="388"/>
      <c r="CC109" s="386"/>
      <c r="CD109" s="387"/>
      <c r="CE109" s="388"/>
      <c r="CF109" s="386"/>
      <c r="CG109" s="387"/>
      <c r="CH109" s="388"/>
      <c r="CI109" s="386"/>
      <c r="CJ109" s="387"/>
      <c r="CK109" s="388"/>
      <c r="CL109" s="386"/>
      <c r="CM109" s="387"/>
      <c r="CN109" s="388"/>
      <c r="CO109" s="386"/>
      <c r="CP109" s="387"/>
      <c r="CQ109" s="388"/>
      <c r="CR109" s="386"/>
      <c r="CS109" s="387"/>
      <c r="CT109" s="388"/>
      <c r="CU109" s="386"/>
      <c r="CV109" s="387"/>
      <c r="CW109" s="388"/>
      <c r="CX109" s="386"/>
      <c r="CY109" s="387"/>
      <c r="CZ109" s="388"/>
    </row>
    <row r="110">
      <c r="A110" s="1"/>
      <c r="B110" s="402"/>
      <c r="C110" s="362" t="str">
        <f>'5-0 Товары'!C110</f>
        <v/>
      </c>
      <c r="D110" s="363" t="str">
        <f>'5-0 Товары'!D110</f>
        <v/>
      </c>
      <c r="E110" s="364" t="str">
        <f>'5-0 Товары'!E110</f>
        <v/>
      </c>
      <c r="F110" s="380"/>
      <c r="G110" s="380"/>
      <c r="H110" s="364" t="str">
        <f>'5-0 Товары'!F110</f>
        <v/>
      </c>
      <c r="I110" s="391"/>
      <c r="J110" s="364" t="str">
        <f>'5-0 Товары'!G110</f>
        <v/>
      </c>
      <c r="K110" s="366" t="str">
        <f>'5-0 Товары'!H110</f>
        <v/>
      </c>
      <c r="L110" s="382" t="str">
        <f t="shared" si="1"/>
        <v/>
      </c>
      <c r="M110" s="382"/>
      <c r="N110" s="380"/>
      <c r="O110" s="369" t="str">
        <f>'5-0 Товары'!I110</f>
        <v/>
      </c>
      <c r="P110" s="371" t="str">
        <f>'5-0 Товары'!N110</f>
        <v/>
      </c>
      <c r="Q110" s="197"/>
      <c r="R110" s="193"/>
      <c r="S110" s="187"/>
      <c r="T110" s="187"/>
      <c r="U110" s="187"/>
      <c r="V110" s="187"/>
      <c r="W110" s="187"/>
      <c r="X110" s="187"/>
      <c r="Y110" s="187" t="s">
        <v>96</v>
      </c>
      <c r="Z110" s="193" t="str">
        <f t="shared" si="2"/>
        <v/>
      </c>
      <c r="AA110" s="383"/>
      <c r="AB110" s="384"/>
      <c r="AC110" s="385"/>
      <c r="AD110" s="383"/>
      <c r="AE110" s="384"/>
      <c r="AF110" s="385"/>
      <c r="AG110" s="383"/>
      <c r="AH110" s="384"/>
      <c r="AI110" s="385"/>
      <c r="AJ110" s="383"/>
      <c r="AK110" s="384"/>
      <c r="AL110" s="385"/>
      <c r="AM110" s="383"/>
      <c r="AN110" s="384"/>
      <c r="AO110" s="385"/>
      <c r="AP110" s="383"/>
      <c r="AQ110" s="384"/>
      <c r="AR110" s="385"/>
      <c r="AS110" s="383"/>
      <c r="AT110" s="384"/>
      <c r="AU110" s="385"/>
      <c r="AV110" s="383"/>
      <c r="AW110" s="384"/>
      <c r="AX110" s="385"/>
      <c r="AY110" s="383"/>
      <c r="AZ110" s="384"/>
      <c r="BA110" s="385"/>
      <c r="BB110" s="386"/>
      <c r="BC110" s="387"/>
      <c r="BD110" s="388"/>
      <c r="BE110" s="386"/>
      <c r="BF110" s="387"/>
      <c r="BG110" s="388"/>
      <c r="BH110" s="386"/>
      <c r="BI110" s="387"/>
      <c r="BJ110" s="388"/>
      <c r="BK110" s="386"/>
      <c r="BL110" s="387"/>
      <c r="BM110" s="388"/>
      <c r="BN110" s="386"/>
      <c r="BO110" s="387"/>
      <c r="BP110" s="388"/>
      <c r="BQ110" s="386"/>
      <c r="BR110" s="387"/>
      <c r="BS110" s="388"/>
      <c r="BT110" s="386"/>
      <c r="BU110" s="387"/>
      <c r="BV110" s="388"/>
      <c r="BW110" s="386"/>
      <c r="BX110" s="387"/>
      <c r="BY110" s="388"/>
      <c r="BZ110" s="386"/>
      <c r="CA110" s="387"/>
      <c r="CB110" s="388"/>
      <c r="CC110" s="386"/>
      <c r="CD110" s="387"/>
      <c r="CE110" s="388"/>
      <c r="CF110" s="386"/>
      <c r="CG110" s="387"/>
      <c r="CH110" s="388"/>
      <c r="CI110" s="386"/>
      <c r="CJ110" s="387"/>
      <c r="CK110" s="388"/>
      <c r="CL110" s="386"/>
      <c r="CM110" s="387"/>
      <c r="CN110" s="388"/>
      <c r="CO110" s="386"/>
      <c r="CP110" s="387"/>
      <c r="CQ110" s="388"/>
      <c r="CR110" s="386"/>
      <c r="CS110" s="387"/>
      <c r="CT110" s="388"/>
      <c r="CU110" s="386"/>
      <c r="CV110" s="387"/>
      <c r="CW110" s="388"/>
      <c r="CX110" s="386"/>
      <c r="CY110" s="387"/>
      <c r="CZ110" s="388"/>
    </row>
    <row r="111">
      <c r="A111" s="1"/>
      <c r="B111" s="402"/>
      <c r="C111" s="362" t="str">
        <f>'5-0 Товары'!C111</f>
        <v/>
      </c>
      <c r="D111" s="363" t="str">
        <f>'5-0 Товары'!D111</f>
        <v/>
      </c>
      <c r="E111" s="364" t="str">
        <f>'5-0 Товары'!E111</f>
        <v/>
      </c>
      <c r="F111" s="380"/>
      <c r="G111" s="380"/>
      <c r="H111" s="364" t="str">
        <f>'5-0 Товары'!F111</f>
        <v/>
      </c>
      <c r="I111" s="391"/>
      <c r="J111" s="364" t="str">
        <f>'5-0 Товары'!G111</f>
        <v/>
      </c>
      <c r="K111" s="366" t="str">
        <f>'5-0 Товары'!H111</f>
        <v/>
      </c>
      <c r="L111" s="382" t="str">
        <f t="shared" si="1"/>
        <v/>
      </c>
      <c r="M111" s="382"/>
      <c r="N111" s="380"/>
      <c r="O111" s="369" t="str">
        <f>'5-0 Товары'!I111</f>
        <v/>
      </c>
      <c r="P111" s="371" t="str">
        <f>'5-0 Товары'!N111</f>
        <v/>
      </c>
      <c r="Q111" s="197"/>
      <c r="R111" s="193"/>
      <c r="S111" s="187"/>
      <c r="T111" s="187"/>
      <c r="U111" s="187"/>
      <c r="V111" s="187"/>
      <c r="W111" s="187"/>
      <c r="X111" s="187"/>
      <c r="Y111" s="187" t="s">
        <v>96</v>
      </c>
      <c r="Z111" s="193" t="str">
        <f t="shared" si="2"/>
        <v/>
      </c>
      <c r="AA111" s="383"/>
      <c r="AB111" s="384"/>
      <c r="AC111" s="385"/>
      <c r="AD111" s="383"/>
      <c r="AE111" s="384"/>
      <c r="AF111" s="385"/>
      <c r="AG111" s="383"/>
      <c r="AH111" s="384"/>
      <c r="AI111" s="385"/>
      <c r="AJ111" s="383"/>
      <c r="AK111" s="384"/>
      <c r="AL111" s="385"/>
      <c r="AM111" s="383"/>
      <c r="AN111" s="384"/>
      <c r="AO111" s="385"/>
      <c r="AP111" s="383"/>
      <c r="AQ111" s="384"/>
      <c r="AR111" s="385"/>
      <c r="AS111" s="383"/>
      <c r="AT111" s="384"/>
      <c r="AU111" s="385"/>
      <c r="AV111" s="383"/>
      <c r="AW111" s="384"/>
      <c r="AX111" s="385"/>
      <c r="AY111" s="383"/>
      <c r="AZ111" s="384"/>
      <c r="BA111" s="385"/>
      <c r="BB111" s="386"/>
      <c r="BC111" s="387"/>
      <c r="BD111" s="388"/>
      <c r="BE111" s="386"/>
      <c r="BF111" s="387"/>
      <c r="BG111" s="388"/>
      <c r="BH111" s="386"/>
      <c r="BI111" s="387"/>
      <c r="BJ111" s="388"/>
      <c r="BK111" s="386"/>
      <c r="BL111" s="387"/>
      <c r="BM111" s="388"/>
      <c r="BN111" s="386"/>
      <c r="BO111" s="387"/>
      <c r="BP111" s="388"/>
      <c r="BQ111" s="386"/>
      <c r="BR111" s="387"/>
      <c r="BS111" s="388"/>
      <c r="BT111" s="386"/>
      <c r="BU111" s="387"/>
      <c r="BV111" s="388"/>
      <c r="BW111" s="386"/>
      <c r="BX111" s="387"/>
      <c r="BY111" s="388"/>
      <c r="BZ111" s="386"/>
      <c r="CA111" s="387"/>
      <c r="CB111" s="388"/>
      <c r="CC111" s="386"/>
      <c r="CD111" s="387"/>
      <c r="CE111" s="388"/>
      <c r="CF111" s="386"/>
      <c r="CG111" s="387"/>
      <c r="CH111" s="388"/>
      <c r="CI111" s="386"/>
      <c r="CJ111" s="387"/>
      <c r="CK111" s="388"/>
      <c r="CL111" s="386"/>
      <c r="CM111" s="387"/>
      <c r="CN111" s="388"/>
      <c r="CO111" s="386"/>
      <c r="CP111" s="387"/>
      <c r="CQ111" s="388"/>
      <c r="CR111" s="386"/>
      <c r="CS111" s="387"/>
      <c r="CT111" s="388"/>
      <c r="CU111" s="386"/>
      <c r="CV111" s="387"/>
      <c r="CW111" s="388"/>
      <c r="CX111" s="386"/>
      <c r="CY111" s="387"/>
      <c r="CZ111" s="388"/>
    </row>
    <row r="112">
      <c r="A112" s="1"/>
      <c r="B112" s="402"/>
      <c r="C112" s="362" t="str">
        <f>'5-0 Товары'!C112</f>
        <v/>
      </c>
      <c r="D112" s="363" t="str">
        <f>'5-0 Товары'!D112</f>
        <v/>
      </c>
      <c r="E112" s="364" t="str">
        <f>'5-0 Товары'!E112</f>
        <v/>
      </c>
      <c r="F112" s="380"/>
      <c r="G112" s="380"/>
      <c r="H112" s="364" t="str">
        <f>'5-0 Товары'!F112</f>
        <v/>
      </c>
      <c r="I112" s="391"/>
      <c r="J112" s="364" t="str">
        <f>'5-0 Товары'!G112</f>
        <v/>
      </c>
      <c r="K112" s="366" t="str">
        <f>'5-0 Товары'!H112</f>
        <v/>
      </c>
      <c r="L112" s="382" t="str">
        <f t="shared" si="1"/>
        <v/>
      </c>
      <c r="M112" s="382"/>
      <c r="N112" s="380"/>
      <c r="O112" s="369" t="str">
        <f>'5-0 Товары'!I112</f>
        <v/>
      </c>
      <c r="P112" s="371" t="str">
        <f>'5-0 Товары'!N112</f>
        <v/>
      </c>
      <c r="Q112" s="197"/>
      <c r="R112" s="193"/>
      <c r="S112" s="187"/>
      <c r="T112" s="187"/>
      <c r="U112" s="187"/>
      <c r="V112" s="187"/>
      <c r="W112" s="187"/>
      <c r="X112" s="187"/>
      <c r="Y112" s="187" t="s">
        <v>96</v>
      </c>
      <c r="Z112" s="193" t="str">
        <f t="shared" si="2"/>
        <v/>
      </c>
      <c r="AA112" s="383"/>
      <c r="AB112" s="384"/>
      <c r="AC112" s="385"/>
      <c r="AD112" s="383"/>
      <c r="AE112" s="384"/>
      <c r="AF112" s="385"/>
      <c r="AG112" s="383"/>
      <c r="AH112" s="384"/>
      <c r="AI112" s="385"/>
      <c r="AJ112" s="383"/>
      <c r="AK112" s="384"/>
      <c r="AL112" s="385"/>
      <c r="AM112" s="383"/>
      <c r="AN112" s="384"/>
      <c r="AO112" s="385"/>
      <c r="AP112" s="383"/>
      <c r="AQ112" s="384"/>
      <c r="AR112" s="385"/>
      <c r="AS112" s="383"/>
      <c r="AT112" s="384"/>
      <c r="AU112" s="385"/>
      <c r="AV112" s="383"/>
      <c r="AW112" s="384"/>
      <c r="AX112" s="385"/>
      <c r="AY112" s="383"/>
      <c r="AZ112" s="384"/>
      <c r="BA112" s="385"/>
      <c r="BB112" s="386"/>
      <c r="BC112" s="387"/>
      <c r="BD112" s="388"/>
      <c r="BE112" s="386"/>
      <c r="BF112" s="387"/>
      <c r="BG112" s="388"/>
      <c r="BH112" s="386"/>
      <c r="BI112" s="387"/>
      <c r="BJ112" s="388"/>
      <c r="BK112" s="386"/>
      <c r="BL112" s="387"/>
      <c r="BM112" s="388"/>
      <c r="BN112" s="386"/>
      <c r="BO112" s="387"/>
      <c r="BP112" s="388"/>
      <c r="BQ112" s="386"/>
      <c r="BR112" s="387"/>
      <c r="BS112" s="388"/>
      <c r="BT112" s="386"/>
      <c r="BU112" s="387"/>
      <c r="BV112" s="388"/>
      <c r="BW112" s="386"/>
      <c r="BX112" s="387"/>
      <c r="BY112" s="388"/>
      <c r="BZ112" s="386"/>
      <c r="CA112" s="387"/>
      <c r="CB112" s="388"/>
      <c r="CC112" s="386"/>
      <c r="CD112" s="387"/>
      <c r="CE112" s="388"/>
      <c r="CF112" s="386"/>
      <c r="CG112" s="387"/>
      <c r="CH112" s="388"/>
      <c r="CI112" s="386"/>
      <c r="CJ112" s="387"/>
      <c r="CK112" s="388"/>
      <c r="CL112" s="386"/>
      <c r="CM112" s="387"/>
      <c r="CN112" s="388"/>
      <c r="CO112" s="386"/>
      <c r="CP112" s="387"/>
      <c r="CQ112" s="388"/>
      <c r="CR112" s="386"/>
      <c r="CS112" s="387"/>
      <c r="CT112" s="388"/>
      <c r="CU112" s="386"/>
      <c r="CV112" s="387"/>
      <c r="CW112" s="388"/>
      <c r="CX112" s="386"/>
      <c r="CY112" s="387"/>
      <c r="CZ112" s="388"/>
    </row>
    <row r="113">
      <c r="A113" s="1"/>
      <c r="B113" s="402"/>
      <c r="C113" s="362" t="str">
        <f>'5-0 Товары'!C113</f>
        <v/>
      </c>
      <c r="D113" s="363" t="str">
        <f>'5-0 Товары'!D113</f>
        <v/>
      </c>
      <c r="E113" s="364" t="str">
        <f>'5-0 Товары'!E113</f>
        <v/>
      </c>
      <c r="F113" s="380"/>
      <c r="G113" s="380"/>
      <c r="H113" s="364" t="str">
        <f>'5-0 Товары'!F113</f>
        <v/>
      </c>
      <c r="I113" s="391"/>
      <c r="J113" s="364" t="str">
        <f>'5-0 Товары'!G113</f>
        <v/>
      </c>
      <c r="K113" s="366" t="str">
        <f>'5-0 Товары'!H113</f>
        <v/>
      </c>
      <c r="L113" s="382" t="str">
        <f t="shared" si="1"/>
        <v/>
      </c>
      <c r="M113" s="382"/>
      <c r="N113" s="380"/>
      <c r="O113" s="369" t="str">
        <f>'5-0 Товары'!I113</f>
        <v/>
      </c>
      <c r="P113" s="371" t="str">
        <f>'5-0 Товары'!N113</f>
        <v/>
      </c>
      <c r="Q113" s="197"/>
      <c r="R113" s="193"/>
      <c r="S113" s="187"/>
      <c r="T113" s="187"/>
      <c r="U113" s="187"/>
      <c r="V113" s="187"/>
      <c r="W113" s="187"/>
      <c r="X113" s="187"/>
      <c r="Y113" s="187" t="s">
        <v>96</v>
      </c>
      <c r="Z113" s="193" t="str">
        <f t="shared" si="2"/>
        <v/>
      </c>
      <c r="AA113" s="383"/>
      <c r="AB113" s="384"/>
      <c r="AC113" s="385"/>
      <c r="AD113" s="383"/>
      <c r="AE113" s="384"/>
      <c r="AF113" s="385"/>
      <c r="AG113" s="383"/>
      <c r="AH113" s="384"/>
      <c r="AI113" s="385"/>
      <c r="AJ113" s="383"/>
      <c r="AK113" s="384"/>
      <c r="AL113" s="385"/>
      <c r="AM113" s="383"/>
      <c r="AN113" s="384"/>
      <c r="AO113" s="385"/>
      <c r="AP113" s="383"/>
      <c r="AQ113" s="384"/>
      <c r="AR113" s="385"/>
      <c r="AS113" s="383"/>
      <c r="AT113" s="384"/>
      <c r="AU113" s="385"/>
      <c r="AV113" s="383"/>
      <c r="AW113" s="384"/>
      <c r="AX113" s="385"/>
      <c r="AY113" s="383"/>
      <c r="AZ113" s="384"/>
      <c r="BA113" s="385"/>
      <c r="BB113" s="386"/>
      <c r="BC113" s="387"/>
      <c r="BD113" s="388"/>
      <c r="BE113" s="386"/>
      <c r="BF113" s="387"/>
      <c r="BG113" s="388"/>
      <c r="BH113" s="386"/>
      <c r="BI113" s="387"/>
      <c r="BJ113" s="388"/>
      <c r="BK113" s="386"/>
      <c r="BL113" s="387"/>
      <c r="BM113" s="388"/>
      <c r="BN113" s="386"/>
      <c r="BO113" s="387"/>
      <c r="BP113" s="388"/>
      <c r="BQ113" s="386"/>
      <c r="BR113" s="387"/>
      <c r="BS113" s="388"/>
      <c r="BT113" s="386"/>
      <c r="BU113" s="387"/>
      <c r="BV113" s="388"/>
      <c r="BW113" s="386"/>
      <c r="BX113" s="387"/>
      <c r="BY113" s="388"/>
      <c r="BZ113" s="386"/>
      <c r="CA113" s="387"/>
      <c r="CB113" s="388"/>
      <c r="CC113" s="386"/>
      <c r="CD113" s="387"/>
      <c r="CE113" s="388"/>
      <c r="CF113" s="386"/>
      <c r="CG113" s="387"/>
      <c r="CH113" s="388"/>
      <c r="CI113" s="386"/>
      <c r="CJ113" s="387"/>
      <c r="CK113" s="388"/>
      <c r="CL113" s="386"/>
      <c r="CM113" s="387"/>
      <c r="CN113" s="388"/>
      <c r="CO113" s="386"/>
      <c r="CP113" s="387"/>
      <c r="CQ113" s="388"/>
      <c r="CR113" s="386"/>
      <c r="CS113" s="387"/>
      <c r="CT113" s="388"/>
      <c r="CU113" s="386"/>
      <c r="CV113" s="387"/>
      <c r="CW113" s="388"/>
      <c r="CX113" s="386"/>
      <c r="CY113" s="387"/>
      <c r="CZ113" s="388"/>
    </row>
    <row r="114">
      <c r="A114" s="1"/>
      <c r="B114" s="402"/>
      <c r="C114" s="362" t="str">
        <f>'5-0 Товары'!C114</f>
        <v/>
      </c>
      <c r="D114" s="363" t="str">
        <f>'5-0 Товары'!D114</f>
        <v/>
      </c>
      <c r="E114" s="364" t="str">
        <f>'5-0 Товары'!E114</f>
        <v/>
      </c>
      <c r="F114" s="380"/>
      <c r="G114" s="380"/>
      <c r="H114" s="364" t="str">
        <f>'5-0 Товары'!F114</f>
        <v/>
      </c>
      <c r="I114" s="391"/>
      <c r="J114" s="364" t="str">
        <f>'5-0 Товары'!G114</f>
        <v/>
      </c>
      <c r="K114" s="366" t="str">
        <f>'5-0 Товары'!H114</f>
        <v/>
      </c>
      <c r="L114" s="382" t="str">
        <f t="shared" si="1"/>
        <v/>
      </c>
      <c r="M114" s="382"/>
      <c r="N114" s="380"/>
      <c r="O114" s="369" t="str">
        <f>'5-0 Товары'!I114</f>
        <v/>
      </c>
      <c r="P114" s="371" t="str">
        <f>'5-0 Товары'!N114</f>
        <v/>
      </c>
      <c r="Q114" s="197"/>
      <c r="R114" s="193"/>
      <c r="S114" s="187"/>
      <c r="T114" s="187"/>
      <c r="U114" s="187"/>
      <c r="V114" s="187"/>
      <c r="W114" s="187"/>
      <c r="X114" s="187"/>
      <c r="Y114" s="187" t="s">
        <v>96</v>
      </c>
      <c r="Z114" s="193" t="str">
        <f t="shared" si="2"/>
        <v/>
      </c>
      <c r="AA114" s="383"/>
      <c r="AB114" s="384"/>
      <c r="AC114" s="385"/>
      <c r="AD114" s="383"/>
      <c r="AE114" s="384"/>
      <c r="AF114" s="385"/>
      <c r="AG114" s="383"/>
      <c r="AH114" s="384"/>
      <c r="AI114" s="385"/>
      <c r="AJ114" s="383"/>
      <c r="AK114" s="384"/>
      <c r="AL114" s="385"/>
      <c r="AM114" s="383"/>
      <c r="AN114" s="384"/>
      <c r="AO114" s="385"/>
      <c r="AP114" s="383"/>
      <c r="AQ114" s="384"/>
      <c r="AR114" s="385"/>
      <c r="AS114" s="383"/>
      <c r="AT114" s="384"/>
      <c r="AU114" s="385"/>
      <c r="AV114" s="383"/>
      <c r="AW114" s="384"/>
      <c r="AX114" s="385"/>
      <c r="AY114" s="383"/>
      <c r="AZ114" s="384"/>
      <c r="BA114" s="385"/>
      <c r="BB114" s="386"/>
      <c r="BC114" s="387"/>
      <c r="BD114" s="388"/>
      <c r="BE114" s="386"/>
      <c r="BF114" s="387"/>
      <c r="BG114" s="388"/>
      <c r="BH114" s="386"/>
      <c r="BI114" s="387"/>
      <c r="BJ114" s="388"/>
      <c r="BK114" s="386"/>
      <c r="BL114" s="387"/>
      <c r="BM114" s="388"/>
      <c r="BN114" s="386"/>
      <c r="BO114" s="387"/>
      <c r="BP114" s="388"/>
      <c r="BQ114" s="386"/>
      <c r="BR114" s="387"/>
      <c r="BS114" s="388"/>
      <c r="BT114" s="386"/>
      <c r="BU114" s="387"/>
      <c r="BV114" s="388"/>
      <c r="BW114" s="386"/>
      <c r="BX114" s="387"/>
      <c r="BY114" s="388"/>
      <c r="BZ114" s="386"/>
      <c r="CA114" s="387"/>
      <c r="CB114" s="388"/>
      <c r="CC114" s="386"/>
      <c r="CD114" s="387"/>
      <c r="CE114" s="388"/>
      <c r="CF114" s="386"/>
      <c r="CG114" s="387"/>
      <c r="CH114" s="388"/>
      <c r="CI114" s="386"/>
      <c r="CJ114" s="387"/>
      <c r="CK114" s="388"/>
      <c r="CL114" s="386"/>
      <c r="CM114" s="387"/>
      <c r="CN114" s="388"/>
      <c r="CO114" s="386"/>
      <c r="CP114" s="387"/>
      <c r="CQ114" s="388"/>
      <c r="CR114" s="386"/>
      <c r="CS114" s="387"/>
      <c r="CT114" s="388"/>
      <c r="CU114" s="386"/>
      <c r="CV114" s="387"/>
      <c r="CW114" s="388"/>
      <c r="CX114" s="386"/>
      <c r="CY114" s="387"/>
      <c r="CZ114" s="388"/>
    </row>
    <row r="115">
      <c r="A115" s="1"/>
      <c r="B115" s="402"/>
      <c r="C115" s="362" t="str">
        <f>'5-0 Товары'!C115</f>
        <v/>
      </c>
      <c r="D115" s="363" t="str">
        <f>'5-0 Товары'!D115</f>
        <v/>
      </c>
      <c r="E115" s="364" t="str">
        <f>'5-0 Товары'!E115</f>
        <v/>
      </c>
      <c r="F115" s="380"/>
      <c r="G115" s="380"/>
      <c r="H115" s="364" t="str">
        <f>'5-0 Товары'!F115</f>
        <v/>
      </c>
      <c r="I115" s="391"/>
      <c r="J115" s="364" t="str">
        <f>'5-0 Товары'!G115</f>
        <v/>
      </c>
      <c r="K115" s="366" t="str">
        <f>'5-0 Товары'!H115</f>
        <v/>
      </c>
      <c r="L115" s="382" t="str">
        <f t="shared" si="1"/>
        <v/>
      </c>
      <c r="M115" s="382"/>
      <c r="N115" s="380"/>
      <c r="O115" s="369" t="str">
        <f>'5-0 Товары'!I115</f>
        <v/>
      </c>
      <c r="P115" s="371" t="str">
        <f>'5-0 Товары'!N115</f>
        <v/>
      </c>
      <c r="Q115" s="197"/>
      <c r="R115" s="193"/>
      <c r="S115" s="187"/>
      <c r="T115" s="187"/>
      <c r="U115" s="187"/>
      <c r="V115" s="187"/>
      <c r="W115" s="187"/>
      <c r="X115" s="187"/>
      <c r="Y115" s="187" t="s">
        <v>96</v>
      </c>
      <c r="Z115" s="193" t="str">
        <f t="shared" si="2"/>
        <v/>
      </c>
      <c r="AA115" s="383"/>
      <c r="AB115" s="384"/>
      <c r="AC115" s="385"/>
      <c r="AD115" s="383"/>
      <c r="AE115" s="384"/>
      <c r="AF115" s="385"/>
      <c r="AG115" s="383"/>
      <c r="AH115" s="384"/>
      <c r="AI115" s="385"/>
      <c r="AJ115" s="383"/>
      <c r="AK115" s="384"/>
      <c r="AL115" s="385"/>
      <c r="AM115" s="383"/>
      <c r="AN115" s="384"/>
      <c r="AO115" s="385"/>
      <c r="AP115" s="383"/>
      <c r="AQ115" s="384"/>
      <c r="AR115" s="385"/>
      <c r="AS115" s="383"/>
      <c r="AT115" s="384"/>
      <c r="AU115" s="385"/>
      <c r="AV115" s="383"/>
      <c r="AW115" s="384"/>
      <c r="AX115" s="385"/>
      <c r="AY115" s="383"/>
      <c r="AZ115" s="384"/>
      <c r="BA115" s="385"/>
      <c r="BB115" s="386"/>
      <c r="BC115" s="387"/>
      <c r="BD115" s="388"/>
      <c r="BE115" s="386"/>
      <c r="BF115" s="387"/>
      <c r="BG115" s="388"/>
      <c r="BH115" s="386"/>
      <c r="BI115" s="387"/>
      <c r="BJ115" s="388"/>
      <c r="BK115" s="386"/>
      <c r="BL115" s="387"/>
      <c r="BM115" s="388"/>
      <c r="BN115" s="386"/>
      <c r="BO115" s="387"/>
      <c r="BP115" s="388"/>
      <c r="BQ115" s="386"/>
      <c r="BR115" s="387"/>
      <c r="BS115" s="388"/>
      <c r="BT115" s="386"/>
      <c r="BU115" s="387"/>
      <c r="BV115" s="388"/>
      <c r="BW115" s="386"/>
      <c r="BX115" s="387"/>
      <c r="BY115" s="388"/>
      <c r="BZ115" s="386"/>
      <c r="CA115" s="387"/>
      <c r="CB115" s="388"/>
      <c r="CC115" s="386"/>
      <c r="CD115" s="387"/>
      <c r="CE115" s="388"/>
      <c r="CF115" s="386"/>
      <c r="CG115" s="387"/>
      <c r="CH115" s="388"/>
      <c r="CI115" s="386"/>
      <c r="CJ115" s="387"/>
      <c r="CK115" s="388"/>
      <c r="CL115" s="386"/>
      <c r="CM115" s="387"/>
      <c r="CN115" s="388"/>
      <c r="CO115" s="386"/>
      <c r="CP115" s="387"/>
      <c r="CQ115" s="388"/>
      <c r="CR115" s="386"/>
      <c r="CS115" s="387"/>
      <c r="CT115" s="388"/>
      <c r="CU115" s="386"/>
      <c r="CV115" s="387"/>
      <c r="CW115" s="388"/>
      <c r="CX115" s="386"/>
      <c r="CY115" s="387"/>
      <c r="CZ115" s="388"/>
    </row>
    <row r="116">
      <c r="A116" s="1"/>
      <c r="B116" s="402"/>
      <c r="C116" s="362" t="str">
        <f>'5-0 Товары'!C116</f>
        <v/>
      </c>
      <c r="D116" s="363" t="str">
        <f>'5-0 Товары'!D116</f>
        <v/>
      </c>
      <c r="E116" s="364" t="str">
        <f>'5-0 Товары'!E116</f>
        <v/>
      </c>
      <c r="F116" s="380"/>
      <c r="G116" s="380"/>
      <c r="H116" s="364" t="str">
        <f>'5-0 Товары'!F116</f>
        <v/>
      </c>
      <c r="I116" s="391"/>
      <c r="J116" s="364" t="str">
        <f>'5-0 Товары'!G116</f>
        <v/>
      </c>
      <c r="K116" s="366" t="str">
        <f>'5-0 Товары'!H116</f>
        <v/>
      </c>
      <c r="L116" s="382" t="str">
        <f t="shared" si="1"/>
        <v/>
      </c>
      <c r="M116" s="382"/>
      <c r="N116" s="380"/>
      <c r="O116" s="369" t="str">
        <f>'5-0 Товары'!I116</f>
        <v/>
      </c>
      <c r="P116" s="371" t="str">
        <f>'5-0 Товары'!N116</f>
        <v/>
      </c>
      <c r="Q116" s="197"/>
      <c r="R116" s="193"/>
      <c r="S116" s="187"/>
      <c r="T116" s="187"/>
      <c r="U116" s="187"/>
      <c r="V116" s="187"/>
      <c r="W116" s="187"/>
      <c r="X116" s="187"/>
      <c r="Y116" s="187" t="s">
        <v>96</v>
      </c>
      <c r="Z116" s="193" t="str">
        <f t="shared" si="2"/>
        <v/>
      </c>
      <c r="AA116" s="383"/>
      <c r="AB116" s="384"/>
      <c r="AC116" s="385"/>
      <c r="AD116" s="383"/>
      <c r="AE116" s="384"/>
      <c r="AF116" s="385"/>
      <c r="AG116" s="383"/>
      <c r="AH116" s="384"/>
      <c r="AI116" s="385"/>
      <c r="AJ116" s="383"/>
      <c r="AK116" s="384"/>
      <c r="AL116" s="385"/>
      <c r="AM116" s="383"/>
      <c r="AN116" s="384"/>
      <c r="AO116" s="385"/>
      <c r="AP116" s="383"/>
      <c r="AQ116" s="384"/>
      <c r="AR116" s="385"/>
      <c r="AS116" s="383"/>
      <c r="AT116" s="384"/>
      <c r="AU116" s="385"/>
      <c r="AV116" s="383"/>
      <c r="AW116" s="384"/>
      <c r="AX116" s="385"/>
      <c r="AY116" s="383"/>
      <c r="AZ116" s="384"/>
      <c r="BA116" s="385"/>
      <c r="BB116" s="386"/>
      <c r="BC116" s="387"/>
      <c r="BD116" s="388"/>
      <c r="BE116" s="386"/>
      <c r="BF116" s="387"/>
      <c r="BG116" s="388"/>
      <c r="BH116" s="386"/>
      <c r="BI116" s="387"/>
      <c r="BJ116" s="388"/>
      <c r="BK116" s="386"/>
      <c r="BL116" s="387"/>
      <c r="BM116" s="388"/>
      <c r="BN116" s="386"/>
      <c r="BO116" s="387"/>
      <c r="BP116" s="388"/>
      <c r="BQ116" s="386"/>
      <c r="BR116" s="387"/>
      <c r="BS116" s="388"/>
      <c r="BT116" s="386"/>
      <c r="BU116" s="387"/>
      <c r="BV116" s="388"/>
      <c r="BW116" s="386"/>
      <c r="BX116" s="387"/>
      <c r="BY116" s="388"/>
      <c r="BZ116" s="386"/>
      <c r="CA116" s="387"/>
      <c r="CB116" s="388"/>
      <c r="CC116" s="386"/>
      <c r="CD116" s="387"/>
      <c r="CE116" s="388"/>
      <c r="CF116" s="386"/>
      <c r="CG116" s="387"/>
      <c r="CH116" s="388"/>
      <c r="CI116" s="386"/>
      <c r="CJ116" s="387"/>
      <c r="CK116" s="388"/>
      <c r="CL116" s="386"/>
      <c r="CM116" s="387"/>
      <c r="CN116" s="388"/>
      <c r="CO116" s="386"/>
      <c r="CP116" s="387"/>
      <c r="CQ116" s="388"/>
      <c r="CR116" s="386"/>
      <c r="CS116" s="387"/>
      <c r="CT116" s="388"/>
      <c r="CU116" s="386"/>
      <c r="CV116" s="387"/>
      <c r="CW116" s="388"/>
      <c r="CX116" s="386"/>
      <c r="CY116" s="387"/>
      <c r="CZ116" s="388"/>
    </row>
    <row r="117">
      <c r="A117" s="1"/>
      <c r="B117" s="402"/>
      <c r="C117" s="362" t="str">
        <f>'5-0 Товары'!C117</f>
        <v/>
      </c>
      <c r="D117" s="363" t="str">
        <f>'5-0 Товары'!D117</f>
        <v/>
      </c>
      <c r="E117" s="364" t="str">
        <f>'5-0 Товары'!E117</f>
        <v/>
      </c>
      <c r="F117" s="380"/>
      <c r="G117" s="380"/>
      <c r="H117" s="364" t="str">
        <f>'5-0 Товары'!F117</f>
        <v/>
      </c>
      <c r="I117" s="391"/>
      <c r="J117" s="364" t="str">
        <f>'5-0 Товары'!G117</f>
        <v/>
      </c>
      <c r="K117" s="366" t="str">
        <f>'5-0 Товары'!H117</f>
        <v/>
      </c>
      <c r="L117" s="382" t="str">
        <f t="shared" si="1"/>
        <v/>
      </c>
      <c r="M117" s="382"/>
      <c r="N117" s="380"/>
      <c r="O117" s="369" t="str">
        <f>'5-0 Товары'!I117</f>
        <v/>
      </c>
      <c r="P117" s="371" t="str">
        <f>'5-0 Товары'!N117</f>
        <v/>
      </c>
      <c r="Q117" s="197"/>
      <c r="R117" s="193"/>
      <c r="S117" s="187"/>
      <c r="T117" s="187"/>
      <c r="U117" s="187"/>
      <c r="V117" s="187"/>
      <c r="W117" s="187"/>
      <c r="X117" s="187"/>
      <c r="Y117" s="187" t="s">
        <v>96</v>
      </c>
      <c r="Z117" s="193" t="str">
        <f t="shared" si="2"/>
        <v/>
      </c>
      <c r="AA117" s="383"/>
      <c r="AB117" s="384"/>
      <c r="AC117" s="385"/>
      <c r="AD117" s="383"/>
      <c r="AE117" s="384"/>
      <c r="AF117" s="385"/>
      <c r="AG117" s="383"/>
      <c r="AH117" s="384"/>
      <c r="AI117" s="385"/>
      <c r="AJ117" s="383"/>
      <c r="AK117" s="384"/>
      <c r="AL117" s="385"/>
      <c r="AM117" s="383"/>
      <c r="AN117" s="384"/>
      <c r="AO117" s="385"/>
      <c r="AP117" s="383"/>
      <c r="AQ117" s="384"/>
      <c r="AR117" s="385"/>
      <c r="AS117" s="383"/>
      <c r="AT117" s="384"/>
      <c r="AU117" s="385"/>
      <c r="AV117" s="383"/>
      <c r="AW117" s="384"/>
      <c r="AX117" s="385"/>
      <c r="AY117" s="383"/>
      <c r="AZ117" s="384"/>
      <c r="BA117" s="385"/>
      <c r="BB117" s="386"/>
      <c r="BC117" s="387"/>
      <c r="BD117" s="388"/>
      <c r="BE117" s="386"/>
      <c r="BF117" s="387"/>
      <c r="BG117" s="388"/>
      <c r="BH117" s="386"/>
      <c r="BI117" s="387"/>
      <c r="BJ117" s="388"/>
      <c r="BK117" s="386"/>
      <c r="BL117" s="387"/>
      <c r="BM117" s="388"/>
      <c r="BN117" s="386"/>
      <c r="BO117" s="387"/>
      <c r="BP117" s="388"/>
      <c r="BQ117" s="386"/>
      <c r="BR117" s="387"/>
      <c r="BS117" s="388"/>
      <c r="BT117" s="386"/>
      <c r="BU117" s="387"/>
      <c r="BV117" s="388"/>
      <c r="BW117" s="386"/>
      <c r="BX117" s="387"/>
      <c r="BY117" s="388"/>
      <c r="BZ117" s="386"/>
      <c r="CA117" s="387"/>
      <c r="CB117" s="388"/>
      <c r="CC117" s="386"/>
      <c r="CD117" s="387"/>
      <c r="CE117" s="388"/>
      <c r="CF117" s="386"/>
      <c r="CG117" s="387"/>
      <c r="CH117" s="388"/>
      <c r="CI117" s="386"/>
      <c r="CJ117" s="387"/>
      <c r="CK117" s="388"/>
      <c r="CL117" s="386"/>
      <c r="CM117" s="387"/>
      <c r="CN117" s="388"/>
      <c r="CO117" s="386"/>
      <c r="CP117" s="387"/>
      <c r="CQ117" s="388"/>
      <c r="CR117" s="386"/>
      <c r="CS117" s="387"/>
      <c r="CT117" s="388"/>
      <c r="CU117" s="386"/>
      <c r="CV117" s="387"/>
      <c r="CW117" s="388"/>
      <c r="CX117" s="386"/>
      <c r="CY117" s="387"/>
      <c r="CZ117" s="388"/>
    </row>
    <row r="118">
      <c r="A118" s="1"/>
      <c r="B118" s="402"/>
      <c r="C118" s="362" t="str">
        <f>'5-0 Товары'!C118</f>
        <v/>
      </c>
      <c r="D118" s="363" t="str">
        <f>'5-0 Товары'!D118</f>
        <v/>
      </c>
      <c r="E118" s="364" t="str">
        <f>'5-0 Товары'!E118</f>
        <v/>
      </c>
      <c r="F118" s="380"/>
      <c r="G118" s="380"/>
      <c r="H118" s="364" t="str">
        <f>'5-0 Товары'!F118</f>
        <v/>
      </c>
      <c r="I118" s="391"/>
      <c r="J118" s="364" t="str">
        <f>'5-0 Товары'!G118</f>
        <v/>
      </c>
      <c r="K118" s="366" t="str">
        <f>'5-0 Товары'!H118</f>
        <v/>
      </c>
      <c r="L118" s="382" t="str">
        <f t="shared" si="1"/>
        <v/>
      </c>
      <c r="M118" s="382"/>
      <c r="N118" s="380"/>
      <c r="O118" s="369" t="str">
        <f>'5-0 Товары'!I118</f>
        <v/>
      </c>
      <c r="P118" s="371" t="str">
        <f>'5-0 Товары'!N118</f>
        <v/>
      </c>
      <c r="Q118" s="197"/>
      <c r="R118" s="193"/>
      <c r="S118" s="187"/>
      <c r="T118" s="187"/>
      <c r="U118" s="187"/>
      <c r="V118" s="187"/>
      <c r="W118" s="187"/>
      <c r="X118" s="187"/>
      <c r="Y118" s="187" t="s">
        <v>96</v>
      </c>
      <c r="Z118" s="193" t="str">
        <f t="shared" si="2"/>
        <v/>
      </c>
      <c r="AA118" s="383"/>
      <c r="AB118" s="384"/>
      <c r="AC118" s="385"/>
      <c r="AD118" s="383"/>
      <c r="AE118" s="384"/>
      <c r="AF118" s="385"/>
      <c r="AG118" s="383"/>
      <c r="AH118" s="384"/>
      <c r="AI118" s="385"/>
      <c r="AJ118" s="383"/>
      <c r="AK118" s="384"/>
      <c r="AL118" s="385"/>
      <c r="AM118" s="383"/>
      <c r="AN118" s="384"/>
      <c r="AO118" s="385"/>
      <c r="AP118" s="383"/>
      <c r="AQ118" s="384"/>
      <c r="AR118" s="385"/>
      <c r="AS118" s="383"/>
      <c r="AT118" s="384"/>
      <c r="AU118" s="385"/>
      <c r="AV118" s="383"/>
      <c r="AW118" s="384"/>
      <c r="AX118" s="385"/>
      <c r="AY118" s="383"/>
      <c r="AZ118" s="384"/>
      <c r="BA118" s="385"/>
      <c r="BB118" s="386"/>
      <c r="BC118" s="387"/>
      <c r="BD118" s="388"/>
      <c r="BE118" s="386"/>
      <c r="BF118" s="387"/>
      <c r="BG118" s="388"/>
      <c r="BH118" s="386"/>
      <c r="BI118" s="387"/>
      <c r="BJ118" s="388"/>
      <c r="BK118" s="386"/>
      <c r="BL118" s="387"/>
      <c r="BM118" s="388"/>
      <c r="BN118" s="386"/>
      <c r="BO118" s="387"/>
      <c r="BP118" s="388"/>
      <c r="BQ118" s="386"/>
      <c r="BR118" s="387"/>
      <c r="BS118" s="388"/>
      <c r="BT118" s="386"/>
      <c r="BU118" s="387"/>
      <c r="BV118" s="388"/>
      <c r="BW118" s="386"/>
      <c r="BX118" s="387"/>
      <c r="BY118" s="388"/>
      <c r="BZ118" s="386"/>
      <c r="CA118" s="387"/>
      <c r="CB118" s="388"/>
      <c r="CC118" s="386"/>
      <c r="CD118" s="387"/>
      <c r="CE118" s="388"/>
      <c r="CF118" s="386"/>
      <c r="CG118" s="387"/>
      <c r="CH118" s="388"/>
      <c r="CI118" s="386"/>
      <c r="CJ118" s="387"/>
      <c r="CK118" s="388"/>
      <c r="CL118" s="386"/>
      <c r="CM118" s="387"/>
      <c r="CN118" s="388"/>
      <c r="CO118" s="386"/>
      <c r="CP118" s="387"/>
      <c r="CQ118" s="388"/>
      <c r="CR118" s="386"/>
      <c r="CS118" s="387"/>
      <c r="CT118" s="388"/>
      <c r="CU118" s="386"/>
      <c r="CV118" s="387"/>
      <c r="CW118" s="388"/>
      <c r="CX118" s="386"/>
      <c r="CY118" s="387"/>
      <c r="CZ118" s="388"/>
    </row>
    <row r="119">
      <c r="A119" s="1"/>
      <c r="B119" s="402"/>
      <c r="C119" s="362" t="str">
        <f>'5-0 Товары'!C119</f>
        <v/>
      </c>
      <c r="D119" s="363" t="str">
        <f>'5-0 Товары'!D119</f>
        <v/>
      </c>
      <c r="E119" s="364" t="str">
        <f>'5-0 Товары'!E119</f>
        <v/>
      </c>
      <c r="F119" s="380"/>
      <c r="G119" s="380"/>
      <c r="H119" s="364" t="str">
        <f>'5-0 Товары'!F119</f>
        <v/>
      </c>
      <c r="I119" s="391"/>
      <c r="J119" s="364" t="str">
        <f>'5-0 Товары'!G119</f>
        <v/>
      </c>
      <c r="K119" s="366" t="str">
        <f>'5-0 Товары'!H119</f>
        <v/>
      </c>
      <c r="L119" s="382" t="str">
        <f t="shared" si="1"/>
        <v/>
      </c>
      <c r="M119" s="382"/>
      <c r="N119" s="380"/>
      <c r="O119" s="369" t="str">
        <f>'5-0 Товары'!I119</f>
        <v/>
      </c>
      <c r="P119" s="371" t="str">
        <f>'5-0 Товары'!N119</f>
        <v/>
      </c>
      <c r="Q119" s="197"/>
      <c r="R119" s="193"/>
      <c r="S119" s="187"/>
      <c r="T119" s="187"/>
      <c r="U119" s="187"/>
      <c r="V119" s="187"/>
      <c r="W119" s="187"/>
      <c r="X119" s="187"/>
      <c r="Y119" s="187" t="s">
        <v>96</v>
      </c>
      <c r="Z119" s="193" t="str">
        <f t="shared" si="2"/>
        <v/>
      </c>
      <c r="AA119" s="383"/>
      <c r="AB119" s="384"/>
      <c r="AC119" s="385"/>
      <c r="AD119" s="383"/>
      <c r="AE119" s="384"/>
      <c r="AF119" s="385"/>
      <c r="AG119" s="383"/>
      <c r="AH119" s="384"/>
      <c r="AI119" s="385"/>
      <c r="AJ119" s="383"/>
      <c r="AK119" s="384"/>
      <c r="AL119" s="385"/>
      <c r="AM119" s="383"/>
      <c r="AN119" s="384"/>
      <c r="AO119" s="385"/>
      <c r="AP119" s="383"/>
      <c r="AQ119" s="384"/>
      <c r="AR119" s="385"/>
      <c r="AS119" s="383"/>
      <c r="AT119" s="384"/>
      <c r="AU119" s="385"/>
      <c r="AV119" s="383"/>
      <c r="AW119" s="384"/>
      <c r="AX119" s="385"/>
      <c r="AY119" s="383"/>
      <c r="AZ119" s="384"/>
      <c r="BA119" s="385"/>
      <c r="BB119" s="386"/>
      <c r="BC119" s="387"/>
      <c r="BD119" s="388"/>
      <c r="BE119" s="386"/>
      <c r="BF119" s="387"/>
      <c r="BG119" s="388"/>
      <c r="BH119" s="386"/>
      <c r="BI119" s="387"/>
      <c r="BJ119" s="388"/>
      <c r="BK119" s="386"/>
      <c r="BL119" s="387"/>
      <c r="BM119" s="388"/>
      <c r="BN119" s="386"/>
      <c r="BO119" s="387"/>
      <c r="BP119" s="388"/>
      <c r="BQ119" s="386"/>
      <c r="BR119" s="387"/>
      <c r="BS119" s="388"/>
      <c r="BT119" s="386"/>
      <c r="BU119" s="387"/>
      <c r="BV119" s="388"/>
      <c r="BW119" s="386"/>
      <c r="BX119" s="387"/>
      <c r="BY119" s="388"/>
      <c r="BZ119" s="386"/>
      <c r="CA119" s="387"/>
      <c r="CB119" s="388"/>
      <c r="CC119" s="386"/>
      <c r="CD119" s="387"/>
      <c r="CE119" s="388"/>
      <c r="CF119" s="386"/>
      <c r="CG119" s="387"/>
      <c r="CH119" s="388"/>
      <c r="CI119" s="386"/>
      <c r="CJ119" s="387"/>
      <c r="CK119" s="388"/>
      <c r="CL119" s="386"/>
      <c r="CM119" s="387"/>
      <c r="CN119" s="388"/>
      <c r="CO119" s="386"/>
      <c r="CP119" s="387"/>
      <c r="CQ119" s="388"/>
      <c r="CR119" s="386"/>
      <c r="CS119" s="387"/>
      <c r="CT119" s="388"/>
      <c r="CU119" s="386"/>
      <c r="CV119" s="387"/>
      <c r="CW119" s="388"/>
      <c r="CX119" s="386"/>
      <c r="CY119" s="387"/>
      <c r="CZ119" s="388"/>
    </row>
    <row r="120">
      <c r="A120" s="1"/>
      <c r="B120" s="402"/>
      <c r="C120" s="362" t="str">
        <f>'5-0 Товары'!C120</f>
        <v/>
      </c>
      <c r="D120" s="363" t="str">
        <f>'5-0 Товары'!D120</f>
        <v/>
      </c>
      <c r="E120" s="364" t="str">
        <f>'5-0 Товары'!E120</f>
        <v/>
      </c>
      <c r="F120" s="380"/>
      <c r="G120" s="380"/>
      <c r="H120" s="364" t="str">
        <f>'5-0 Товары'!F120</f>
        <v/>
      </c>
      <c r="I120" s="391"/>
      <c r="J120" s="364" t="str">
        <f>'5-0 Товары'!G120</f>
        <v/>
      </c>
      <c r="K120" s="366" t="str">
        <f>'5-0 Товары'!H120</f>
        <v/>
      </c>
      <c r="L120" s="382" t="str">
        <f t="shared" si="1"/>
        <v/>
      </c>
      <c r="M120" s="382"/>
      <c r="N120" s="380"/>
      <c r="O120" s="369" t="str">
        <f>'5-0 Товары'!I120</f>
        <v/>
      </c>
      <c r="P120" s="371" t="str">
        <f>'5-0 Товары'!N120</f>
        <v/>
      </c>
      <c r="Q120" s="197"/>
      <c r="R120" s="193"/>
      <c r="S120" s="187"/>
      <c r="T120" s="187"/>
      <c r="U120" s="187"/>
      <c r="V120" s="187"/>
      <c r="W120" s="187"/>
      <c r="X120" s="187"/>
      <c r="Y120" s="187" t="s">
        <v>96</v>
      </c>
      <c r="Z120" s="193" t="str">
        <f t="shared" si="2"/>
        <v/>
      </c>
      <c r="AA120" s="383"/>
      <c r="AB120" s="384"/>
      <c r="AC120" s="385"/>
      <c r="AD120" s="383"/>
      <c r="AE120" s="384"/>
      <c r="AF120" s="385"/>
      <c r="AG120" s="383"/>
      <c r="AH120" s="384"/>
      <c r="AI120" s="385"/>
      <c r="AJ120" s="383"/>
      <c r="AK120" s="384"/>
      <c r="AL120" s="385"/>
      <c r="AM120" s="383"/>
      <c r="AN120" s="384"/>
      <c r="AO120" s="385"/>
      <c r="AP120" s="383"/>
      <c r="AQ120" s="384"/>
      <c r="AR120" s="385"/>
      <c r="AS120" s="383"/>
      <c r="AT120" s="384"/>
      <c r="AU120" s="385"/>
      <c r="AV120" s="383"/>
      <c r="AW120" s="384"/>
      <c r="AX120" s="385"/>
      <c r="AY120" s="383"/>
      <c r="AZ120" s="384"/>
      <c r="BA120" s="385"/>
      <c r="BB120" s="386"/>
      <c r="BC120" s="387"/>
      <c r="BD120" s="388"/>
      <c r="BE120" s="386"/>
      <c r="BF120" s="387"/>
      <c r="BG120" s="388"/>
      <c r="BH120" s="386"/>
      <c r="BI120" s="387"/>
      <c r="BJ120" s="388"/>
      <c r="BK120" s="386"/>
      <c r="BL120" s="387"/>
      <c r="BM120" s="388"/>
      <c r="BN120" s="386"/>
      <c r="BO120" s="387"/>
      <c r="BP120" s="388"/>
      <c r="BQ120" s="386"/>
      <c r="BR120" s="387"/>
      <c r="BS120" s="388"/>
      <c r="BT120" s="386"/>
      <c r="BU120" s="387"/>
      <c r="BV120" s="388"/>
      <c r="BW120" s="386"/>
      <c r="BX120" s="387"/>
      <c r="BY120" s="388"/>
      <c r="BZ120" s="386"/>
      <c r="CA120" s="387"/>
      <c r="CB120" s="388"/>
      <c r="CC120" s="386"/>
      <c r="CD120" s="387"/>
      <c r="CE120" s="388"/>
      <c r="CF120" s="386"/>
      <c r="CG120" s="387"/>
      <c r="CH120" s="388"/>
      <c r="CI120" s="386"/>
      <c r="CJ120" s="387"/>
      <c r="CK120" s="388"/>
      <c r="CL120" s="386"/>
      <c r="CM120" s="387"/>
      <c r="CN120" s="388"/>
      <c r="CO120" s="386"/>
      <c r="CP120" s="387"/>
      <c r="CQ120" s="388"/>
      <c r="CR120" s="386"/>
      <c r="CS120" s="387"/>
      <c r="CT120" s="388"/>
      <c r="CU120" s="386"/>
      <c r="CV120" s="387"/>
      <c r="CW120" s="388"/>
      <c r="CX120" s="386"/>
      <c r="CY120" s="387"/>
      <c r="CZ120" s="388"/>
    </row>
    <row r="121">
      <c r="A121" s="1"/>
      <c r="B121" s="402"/>
      <c r="C121" s="362" t="str">
        <f>'5-0 Товары'!C121</f>
        <v/>
      </c>
      <c r="D121" s="363" t="str">
        <f>'5-0 Товары'!D121</f>
        <v/>
      </c>
      <c r="E121" s="364" t="str">
        <f>'5-0 Товары'!E121</f>
        <v/>
      </c>
      <c r="F121" s="380"/>
      <c r="G121" s="380"/>
      <c r="H121" s="364" t="str">
        <f>'5-0 Товары'!F121</f>
        <v/>
      </c>
      <c r="I121" s="391"/>
      <c r="J121" s="364" t="str">
        <f>'5-0 Товары'!G121</f>
        <v/>
      </c>
      <c r="K121" s="366" t="str">
        <f>'5-0 Товары'!H121</f>
        <v/>
      </c>
      <c r="L121" s="382" t="str">
        <f t="shared" si="1"/>
        <v/>
      </c>
      <c r="M121" s="382"/>
      <c r="N121" s="380"/>
      <c r="O121" s="369" t="str">
        <f>'5-0 Товары'!I121</f>
        <v/>
      </c>
      <c r="P121" s="371" t="str">
        <f>'5-0 Товары'!N121</f>
        <v/>
      </c>
      <c r="Q121" s="197"/>
      <c r="R121" s="193"/>
      <c r="S121" s="187"/>
      <c r="T121" s="187"/>
      <c r="U121" s="187"/>
      <c r="V121" s="187"/>
      <c r="W121" s="187"/>
      <c r="X121" s="187"/>
      <c r="Y121" s="187" t="s">
        <v>96</v>
      </c>
      <c r="Z121" s="193" t="str">
        <f t="shared" si="2"/>
        <v/>
      </c>
      <c r="AA121" s="383"/>
      <c r="AB121" s="384"/>
      <c r="AC121" s="385"/>
      <c r="AD121" s="383"/>
      <c r="AE121" s="384"/>
      <c r="AF121" s="385"/>
      <c r="AG121" s="383"/>
      <c r="AH121" s="384"/>
      <c r="AI121" s="385"/>
      <c r="AJ121" s="383"/>
      <c r="AK121" s="384"/>
      <c r="AL121" s="385"/>
      <c r="AM121" s="383"/>
      <c r="AN121" s="384"/>
      <c r="AO121" s="385"/>
      <c r="AP121" s="383"/>
      <c r="AQ121" s="384"/>
      <c r="AR121" s="385"/>
      <c r="AS121" s="383"/>
      <c r="AT121" s="384"/>
      <c r="AU121" s="385"/>
      <c r="AV121" s="383"/>
      <c r="AW121" s="384"/>
      <c r="AX121" s="385"/>
      <c r="AY121" s="383"/>
      <c r="AZ121" s="384"/>
      <c r="BA121" s="385"/>
      <c r="BB121" s="386"/>
      <c r="BC121" s="387"/>
      <c r="BD121" s="388"/>
      <c r="BE121" s="386"/>
      <c r="BF121" s="387"/>
      <c r="BG121" s="388"/>
      <c r="BH121" s="386"/>
      <c r="BI121" s="387"/>
      <c r="BJ121" s="388"/>
      <c r="BK121" s="386"/>
      <c r="BL121" s="387"/>
      <c r="BM121" s="388"/>
      <c r="BN121" s="386"/>
      <c r="BO121" s="387"/>
      <c r="BP121" s="388"/>
      <c r="BQ121" s="386"/>
      <c r="BR121" s="387"/>
      <c r="BS121" s="388"/>
      <c r="BT121" s="386"/>
      <c r="BU121" s="387"/>
      <c r="BV121" s="388"/>
      <c r="BW121" s="386"/>
      <c r="BX121" s="387"/>
      <c r="BY121" s="388"/>
      <c r="BZ121" s="386"/>
      <c r="CA121" s="387"/>
      <c r="CB121" s="388"/>
      <c r="CC121" s="386"/>
      <c r="CD121" s="387"/>
      <c r="CE121" s="388"/>
      <c r="CF121" s="386"/>
      <c r="CG121" s="387"/>
      <c r="CH121" s="388"/>
      <c r="CI121" s="386"/>
      <c r="CJ121" s="387"/>
      <c r="CK121" s="388"/>
      <c r="CL121" s="386"/>
      <c r="CM121" s="387"/>
      <c r="CN121" s="388"/>
      <c r="CO121" s="386"/>
      <c r="CP121" s="387"/>
      <c r="CQ121" s="388"/>
      <c r="CR121" s="386"/>
      <c r="CS121" s="387"/>
      <c r="CT121" s="388"/>
      <c r="CU121" s="386"/>
      <c r="CV121" s="387"/>
      <c r="CW121" s="388"/>
      <c r="CX121" s="386"/>
      <c r="CY121" s="387"/>
      <c r="CZ121" s="388"/>
    </row>
    <row r="122">
      <c r="A122" s="1"/>
      <c r="B122" s="402"/>
      <c r="C122" s="362" t="str">
        <f>'5-0 Товары'!C122</f>
        <v/>
      </c>
      <c r="D122" s="363" t="str">
        <f>'5-0 Товары'!D122</f>
        <v/>
      </c>
      <c r="E122" s="364" t="str">
        <f>'5-0 Товары'!E122</f>
        <v/>
      </c>
      <c r="F122" s="380"/>
      <c r="G122" s="380"/>
      <c r="H122" s="364" t="str">
        <f>'5-0 Товары'!F122</f>
        <v/>
      </c>
      <c r="I122" s="391"/>
      <c r="J122" s="364" t="str">
        <f>'5-0 Товары'!G122</f>
        <v/>
      </c>
      <c r="K122" s="366" t="str">
        <f>'5-0 Товары'!H122</f>
        <v/>
      </c>
      <c r="L122" s="382" t="str">
        <f t="shared" si="1"/>
        <v/>
      </c>
      <c r="M122" s="382"/>
      <c r="N122" s="380"/>
      <c r="O122" s="369" t="str">
        <f>'5-0 Товары'!I122</f>
        <v/>
      </c>
      <c r="P122" s="371" t="str">
        <f>'5-0 Товары'!N122</f>
        <v/>
      </c>
      <c r="Q122" s="197"/>
      <c r="R122" s="193"/>
      <c r="S122" s="187"/>
      <c r="T122" s="187"/>
      <c r="U122" s="187"/>
      <c r="V122" s="187"/>
      <c r="W122" s="187"/>
      <c r="X122" s="187"/>
      <c r="Y122" s="187" t="s">
        <v>96</v>
      </c>
      <c r="Z122" s="193" t="str">
        <f t="shared" si="2"/>
        <v/>
      </c>
      <c r="AA122" s="383"/>
      <c r="AB122" s="384"/>
      <c r="AC122" s="385"/>
      <c r="AD122" s="383"/>
      <c r="AE122" s="384"/>
      <c r="AF122" s="385"/>
      <c r="AG122" s="383"/>
      <c r="AH122" s="384"/>
      <c r="AI122" s="385"/>
      <c r="AJ122" s="383"/>
      <c r="AK122" s="384"/>
      <c r="AL122" s="385"/>
      <c r="AM122" s="383"/>
      <c r="AN122" s="384"/>
      <c r="AO122" s="385"/>
      <c r="AP122" s="383"/>
      <c r="AQ122" s="384"/>
      <c r="AR122" s="385"/>
      <c r="AS122" s="383"/>
      <c r="AT122" s="384"/>
      <c r="AU122" s="385"/>
      <c r="AV122" s="383"/>
      <c r="AW122" s="384"/>
      <c r="AX122" s="385"/>
      <c r="AY122" s="383"/>
      <c r="AZ122" s="384"/>
      <c r="BA122" s="385"/>
      <c r="BB122" s="386"/>
      <c r="BC122" s="387"/>
      <c r="BD122" s="388"/>
      <c r="BE122" s="386"/>
      <c r="BF122" s="387"/>
      <c r="BG122" s="388"/>
      <c r="BH122" s="386"/>
      <c r="BI122" s="387"/>
      <c r="BJ122" s="388"/>
      <c r="BK122" s="386"/>
      <c r="BL122" s="387"/>
      <c r="BM122" s="388"/>
      <c r="BN122" s="386"/>
      <c r="BO122" s="387"/>
      <c r="BP122" s="388"/>
      <c r="BQ122" s="386"/>
      <c r="BR122" s="387"/>
      <c r="BS122" s="388"/>
      <c r="BT122" s="386"/>
      <c r="BU122" s="387"/>
      <c r="BV122" s="388"/>
      <c r="BW122" s="386"/>
      <c r="BX122" s="387"/>
      <c r="BY122" s="388"/>
      <c r="BZ122" s="386"/>
      <c r="CA122" s="387"/>
      <c r="CB122" s="388"/>
      <c r="CC122" s="386"/>
      <c r="CD122" s="387"/>
      <c r="CE122" s="388"/>
      <c r="CF122" s="386"/>
      <c r="CG122" s="387"/>
      <c r="CH122" s="388"/>
      <c r="CI122" s="386"/>
      <c r="CJ122" s="387"/>
      <c r="CK122" s="388"/>
      <c r="CL122" s="386"/>
      <c r="CM122" s="387"/>
      <c r="CN122" s="388"/>
      <c r="CO122" s="386"/>
      <c r="CP122" s="387"/>
      <c r="CQ122" s="388"/>
      <c r="CR122" s="386"/>
      <c r="CS122" s="387"/>
      <c r="CT122" s="388"/>
      <c r="CU122" s="386"/>
      <c r="CV122" s="387"/>
      <c r="CW122" s="388"/>
      <c r="CX122" s="386"/>
      <c r="CY122" s="387"/>
      <c r="CZ122" s="388"/>
    </row>
    <row r="123">
      <c r="A123" s="1"/>
      <c r="B123" s="402"/>
      <c r="C123" s="362" t="str">
        <f>'5-0 Товары'!C123</f>
        <v/>
      </c>
      <c r="D123" s="363" t="str">
        <f>'5-0 Товары'!D123</f>
        <v/>
      </c>
      <c r="E123" s="364" t="str">
        <f>'5-0 Товары'!E123</f>
        <v/>
      </c>
      <c r="F123" s="380"/>
      <c r="G123" s="380"/>
      <c r="H123" s="364" t="str">
        <f>'5-0 Товары'!F123</f>
        <v/>
      </c>
      <c r="I123" s="391"/>
      <c r="J123" s="364" t="str">
        <f>'5-0 Товары'!G123</f>
        <v/>
      </c>
      <c r="K123" s="366" t="str">
        <f>'5-0 Товары'!H123</f>
        <v/>
      </c>
      <c r="L123" s="382" t="str">
        <f t="shared" si="1"/>
        <v/>
      </c>
      <c r="M123" s="382"/>
      <c r="N123" s="380"/>
      <c r="O123" s="369" t="str">
        <f>'5-0 Товары'!I123</f>
        <v/>
      </c>
      <c r="P123" s="371" t="str">
        <f>'5-0 Товары'!N123</f>
        <v/>
      </c>
      <c r="Q123" s="197"/>
      <c r="R123" s="193"/>
      <c r="S123" s="187"/>
      <c r="T123" s="187"/>
      <c r="U123" s="187"/>
      <c r="V123" s="187"/>
      <c r="W123" s="187"/>
      <c r="X123" s="187"/>
      <c r="Y123" s="187" t="s">
        <v>96</v>
      </c>
      <c r="Z123" s="193" t="str">
        <f t="shared" si="2"/>
        <v/>
      </c>
      <c r="AA123" s="383"/>
      <c r="AB123" s="384"/>
      <c r="AC123" s="385"/>
      <c r="AD123" s="383"/>
      <c r="AE123" s="384"/>
      <c r="AF123" s="385"/>
      <c r="AG123" s="383"/>
      <c r="AH123" s="384"/>
      <c r="AI123" s="385"/>
      <c r="AJ123" s="383"/>
      <c r="AK123" s="384"/>
      <c r="AL123" s="385"/>
      <c r="AM123" s="383"/>
      <c r="AN123" s="384"/>
      <c r="AO123" s="385"/>
      <c r="AP123" s="383"/>
      <c r="AQ123" s="384"/>
      <c r="AR123" s="385"/>
      <c r="AS123" s="383"/>
      <c r="AT123" s="384"/>
      <c r="AU123" s="385"/>
      <c r="AV123" s="383"/>
      <c r="AW123" s="384"/>
      <c r="AX123" s="385"/>
      <c r="AY123" s="383"/>
      <c r="AZ123" s="384"/>
      <c r="BA123" s="385"/>
      <c r="BB123" s="386"/>
      <c r="BC123" s="387"/>
      <c r="BD123" s="388"/>
      <c r="BE123" s="386"/>
      <c r="BF123" s="387"/>
      <c r="BG123" s="388"/>
      <c r="BH123" s="386"/>
      <c r="BI123" s="387"/>
      <c r="BJ123" s="388"/>
      <c r="BK123" s="386"/>
      <c r="BL123" s="387"/>
      <c r="BM123" s="388"/>
      <c r="BN123" s="386"/>
      <c r="BO123" s="387"/>
      <c r="BP123" s="388"/>
      <c r="BQ123" s="386"/>
      <c r="BR123" s="387"/>
      <c r="BS123" s="388"/>
      <c r="BT123" s="386"/>
      <c r="BU123" s="387"/>
      <c r="BV123" s="388"/>
      <c r="BW123" s="386"/>
      <c r="BX123" s="387"/>
      <c r="BY123" s="388"/>
      <c r="BZ123" s="386"/>
      <c r="CA123" s="387"/>
      <c r="CB123" s="388"/>
      <c r="CC123" s="386"/>
      <c r="CD123" s="387"/>
      <c r="CE123" s="388"/>
      <c r="CF123" s="386"/>
      <c r="CG123" s="387"/>
      <c r="CH123" s="388"/>
      <c r="CI123" s="386"/>
      <c r="CJ123" s="387"/>
      <c r="CK123" s="388"/>
      <c r="CL123" s="386"/>
      <c r="CM123" s="387"/>
      <c r="CN123" s="388"/>
      <c r="CO123" s="386"/>
      <c r="CP123" s="387"/>
      <c r="CQ123" s="388"/>
      <c r="CR123" s="386"/>
      <c r="CS123" s="387"/>
      <c r="CT123" s="388"/>
      <c r="CU123" s="386"/>
      <c r="CV123" s="387"/>
      <c r="CW123" s="388"/>
      <c r="CX123" s="386"/>
      <c r="CY123" s="387"/>
      <c r="CZ123" s="388"/>
    </row>
    <row r="124">
      <c r="A124" s="1"/>
      <c r="B124" s="402"/>
      <c r="C124" s="362" t="str">
        <f>'5-0 Товары'!C124</f>
        <v/>
      </c>
      <c r="D124" s="363" t="str">
        <f>'5-0 Товары'!D124</f>
        <v/>
      </c>
      <c r="E124" s="364" t="str">
        <f>'5-0 Товары'!E124</f>
        <v/>
      </c>
      <c r="F124" s="380"/>
      <c r="G124" s="380"/>
      <c r="H124" s="364" t="str">
        <f>'5-0 Товары'!F124</f>
        <v/>
      </c>
      <c r="I124" s="391"/>
      <c r="J124" s="364" t="str">
        <f>'5-0 Товары'!G124</f>
        <v/>
      </c>
      <c r="K124" s="366" t="str">
        <f>'5-0 Товары'!H124</f>
        <v/>
      </c>
      <c r="L124" s="382" t="str">
        <f t="shared" si="1"/>
        <v/>
      </c>
      <c r="M124" s="382"/>
      <c r="N124" s="380"/>
      <c r="O124" s="369" t="str">
        <f>'5-0 Товары'!I124</f>
        <v/>
      </c>
      <c r="P124" s="371" t="str">
        <f>'5-0 Товары'!N124</f>
        <v/>
      </c>
      <c r="Q124" s="197"/>
      <c r="R124" s="193"/>
      <c r="S124" s="187"/>
      <c r="T124" s="187"/>
      <c r="U124" s="187"/>
      <c r="V124" s="187"/>
      <c r="W124" s="187"/>
      <c r="X124" s="187"/>
      <c r="Y124" s="187" t="s">
        <v>96</v>
      </c>
      <c r="Z124" s="193" t="str">
        <f t="shared" si="2"/>
        <v/>
      </c>
      <c r="AA124" s="383"/>
      <c r="AB124" s="384"/>
      <c r="AC124" s="385"/>
      <c r="AD124" s="383"/>
      <c r="AE124" s="384"/>
      <c r="AF124" s="385"/>
      <c r="AG124" s="383"/>
      <c r="AH124" s="384"/>
      <c r="AI124" s="385"/>
      <c r="AJ124" s="383"/>
      <c r="AK124" s="384"/>
      <c r="AL124" s="385"/>
      <c r="AM124" s="383"/>
      <c r="AN124" s="384"/>
      <c r="AO124" s="385"/>
      <c r="AP124" s="383"/>
      <c r="AQ124" s="384"/>
      <c r="AR124" s="385"/>
      <c r="AS124" s="383"/>
      <c r="AT124" s="384"/>
      <c r="AU124" s="385"/>
      <c r="AV124" s="383"/>
      <c r="AW124" s="384"/>
      <c r="AX124" s="385"/>
      <c r="AY124" s="383"/>
      <c r="AZ124" s="384"/>
      <c r="BA124" s="385"/>
      <c r="BB124" s="386"/>
      <c r="BC124" s="387"/>
      <c r="BD124" s="388"/>
      <c r="BE124" s="386"/>
      <c r="BF124" s="387"/>
      <c r="BG124" s="388"/>
      <c r="BH124" s="386"/>
      <c r="BI124" s="387"/>
      <c r="BJ124" s="388"/>
      <c r="BK124" s="386"/>
      <c r="BL124" s="387"/>
      <c r="BM124" s="388"/>
      <c r="BN124" s="386"/>
      <c r="BO124" s="387"/>
      <c r="BP124" s="388"/>
      <c r="BQ124" s="386"/>
      <c r="BR124" s="387"/>
      <c r="BS124" s="388"/>
      <c r="BT124" s="386"/>
      <c r="BU124" s="387"/>
      <c r="BV124" s="388"/>
      <c r="BW124" s="386"/>
      <c r="BX124" s="387"/>
      <c r="BY124" s="388"/>
      <c r="BZ124" s="386"/>
      <c r="CA124" s="387"/>
      <c r="CB124" s="388"/>
      <c r="CC124" s="386"/>
      <c r="CD124" s="387"/>
      <c r="CE124" s="388"/>
      <c r="CF124" s="386"/>
      <c r="CG124" s="387"/>
      <c r="CH124" s="388"/>
      <c r="CI124" s="386"/>
      <c r="CJ124" s="387"/>
      <c r="CK124" s="388"/>
      <c r="CL124" s="386"/>
      <c r="CM124" s="387"/>
      <c r="CN124" s="388"/>
      <c r="CO124" s="386"/>
      <c r="CP124" s="387"/>
      <c r="CQ124" s="388"/>
      <c r="CR124" s="386"/>
      <c r="CS124" s="387"/>
      <c r="CT124" s="388"/>
      <c r="CU124" s="386"/>
      <c r="CV124" s="387"/>
      <c r="CW124" s="388"/>
      <c r="CX124" s="386"/>
      <c r="CY124" s="387"/>
      <c r="CZ124" s="388"/>
    </row>
    <row r="125">
      <c r="A125" s="1"/>
      <c r="B125" s="402"/>
      <c r="C125" s="362" t="str">
        <f>'5-0 Товары'!C125</f>
        <v/>
      </c>
      <c r="D125" s="363" t="str">
        <f>'5-0 Товары'!D125</f>
        <v/>
      </c>
      <c r="E125" s="364" t="str">
        <f>'5-0 Товары'!E125</f>
        <v/>
      </c>
      <c r="F125" s="380"/>
      <c r="G125" s="380"/>
      <c r="H125" s="364" t="str">
        <f>'5-0 Товары'!F125</f>
        <v/>
      </c>
      <c r="I125" s="391"/>
      <c r="J125" s="364" t="str">
        <f>'5-0 Товары'!G125</f>
        <v/>
      </c>
      <c r="K125" s="366" t="str">
        <f>'5-0 Товары'!H125</f>
        <v/>
      </c>
      <c r="L125" s="382" t="str">
        <f t="shared" si="1"/>
        <v/>
      </c>
      <c r="M125" s="382"/>
      <c r="N125" s="380"/>
      <c r="O125" s="369" t="str">
        <f>'5-0 Товары'!I125</f>
        <v/>
      </c>
      <c r="P125" s="371" t="str">
        <f>'5-0 Товары'!N125</f>
        <v/>
      </c>
      <c r="Q125" s="197"/>
      <c r="R125" s="193"/>
      <c r="S125" s="187"/>
      <c r="T125" s="187"/>
      <c r="U125" s="187"/>
      <c r="V125" s="187"/>
      <c r="W125" s="187"/>
      <c r="X125" s="187"/>
      <c r="Y125" s="187" t="s">
        <v>96</v>
      </c>
      <c r="Z125" s="193" t="str">
        <f t="shared" si="2"/>
        <v/>
      </c>
      <c r="AA125" s="383"/>
      <c r="AB125" s="384"/>
      <c r="AC125" s="385"/>
      <c r="AD125" s="383"/>
      <c r="AE125" s="384"/>
      <c r="AF125" s="385"/>
      <c r="AG125" s="383"/>
      <c r="AH125" s="384"/>
      <c r="AI125" s="385"/>
      <c r="AJ125" s="383"/>
      <c r="AK125" s="384"/>
      <c r="AL125" s="385"/>
      <c r="AM125" s="383"/>
      <c r="AN125" s="384"/>
      <c r="AO125" s="385"/>
      <c r="AP125" s="383"/>
      <c r="AQ125" s="384"/>
      <c r="AR125" s="385"/>
      <c r="AS125" s="383"/>
      <c r="AT125" s="384"/>
      <c r="AU125" s="385"/>
      <c r="AV125" s="383"/>
      <c r="AW125" s="384"/>
      <c r="AX125" s="385"/>
      <c r="AY125" s="383"/>
      <c r="AZ125" s="384"/>
      <c r="BA125" s="385"/>
      <c r="BB125" s="386"/>
      <c r="BC125" s="387"/>
      <c r="BD125" s="388"/>
      <c r="BE125" s="386"/>
      <c r="BF125" s="387"/>
      <c r="BG125" s="388"/>
      <c r="BH125" s="386"/>
      <c r="BI125" s="387"/>
      <c r="BJ125" s="388"/>
      <c r="BK125" s="386"/>
      <c r="BL125" s="387"/>
      <c r="BM125" s="388"/>
      <c r="BN125" s="386"/>
      <c r="BO125" s="387"/>
      <c r="BP125" s="388"/>
      <c r="BQ125" s="386"/>
      <c r="BR125" s="387"/>
      <c r="BS125" s="388"/>
      <c r="BT125" s="386"/>
      <c r="BU125" s="387"/>
      <c r="BV125" s="388"/>
      <c r="BW125" s="386"/>
      <c r="BX125" s="387"/>
      <c r="BY125" s="388"/>
      <c r="BZ125" s="386"/>
      <c r="CA125" s="387"/>
      <c r="CB125" s="388"/>
      <c r="CC125" s="386"/>
      <c r="CD125" s="387"/>
      <c r="CE125" s="388"/>
      <c r="CF125" s="386"/>
      <c r="CG125" s="387"/>
      <c r="CH125" s="388"/>
      <c r="CI125" s="386"/>
      <c r="CJ125" s="387"/>
      <c r="CK125" s="388"/>
      <c r="CL125" s="386"/>
      <c r="CM125" s="387"/>
      <c r="CN125" s="388"/>
      <c r="CO125" s="386"/>
      <c r="CP125" s="387"/>
      <c r="CQ125" s="388"/>
      <c r="CR125" s="386"/>
      <c r="CS125" s="387"/>
      <c r="CT125" s="388"/>
      <c r="CU125" s="386"/>
      <c r="CV125" s="387"/>
      <c r="CW125" s="388"/>
      <c r="CX125" s="386"/>
      <c r="CY125" s="387"/>
      <c r="CZ125" s="388"/>
    </row>
    <row r="126">
      <c r="A126" s="1"/>
      <c r="B126" s="402"/>
      <c r="C126" s="362" t="str">
        <f>'5-0 Товары'!C126</f>
        <v/>
      </c>
      <c r="D126" s="363" t="str">
        <f>'5-0 Товары'!D126</f>
        <v/>
      </c>
      <c r="E126" s="364" t="str">
        <f>'5-0 Товары'!E126</f>
        <v/>
      </c>
      <c r="F126" s="380"/>
      <c r="G126" s="380"/>
      <c r="H126" s="364" t="str">
        <f>'5-0 Товары'!F126</f>
        <v/>
      </c>
      <c r="I126" s="391"/>
      <c r="J126" s="364" t="str">
        <f>'5-0 Товары'!G126</f>
        <v/>
      </c>
      <c r="K126" s="366" t="str">
        <f>'5-0 Товары'!H126</f>
        <v/>
      </c>
      <c r="L126" s="382" t="str">
        <f t="shared" si="1"/>
        <v/>
      </c>
      <c r="M126" s="382"/>
      <c r="N126" s="380"/>
      <c r="O126" s="369" t="str">
        <f>'5-0 Товары'!I126</f>
        <v/>
      </c>
      <c r="P126" s="371" t="str">
        <f>'5-0 Товары'!N126</f>
        <v/>
      </c>
      <c r="Q126" s="197"/>
      <c r="R126" s="193"/>
      <c r="S126" s="187"/>
      <c r="T126" s="187"/>
      <c r="U126" s="187"/>
      <c r="V126" s="187"/>
      <c r="W126" s="187"/>
      <c r="X126" s="187"/>
      <c r="Y126" s="187" t="s">
        <v>96</v>
      </c>
      <c r="Z126" s="193" t="str">
        <f t="shared" si="2"/>
        <v/>
      </c>
      <c r="AA126" s="383"/>
      <c r="AB126" s="384"/>
      <c r="AC126" s="385"/>
      <c r="AD126" s="383"/>
      <c r="AE126" s="384"/>
      <c r="AF126" s="385"/>
      <c r="AG126" s="383"/>
      <c r="AH126" s="384"/>
      <c r="AI126" s="385"/>
      <c r="AJ126" s="383"/>
      <c r="AK126" s="384"/>
      <c r="AL126" s="385"/>
      <c r="AM126" s="383"/>
      <c r="AN126" s="384"/>
      <c r="AO126" s="385"/>
      <c r="AP126" s="383"/>
      <c r="AQ126" s="384"/>
      <c r="AR126" s="385"/>
      <c r="AS126" s="383"/>
      <c r="AT126" s="384"/>
      <c r="AU126" s="385"/>
      <c r="AV126" s="383"/>
      <c r="AW126" s="384"/>
      <c r="AX126" s="385"/>
      <c r="AY126" s="383"/>
      <c r="AZ126" s="384"/>
      <c r="BA126" s="385"/>
      <c r="BB126" s="386"/>
      <c r="BC126" s="387"/>
      <c r="BD126" s="388"/>
      <c r="BE126" s="386"/>
      <c r="BF126" s="387"/>
      <c r="BG126" s="388"/>
      <c r="BH126" s="386"/>
      <c r="BI126" s="387"/>
      <c r="BJ126" s="388"/>
      <c r="BK126" s="386"/>
      <c r="BL126" s="387"/>
      <c r="BM126" s="388"/>
      <c r="BN126" s="386"/>
      <c r="BO126" s="387"/>
      <c r="BP126" s="388"/>
      <c r="BQ126" s="386"/>
      <c r="BR126" s="387"/>
      <c r="BS126" s="388"/>
      <c r="BT126" s="386"/>
      <c r="BU126" s="387"/>
      <c r="BV126" s="388"/>
      <c r="BW126" s="386"/>
      <c r="BX126" s="387"/>
      <c r="BY126" s="388"/>
      <c r="BZ126" s="386"/>
      <c r="CA126" s="387"/>
      <c r="CB126" s="388"/>
      <c r="CC126" s="386"/>
      <c r="CD126" s="387"/>
      <c r="CE126" s="388"/>
      <c r="CF126" s="386"/>
      <c r="CG126" s="387"/>
      <c r="CH126" s="388"/>
      <c r="CI126" s="386"/>
      <c r="CJ126" s="387"/>
      <c r="CK126" s="388"/>
      <c r="CL126" s="386"/>
      <c r="CM126" s="387"/>
      <c r="CN126" s="388"/>
      <c r="CO126" s="386"/>
      <c r="CP126" s="387"/>
      <c r="CQ126" s="388"/>
      <c r="CR126" s="386"/>
      <c r="CS126" s="387"/>
      <c r="CT126" s="388"/>
      <c r="CU126" s="386"/>
      <c r="CV126" s="387"/>
      <c r="CW126" s="388"/>
      <c r="CX126" s="386"/>
      <c r="CY126" s="387"/>
      <c r="CZ126" s="388"/>
    </row>
    <row r="127">
      <c r="A127" s="1"/>
      <c r="B127" s="402"/>
      <c r="C127" s="362" t="str">
        <f>'5-0 Товары'!C127</f>
        <v/>
      </c>
      <c r="D127" s="363" t="str">
        <f>'5-0 Товары'!D127</f>
        <v/>
      </c>
      <c r="E127" s="364" t="str">
        <f>'5-0 Товары'!E127</f>
        <v/>
      </c>
      <c r="F127" s="380"/>
      <c r="G127" s="380"/>
      <c r="H127" s="364" t="str">
        <f>'5-0 Товары'!F127</f>
        <v/>
      </c>
      <c r="I127" s="391"/>
      <c r="J127" s="364" t="str">
        <f>'5-0 Товары'!G127</f>
        <v/>
      </c>
      <c r="K127" s="366" t="str">
        <f>'5-0 Товары'!H127</f>
        <v/>
      </c>
      <c r="L127" s="382" t="str">
        <f t="shared" si="1"/>
        <v/>
      </c>
      <c r="M127" s="382"/>
      <c r="N127" s="380"/>
      <c r="O127" s="369" t="str">
        <f>'5-0 Товары'!I127</f>
        <v/>
      </c>
      <c r="P127" s="371" t="str">
        <f>'5-0 Товары'!N127</f>
        <v/>
      </c>
      <c r="Q127" s="197"/>
      <c r="R127" s="193"/>
      <c r="S127" s="187"/>
      <c r="T127" s="187"/>
      <c r="U127" s="187"/>
      <c r="V127" s="187"/>
      <c r="W127" s="187"/>
      <c r="X127" s="187"/>
      <c r="Y127" s="187" t="s">
        <v>96</v>
      </c>
      <c r="Z127" s="193" t="str">
        <f t="shared" si="2"/>
        <v/>
      </c>
      <c r="AA127" s="383"/>
      <c r="AB127" s="384"/>
      <c r="AC127" s="385"/>
      <c r="AD127" s="383"/>
      <c r="AE127" s="384"/>
      <c r="AF127" s="385"/>
      <c r="AG127" s="383"/>
      <c r="AH127" s="384"/>
      <c r="AI127" s="385"/>
      <c r="AJ127" s="383"/>
      <c r="AK127" s="384"/>
      <c r="AL127" s="385"/>
      <c r="AM127" s="383"/>
      <c r="AN127" s="384"/>
      <c r="AO127" s="385"/>
      <c r="AP127" s="383"/>
      <c r="AQ127" s="384"/>
      <c r="AR127" s="385"/>
      <c r="AS127" s="383"/>
      <c r="AT127" s="384"/>
      <c r="AU127" s="385"/>
      <c r="AV127" s="383"/>
      <c r="AW127" s="384"/>
      <c r="AX127" s="385"/>
      <c r="AY127" s="383"/>
      <c r="AZ127" s="384"/>
      <c r="BA127" s="385"/>
      <c r="BB127" s="386"/>
      <c r="BC127" s="387"/>
      <c r="BD127" s="388"/>
      <c r="BE127" s="386"/>
      <c r="BF127" s="387"/>
      <c r="BG127" s="388"/>
      <c r="BH127" s="386"/>
      <c r="BI127" s="387"/>
      <c r="BJ127" s="388"/>
      <c r="BK127" s="386"/>
      <c r="BL127" s="387"/>
      <c r="BM127" s="388"/>
      <c r="BN127" s="386"/>
      <c r="BO127" s="387"/>
      <c r="BP127" s="388"/>
      <c r="BQ127" s="386"/>
      <c r="BR127" s="387"/>
      <c r="BS127" s="388"/>
      <c r="BT127" s="386"/>
      <c r="BU127" s="387"/>
      <c r="BV127" s="388"/>
      <c r="BW127" s="386"/>
      <c r="BX127" s="387"/>
      <c r="BY127" s="388"/>
      <c r="BZ127" s="386"/>
      <c r="CA127" s="387"/>
      <c r="CB127" s="388"/>
      <c r="CC127" s="386"/>
      <c r="CD127" s="387"/>
      <c r="CE127" s="388"/>
      <c r="CF127" s="386"/>
      <c r="CG127" s="387"/>
      <c r="CH127" s="388"/>
      <c r="CI127" s="386"/>
      <c r="CJ127" s="387"/>
      <c r="CK127" s="388"/>
      <c r="CL127" s="386"/>
      <c r="CM127" s="387"/>
      <c r="CN127" s="388"/>
      <c r="CO127" s="386"/>
      <c r="CP127" s="387"/>
      <c r="CQ127" s="388"/>
      <c r="CR127" s="386"/>
      <c r="CS127" s="387"/>
      <c r="CT127" s="388"/>
      <c r="CU127" s="386"/>
      <c r="CV127" s="387"/>
      <c r="CW127" s="388"/>
      <c r="CX127" s="386"/>
      <c r="CY127" s="387"/>
      <c r="CZ127" s="388"/>
    </row>
    <row r="128">
      <c r="A128" s="1"/>
      <c r="B128" s="402"/>
      <c r="C128" s="362" t="str">
        <f>'5-0 Товары'!C128</f>
        <v/>
      </c>
      <c r="D128" s="363" t="str">
        <f>'5-0 Товары'!D128</f>
        <v/>
      </c>
      <c r="E128" s="364" t="str">
        <f>'5-0 Товары'!E128</f>
        <v/>
      </c>
      <c r="F128" s="380"/>
      <c r="G128" s="380"/>
      <c r="H128" s="364" t="str">
        <f>'5-0 Товары'!F128</f>
        <v/>
      </c>
      <c r="I128" s="391"/>
      <c r="J128" s="364" t="str">
        <f>'5-0 Товары'!G128</f>
        <v/>
      </c>
      <c r="K128" s="366" t="str">
        <f>'5-0 Товары'!H128</f>
        <v/>
      </c>
      <c r="L128" s="382" t="str">
        <f t="shared" si="1"/>
        <v/>
      </c>
      <c r="M128" s="382"/>
      <c r="N128" s="380"/>
      <c r="O128" s="369" t="str">
        <f>'5-0 Товары'!I128</f>
        <v/>
      </c>
      <c r="P128" s="371" t="str">
        <f>'5-0 Товары'!N128</f>
        <v/>
      </c>
      <c r="Q128" s="197"/>
      <c r="R128" s="193"/>
      <c r="S128" s="187"/>
      <c r="T128" s="187"/>
      <c r="U128" s="187"/>
      <c r="V128" s="187"/>
      <c r="W128" s="187"/>
      <c r="X128" s="187"/>
      <c r="Y128" s="187" t="s">
        <v>96</v>
      </c>
      <c r="Z128" s="193" t="str">
        <f t="shared" si="2"/>
        <v/>
      </c>
      <c r="AA128" s="383"/>
      <c r="AB128" s="384"/>
      <c r="AC128" s="385"/>
      <c r="AD128" s="383"/>
      <c r="AE128" s="384"/>
      <c r="AF128" s="385"/>
      <c r="AG128" s="383"/>
      <c r="AH128" s="384"/>
      <c r="AI128" s="385"/>
      <c r="AJ128" s="383"/>
      <c r="AK128" s="384"/>
      <c r="AL128" s="385"/>
      <c r="AM128" s="383"/>
      <c r="AN128" s="384"/>
      <c r="AO128" s="385"/>
      <c r="AP128" s="383"/>
      <c r="AQ128" s="384"/>
      <c r="AR128" s="385"/>
      <c r="AS128" s="383"/>
      <c r="AT128" s="384"/>
      <c r="AU128" s="385"/>
      <c r="AV128" s="383"/>
      <c r="AW128" s="384"/>
      <c r="AX128" s="385"/>
      <c r="AY128" s="383"/>
      <c r="AZ128" s="384"/>
      <c r="BA128" s="385"/>
      <c r="BB128" s="386"/>
      <c r="BC128" s="387"/>
      <c r="BD128" s="388"/>
      <c r="BE128" s="386"/>
      <c r="BF128" s="387"/>
      <c r="BG128" s="388"/>
      <c r="BH128" s="386"/>
      <c r="BI128" s="387"/>
      <c r="BJ128" s="388"/>
      <c r="BK128" s="386"/>
      <c r="BL128" s="387"/>
      <c r="BM128" s="388"/>
      <c r="BN128" s="386"/>
      <c r="BO128" s="387"/>
      <c r="BP128" s="388"/>
      <c r="BQ128" s="386"/>
      <c r="BR128" s="387"/>
      <c r="BS128" s="388"/>
      <c r="BT128" s="386"/>
      <c r="BU128" s="387"/>
      <c r="BV128" s="388"/>
      <c r="BW128" s="386"/>
      <c r="BX128" s="387"/>
      <c r="BY128" s="388"/>
      <c r="BZ128" s="386"/>
      <c r="CA128" s="387"/>
      <c r="CB128" s="388"/>
      <c r="CC128" s="386"/>
      <c r="CD128" s="387"/>
      <c r="CE128" s="388"/>
      <c r="CF128" s="386"/>
      <c r="CG128" s="387"/>
      <c r="CH128" s="388"/>
      <c r="CI128" s="386"/>
      <c r="CJ128" s="387"/>
      <c r="CK128" s="388"/>
      <c r="CL128" s="386"/>
      <c r="CM128" s="387"/>
      <c r="CN128" s="388"/>
      <c r="CO128" s="386"/>
      <c r="CP128" s="387"/>
      <c r="CQ128" s="388"/>
      <c r="CR128" s="386"/>
      <c r="CS128" s="387"/>
      <c r="CT128" s="388"/>
      <c r="CU128" s="386"/>
      <c r="CV128" s="387"/>
      <c r="CW128" s="388"/>
      <c r="CX128" s="386"/>
      <c r="CY128" s="387"/>
      <c r="CZ128" s="388"/>
    </row>
    <row r="129">
      <c r="A129" s="1"/>
      <c r="B129" s="402"/>
      <c r="C129" s="362" t="str">
        <f>'5-0 Товары'!C129</f>
        <v/>
      </c>
      <c r="D129" s="363" t="str">
        <f>'5-0 Товары'!D129</f>
        <v/>
      </c>
      <c r="E129" s="364" t="str">
        <f>'5-0 Товары'!E129</f>
        <v/>
      </c>
      <c r="F129" s="380"/>
      <c r="G129" s="380"/>
      <c r="H129" s="364" t="str">
        <f>'5-0 Товары'!F129</f>
        <v/>
      </c>
      <c r="I129" s="391"/>
      <c r="J129" s="364" t="str">
        <f>'5-0 Товары'!G129</f>
        <v/>
      </c>
      <c r="K129" s="366" t="str">
        <f>'5-0 Товары'!H129</f>
        <v/>
      </c>
      <c r="L129" s="382" t="str">
        <f t="shared" si="1"/>
        <v/>
      </c>
      <c r="M129" s="382"/>
      <c r="N129" s="380"/>
      <c r="O129" s="369" t="str">
        <f>'5-0 Товары'!I129</f>
        <v/>
      </c>
      <c r="P129" s="371" t="str">
        <f>'5-0 Товары'!N129</f>
        <v/>
      </c>
      <c r="Q129" s="197"/>
      <c r="R129" s="193"/>
      <c r="S129" s="187"/>
      <c r="T129" s="187"/>
      <c r="U129" s="187"/>
      <c r="V129" s="187"/>
      <c r="W129" s="187"/>
      <c r="X129" s="187"/>
      <c r="Y129" s="187" t="s">
        <v>96</v>
      </c>
      <c r="Z129" s="193" t="str">
        <f t="shared" si="2"/>
        <v/>
      </c>
      <c r="AA129" s="383"/>
      <c r="AB129" s="384"/>
      <c r="AC129" s="385"/>
      <c r="AD129" s="383"/>
      <c r="AE129" s="384"/>
      <c r="AF129" s="385"/>
      <c r="AG129" s="383"/>
      <c r="AH129" s="384"/>
      <c r="AI129" s="385"/>
      <c r="AJ129" s="383"/>
      <c r="AK129" s="384"/>
      <c r="AL129" s="385"/>
      <c r="AM129" s="383"/>
      <c r="AN129" s="384"/>
      <c r="AO129" s="385"/>
      <c r="AP129" s="383"/>
      <c r="AQ129" s="384"/>
      <c r="AR129" s="385"/>
      <c r="AS129" s="383"/>
      <c r="AT129" s="384"/>
      <c r="AU129" s="385"/>
      <c r="AV129" s="383"/>
      <c r="AW129" s="384"/>
      <c r="AX129" s="385"/>
      <c r="AY129" s="383"/>
      <c r="AZ129" s="384"/>
      <c r="BA129" s="385"/>
      <c r="BB129" s="386"/>
      <c r="BC129" s="387"/>
      <c r="BD129" s="388"/>
      <c r="BE129" s="386"/>
      <c r="BF129" s="387"/>
      <c r="BG129" s="388"/>
      <c r="BH129" s="386"/>
      <c r="BI129" s="387"/>
      <c r="BJ129" s="388"/>
      <c r="BK129" s="386"/>
      <c r="BL129" s="387"/>
      <c r="BM129" s="388"/>
      <c r="BN129" s="386"/>
      <c r="BO129" s="387"/>
      <c r="BP129" s="388"/>
      <c r="BQ129" s="386"/>
      <c r="BR129" s="387"/>
      <c r="BS129" s="388"/>
      <c r="BT129" s="386"/>
      <c r="BU129" s="387"/>
      <c r="BV129" s="388"/>
      <c r="BW129" s="386"/>
      <c r="BX129" s="387"/>
      <c r="BY129" s="388"/>
      <c r="BZ129" s="386"/>
      <c r="CA129" s="387"/>
      <c r="CB129" s="388"/>
      <c r="CC129" s="386"/>
      <c r="CD129" s="387"/>
      <c r="CE129" s="388"/>
      <c r="CF129" s="386"/>
      <c r="CG129" s="387"/>
      <c r="CH129" s="388"/>
      <c r="CI129" s="386"/>
      <c r="CJ129" s="387"/>
      <c r="CK129" s="388"/>
      <c r="CL129" s="386"/>
      <c r="CM129" s="387"/>
      <c r="CN129" s="388"/>
      <c r="CO129" s="386"/>
      <c r="CP129" s="387"/>
      <c r="CQ129" s="388"/>
      <c r="CR129" s="386"/>
      <c r="CS129" s="387"/>
      <c r="CT129" s="388"/>
      <c r="CU129" s="386"/>
      <c r="CV129" s="387"/>
      <c r="CW129" s="388"/>
      <c r="CX129" s="386"/>
      <c r="CY129" s="387"/>
      <c r="CZ129" s="388"/>
    </row>
    <row r="130">
      <c r="A130" s="1"/>
      <c r="B130" s="402"/>
      <c r="C130" s="362" t="str">
        <f>'5-0 Товары'!C130</f>
        <v/>
      </c>
      <c r="D130" s="363" t="str">
        <f>'5-0 Товары'!D130</f>
        <v/>
      </c>
      <c r="E130" s="364" t="str">
        <f>'5-0 Товары'!E130</f>
        <v/>
      </c>
      <c r="F130" s="380"/>
      <c r="G130" s="380"/>
      <c r="H130" s="364" t="str">
        <f>'5-0 Товары'!F130</f>
        <v/>
      </c>
      <c r="I130" s="391"/>
      <c r="J130" s="364" t="str">
        <f>'5-0 Товары'!G130</f>
        <v/>
      </c>
      <c r="K130" s="366" t="str">
        <f>'5-0 Товары'!H130</f>
        <v/>
      </c>
      <c r="L130" s="382" t="str">
        <f t="shared" si="1"/>
        <v/>
      </c>
      <c r="M130" s="382"/>
      <c r="N130" s="380"/>
      <c r="O130" s="369" t="str">
        <f>'5-0 Товары'!I130</f>
        <v/>
      </c>
      <c r="P130" s="371" t="str">
        <f>'5-0 Товары'!N130</f>
        <v/>
      </c>
      <c r="Q130" s="197"/>
      <c r="R130" s="193"/>
      <c r="S130" s="187"/>
      <c r="T130" s="187"/>
      <c r="U130" s="187"/>
      <c r="V130" s="187"/>
      <c r="W130" s="187"/>
      <c r="X130" s="187"/>
      <c r="Y130" s="187" t="s">
        <v>96</v>
      </c>
      <c r="Z130" s="193" t="str">
        <f t="shared" si="2"/>
        <v/>
      </c>
      <c r="AA130" s="383"/>
      <c r="AB130" s="384"/>
      <c r="AC130" s="385"/>
      <c r="AD130" s="383"/>
      <c r="AE130" s="384"/>
      <c r="AF130" s="385"/>
      <c r="AG130" s="383"/>
      <c r="AH130" s="384"/>
      <c r="AI130" s="385"/>
      <c r="AJ130" s="383"/>
      <c r="AK130" s="384"/>
      <c r="AL130" s="385"/>
      <c r="AM130" s="383"/>
      <c r="AN130" s="384"/>
      <c r="AO130" s="385"/>
      <c r="AP130" s="383"/>
      <c r="AQ130" s="384"/>
      <c r="AR130" s="385"/>
      <c r="AS130" s="383"/>
      <c r="AT130" s="384"/>
      <c r="AU130" s="385"/>
      <c r="AV130" s="383"/>
      <c r="AW130" s="384"/>
      <c r="AX130" s="385"/>
      <c r="AY130" s="383"/>
      <c r="AZ130" s="384"/>
      <c r="BA130" s="385"/>
      <c r="BB130" s="386"/>
      <c r="BC130" s="387"/>
      <c r="BD130" s="388"/>
      <c r="BE130" s="386"/>
      <c r="BF130" s="387"/>
      <c r="BG130" s="388"/>
      <c r="BH130" s="386"/>
      <c r="BI130" s="387"/>
      <c r="BJ130" s="388"/>
      <c r="BK130" s="386"/>
      <c r="BL130" s="387"/>
      <c r="BM130" s="388"/>
      <c r="BN130" s="386"/>
      <c r="BO130" s="387"/>
      <c r="BP130" s="388"/>
      <c r="BQ130" s="386"/>
      <c r="BR130" s="387"/>
      <c r="BS130" s="388"/>
      <c r="BT130" s="386"/>
      <c r="BU130" s="387"/>
      <c r="BV130" s="388"/>
      <c r="BW130" s="386"/>
      <c r="BX130" s="387"/>
      <c r="BY130" s="388"/>
      <c r="BZ130" s="386"/>
      <c r="CA130" s="387"/>
      <c r="CB130" s="388"/>
      <c r="CC130" s="386"/>
      <c r="CD130" s="387"/>
      <c r="CE130" s="388"/>
      <c r="CF130" s="386"/>
      <c r="CG130" s="387"/>
      <c r="CH130" s="388"/>
      <c r="CI130" s="386"/>
      <c r="CJ130" s="387"/>
      <c r="CK130" s="388"/>
      <c r="CL130" s="386"/>
      <c r="CM130" s="387"/>
      <c r="CN130" s="388"/>
      <c r="CO130" s="386"/>
      <c r="CP130" s="387"/>
      <c r="CQ130" s="388"/>
      <c r="CR130" s="386"/>
      <c r="CS130" s="387"/>
      <c r="CT130" s="388"/>
      <c r="CU130" s="386"/>
      <c r="CV130" s="387"/>
      <c r="CW130" s="388"/>
      <c r="CX130" s="386"/>
      <c r="CY130" s="387"/>
      <c r="CZ130" s="388"/>
    </row>
    <row r="131">
      <c r="A131" s="1"/>
      <c r="B131" s="402"/>
      <c r="C131" s="362" t="str">
        <f>'5-0 Товары'!C131</f>
        <v/>
      </c>
      <c r="D131" s="363" t="str">
        <f>'5-0 Товары'!D131</f>
        <v/>
      </c>
      <c r="E131" s="364" t="str">
        <f>'5-0 Товары'!E131</f>
        <v/>
      </c>
      <c r="F131" s="380"/>
      <c r="G131" s="380"/>
      <c r="H131" s="364" t="str">
        <f>'5-0 Товары'!F131</f>
        <v/>
      </c>
      <c r="I131" s="391"/>
      <c r="J131" s="364" t="str">
        <f>'5-0 Товары'!G131</f>
        <v/>
      </c>
      <c r="K131" s="366" t="str">
        <f>'5-0 Товары'!H131</f>
        <v/>
      </c>
      <c r="L131" s="382" t="str">
        <f t="shared" si="1"/>
        <v/>
      </c>
      <c r="M131" s="382"/>
      <c r="N131" s="380"/>
      <c r="O131" s="369" t="str">
        <f>'5-0 Товары'!I131</f>
        <v/>
      </c>
      <c r="P131" s="371" t="str">
        <f>'5-0 Товары'!N131</f>
        <v/>
      </c>
      <c r="Q131" s="197"/>
      <c r="R131" s="193"/>
      <c r="S131" s="187"/>
      <c r="T131" s="187"/>
      <c r="U131" s="187"/>
      <c r="V131" s="187"/>
      <c r="W131" s="187"/>
      <c r="X131" s="187"/>
      <c r="Y131" s="187" t="s">
        <v>96</v>
      </c>
      <c r="Z131" s="193" t="str">
        <f t="shared" si="2"/>
        <v/>
      </c>
      <c r="AA131" s="383"/>
      <c r="AB131" s="384"/>
      <c r="AC131" s="385"/>
      <c r="AD131" s="383"/>
      <c r="AE131" s="384"/>
      <c r="AF131" s="385"/>
      <c r="AG131" s="383"/>
      <c r="AH131" s="384"/>
      <c r="AI131" s="385"/>
      <c r="AJ131" s="383"/>
      <c r="AK131" s="384"/>
      <c r="AL131" s="385"/>
      <c r="AM131" s="383"/>
      <c r="AN131" s="384"/>
      <c r="AO131" s="385"/>
      <c r="AP131" s="383"/>
      <c r="AQ131" s="384"/>
      <c r="AR131" s="385"/>
      <c r="AS131" s="383"/>
      <c r="AT131" s="384"/>
      <c r="AU131" s="385"/>
      <c r="AV131" s="383"/>
      <c r="AW131" s="384"/>
      <c r="AX131" s="385"/>
      <c r="AY131" s="383"/>
      <c r="AZ131" s="384"/>
      <c r="BA131" s="385"/>
      <c r="BB131" s="386"/>
      <c r="BC131" s="387"/>
      <c r="BD131" s="388"/>
      <c r="BE131" s="386"/>
      <c r="BF131" s="387"/>
      <c r="BG131" s="388"/>
      <c r="BH131" s="386"/>
      <c r="BI131" s="387"/>
      <c r="BJ131" s="388"/>
      <c r="BK131" s="386"/>
      <c r="BL131" s="387"/>
      <c r="BM131" s="388"/>
      <c r="BN131" s="386"/>
      <c r="BO131" s="387"/>
      <c r="BP131" s="388"/>
      <c r="BQ131" s="386"/>
      <c r="BR131" s="387"/>
      <c r="BS131" s="388"/>
      <c r="BT131" s="386"/>
      <c r="BU131" s="387"/>
      <c r="BV131" s="388"/>
      <c r="BW131" s="386"/>
      <c r="BX131" s="387"/>
      <c r="BY131" s="388"/>
      <c r="BZ131" s="386"/>
      <c r="CA131" s="387"/>
      <c r="CB131" s="388"/>
      <c r="CC131" s="386"/>
      <c r="CD131" s="387"/>
      <c r="CE131" s="388"/>
      <c r="CF131" s="386"/>
      <c r="CG131" s="387"/>
      <c r="CH131" s="388"/>
      <c r="CI131" s="386"/>
      <c r="CJ131" s="387"/>
      <c r="CK131" s="388"/>
      <c r="CL131" s="386"/>
      <c r="CM131" s="387"/>
      <c r="CN131" s="388"/>
      <c r="CO131" s="386"/>
      <c r="CP131" s="387"/>
      <c r="CQ131" s="388"/>
      <c r="CR131" s="386"/>
      <c r="CS131" s="387"/>
      <c r="CT131" s="388"/>
      <c r="CU131" s="386"/>
      <c r="CV131" s="387"/>
      <c r="CW131" s="388"/>
      <c r="CX131" s="386"/>
      <c r="CY131" s="387"/>
      <c r="CZ131" s="388"/>
    </row>
    <row r="132">
      <c r="A132" s="1"/>
      <c r="B132" s="402"/>
      <c r="C132" s="362" t="str">
        <f>'5-0 Товары'!C132</f>
        <v/>
      </c>
      <c r="D132" s="363" t="str">
        <f>'5-0 Товары'!D132</f>
        <v/>
      </c>
      <c r="E132" s="364" t="str">
        <f>'5-0 Товары'!E132</f>
        <v/>
      </c>
      <c r="F132" s="380"/>
      <c r="G132" s="380"/>
      <c r="H132" s="364" t="str">
        <f>'5-0 Товары'!F132</f>
        <v/>
      </c>
      <c r="I132" s="391"/>
      <c r="J132" s="364" t="str">
        <f>'5-0 Товары'!G132</f>
        <v/>
      </c>
      <c r="K132" s="366" t="str">
        <f>'5-0 Товары'!H132</f>
        <v/>
      </c>
      <c r="L132" s="382" t="str">
        <f t="shared" si="1"/>
        <v/>
      </c>
      <c r="M132" s="382"/>
      <c r="N132" s="380"/>
      <c r="O132" s="369" t="str">
        <f>'5-0 Товары'!I132</f>
        <v/>
      </c>
      <c r="P132" s="371" t="str">
        <f>'5-0 Товары'!N132</f>
        <v/>
      </c>
      <c r="Q132" s="197"/>
      <c r="R132" s="193"/>
      <c r="S132" s="187"/>
      <c r="T132" s="187"/>
      <c r="U132" s="187"/>
      <c r="V132" s="187"/>
      <c r="W132" s="187"/>
      <c r="X132" s="187"/>
      <c r="Y132" s="187" t="s">
        <v>96</v>
      </c>
      <c r="Z132" s="193" t="str">
        <f t="shared" si="2"/>
        <v/>
      </c>
      <c r="AA132" s="383"/>
      <c r="AB132" s="384"/>
      <c r="AC132" s="385"/>
      <c r="AD132" s="383"/>
      <c r="AE132" s="384"/>
      <c r="AF132" s="385"/>
      <c r="AG132" s="383"/>
      <c r="AH132" s="384"/>
      <c r="AI132" s="385"/>
      <c r="AJ132" s="383"/>
      <c r="AK132" s="384"/>
      <c r="AL132" s="385"/>
      <c r="AM132" s="383"/>
      <c r="AN132" s="384"/>
      <c r="AO132" s="385"/>
      <c r="AP132" s="383"/>
      <c r="AQ132" s="384"/>
      <c r="AR132" s="385"/>
      <c r="AS132" s="383"/>
      <c r="AT132" s="384"/>
      <c r="AU132" s="385"/>
      <c r="AV132" s="383"/>
      <c r="AW132" s="384"/>
      <c r="AX132" s="385"/>
      <c r="AY132" s="383"/>
      <c r="AZ132" s="384"/>
      <c r="BA132" s="385"/>
      <c r="BB132" s="386"/>
      <c r="BC132" s="387"/>
      <c r="BD132" s="388"/>
      <c r="BE132" s="386"/>
      <c r="BF132" s="387"/>
      <c r="BG132" s="388"/>
      <c r="BH132" s="386"/>
      <c r="BI132" s="387"/>
      <c r="BJ132" s="388"/>
      <c r="BK132" s="386"/>
      <c r="BL132" s="387"/>
      <c r="BM132" s="388"/>
      <c r="BN132" s="386"/>
      <c r="BO132" s="387"/>
      <c r="BP132" s="388"/>
      <c r="BQ132" s="386"/>
      <c r="BR132" s="387"/>
      <c r="BS132" s="388"/>
      <c r="BT132" s="386"/>
      <c r="BU132" s="387"/>
      <c r="BV132" s="388"/>
      <c r="BW132" s="386"/>
      <c r="BX132" s="387"/>
      <c r="BY132" s="388"/>
      <c r="BZ132" s="386"/>
      <c r="CA132" s="387"/>
      <c r="CB132" s="388"/>
      <c r="CC132" s="386"/>
      <c r="CD132" s="387"/>
      <c r="CE132" s="388"/>
      <c r="CF132" s="386"/>
      <c r="CG132" s="387"/>
      <c r="CH132" s="388"/>
      <c r="CI132" s="386"/>
      <c r="CJ132" s="387"/>
      <c r="CK132" s="388"/>
      <c r="CL132" s="386"/>
      <c r="CM132" s="387"/>
      <c r="CN132" s="388"/>
      <c r="CO132" s="386"/>
      <c r="CP132" s="387"/>
      <c r="CQ132" s="388"/>
      <c r="CR132" s="386"/>
      <c r="CS132" s="387"/>
      <c r="CT132" s="388"/>
      <c r="CU132" s="386"/>
      <c r="CV132" s="387"/>
      <c r="CW132" s="388"/>
      <c r="CX132" s="386"/>
      <c r="CY132" s="387"/>
      <c r="CZ132" s="388"/>
    </row>
    <row r="133">
      <c r="A133" s="1"/>
      <c r="B133" s="402"/>
      <c r="C133" s="362" t="str">
        <f>'5-0 Товары'!C133</f>
        <v/>
      </c>
      <c r="D133" s="363" t="str">
        <f>'5-0 Товары'!D133</f>
        <v/>
      </c>
      <c r="E133" s="364" t="str">
        <f>'5-0 Товары'!E133</f>
        <v/>
      </c>
      <c r="F133" s="380"/>
      <c r="G133" s="380"/>
      <c r="H133" s="364" t="str">
        <f>'5-0 Товары'!F133</f>
        <v/>
      </c>
      <c r="I133" s="391"/>
      <c r="J133" s="364" t="str">
        <f>'5-0 Товары'!G133</f>
        <v/>
      </c>
      <c r="K133" s="366" t="str">
        <f>'5-0 Товары'!H133</f>
        <v/>
      </c>
      <c r="L133" s="382" t="str">
        <f t="shared" si="1"/>
        <v/>
      </c>
      <c r="M133" s="382"/>
      <c r="N133" s="380"/>
      <c r="O133" s="369" t="str">
        <f>'5-0 Товары'!I133</f>
        <v/>
      </c>
      <c r="P133" s="371" t="str">
        <f>'5-0 Товары'!N133</f>
        <v/>
      </c>
      <c r="Q133" s="197"/>
      <c r="R133" s="193"/>
      <c r="S133" s="187"/>
      <c r="T133" s="187"/>
      <c r="U133" s="187"/>
      <c r="V133" s="187"/>
      <c r="W133" s="187"/>
      <c r="X133" s="187"/>
      <c r="Y133" s="187" t="s">
        <v>96</v>
      </c>
      <c r="Z133" s="193" t="str">
        <f t="shared" si="2"/>
        <v/>
      </c>
      <c r="AA133" s="383"/>
      <c r="AB133" s="384"/>
      <c r="AC133" s="385"/>
      <c r="AD133" s="383"/>
      <c r="AE133" s="384"/>
      <c r="AF133" s="385"/>
      <c r="AG133" s="383"/>
      <c r="AH133" s="384"/>
      <c r="AI133" s="385"/>
      <c r="AJ133" s="383"/>
      <c r="AK133" s="384"/>
      <c r="AL133" s="385"/>
      <c r="AM133" s="383"/>
      <c r="AN133" s="384"/>
      <c r="AO133" s="385"/>
      <c r="AP133" s="383"/>
      <c r="AQ133" s="384"/>
      <c r="AR133" s="385"/>
      <c r="AS133" s="383"/>
      <c r="AT133" s="384"/>
      <c r="AU133" s="385"/>
      <c r="AV133" s="383"/>
      <c r="AW133" s="384"/>
      <c r="AX133" s="385"/>
      <c r="AY133" s="383"/>
      <c r="AZ133" s="384"/>
      <c r="BA133" s="385"/>
      <c r="BB133" s="386"/>
      <c r="BC133" s="387"/>
      <c r="BD133" s="388"/>
      <c r="BE133" s="386"/>
      <c r="BF133" s="387"/>
      <c r="BG133" s="388"/>
      <c r="BH133" s="386"/>
      <c r="BI133" s="387"/>
      <c r="BJ133" s="388"/>
      <c r="BK133" s="386"/>
      <c r="BL133" s="387"/>
      <c r="BM133" s="388"/>
      <c r="BN133" s="386"/>
      <c r="BO133" s="387"/>
      <c r="BP133" s="388"/>
      <c r="BQ133" s="386"/>
      <c r="BR133" s="387"/>
      <c r="BS133" s="388"/>
      <c r="BT133" s="386"/>
      <c r="BU133" s="387"/>
      <c r="BV133" s="388"/>
      <c r="BW133" s="386"/>
      <c r="BX133" s="387"/>
      <c r="BY133" s="388"/>
      <c r="BZ133" s="386"/>
      <c r="CA133" s="387"/>
      <c r="CB133" s="388"/>
      <c r="CC133" s="386"/>
      <c r="CD133" s="387"/>
      <c r="CE133" s="388"/>
      <c r="CF133" s="386"/>
      <c r="CG133" s="387"/>
      <c r="CH133" s="388"/>
      <c r="CI133" s="386"/>
      <c r="CJ133" s="387"/>
      <c r="CK133" s="388"/>
      <c r="CL133" s="386"/>
      <c r="CM133" s="387"/>
      <c r="CN133" s="388"/>
      <c r="CO133" s="386"/>
      <c r="CP133" s="387"/>
      <c r="CQ133" s="388"/>
      <c r="CR133" s="386"/>
      <c r="CS133" s="387"/>
      <c r="CT133" s="388"/>
      <c r="CU133" s="386"/>
      <c r="CV133" s="387"/>
      <c r="CW133" s="388"/>
      <c r="CX133" s="386"/>
      <c r="CY133" s="387"/>
      <c r="CZ133" s="388"/>
    </row>
    <row r="134">
      <c r="A134" s="1"/>
      <c r="B134" s="402"/>
      <c r="C134" s="362" t="str">
        <f>'5-0 Товары'!C134</f>
        <v/>
      </c>
      <c r="D134" s="363" t="str">
        <f>'5-0 Товары'!D134</f>
        <v/>
      </c>
      <c r="E134" s="364" t="str">
        <f>'5-0 Товары'!E134</f>
        <v/>
      </c>
      <c r="F134" s="380"/>
      <c r="G134" s="380"/>
      <c r="H134" s="364" t="str">
        <f>'5-0 Товары'!F134</f>
        <v/>
      </c>
      <c r="I134" s="391"/>
      <c r="J134" s="364" t="str">
        <f>'5-0 Товары'!G134</f>
        <v/>
      </c>
      <c r="K134" s="366" t="str">
        <f>'5-0 Товары'!H134</f>
        <v/>
      </c>
      <c r="L134" s="382" t="str">
        <f t="shared" si="1"/>
        <v/>
      </c>
      <c r="M134" s="382"/>
      <c r="N134" s="380"/>
      <c r="O134" s="369" t="str">
        <f>'5-0 Товары'!I134</f>
        <v/>
      </c>
      <c r="P134" s="371" t="str">
        <f>'5-0 Товары'!N134</f>
        <v/>
      </c>
      <c r="Q134" s="197"/>
      <c r="R134" s="193"/>
      <c r="S134" s="187"/>
      <c r="T134" s="187"/>
      <c r="U134" s="187"/>
      <c r="V134" s="187"/>
      <c r="W134" s="187"/>
      <c r="X134" s="187"/>
      <c r="Y134" s="187" t="s">
        <v>96</v>
      </c>
      <c r="Z134" s="193" t="str">
        <f t="shared" si="2"/>
        <v/>
      </c>
      <c r="AA134" s="383"/>
      <c r="AB134" s="384"/>
      <c r="AC134" s="385"/>
      <c r="AD134" s="383"/>
      <c r="AE134" s="384"/>
      <c r="AF134" s="385"/>
      <c r="AG134" s="383"/>
      <c r="AH134" s="384"/>
      <c r="AI134" s="385"/>
      <c r="AJ134" s="383"/>
      <c r="AK134" s="384"/>
      <c r="AL134" s="385"/>
      <c r="AM134" s="383"/>
      <c r="AN134" s="384"/>
      <c r="AO134" s="385"/>
      <c r="AP134" s="383"/>
      <c r="AQ134" s="384"/>
      <c r="AR134" s="385"/>
      <c r="AS134" s="383"/>
      <c r="AT134" s="384"/>
      <c r="AU134" s="385"/>
      <c r="AV134" s="383"/>
      <c r="AW134" s="384"/>
      <c r="AX134" s="385"/>
      <c r="AY134" s="383"/>
      <c r="AZ134" s="384"/>
      <c r="BA134" s="385"/>
      <c r="BB134" s="386"/>
      <c r="BC134" s="387"/>
      <c r="BD134" s="388"/>
      <c r="BE134" s="386"/>
      <c r="BF134" s="387"/>
      <c r="BG134" s="388"/>
      <c r="BH134" s="386"/>
      <c r="BI134" s="387"/>
      <c r="BJ134" s="388"/>
      <c r="BK134" s="386"/>
      <c r="BL134" s="387"/>
      <c r="BM134" s="388"/>
      <c r="BN134" s="386"/>
      <c r="BO134" s="387"/>
      <c r="BP134" s="388"/>
      <c r="BQ134" s="386"/>
      <c r="BR134" s="387"/>
      <c r="BS134" s="388"/>
      <c r="BT134" s="386"/>
      <c r="BU134" s="387"/>
      <c r="BV134" s="388"/>
      <c r="BW134" s="386"/>
      <c r="BX134" s="387"/>
      <c r="BY134" s="388"/>
      <c r="BZ134" s="386"/>
      <c r="CA134" s="387"/>
      <c r="CB134" s="388"/>
      <c r="CC134" s="386"/>
      <c r="CD134" s="387"/>
      <c r="CE134" s="388"/>
      <c r="CF134" s="386"/>
      <c r="CG134" s="387"/>
      <c r="CH134" s="388"/>
      <c r="CI134" s="386"/>
      <c r="CJ134" s="387"/>
      <c r="CK134" s="388"/>
      <c r="CL134" s="386"/>
      <c r="CM134" s="387"/>
      <c r="CN134" s="388"/>
      <c r="CO134" s="386"/>
      <c r="CP134" s="387"/>
      <c r="CQ134" s="388"/>
      <c r="CR134" s="386"/>
      <c r="CS134" s="387"/>
      <c r="CT134" s="388"/>
      <c r="CU134" s="386"/>
      <c r="CV134" s="387"/>
      <c r="CW134" s="388"/>
      <c r="CX134" s="386"/>
      <c r="CY134" s="387"/>
      <c r="CZ134" s="388"/>
    </row>
    <row r="135">
      <c r="A135" s="1"/>
      <c r="B135" s="402"/>
      <c r="C135" s="362" t="str">
        <f>'5-0 Товары'!C135</f>
        <v/>
      </c>
      <c r="D135" s="363" t="str">
        <f>'5-0 Товары'!D135</f>
        <v/>
      </c>
      <c r="E135" s="364" t="str">
        <f>'5-0 Товары'!E135</f>
        <v/>
      </c>
      <c r="F135" s="380"/>
      <c r="G135" s="380"/>
      <c r="H135" s="364" t="str">
        <f>'5-0 Товары'!F135</f>
        <v/>
      </c>
      <c r="I135" s="391"/>
      <c r="J135" s="364" t="str">
        <f>'5-0 Товары'!G135</f>
        <v/>
      </c>
      <c r="K135" s="366" t="str">
        <f>'5-0 Товары'!H135</f>
        <v/>
      </c>
      <c r="L135" s="382" t="str">
        <f t="shared" si="1"/>
        <v/>
      </c>
      <c r="M135" s="382"/>
      <c r="N135" s="380"/>
      <c r="O135" s="369" t="str">
        <f>'5-0 Товары'!I135</f>
        <v/>
      </c>
      <c r="P135" s="371" t="str">
        <f>'5-0 Товары'!N135</f>
        <v/>
      </c>
      <c r="Q135" s="197"/>
      <c r="R135" s="193"/>
      <c r="S135" s="187"/>
      <c r="T135" s="187"/>
      <c r="U135" s="187"/>
      <c r="V135" s="187"/>
      <c r="W135" s="187"/>
      <c r="X135" s="187"/>
      <c r="Y135" s="187" t="s">
        <v>96</v>
      </c>
      <c r="Z135" s="193" t="str">
        <f t="shared" si="2"/>
        <v/>
      </c>
      <c r="AA135" s="383"/>
      <c r="AB135" s="384"/>
      <c r="AC135" s="385"/>
      <c r="AD135" s="383"/>
      <c r="AE135" s="384"/>
      <c r="AF135" s="385"/>
      <c r="AG135" s="383"/>
      <c r="AH135" s="384"/>
      <c r="AI135" s="385"/>
      <c r="AJ135" s="383"/>
      <c r="AK135" s="384"/>
      <c r="AL135" s="385"/>
      <c r="AM135" s="383"/>
      <c r="AN135" s="384"/>
      <c r="AO135" s="385"/>
      <c r="AP135" s="383"/>
      <c r="AQ135" s="384"/>
      <c r="AR135" s="385"/>
      <c r="AS135" s="383"/>
      <c r="AT135" s="384"/>
      <c r="AU135" s="385"/>
      <c r="AV135" s="383"/>
      <c r="AW135" s="384"/>
      <c r="AX135" s="385"/>
      <c r="AY135" s="383"/>
      <c r="AZ135" s="384"/>
      <c r="BA135" s="385"/>
      <c r="BB135" s="386"/>
      <c r="BC135" s="387"/>
      <c r="BD135" s="388"/>
      <c r="BE135" s="386"/>
      <c r="BF135" s="387"/>
      <c r="BG135" s="388"/>
      <c r="BH135" s="386"/>
      <c r="BI135" s="387"/>
      <c r="BJ135" s="388"/>
      <c r="BK135" s="386"/>
      <c r="BL135" s="387"/>
      <c r="BM135" s="388"/>
      <c r="BN135" s="386"/>
      <c r="BO135" s="387"/>
      <c r="BP135" s="388"/>
      <c r="BQ135" s="386"/>
      <c r="BR135" s="387"/>
      <c r="BS135" s="388"/>
      <c r="BT135" s="386"/>
      <c r="BU135" s="387"/>
      <c r="BV135" s="388"/>
      <c r="BW135" s="386"/>
      <c r="BX135" s="387"/>
      <c r="BY135" s="388"/>
      <c r="BZ135" s="386"/>
      <c r="CA135" s="387"/>
      <c r="CB135" s="388"/>
      <c r="CC135" s="386"/>
      <c r="CD135" s="387"/>
      <c r="CE135" s="388"/>
      <c r="CF135" s="386"/>
      <c r="CG135" s="387"/>
      <c r="CH135" s="388"/>
      <c r="CI135" s="386"/>
      <c r="CJ135" s="387"/>
      <c r="CK135" s="388"/>
      <c r="CL135" s="386"/>
      <c r="CM135" s="387"/>
      <c r="CN135" s="388"/>
      <c r="CO135" s="386"/>
      <c r="CP135" s="387"/>
      <c r="CQ135" s="388"/>
      <c r="CR135" s="386"/>
      <c r="CS135" s="387"/>
      <c r="CT135" s="388"/>
      <c r="CU135" s="386"/>
      <c r="CV135" s="387"/>
      <c r="CW135" s="388"/>
      <c r="CX135" s="386"/>
      <c r="CY135" s="387"/>
      <c r="CZ135" s="388"/>
    </row>
    <row r="136">
      <c r="A136" s="1"/>
      <c r="B136" s="402"/>
      <c r="C136" s="362" t="str">
        <f>'5-0 Товары'!C136</f>
        <v/>
      </c>
      <c r="D136" s="363" t="str">
        <f>'5-0 Товары'!D136</f>
        <v/>
      </c>
      <c r="E136" s="364" t="str">
        <f>'5-0 Товары'!E136</f>
        <v/>
      </c>
      <c r="F136" s="380"/>
      <c r="G136" s="380"/>
      <c r="H136" s="364" t="str">
        <f>'5-0 Товары'!F136</f>
        <v/>
      </c>
      <c r="I136" s="391"/>
      <c r="J136" s="364" t="str">
        <f>'5-0 Товары'!G136</f>
        <v/>
      </c>
      <c r="K136" s="366" t="str">
        <f>'5-0 Товары'!H136</f>
        <v/>
      </c>
      <c r="L136" s="382" t="str">
        <f t="shared" si="1"/>
        <v/>
      </c>
      <c r="M136" s="382"/>
      <c r="N136" s="380"/>
      <c r="O136" s="369" t="str">
        <f>'5-0 Товары'!I136</f>
        <v/>
      </c>
      <c r="P136" s="371" t="str">
        <f>'5-0 Товары'!N136</f>
        <v/>
      </c>
      <c r="Q136" s="197"/>
      <c r="R136" s="193"/>
      <c r="S136" s="187"/>
      <c r="T136" s="187"/>
      <c r="U136" s="187"/>
      <c r="V136" s="187"/>
      <c r="W136" s="187"/>
      <c r="X136" s="187"/>
      <c r="Y136" s="187" t="s">
        <v>96</v>
      </c>
      <c r="Z136" s="193" t="str">
        <f t="shared" si="2"/>
        <v/>
      </c>
      <c r="AA136" s="383"/>
      <c r="AB136" s="384"/>
      <c r="AC136" s="385"/>
      <c r="AD136" s="383"/>
      <c r="AE136" s="384"/>
      <c r="AF136" s="385"/>
      <c r="AG136" s="383"/>
      <c r="AH136" s="384"/>
      <c r="AI136" s="385"/>
      <c r="AJ136" s="383"/>
      <c r="AK136" s="384"/>
      <c r="AL136" s="385"/>
      <c r="AM136" s="383"/>
      <c r="AN136" s="384"/>
      <c r="AO136" s="385"/>
      <c r="AP136" s="383"/>
      <c r="AQ136" s="384"/>
      <c r="AR136" s="385"/>
      <c r="AS136" s="383"/>
      <c r="AT136" s="384"/>
      <c r="AU136" s="385"/>
      <c r="AV136" s="383"/>
      <c r="AW136" s="384"/>
      <c r="AX136" s="385"/>
      <c r="AY136" s="383"/>
      <c r="AZ136" s="384"/>
      <c r="BA136" s="385"/>
      <c r="BB136" s="386"/>
      <c r="BC136" s="387"/>
      <c r="BD136" s="388"/>
      <c r="BE136" s="386"/>
      <c r="BF136" s="387"/>
      <c r="BG136" s="388"/>
      <c r="BH136" s="386"/>
      <c r="BI136" s="387"/>
      <c r="BJ136" s="388"/>
      <c r="BK136" s="386"/>
      <c r="BL136" s="387"/>
      <c r="BM136" s="388"/>
      <c r="BN136" s="386"/>
      <c r="BO136" s="387"/>
      <c r="BP136" s="388"/>
      <c r="BQ136" s="386"/>
      <c r="BR136" s="387"/>
      <c r="BS136" s="388"/>
      <c r="BT136" s="386"/>
      <c r="BU136" s="387"/>
      <c r="BV136" s="388"/>
      <c r="BW136" s="386"/>
      <c r="BX136" s="387"/>
      <c r="BY136" s="388"/>
      <c r="BZ136" s="386"/>
      <c r="CA136" s="387"/>
      <c r="CB136" s="388"/>
      <c r="CC136" s="386"/>
      <c r="CD136" s="387"/>
      <c r="CE136" s="388"/>
      <c r="CF136" s="386"/>
      <c r="CG136" s="387"/>
      <c r="CH136" s="388"/>
      <c r="CI136" s="386"/>
      <c r="CJ136" s="387"/>
      <c r="CK136" s="388"/>
      <c r="CL136" s="386"/>
      <c r="CM136" s="387"/>
      <c r="CN136" s="388"/>
      <c r="CO136" s="386"/>
      <c r="CP136" s="387"/>
      <c r="CQ136" s="388"/>
      <c r="CR136" s="386"/>
      <c r="CS136" s="387"/>
      <c r="CT136" s="388"/>
      <c r="CU136" s="386"/>
      <c r="CV136" s="387"/>
      <c r="CW136" s="388"/>
      <c r="CX136" s="386"/>
      <c r="CY136" s="387"/>
      <c r="CZ136" s="388"/>
    </row>
    <row r="137">
      <c r="A137" s="1"/>
      <c r="B137" s="402"/>
      <c r="C137" s="362" t="str">
        <f>'5-0 Товары'!C137</f>
        <v/>
      </c>
      <c r="D137" s="363" t="str">
        <f>'5-0 Товары'!D137</f>
        <v/>
      </c>
      <c r="E137" s="364" t="str">
        <f>'5-0 Товары'!E137</f>
        <v/>
      </c>
      <c r="F137" s="380"/>
      <c r="G137" s="380"/>
      <c r="H137" s="364" t="str">
        <f>'5-0 Товары'!F137</f>
        <v/>
      </c>
      <c r="I137" s="391"/>
      <c r="J137" s="364" t="str">
        <f>'5-0 Товары'!G137</f>
        <v/>
      </c>
      <c r="K137" s="366" t="str">
        <f>'5-0 Товары'!H137</f>
        <v/>
      </c>
      <c r="L137" s="382" t="str">
        <f t="shared" si="1"/>
        <v/>
      </c>
      <c r="M137" s="382"/>
      <c r="N137" s="380"/>
      <c r="O137" s="369" t="str">
        <f>'5-0 Товары'!I137</f>
        <v/>
      </c>
      <c r="P137" s="371" t="str">
        <f>'5-0 Товары'!N137</f>
        <v/>
      </c>
      <c r="Q137" s="197"/>
      <c r="R137" s="193"/>
      <c r="S137" s="187"/>
      <c r="T137" s="187"/>
      <c r="U137" s="187"/>
      <c r="V137" s="187"/>
      <c r="W137" s="187"/>
      <c r="X137" s="187"/>
      <c r="Y137" s="187" t="s">
        <v>96</v>
      </c>
      <c r="Z137" s="193" t="str">
        <f t="shared" si="2"/>
        <v/>
      </c>
      <c r="AA137" s="383"/>
      <c r="AB137" s="384"/>
      <c r="AC137" s="385"/>
      <c r="AD137" s="383"/>
      <c r="AE137" s="384"/>
      <c r="AF137" s="385"/>
      <c r="AG137" s="383"/>
      <c r="AH137" s="384"/>
      <c r="AI137" s="385"/>
      <c r="AJ137" s="383"/>
      <c r="AK137" s="384"/>
      <c r="AL137" s="385"/>
      <c r="AM137" s="383"/>
      <c r="AN137" s="384"/>
      <c r="AO137" s="385"/>
      <c r="AP137" s="383"/>
      <c r="AQ137" s="384"/>
      <c r="AR137" s="385"/>
      <c r="AS137" s="383"/>
      <c r="AT137" s="384"/>
      <c r="AU137" s="385"/>
      <c r="AV137" s="383"/>
      <c r="AW137" s="384"/>
      <c r="AX137" s="385"/>
      <c r="AY137" s="383"/>
      <c r="AZ137" s="384"/>
      <c r="BA137" s="385"/>
      <c r="BB137" s="386"/>
      <c r="BC137" s="387"/>
      <c r="BD137" s="388"/>
      <c r="BE137" s="386"/>
      <c r="BF137" s="387"/>
      <c r="BG137" s="388"/>
      <c r="BH137" s="386"/>
      <c r="BI137" s="387"/>
      <c r="BJ137" s="388"/>
      <c r="BK137" s="386"/>
      <c r="BL137" s="387"/>
      <c r="BM137" s="388"/>
      <c r="BN137" s="386"/>
      <c r="BO137" s="387"/>
      <c r="BP137" s="388"/>
      <c r="BQ137" s="386"/>
      <c r="BR137" s="387"/>
      <c r="BS137" s="388"/>
      <c r="BT137" s="386"/>
      <c r="BU137" s="387"/>
      <c r="BV137" s="388"/>
      <c r="BW137" s="386"/>
      <c r="BX137" s="387"/>
      <c r="BY137" s="388"/>
      <c r="BZ137" s="386"/>
      <c r="CA137" s="387"/>
      <c r="CB137" s="388"/>
      <c r="CC137" s="386"/>
      <c r="CD137" s="387"/>
      <c r="CE137" s="388"/>
      <c r="CF137" s="386"/>
      <c r="CG137" s="387"/>
      <c r="CH137" s="388"/>
      <c r="CI137" s="386"/>
      <c r="CJ137" s="387"/>
      <c r="CK137" s="388"/>
      <c r="CL137" s="386"/>
      <c r="CM137" s="387"/>
      <c r="CN137" s="388"/>
      <c r="CO137" s="386"/>
      <c r="CP137" s="387"/>
      <c r="CQ137" s="388"/>
      <c r="CR137" s="386"/>
      <c r="CS137" s="387"/>
      <c r="CT137" s="388"/>
      <c r="CU137" s="386"/>
      <c r="CV137" s="387"/>
      <c r="CW137" s="388"/>
      <c r="CX137" s="386"/>
      <c r="CY137" s="387"/>
      <c r="CZ137" s="388"/>
    </row>
    <row r="138">
      <c r="A138" s="1"/>
      <c r="B138" s="402"/>
      <c r="C138" s="362" t="str">
        <f>'5-0 Товары'!C138</f>
        <v/>
      </c>
      <c r="D138" s="363" t="str">
        <f>'5-0 Товары'!D138</f>
        <v/>
      </c>
      <c r="E138" s="364" t="str">
        <f>'5-0 Товары'!E138</f>
        <v/>
      </c>
      <c r="F138" s="380"/>
      <c r="G138" s="380"/>
      <c r="H138" s="364" t="str">
        <f>'5-0 Товары'!F138</f>
        <v/>
      </c>
      <c r="I138" s="391"/>
      <c r="J138" s="364" t="str">
        <f>'5-0 Товары'!G138</f>
        <v/>
      </c>
      <c r="K138" s="366" t="str">
        <f>'5-0 Товары'!H138</f>
        <v/>
      </c>
      <c r="L138" s="382" t="str">
        <f t="shared" si="1"/>
        <v/>
      </c>
      <c r="M138" s="382"/>
      <c r="N138" s="380"/>
      <c r="O138" s="369" t="str">
        <f>'5-0 Товары'!I138</f>
        <v/>
      </c>
      <c r="P138" s="371" t="str">
        <f>'5-0 Товары'!N138</f>
        <v/>
      </c>
      <c r="Q138" s="197"/>
      <c r="R138" s="193"/>
      <c r="S138" s="187"/>
      <c r="T138" s="187"/>
      <c r="U138" s="187"/>
      <c r="V138" s="187"/>
      <c r="W138" s="187"/>
      <c r="X138" s="187"/>
      <c r="Y138" s="187" t="s">
        <v>96</v>
      </c>
      <c r="Z138" s="193" t="str">
        <f t="shared" si="2"/>
        <v/>
      </c>
      <c r="AA138" s="383"/>
      <c r="AB138" s="384"/>
      <c r="AC138" s="385"/>
      <c r="AD138" s="383"/>
      <c r="AE138" s="384"/>
      <c r="AF138" s="385"/>
      <c r="AG138" s="383"/>
      <c r="AH138" s="384"/>
      <c r="AI138" s="385"/>
      <c r="AJ138" s="383"/>
      <c r="AK138" s="384"/>
      <c r="AL138" s="385"/>
      <c r="AM138" s="383"/>
      <c r="AN138" s="384"/>
      <c r="AO138" s="385"/>
      <c r="AP138" s="383"/>
      <c r="AQ138" s="384"/>
      <c r="AR138" s="385"/>
      <c r="AS138" s="383"/>
      <c r="AT138" s="384"/>
      <c r="AU138" s="385"/>
      <c r="AV138" s="383"/>
      <c r="AW138" s="384"/>
      <c r="AX138" s="385"/>
      <c r="AY138" s="383"/>
      <c r="AZ138" s="384"/>
      <c r="BA138" s="385"/>
      <c r="BB138" s="386"/>
      <c r="BC138" s="387"/>
      <c r="BD138" s="388"/>
      <c r="BE138" s="386"/>
      <c r="BF138" s="387"/>
      <c r="BG138" s="388"/>
      <c r="BH138" s="386"/>
      <c r="BI138" s="387"/>
      <c r="BJ138" s="388"/>
      <c r="BK138" s="386"/>
      <c r="BL138" s="387"/>
      <c r="BM138" s="388"/>
      <c r="BN138" s="386"/>
      <c r="BO138" s="387"/>
      <c r="BP138" s="388"/>
      <c r="BQ138" s="386"/>
      <c r="BR138" s="387"/>
      <c r="BS138" s="388"/>
      <c r="BT138" s="386"/>
      <c r="BU138" s="387"/>
      <c r="BV138" s="388"/>
      <c r="BW138" s="386"/>
      <c r="BX138" s="387"/>
      <c r="BY138" s="388"/>
      <c r="BZ138" s="386"/>
      <c r="CA138" s="387"/>
      <c r="CB138" s="388"/>
      <c r="CC138" s="386"/>
      <c r="CD138" s="387"/>
      <c r="CE138" s="388"/>
      <c r="CF138" s="386"/>
      <c r="CG138" s="387"/>
      <c r="CH138" s="388"/>
      <c r="CI138" s="386"/>
      <c r="CJ138" s="387"/>
      <c r="CK138" s="388"/>
      <c r="CL138" s="386"/>
      <c r="CM138" s="387"/>
      <c r="CN138" s="388"/>
      <c r="CO138" s="386"/>
      <c r="CP138" s="387"/>
      <c r="CQ138" s="388"/>
      <c r="CR138" s="386"/>
      <c r="CS138" s="387"/>
      <c r="CT138" s="388"/>
      <c r="CU138" s="386"/>
      <c r="CV138" s="387"/>
      <c r="CW138" s="388"/>
      <c r="CX138" s="386"/>
      <c r="CY138" s="387"/>
      <c r="CZ138" s="388"/>
    </row>
    <row r="139">
      <c r="A139" s="1"/>
      <c r="B139" s="402"/>
      <c r="C139" s="362" t="str">
        <f>'5-0 Товары'!C139</f>
        <v/>
      </c>
      <c r="D139" s="363" t="str">
        <f>'5-0 Товары'!D139</f>
        <v/>
      </c>
      <c r="E139" s="364" t="str">
        <f>'5-0 Товары'!E139</f>
        <v/>
      </c>
      <c r="F139" s="380"/>
      <c r="G139" s="380"/>
      <c r="H139" s="364" t="str">
        <f>'5-0 Товары'!F139</f>
        <v/>
      </c>
      <c r="I139" s="391"/>
      <c r="J139" s="364" t="str">
        <f>'5-0 Товары'!G139</f>
        <v/>
      </c>
      <c r="K139" s="366" t="str">
        <f>'5-0 Товары'!H139</f>
        <v/>
      </c>
      <c r="L139" s="382" t="str">
        <f t="shared" si="1"/>
        <v/>
      </c>
      <c r="M139" s="382"/>
      <c r="N139" s="380"/>
      <c r="O139" s="369" t="str">
        <f>'5-0 Товары'!I139</f>
        <v/>
      </c>
      <c r="P139" s="371" t="str">
        <f>'5-0 Товары'!N139</f>
        <v/>
      </c>
      <c r="Q139" s="197"/>
      <c r="R139" s="193"/>
      <c r="S139" s="187"/>
      <c r="T139" s="187"/>
      <c r="U139" s="187"/>
      <c r="V139" s="187"/>
      <c r="W139" s="187"/>
      <c r="X139" s="187"/>
      <c r="Y139" s="187" t="s">
        <v>96</v>
      </c>
      <c r="Z139" s="193" t="str">
        <f t="shared" si="2"/>
        <v/>
      </c>
      <c r="AA139" s="383"/>
      <c r="AB139" s="384"/>
      <c r="AC139" s="385"/>
      <c r="AD139" s="383"/>
      <c r="AE139" s="384"/>
      <c r="AF139" s="385"/>
      <c r="AG139" s="383"/>
      <c r="AH139" s="384"/>
      <c r="AI139" s="385"/>
      <c r="AJ139" s="383"/>
      <c r="AK139" s="384"/>
      <c r="AL139" s="385"/>
      <c r="AM139" s="383"/>
      <c r="AN139" s="384"/>
      <c r="AO139" s="385"/>
      <c r="AP139" s="383"/>
      <c r="AQ139" s="384"/>
      <c r="AR139" s="385"/>
      <c r="AS139" s="383"/>
      <c r="AT139" s="384"/>
      <c r="AU139" s="385"/>
      <c r="AV139" s="383"/>
      <c r="AW139" s="384"/>
      <c r="AX139" s="385"/>
      <c r="AY139" s="383"/>
      <c r="AZ139" s="384"/>
      <c r="BA139" s="385"/>
      <c r="BB139" s="386"/>
      <c r="BC139" s="387"/>
      <c r="BD139" s="388"/>
      <c r="BE139" s="386"/>
      <c r="BF139" s="387"/>
      <c r="BG139" s="388"/>
      <c r="BH139" s="386"/>
      <c r="BI139" s="387"/>
      <c r="BJ139" s="388"/>
      <c r="BK139" s="386"/>
      <c r="BL139" s="387"/>
      <c r="BM139" s="388"/>
      <c r="BN139" s="386"/>
      <c r="BO139" s="387"/>
      <c r="BP139" s="388"/>
      <c r="BQ139" s="386"/>
      <c r="BR139" s="387"/>
      <c r="BS139" s="388"/>
      <c r="BT139" s="386"/>
      <c r="BU139" s="387"/>
      <c r="BV139" s="388"/>
      <c r="BW139" s="386"/>
      <c r="BX139" s="387"/>
      <c r="BY139" s="388"/>
      <c r="BZ139" s="386"/>
      <c r="CA139" s="387"/>
      <c r="CB139" s="388"/>
      <c r="CC139" s="386"/>
      <c r="CD139" s="387"/>
      <c r="CE139" s="388"/>
      <c r="CF139" s="386"/>
      <c r="CG139" s="387"/>
      <c r="CH139" s="388"/>
      <c r="CI139" s="386"/>
      <c r="CJ139" s="387"/>
      <c r="CK139" s="388"/>
      <c r="CL139" s="386"/>
      <c r="CM139" s="387"/>
      <c r="CN139" s="388"/>
      <c r="CO139" s="386"/>
      <c r="CP139" s="387"/>
      <c r="CQ139" s="388"/>
      <c r="CR139" s="386"/>
      <c r="CS139" s="387"/>
      <c r="CT139" s="388"/>
      <c r="CU139" s="386"/>
      <c r="CV139" s="387"/>
      <c r="CW139" s="388"/>
      <c r="CX139" s="386"/>
      <c r="CY139" s="387"/>
      <c r="CZ139" s="388"/>
    </row>
    <row r="140">
      <c r="A140" s="1"/>
      <c r="B140" s="402"/>
      <c r="C140" s="362" t="str">
        <f>'5-0 Товары'!C140</f>
        <v/>
      </c>
      <c r="D140" s="363" t="str">
        <f>'5-0 Товары'!D140</f>
        <v/>
      </c>
      <c r="E140" s="364" t="str">
        <f>'5-0 Товары'!E140</f>
        <v/>
      </c>
      <c r="F140" s="380"/>
      <c r="G140" s="380"/>
      <c r="H140" s="364" t="str">
        <f>'5-0 Товары'!F140</f>
        <v/>
      </c>
      <c r="I140" s="391"/>
      <c r="J140" s="364" t="str">
        <f>'5-0 Товары'!G140</f>
        <v/>
      </c>
      <c r="K140" s="366" t="str">
        <f>'5-0 Товары'!H140</f>
        <v/>
      </c>
      <c r="L140" s="382" t="str">
        <f t="shared" si="1"/>
        <v/>
      </c>
      <c r="M140" s="382"/>
      <c r="N140" s="380"/>
      <c r="O140" s="369" t="str">
        <f>'5-0 Товары'!I140</f>
        <v/>
      </c>
      <c r="P140" s="371" t="str">
        <f>'5-0 Товары'!N140</f>
        <v/>
      </c>
      <c r="Q140" s="197"/>
      <c r="R140" s="193"/>
      <c r="S140" s="187"/>
      <c r="T140" s="187"/>
      <c r="U140" s="187"/>
      <c r="V140" s="187"/>
      <c r="W140" s="187"/>
      <c r="X140" s="187"/>
      <c r="Y140" s="187" t="s">
        <v>96</v>
      </c>
      <c r="Z140" s="193" t="str">
        <f t="shared" si="2"/>
        <v/>
      </c>
      <c r="AA140" s="383"/>
      <c r="AB140" s="384"/>
      <c r="AC140" s="385"/>
      <c r="AD140" s="383"/>
      <c r="AE140" s="384"/>
      <c r="AF140" s="385"/>
      <c r="AG140" s="383"/>
      <c r="AH140" s="384"/>
      <c r="AI140" s="385"/>
      <c r="AJ140" s="383"/>
      <c r="AK140" s="384"/>
      <c r="AL140" s="385"/>
      <c r="AM140" s="383"/>
      <c r="AN140" s="384"/>
      <c r="AO140" s="385"/>
      <c r="AP140" s="383"/>
      <c r="AQ140" s="384"/>
      <c r="AR140" s="385"/>
      <c r="AS140" s="383"/>
      <c r="AT140" s="384"/>
      <c r="AU140" s="385"/>
      <c r="AV140" s="383"/>
      <c r="AW140" s="384"/>
      <c r="AX140" s="385"/>
      <c r="AY140" s="383"/>
      <c r="AZ140" s="384"/>
      <c r="BA140" s="385"/>
      <c r="BB140" s="386"/>
      <c r="BC140" s="387"/>
      <c r="BD140" s="388"/>
      <c r="BE140" s="386"/>
      <c r="BF140" s="387"/>
      <c r="BG140" s="388"/>
      <c r="BH140" s="386"/>
      <c r="BI140" s="387"/>
      <c r="BJ140" s="388"/>
      <c r="BK140" s="386"/>
      <c r="BL140" s="387"/>
      <c r="BM140" s="388"/>
      <c r="BN140" s="386"/>
      <c r="BO140" s="387"/>
      <c r="BP140" s="388"/>
      <c r="BQ140" s="386"/>
      <c r="BR140" s="387"/>
      <c r="BS140" s="388"/>
      <c r="BT140" s="386"/>
      <c r="BU140" s="387"/>
      <c r="BV140" s="388"/>
      <c r="BW140" s="386"/>
      <c r="BX140" s="387"/>
      <c r="BY140" s="388"/>
      <c r="BZ140" s="386"/>
      <c r="CA140" s="387"/>
      <c r="CB140" s="388"/>
      <c r="CC140" s="386"/>
      <c r="CD140" s="387"/>
      <c r="CE140" s="388"/>
      <c r="CF140" s="386"/>
      <c r="CG140" s="387"/>
      <c r="CH140" s="388"/>
      <c r="CI140" s="386"/>
      <c r="CJ140" s="387"/>
      <c r="CK140" s="388"/>
      <c r="CL140" s="386"/>
      <c r="CM140" s="387"/>
      <c r="CN140" s="388"/>
      <c r="CO140" s="386"/>
      <c r="CP140" s="387"/>
      <c r="CQ140" s="388"/>
      <c r="CR140" s="386"/>
      <c r="CS140" s="387"/>
      <c r="CT140" s="388"/>
      <c r="CU140" s="386"/>
      <c r="CV140" s="387"/>
      <c r="CW140" s="388"/>
      <c r="CX140" s="386"/>
      <c r="CY140" s="387"/>
      <c r="CZ140" s="388"/>
    </row>
    <row r="141">
      <c r="A141" s="1"/>
      <c r="B141" s="402"/>
      <c r="C141" s="362" t="str">
        <f>'5-0 Товары'!C141</f>
        <v/>
      </c>
      <c r="D141" s="363" t="str">
        <f>'5-0 Товары'!D141</f>
        <v/>
      </c>
      <c r="E141" s="364" t="str">
        <f>'5-0 Товары'!E141</f>
        <v/>
      </c>
      <c r="F141" s="380"/>
      <c r="G141" s="380"/>
      <c r="H141" s="364" t="str">
        <f>'5-0 Товары'!F141</f>
        <v/>
      </c>
      <c r="I141" s="391"/>
      <c r="J141" s="364" t="str">
        <f>'5-0 Товары'!G141</f>
        <v/>
      </c>
      <c r="K141" s="366" t="str">
        <f>'5-0 Товары'!H141</f>
        <v/>
      </c>
      <c r="L141" s="382" t="str">
        <f t="shared" si="1"/>
        <v/>
      </c>
      <c r="M141" s="382"/>
      <c r="N141" s="380"/>
      <c r="O141" s="369" t="str">
        <f>'5-0 Товары'!I141</f>
        <v/>
      </c>
      <c r="P141" s="371" t="str">
        <f>'5-0 Товары'!N141</f>
        <v/>
      </c>
      <c r="Q141" s="197"/>
      <c r="R141" s="193"/>
      <c r="S141" s="187"/>
      <c r="T141" s="187"/>
      <c r="U141" s="187"/>
      <c r="V141" s="187"/>
      <c r="W141" s="187"/>
      <c r="X141" s="187"/>
      <c r="Y141" s="187" t="s">
        <v>96</v>
      </c>
      <c r="Z141" s="193" t="str">
        <f t="shared" si="2"/>
        <v/>
      </c>
      <c r="AA141" s="383"/>
      <c r="AB141" s="384"/>
      <c r="AC141" s="385"/>
      <c r="AD141" s="383"/>
      <c r="AE141" s="384"/>
      <c r="AF141" s="385"/>
      <c r="AG141" s="383"/>
      <c r="AH141" s="384"/>
      <c r="AI141" s="385"/>
      <c r="AJ141" s="383"/>
      <c r="AK141" s="384"/>
      <c r="AL141" s="385"/>
      <c r="AM141" s="383"/>
      <c r="AN141" s="384"/>
      <c r="AO141" s="385"/>
      <c r="AP141" s="383"/>
      <c r="AQ141" s="384"/>
      <c r="AR141" s="385"/>
      <c r="AS141" s="383"/>
      <c r="AT141" s="384"/>
      <c r="AU141" s="385"/>
      <c r="AV141" s="383"/>
      <c r="AW141" s="384"/>
      <c r="AX141" s="385"/>
      <c r="AY141" s="383"/>
      <c r="AZ141" s="384"/>
      <c r="BA141" s="385"/>
      <c r="BB141" s="386"/>
      <c r="BC141" s="387"/>
      <c r="BD141" s="388"/>
      <c r="BE141" s="386"/>
      <c r="BF141" s="387"/>
      <c r="BG141" s="388"/>
      <c r="BH141" s="386"/>
      <c r="BI141" s="387"/>
      <c r="BJ141" s="388"/>
      <c r="BK141" s="386"/>
      <c r="BL141" s="387"/>
      <c r="BM141" s="388"/>
      <c r="BN141" s="386"/>
      <c r="BO141" s="387"/>
      <c r="BP141" s="388"/>
      <c r="BQ141" s="386"/>
      <c r="BR141" s="387"/>
      <c r="BS141" s="388"/>
      <c r="BT141" s="386"/>
      <c r="BU141" s="387"/>
      <c r="BV141" s="388"/>
      <c r="BW141" s="386"/>
      <c r="BX141" s="387"/>
      <c r="BY141" s="388"/>
      <c r="BZ141" s="386"/>
      <c r="CA141" s="387"/>
      <c r="CB141" s="388"/>
      <c r="CC141" s="386"/>
      <c r="CD141" s="387"/>
      <c r="CE141" s="388"/>
      <c r="CF141" s="386"/>
      <c r="CG141" s="387"/>
      <c r="CH141" s="388"/>
      <c r="CI141" s="386"/>
      <c r="CJ141" s="387"/>
      <c r="CK141" s="388"/>
      <c r="CL141" s="386"/>
      <c r="CM141" s="387"/>
      <c r="CN141" s="388"/>
      <c r="CO141" s="386"/>
      <c r="CP141" s="387"/>
      <c r="CQ141" s="388"/>
      <c r="CR141" s="386"/>
      <c r="CS141" s="387"/>
      <c r="CT141" s="388"/>
      <c r="CU141" s="386"/>
      <c r="CV141" s="387"/>
      <c r="CW141" s="388"/>
      <c r="CX141" s="386"/>
      <c r="CY141" s="387"/>
      <c r="CZ141" s="388"/>
    </row>
    <row r="142">
      <c r="A142" s="1"/>
      <c r="B142" s="402"/>
      <c r="C142" s="362" t="str">
        <f>'5-0 Товары'!C142</f>
        <v/>
      </c>
      <c r="D142" s="363" t="str">
        <f>'5-0 Товары'!D142</f>
        <v/>
      </c>
      <c r="E142" s="364" t="str">
        <f>'5-0 Товары'!E142</f>
        <v/>
      </c>
      <c r="F142" s="380"/>
      <c r="G142" s="380"/>
      <c r="H142" s="364" t="str">
        <f>'5-0 Товары'!F142</f>
        <v/>
      </c>
      <c r="I142" s="391"/>
      <c r="J142" s="364" t="str">
        <f>'5-0 Товары'!G142</f>
        <v/>
      </c>
      <c r="K142" s="366" t="str">
        <f>'5-0 Товары'!H142</f>
        <v/>
      </c>
      <c r="L142" s="382" t="str">
        <f t="shared" si="1"/>
        <v/>
      </c>
      <c r="M142" s="382"/>
      <c r="N142" s="380"/>
      <c r="O142" s="369" t="str">
        <f>'5-0 Товары'!I142</f>
        <v/>
      </c>
      <c r="P142" s="371" t="str">
        <f>'5-0 Товары'!N142</f>
        <v/>
      </c>
      <c r="Q142" s="197"/>
      <c r="R142" s="193"/>
      <c r="S142" s="187"/>
      <c r="T142" s="187"/>
      <c r="U142" s="187"/>
      <c r="V142" s="187"/>
      <c r="W142" s="187"/>
      <c r="X142" s="187"/>
      <c r="Y142" s="187" t="s">
        <v>96</v>
      </c>
      <c r="Z142" s="193" t="str">
        <f t="shared" si="2"/>
        <v/>
      </c>
      <c r="AA142" s="383"/>
      <c r="AB142" s="384"/>
      <c r="AC142" s="385"/>
      <c r="AD142" s="383"/>
      <c r="AE142" s="384"/>
      <c r="AF142" s="385"/>
      <c r="AG142" s="383"/>
      <c r="AH142" s="384"/>
      <c r="AI142" s="385"/>
      <c r="AJ142" s="383"/>
      <c r="AK142" s="384"/>
      <c r="AL142" s="385"/>
      <c r="AM142" s="383"/>
      <c r="AN142" s="384"/>
      <c r="AO142" s="385"/>
      <c r="AP142" s="383"/>
      <c r="AQ142" s="384"/>
      <c r="AR142" s="385"/>
      <c r="AS142" s="383"/>
      <c r="AT142" s="384"/>
      <c r="AU142" s="385"/>
      <c r="AV142" s="383"/>
      <c r="AW142" s="384"/>
      <c r="AX142" s="385"/>
      <c r="AY142" s="383"/>
      <c r="AZ142" s="384"/>
      <c r="BA142" s="385"/>
      <c r="BB142" s="386"/>
      <c r="BC142" s="387"/>
      <c r="BD142" s="388"/>
      <c r="BE142" s="386"/>
      <c r="BF142" s="387"/>
      <c r="BG142" s="388"/>
      <c r="BH142" s="386"/>
      <c r="BI142" s="387"/>
      <c r="BJ142" s="388"/>
      <c r="BK142" s="386"/>
      <c r="BL142" s="387"/>
      <c r="BM142" s="388"/>
      <c r="BN142" s="386"/>
      <c r="BO142" s="387"/>
      <c r="BP142" s="388"/>
      <c r="BQ142" s="386"/>
      <c r="BR142" s="387"/>
      <c r="BS142" s="388"/>
      <c r="BT142" s="386"/>
      <c r="BU142" s="387"/>
      <c r="BV142" s="388"/>
      <c r="BW142" s="386"/>
      <c r="BX142" s="387"/>
      <c r="BY142" s="388"/>
      <c r="BZ142" s="386"/>
      <c r="CA142" s="387"/>
      <c r="CB142" s="388"/>
      <c r="CC142" s="386"/>
      <c r="CD142" s="387"/>
      <c r="CE142" s="388"/>
      <c r="CF142" s="386"/>
      <c r="CG142" s="387"/>
      <c r="CH142" s="388"/>
      <c r="CI142" s="386"/>
      <c r="CJ142" s="387"/>
      <c r="CK142" s="388"/>
      <c r="CL142" s="386"/>
      <c r="CM142" s="387"/>
      <c r="CN142" s="388"/>
      <c r="CO142" s="386"/>
      <c r="CP142" s="387"/>
      <c r="CQ142" s="388"/>
      <c r="CR142" s="386"/>
      <c r="CS142" s="387"/>
      <c r="CT142" s="388"/>
      <c r="CU142" s="386"/>
      <c r="CV142" s="387"/>
      <c r="CW142" s="388"/>
      <c r="CX142" s="386"/>
      <c r="CY142" s="387"/>
      <c r="CZ142" s="388"/>
    </row>
    <row r="143">
      <c r="A143" s="1"/>
      <c r="B143" s="402"/>
      <c r="C143" s="362" t="str">
        <f>'5-0 Товары'!C143</f>
        <v/>
      </c>
      <c r="D143" s="363" t="str">
        <f>'5-0 Товары'!D143</f>
        <v/>
      </c>
      <c r="E143" s="364" t="str">
        <f>'5-0 Товары'!E143</f>
        <v/>
      </c>
      <c r="F143" s="380"/>
      <c r="G143" s="380"/>
      <c r="H143" s="364" t="str">
        <f>'5-0 Товары'!F143</f>
        <v/>
      </c>
      <c r="I143" s="391"/>
      <c r="J143" s="364" t="str">
        <f>'5-0 Товары'!G143</f>
        <v/>
      </c>
      <c r="K143" s="366" t="str">
        <f>'5-0 Товары'!H143</f>
        <v/>
      </c>
      <c r="L143" s="382" t="str">
        <f t="shared" si="1"/>
        <v/>
      </c>
      <c r="M143" s="382"/>
      <c r="N143" s="380"/>
      <c r="O143" s="369" t="str">
        <f>'5-0 Товары'!I143</f>
        <v/>
      </c>
      <c r="P143" s="371" t="str">
        <f>'5-0 Товары'!N143</f>
        <v/>
      </c>
      <c r="Q143" s="197"/>
      <c r="R143" s="193"/>
      <c r="S143" s="187"/>
      <c r="T143" s="187"/>
      <c r="U143" s="187"/>
      <c r="V143" s="187"/>
      <c r="W143" s="187"/>
      <c r="X143" s="187"/>
      <c r="Y143" s="187" t="s">
        <v>96</v>
      </c>
      <c r="Z143" s="193" t="str">
        <f t="shared" si="2"/>
        <v/>
      </c>
      <c r="AA143" s="383"/>
      <c r="AB143" s="384"/>
      <c r="AC143" s="385"/>
      <c r="AD143" s="383"/>
      <c r="AE143" s="384"/>
      <c r="AF143" s="385"/>
      <c r="AG143" s="383"/>
      <c r="AH143" s="384"/>
      <c r="AI143" s="385"/>
      <c r="AJ143" s="383"/>
      <c r="AK143" s="384"/>
      <c r="AL143" s="385"/>
      <c r="AM143" s="383"/>
      <c r="AN143" s="384"/>
      <c r="AO143" s="385"/>
      <c r="AP143" s="383"/>
      <c r="AQ143" s="384"/>
      <c r="AR143" s="385"/>
      <c r="AS143" s="383"/>
      <c r="AT143" s="384"/>
      <c r="AU143" s="385"/>
      <c r="AV143" s="383"/>
      <c r="AW143" s="384"/>
      <c r="AX143" s="385"/>
      <c r="AY143" s="383"/>
      <c r="AZ143" s="384"/>
      <c r="BA143" s="385"/>
      <c r="BB143" s="386"/>
      <c r="BC143" s="387"/>
      <c r="BD143" s="388"/>
      <c r="BE143" s="386"/>
      <c r="BF143" s="387"/>
      <c r="BG143" s="388"/>
      <c r="BH143" s="386"/>
      <c r="BI143" s="387"/>
      <c r="BJ143" s="388"/>
      <c r="BK143" s="386"/>
      <c r="BL143" s="387"/>
      <c r="BM143" s="388"/>
      <c r="BN143" s="386"/>
      <c r="BO143" s="387"/>
      <c r="BP143" s="388"/>
      <c r="BQ143" s="386"/>
      <c r="BR143" s="387"/>
      <c r="BS143" s="388"/>
      <c r="BT143" s="386"/>
      <c r="BU143" s="387"/>
      <c r="BV143" s="388"/>
      <c r="BW143" s="386"/>
      <c r="BX143" s="387"/>
      <c r="BY143" s="388"/>
      <c r="BZ143" s="386"/>
      <c r="CA143" s="387"/>
      <c r="CB143" s="388"/>
      <c r="CC143" s="386"/>
      <c r="CD143" s="387"/>
      <c r="CE143" s="388"/>
      <c r="CF143" s="386"/>
      <c r="CG143" s="387"/>
      <c r="CH143" s="388"/>
      <c r="CI143" s="386"/>
      <c r="CJ143" s="387"/>
      <c r="CK143" s="388"/>
      <c r="CL143" s="386"/>
      <c r="CM143" s="387"/>
      <c r="CN143" s="388"/>
      <c r="CO143" s="386"/>
      <c r="CP143" s="387"/>
      <c r="CQ143" s="388"/>
      <c r="CR143" s="386"/>
      <c r="CS143" s="387"/>
      <c r="CT143" s="388"/>
      <c r="CU143" s="386"/>
      <c r="CV143" s="387"/>
      <c r="CW143" s="388"/>
      <c r="CX143" s="386"/>
      <c r="CY143" s="387"/>
      <c r="CZ143" s="388"/>
    </row>
    <row r="144">
      <c r="A144" s="1"/>
      <c r="B144" s="402"/>
      <c r="C144" s="362" t="str">
        <f>'5-0 Товары'!C144</f>
        <v/>
      </c>
      <c r="D144" s="363" t="str">
        <f>'5-0 Товары'!D144</f>
        <v/>
      </c>
      <c r="E144" s="364" t="str">
        <f>'5-0 Товары'!E144</f>
        <v/>
      </c>
      <c r="F144" s="380"/>
      <c r="G144" s="380"/>
      <c r="H144" s="364" t="str">
        <f>'5-0 Товары'!F144</f>
        <v/>
      </c>
      <c r="I144" s="391"/>
      <c r="J144" s="364" t="str">
        <f>'5-0 Товары'!G144</f>
        <v/>
      </c>
      <c r="K144" s="366" t="str">
        <f>'5-0 Товары'!H144</f>
        <v/>
      </c>
      <c r="L144" s="382" t="str">
        <f t="shared" si="1"/>
        <v/>
      </c>
      <c r="M144" s="382"/>
      <c r="N144" s="380"/>
      <c r="O144" s="369" t="str">
        <f>'5-0 Товары'!I144</f>
        <v/>
      </c>
      <c r="P144" s="371" t="str">
        <f>'5-0 Товары'!N144</f>
        <v/>
      </c>
      <c r="Q144" s="197"/>
      <c r="R144" s="193"/>
      <c r="S144" s="187"/>
      <c r="T144" s="187"/>
      <c r="U144" s="187"/>
      <c r="V144" s="187"/>
      <c r="W144" s="187"/>
      <c r="X144" s="187"/>
      <c r="Y144" s="187" t="s">
        <v>96</v>
      </c>
      <c r="Z144" s="193" t="str">
        <f t="shared" si="2"/>
        <v/>
      </c>
      <c r="AA144" s="383"/>
      <c r="AB144" s="384"/>
      <c r="AC144" s="385"/>
      <c r="AD144" s="383"/>
      <c r="AE144" s="384"/>
      <c r="AF144" s="385"/>
      <c r="AG144" s="383"/>
      <c r="AH144" s="384"/>
      <c r="AI144" s="385"/>
      <c r="AJ144" s="383"/>
      <c r="AK144" s="384"/>
      <c r="AL144" s="385"/>
      <c r="AM144" s="383"/>
      <c r="AN144" s="384"/>
      <c r="AO144" s="385"/>
      <c r="AP144" s="383"/>
      <c r="AQ144" s="384"/>
      <c r="AR144" s="385"/>
      <c r="AS144" s="383"/>
      <c r="AT144" s="384"/>
      <c r="AU144" s="385"/>
      <c r="AV144" s="383"/>
      <c r="AW144" s="384"/>
      <c r="AX144" s="385"/>
      <c r="AY144" s="383"/>
      <c r="AZ144" s="384"/>
      <c r="BA144" s="385"/>
      <c r="BB144" s="386"/>
      <c r="BC144" s="387"/>
      <c r="BD144" s="388"/>
      <c r="BE144" s="386"/>
      <c r="BF144" s="387"/>
      <c r="BG144" s="388"/>
      <c r="BH144" s="386"/>
      <c r="BI144" s="387"/>
      <c r="BJ144" s="388"/>
      <c r="BK144" s="386"/>
      <c r="BL144" s="387"/>
      <c r="BM144" s="388"/>
      <c r="BN144" s="386"/>
      <c r="BO144" s="387"/>
      <c r="BP144" s="388"/>
      <c r="BQ144" s="386"/>
      <c r="BR144" s="387"/>
      <c r="BS144" s="388"/>
      <c r="BT144" s="386"/>
      <c r="BU144" s="387"/>
      <c r="BV144" s="388"/>
      <c r="BW144" s="386"/>
      <c r="BX144" s="387"/>
      <c r="BY144" s="388"/>
      <c r="BZ144" s="386"/>
      <c r="CA144" s="387"/>
      <c r="CB144" s="388"/>
      <c r="CC144" s="386"/>
      <c r="CD144" s="387"/>
      <c r="CE144" s="388"/>
      <c r="CF144" s="386"/>
      <c r="CG144" s="387"/>
      <c r="CH144" s="388"/>
      <c r="CI144" s="386"/>
      <c r="CJ144" s="387"/>
      <c r="CK144" s="388"/>
      <c r="CL144" s="386"/>
      <c r="CM144" s="387"/>
      <c r="CN144" s="388"/>
      <c r="CO144" s="386"/>
      <c r="CP144" s="387"/>
      <c r="CQ144" s="388"/>
      <c r="CR144" s="386"/>
      <c r="CS144" s="387"/>
      <c r="CT144" s="388"/>
      <c r="CU144" s="386"/>
      <c r="CV144" s="387"/>
      <c r="CW144" s="388"/>
      <c r="CX144" s="386"/>
      <c r="CY144" s="387"/>
      <c r="CZ144" s="388"/>
    </row>
    <row r="145">
      <c r="A145" s="1"/>
      <c r="B145" s="402"/>
      <c r="C145" s="362" t="str">
        <f>'5-0 Товары'!C145</f>
        <v/>
      </c>
      <c r="D145" s="363" t="str">
        <f>'5-0 Товары'!D145</f>
        <v/>
      </c>
      <c r="E145" s="364" t="str">
        <f>'5-0 Товары'!E145</f>
        <v/>
      </c>
      <c r="F145" s="380"/>
      <c r="G145" s="380"/>
      <c r="H145" s="364" t="str">
        <f>'5-0 Товары'!F145</f>
        <v/>
      </c>
      <c r="I145" s="391"/>
      <c r="J145" s="364" t="str">
        <f>'5-0 Товары'!G145</f>
        <v/>
      </c>
      <c r="K145" s="366" t="str">
        <f>'5-0 Товары'!H145</f>
        <v/>
      </c>
      <c r="L145" s="382" t="str">
        <f t="shared" si="1"/>
        <v/>
      </c>
      <c r="M145" s="382"/>
      <c r="N145" s="380"/>
      <c r="O145" s="369" t="str">
        <f>'5-0 Товары'!I145</f>
        <v/>
      </c>
      <c r="P145" s="371" t="str">
        <f>'5-0 Товары'!N145</f>
        <v/>
      </c>
      <c r="Q145" s="197"/>
      <c r="R145" s="193"/>
      <c r="S145" s="187"/>
      <c r="T145" s="187"/>
      <c r="U145" s="187"/>
      <c r="V145" s="187"/>
      <c r="W145" s="187"/>
      <c r="X145" s="187"/>
      <c r="Y145" s="187" t="s">
        <v>96</v>
      </c>
      <c r="Z145" s="193" t="str">
        <f t="shared" si="2"/>
        <v/>
      </c>
      <c r="AA145" s="383"/>
      <c r="AB145" s="384"/>
      <c r="AC145" s="385"/>
      <c r="AD145" s="383"/>
      <c r="AE145" s="384"/>
      <c r="AF145" s="385"/>
      <c r="AG145" s="383"/>
      <c r="AH145" s="384"/>
      <c r="AI145" s="385"/>
      <c r="AJ145" s="383"/>
      <c r="AK145" s="384"/>
      <c r="AL145" s="385"/>
      <c r="AM145" s="383"/>
      <c r="AN145" s="384"/>
      <c r="AO145" s="385"/>
      <c r="AP145" s="383"/>
      <c r="AQ145" s="384"/>
      <c r="AR145" s="385"/>
      <c r="AS145" s="383"/>
      <c r="AT145" s="384"/>
      <c r="AU145" s="385"/>
      <c r="AV145" s="383"/>
      <c r="AW145" s="384"/>
      <c r="AX145" s="385"/>
      <c r="AY145" s="383"/>
      <c r="AZ145" s="384"/>
      <c r="BA145" s="385"/>
      <c r="BB145" s="386"/>
      <c r="BC145" s="387"/>
      <c r="BD145" s="388"/>
      <c r="BE145" s="386"/>
      <c r="BF145" s="387"/>
      <c r="BG145" s="388"/>
      <c r="BH145" s="386"/>
      <c r="BI145" s="387"/>
      <c r="BJ145" s="388"/>
      <c r="BK145" s="386"/>
      <c r="BL145" s="387"/>
      <c r="BM145" s="388"/>
      <c r="BN145" s="386"/>
      <c r="BO145" s="387"/>
      <c r="BP145" s="388"/>
      <c r="BQ145" s="386"/>
      <c r="BR145" s="387"/>
      <c r="BS145" s="388"/>
      <c r="BT145" s="386"/>
      <c r="BU145" s="387"/>
      <c r="BV145" s="388"/>
      <c r="BW145" s="386"/>
      <c r="BX145" s="387"/>
      <c r="BY145" s="388"/>
      <c r="BZ145" s="386"/>
      <c r="CA145" s="387"/>
      <c r="CB145" s="388"/>
      <c r="CC145" s="386"/>
      <c r="CD145" s="387"/>
      <c r="CE145" s="388"/>
      <c r="CF145" s="386"/>
      <c r="CG145" s="387"/>
      <c r="CH145" s="388"/>
      <c r="CI145" s="386"/>
      <c r="CJ145" s="387"/>
      <c r="CK145" s="388"/>
      <c r="CL145" s="386"/>
      <c r="CM145" s="387"/>
      <c r="CN145" s="388"/>
      <c r="CO145" s="386"/>
      <c r="CP145" s="387"/>
      <c r="CQ145" s="388"/>
      <c r="CR145" s="386"/>
      <c r="CS145" s="387"/>
      <c r="CT145" s="388"/>
      <c r="CU145" s="386"/>
      <c r="CV145" s="387"/>
      <c r="CW145" s="388"/>
      <c r="CX145" s="386"/>
      <c r="CY145" s="387"/>
      <c r="CZ145" s="388"/>
    </row>
    <row r="146">
      <c r="A146" s="1"/>
      <c r="B146" s="402"/>
      <c r="C146" s="362" t="str">
        <f>'5-0 Товары'!C146</f>
        <v/>
      </c>
      <c r="D146" s="363" t="str">
        <f>'5-0 Товары'!D146</f>
        <v/>
      </c>
      <c r="E146" s="364" t="str">
        <f>'5-0 Товары'!E146</f>
        <v/>
      </c>
      <c r="F146" s="380"/>
      <c r="G146" s="380"/>
      <c r="H146" s="364" t="str">
        <f>'5-0 Товары'!F146</f>
        <v/>
      </c>
      <c r="I146" s="391"/>
      <c r="J146" s="364" t="str">
        <f>'5-0 Товары'!G146</f>
        <v/>
      </c>
      <c r="K146" s="366" t="str">
        <f>'5-0 Товары'!H146</f>
        <v/>
      </c>
      <c r="L146" s="382" t="str">
        <f t="shared" si="1"/>
        <v/>
      </c>
      <c r="M146" s="382"/>
      <c r="N146" s="380"/>
      <c r="O146" s="369" t="str">
        <f>'5-0 Товары'!I146</f>
        <v/>
      </c>
      <c r="P146" s="371" t="str">
        <f>'5-0 Товары'!N146</f>
        <v/>
      </c>
      <c r="Q146" s="197"/>
      <c r="R146" s="193"/>
      <c r="S146" s="187"/>
      <c r="T146" s="187"/>
      <c r="U146" s="187"/>
      <c r="V146" s="187"/>
      <c r="W146" s="187"/>
      <c r="X146" s="187"/>
      <c r="Y146" s="187" t="s">
        <v>96</v>
      </c>
      <c r="Z146" s="193" t="str">
        <f t="shared" si="2"/>
        <v/>
      </c>
      <c r="AA146" s="383"/>
      <c r="AB146" s="384"/>
      <c r="AC146" s="385"/>
      <c r="AD146" s="383"/>
      <c r="AE146" s="384"/>
      <c r="AF146" s="385"/>
      <c r="AG146" s="383"/>
      <c r="AH146" s="384"/>
      <c r="AI146" s="385"/>
      <c r="AJ146" s="383"/>
      <c r="AK146" s="384"/>
      <c r="AL146" s="385"/>
      <c r="AM146" s="383"/>
      <c r="AN146" s="384"/>
      <c r="AO146" s="385"/>
      <c r="AP146" s="383"/>
      <c r="AQ146" s="384"/>
      <c r="AR146" s="385"/>
      <c r="AS146" s="383"/>
      <c r="AT146" s="384"/>
      <c r="AU146" s="385"/>
      <c r="AV146" s="383"/>
      <c r="AW146" s="384"/>
      <c r="AX146" s="385"/>
      <c r="AY146" s="383"/>
      <c r="AZ146" s="384"/>
      <c r="BA146" s="385"/>
      <c r="BB146" s="386"/>
      <c r="BC146" s="387"/>
      <c r="BD146" s="388"/>
      <c r="BE146" s="386"/>
      <c r="BF146" s="387"/>
      <c r="BG146" s="388"/>
      <c r="BH146" s="386"/>
      <c r="BI146" s="387"/>
      <c r="BJ146" s="388"/>
      <c r="BK146" s="386"/>
      <c r="BL146" s="387"/>
      <c r="BM146" s="388"/>
      <c r="BN146" s="386"/>
      <c r="BO146" s="387"/>
      <c r="BP146" s="388"/>
      <c r="BQ146" s="386"/>
      <c r="BR146" s="387"/>
      <c r="BS146" s="388"/>
      <c r="BT146" s="386"/>
      <c r="BU146" s="387"/>
      <c r="BV146" s="388"/>
      <c r="BW146" s="386"/>
      <c r="BX146" s="387"/>
      <c r="BY146" s="388"/>
      <c r="BZ146" s="386"/>
      <c r="CA146" s="387"/>
      <c r="CB146" s="388"/>
      <c r="CC146" s="386"/>
      <c r="CD146" s="387"/>
      <c r="CE146" s="388"/>
      <c r="CF146" s="386"/>
      <c r="CG146" s="387"/>
      <c r="CH146" s="388"/>
      <c r="CI146" s="386"/>
      <c r="CJ146" s="387"/>
      <c r="CK146" s="388"/>
      <c r="CL146" s="386"/>
      <c r="CM146" s="387"/>
      <c r="CN146" s="388"/>
      <c r="CO146" s="386"/>
      <c r="CP146" s="387"/>
      <c r="CQ146" s="388"/>
      <c r="CR146" s="386"/>
      <c r="CS146" s="387"/>
      <c r="CT146" s="388"/>
      <c r="CU146" s="386"/>
      <c r="CV146" s="387"/>
      <c r="CW146" s="388"/>
      <c r="CX146" s="386"/>
      <c r="CY146" s="387"/>
      <c r="CZ146" s="388"/>
    </row>
    <row r="147">
      <c r="A147" s="1"/>
      <c r="B147" s="402"/>
      <c r="C147" s="362" t="str">
        <f>'5-0 Товары'!C147</f>
        <v/>
      </c>
      <c r="D147" s="363" t="str">
        <f>'5-0 Товары'!D147</f>
        <v/>
      </c>
      <c r="E147" s="364" t="str">
        <f>'5-0 Товары'!E147</f>
        <v/>
      </c>
      <c r="F147" s="380"/>
      <c r="G147" s="380"/>
      <c r="H147" s="364" t="str">
        <f>'5-0 Товары'!F147</f>
        <v/>
      </c>
      <c r="I147" s="391"/>
      <c r="J147" s="364" t="str">
        <f>'5-0 Товары'!G147</f>
        <v/>
      </c>
      <c r="K147" s="366" t="str">
        <f>'5-0 Товары'!H147</f>
        <v/>
      </c>
      <c r="L147" s="382" t="str">
        <f t="shared" si="1"/>
        <v/>
      </c>
      <c r="M147" s="382"/>
      <c r="N147" s="380"/>
      <c r="O147" s="369" t="str">
        <f>'5-0 Товары'!I147</f>
        <v/>
      </c>
      <c r="P147" s="371" t="str">
        <f>'5-0 Товары'!N147</f>
        <v/>
      </c>
      <c r="Q147" s="197"/>
      <c r="R147" s="193"/>
      <c r="S147" s="187"/>
      <c r="T147" s="187"/>
      <c r="U147" s="187"/>
      <c r="V147" s="187"/>
      <c r="W147" s="187"/>
      <c r="X147" s="187"/>
      <c r="Y147" s="187" t="s">
        <v>96</v>
      </c>
      <c r="Z147" s="193" t="str">
        <f t="shared" si="2"/>
        <v/>
      </c>
      <c r="AA147" s="383"/>
      <c r="AB147" s="384"/>
      <c r="AC147" s="385"/>
      <c r="AD147" s="383"/>
      <c r="AE147" s="384"/>
      <c r="AF147" s="385"/>
      <c r="AG147" s="383"/>
      <c r="AH147" s="384"/>
      <c r="AI147" s="385"/>
      <c r="AJ147" s="383"/>
      <c r="AK147" s="384"/>
      <c r="AL147" s="385"/>
      <c r="AM147" s="383"/>
      <c r="AN147" s="384"/>
      <c r="AO147" s="385"/>
      <c r="AP147" s="383"/>
      <c r="AQ147" s="384"/>
      <c r="AR147" s="385"/>
      <c r="AS147" s="383"/>
      <c r="AT147" s="384"/>
      <c r="AU147" s="385"/>
      <c r="AV147" s="383"/>
      <c r="AW147" s="384"/>
      <c r="AX147" s="385"/>
      <c r="AY147" s="383"/>
      <c r="AZ147" s="384"/>
      <c r="BA147" s="385"/>
      <c r="BB147" s="386"/>
      <c r="BC147" s="387"/>
      <c r="BD147" s="388"/>
      <c r="BE147" s="386"/>
      <c r="BF147" s="387"/>
      <c r="BG147" s="388"/>
      <c r="BH147" s="386"/>
      <c r="BI147" s="387"/>
      <c r="BJ147" s="388"/>
      <c r="BK147" s="386"/>
      <c r="BL147" s="387"/>
      <c r="BM147" s="388"/>
      <c r="BN147" s="386"/>
      <c r="BO147" s="387"/>
      <c r="BP147" s="388"/>
      <c r="BQ147" s="386"/>
      <c r="BR147" s="387"/>
      <c r="BS147" s="388"/>
      <c r="BT147" s="386"/>
      <c r="BU147" s="387"/>
      <c r="BV147" s="388"/>
      <c r="BW147" s="386"/>
      <c r="BX147" s="387"/>
      <c r="BY147" s="388"/>
      <c r="BZ147" s="386"/>
      <c r="CA147" s="387"/>
      <c r="CB147" s="388"/>
      <c r="CC147" s="386"/>
      <c r="CD147" s="387"/>
      <c r="CE147" s="388"/>
      <c r="CF147" s="386"/>
      <c r="CG147" s="387"/>
      <c r="CH147" s="388"/>
      <c r="CI147" s="386"/>
      <c r="CJ147" s="387"/>
      <c r="CK147" s="388"/>
      <c r="CL147" s="386"/>
      <c r="CM147" s="387"/>
      <c r="CN147" s="388"/>
      <c r="CO147" s="386"/>
      <c r="CP147" s="387"/>
      <c r="CQ147" s="388"/>
      <c r="CR147" s="386"/>
      <c r="CS147" s="387"/>
      <c r="CT147" s="388"/>
      <c r="CU147" s="386"/>
      <c r="CV147" s="387"/>
      <c r="CW147" s="388"/>
      <c r="CX147" s="386"/>
      <c r="CY147" s="387"/>
      <c r="CZ147" s="388"/>
    </row>
    <row r="148">
      <c r="A148" s="1"/>
      <c r="B148" s="402"/>
      <c r="C148" s="362" t="str">
        <f>'5-0 Товары'!C148</f>
        <v/>
      </c>
      <c r="D148" s="363" t="str">
        <f>'5-0 Товары'!D148</f>
        <v/>
      </c>
      <c r="E148" s="364" t="str">
        <f>'5-0 Товары'!E148</f>
        <v/>
      </c>
      <c r="F148" s="380"/>
      <c r="G148" s="380"/>
      <c r="H148" s="364" t="str">
        <f>'5-0 Товары'!F148</f>
        <v/>
      </c>
      <c r="I148" s="391"/>
      <c r="J148" s="364" t="str">
        <f>'5-0 Товары'!G148</f>
        <v/>
      </c>
      <c r="K148" s="366" t="str">
        <f>'5-0 Товары'!H148</f>
        <v/>
      </c>
      <c r="L148" s="382" t="str">
        <f t="shared" si="1"/>
        <v/>
      </c>
      <c r="M148" s="382"/>
      <c r="N148" s="380"/>
      <c r="O148" s="369" t="str">
        <f>'5-0 Товары'!I148</f>
        <v/>
      </c>
      <c r="P148" s="371" t="str">
        <f>'5-0 Товары'!N148</f>
        <v/>
      </c>
      <c r="Q148" s="197"/>
      <c r="R148" s="193"/>
      <c r="S148" s="187"/>
      <c r="T148" s="187"/>
      <c r="U148" s="187"/>
      <c r="V148" s="187"/>
      <c r="W148" s="187"/>
      <c r="X148" s="187"/>
      <c r="Y148" s="187" t="s">
        <v>96</v>
      </c>
      <c r="Z148" s="193" t="str">
        <f t="shared" si="2"/>
        <v/>
      </c>
      <c r="AA148" s="383"/>
      <c r="AB148" s="384"/>
      <c r="AC148" s="385"/>
      <c r="AD148" s="383"/>
      <c r="AE148" s="384"/>
      <c r="AF148" s="385"/>
      <c r="AG148" s="383"/>
      <c r="AH148" s="384"/>
      <c r="AI148" s="385"/>
      <c r="AJ148" s="383"/>
      <c r="AK148" s="384"/>
      <c r="AL148" s="385"/>
      <c r="AM148" s="383"/>
      <c r="AN148" s="384"/>
      <c r="AO148" s="385"/>
      <c r="AP148" s="383"/>
      <c r="AQ148" s="384"/>
      <c r="AR148" s="385"/>
      <c r="AS148" s="383"/>
      <c r="AT148" s="384"/>
      <c r="AU148" s="385"/>
      <c r="AV148" s="383"/>
      <c r="AW148" s="384"/>
      <c r="AX148" s="385"/>
      <c r="AY148" s="383"/>
      <c r="AZ148" s="384"/>
      <c r="BA148" s="385"/>
      <c r="BB148" s="386"/>
      <c r="BC148" s="387"/>
      <c r="BD148" s="388"/>
      <c r="BE148" s="386"/>
      <c r="BF148" s="387"/>
      <c r="BG148" s="388"/>
      <c r="BH148" s="386"/>
      <c r="BI148" s="387"/>
      <c r="BJ148" s="388"/>
      <c r="BK148" s="386"/>
      <c r="BL148" s="387"/>
      <c r="BM148" s="388"/>
      <c r="BN148" s="386"/>
      <c r="BO148" s="387"/>
      <c r="BP148" s="388"/>
      <c r="BQ148" s="386"/>
      <c r="BR148" s="387"/>
      <c r="BS148" s="388"/>
      <c r="BT148" s="386"/>
      <c r="BU148" s="387"/>
      <c r="BV148" s="388"/>
      <c r="BW148" s="386"/>
      <c r="BX148" s="387"/>
      <c r="BY148" s="388"/>
      <c r="BZ148" s="386"/>
      <c r="CA148" s="387"/>
      <c r="CB148" s="388"/>
      <c r="CC148" s="386"/>
      <c r="CD148" s="387"/>
      <c r="CE148" s="388"/>
      <c r="CF148" s="386"/>
      <c r="CG148" s="387"/>
      <c r="CH148" s="388"/>
      <c r="CI148" s="386"/>
      <c r="CJ148" s="387"/>
      <c r="CK148" s="388"/>
      <c r="CL148" s="386"/>
      <c r="CM148" s="387"/>
      <c r="CN148" s="388"/>
      <c r="CO148" s="386"/>
      <c r="CP148" s="387"/>
      <c r="CQ148" s="388"/>
      <c r="CR148" s="386"/>
      <c r="CS148" s="387"/>
      <c r="CT148" s="388"/>
      <c r="CU148" s="386"/>
      <c r="CV148" s="387"/>
      <c r="CW148" s="388"/>
      <c r="CX148" s="386"/>
      <c r="CY148" s="387"/>
      <c r="CZ148" s="388"/>
    </row>
    <row r="149">
      <c r="A149" s="1"/>
      <c r="B149" s="402"/>
      <c r="C149" s="362" t="str">
        <f>'5-0 Товары'!C149</f>
        <v/>
      </c>
      <c r="D149" s="363" t="str">
        <f>'5-0 Товары'!D149</f>
        <v/>
      </c>
      <c r="E149" s="364" t="str">
        <f>'5-0 Товары'!E149</f>
        <v/>
      </c>
      <c r="F149" s="380"/>
      <c r="G149" s="380"/>
      <c r="H149" s="364" t="str">
        <f>'5-0 Товары'!F149</f>
        <v/>
      </c>
      <c r="I149" s="391"/>
      <c r="J149" s="364" t="str">
        <f>'5-0 Товары'!G149</f>
        <v/>
      </c>
      <c r="K149" s="366" t="str">
        <f>'5-0 Товары'!H149</f>
        <v/>
      </c>
      <c r="L149" s="382" t="str">
        <f t="shared" si="1"/>
        <v/>
      </c>
      <c r="M149" s="382"/>
      <c r="N149" s="380"/>
      <c r="O149" s="369" t="str">
        <f>'5-0 Товары'!I149</f>
        <v/>
      </c>
      <c r="P149" s="371" t="str">
        <f>'5-0 Товары'!N149</f>
        <v/>
      </c>
      <c r="Q149" s="197"/>
      <c r="R149" s="193"/>
      <c r="S149" s="187"/>
      <c r="T149" s="187"/>
      <c r="U149" s="187"/>
      <c r="V149" s="187"/>
      <c r="W149" s="187"/>
      <c r="X149" s="187"/>
      <c r="Y149" s="187" t="s">
        <v>96</v>
      </c>
      <c r="Z149" s="193" t="str">
        <f t="shared" si="2"/>
        <v/>
      </c>
      <c r="AA149" s="383"/>
      <c r="AB149" s="384"/>
      <c r="AC149" s="385"/>
      <c r="AD149" s="383"/>
      <c r="AE149" s="384"/>
      <c r="AF149" s="385"/>
      <c r="AG149" s="383"/>
      <c r="AH149" s="384"/>
      <c r="AI149" s="385"/>
      <c r="AJ149" s="383"/>
      <c r="AK149" s="384"/>
      <c r="AL149" s="385"/>
      <c r="AM149" s="383"/>
      <c r="AN149" s="384"/>
      <c r="AO149" s="385"/>
      <c r="AP149" s="383"/>
      <c r="AQ149" s="384"/>
      <c r="AR149" s="385"/>
      <c r="AS149" s="383"/>
      <c r="AT149" s="384"/>
      <c r="AU149" s="385"/>
      <c r="AV149" s="383"/>
      <c r="AW149" s="384"/>
      <c r="AX149" s="385"/>
      <c r="AY149" s="383"/>
      <c r="AZ149" s="384"/>
      <c r="BA149" s="385"/>
      <c r="BB149" s="386"/>
      <c r="BC149" s="387"/>
      <c r="BD149" s="388"/>
      <c r="BE149" s="386"/>
      <c r="BF149" s="387"/>
      <c r="BG149" s="388"/>
      <c r="BH149" s="386"/>
      <c r="BI149" s="387"/>
      <c r="BJ149" s="388"/>
      <c r="BK149" s="386"/>
      <c r="BL149" s="387"/>
      <c r="BM149" s="388"/>
      <c r="BN149" s="386"/>
      <c r="BO149" s="387"/>
      <c r="BP149" s="388"/>
      <c r="BQ149" s="386"/>
      <c r="BR149" s="387"/>
      <c r="BS149" s="388"/>
      <c r="BT149" s="386"/>
      <c r="BU149" s="387"/>
      <c r="BV149" s="388"/>
      <c r="BW149" s="386"/>
      <c r="BX149" s="387"/>
      <c r="BY149" s="388"/>
      <c r="BZ149" s="386"/>
      <c r="CA149" s="387"/>
      <c r="CB149" s="388"/>
      <c r="CC149" s="386"/>
      <c r="CD149" s="387"/>
      <c r="CE149" s="388"/>
      <c r="CF149" s="386"/>
      <c r="CG149" s="387"/>
      <c r="CH149" s="388"/>
      <c r="CI149" s="386"/>
      <c r="CJ149" s="387"/>
      <c r="CK149" s="388"/>
      <c r="CL149" s="386"/>
      <c r="CM149" s="387"/>
      <c r="CN149" s="388"/>
      <c r="CO149" s="386"/>
      <c r="CP149" s="387"/>
      <c r="CQ149" s="388"/>
      <c r="CR149" s="386"/>
      <c r="CS149" s="387"/>
      <c r="CT149" s="388"/>
      <c r="CU149" s="386"/>
      <c r="CV149" s="387"/>
      <c r="CW149" s="388"/>
      <c r="CX149" s="386"/>
      <c r="CY149" s="387"/>
      <c r="CZ149" s="388"/>
    </row>
    <row r="150">
      <c r="A150" s="1"/>
      <c r="B150" s="402"/>
      <c r="C150" s="362" t="str">
        <f>'5-0 Товары'!C150</f>
        <v/>
      </c>
      <c r="D150" s="363" t="str">
        <f>'5-0 Товары'!D150</f>
        <v/>
      </c>
      <c r="E150" s="364" t="str">
        <f>'5-0 Товары'!E150</f>
        <v/>
      </c>
      <c r="F150" s="380"/>
      <c r="G150" s="380"/>
      <c r="H150" s="364" t="str">
        <f>'5-0 Товары'!F150</f>
        <v/>
      </c>
      <c r="I150" s="391"/>
      <c r="J150" s="364" t="str">
        <f>'5-0 Товары'!G150</f>
        <v/>
      </c>
      <c r="K150" s="366" t="str">
        <f>'5-0 Товары'!H150</f>
        <v/>
      </c>
      <c r="L150" s="382" t="str">
        <f t="shared" si="1"/>
        <v/>
      </c>
      <c r="M150" s="382"/>
      <c r="N150" s="380"/>
      <c r="O150" s="369" t="str">
        <f>'5-0 Товары'!I150</f>
        <v/>
      </c>
      <c r="P150" s="371" t="str">
        <f>'5-0 Товары'!N150</f>
        <v/>
      </c>
      <c r="Q150" s="197"/>
      <c r="R150" s="193"/>
      <c r="S150" s="187"/>
      <c r="T150" s="187"/>
      <c r="U150" s="187"/>
      <c r="V150" s="187"/>
      <c r="W150" s="187"/>
      <c r="X150" s="187"/>
      <c r="Y150" s="187" t="s">
        <v>96</v>
      </c>
      <c r="Z150" s="193" t="str">
        <f t="shared" si="2"/>
        <v/>
      </c>
      <c r="AA150" s="383"/>
      <c r="AB150" s="384"/>
      <c r="AC150" s="385"/>
      <c r="AD150" s="383"/>
      <c r="AE150" s="384"/>
      <c r="AF150" s="385"/>
      <c r="AG150" s="383"/>
      <c r="AH150" s="384"/>
      <c r="AI150" s="385"/>
      <c r="AJ150" s="383"/>
      <c r="AK150" s="384"/>
      <c r="AL150" s="385"/>
      <c r="AM150" s="383"/>
      <c r="AN150" s="384"/>
      <c r="AO150" s="385"/>
      <c r="AP150" s="383"/>
      <c r="AQ150" s="384"/>
      <c r="AR150" s="385"/>
      <c r="AS150" s="383"/>
      <c r="AT150" s="384"/>
      <c r="AU150" s="385"/>
      <c r="AV150" s="383"/>
      <c r="AW150" s="384"/>
      <c r="AX150" s="385"/>
      <c r="AY150" s="383"/>
      <c r="AZ150" s="384"/>
      <c r="BA150" s="385"/>
      <c r="BB150" s="386"/>
      <c r="BC150" s="387"/>
      <c r="BD150" s="388"/>
      <c r="BE150" s="386"/>
      <c r="BF150" s="387"/>
      <c r="BG150" s="388"/>
      <c r="BH150" s="386"/>
      <c r="BI150" s="387"/>
      <c r="BJ150" s="388"/>
      <c r="BK150" s="386"/>
      <c r="BL150" s="387"/>
      <c r="BM150" s="388"/>
      <c r="BN150" s="386"/>
      <c r="BO150" s="387"/>
      <c r="BP150" s="388"/>
      <c r="BQ150" s="386"/>
      <c r="BR150" s="387"/>
      <c r="BS150" s="388"/>
      <c r="BT150" s="386"/>
      <c r="BU150" s="387"/>
      <c r="BV150" s="388"/>
      <c r="BW150" s="386"/>
      <c r="BX150" s="387"/>
      <c r="BY150" s="388"/>
      <c r="BZ150" s="386"/>
      <c r="CA150" s="387"/>
      <c r="CB150" s="388"/>
      <c r="CC150" s="386"/>
      <c r="CD150" s="387"/>
      <c r="CE150" s="388"/>
      <c r="CF150" s="386"/>
      <c r="CG150" s="387"/>
      <c r="CH150" s="388"/>
      <c r="CI150" s="386"/>
      <c r="CJ150" s="387"/>
      <c r="CK150" s="388"/>
      <c r="CL150" s="386"/>
      <c r="CM150" s="387"/>
      <c r="CN150" s="388"/>
      <c r="CO150" s="386"/>
      <c r="CP150" s="387"/>
      <c r="CQ150" s="388"/>
      <c r="CR150" s="386"/>
      <c r="CS150" s="387"/>
      <c r="CT150" s="388"/>
      <c r="CU150" s="386"/>
      <c r="CV150" s="387"/>
      <c r="CW150" s="388"/>
      <c r="CX150" s="386"/>
      <c r="CY150" s="387"/>
      <c r="CZ150" s="388"/>
    </row>
    <row r="151">
      <c r="A151" s="1"/>
      <c r="B151" s="402"/>
      <c r="C151" s="362" t="str">
        <f>'5-0 Товары'!C151</f>
        <v/>
      </c>
      <c r="D151" s="363" t="str">
        <f>'5-0 Товары'!D151</f>
        <v/>
      </c>
      <c r="E151" s="364" t="str">
        <f>'5-0 Товары'!E151</f>
        <v/>
      </c>
      <c r="F151" s="380"/>
      <c r="G151" s="380"/>
      <c r="H151" s="364" t="str">
        <f>'5-0 Товары'!F151</f>
        <v/>
      </c>
      <c r="I151" s="391"/>
      <c r="J151" s="364" t="str">
        <f>'5-0 Товары'!G151</f>
        <v/>
      </c>
      <c r="K151" s="366" t="str">
        <f>'5-0 Товары'!H151</f>
        <v/>
      </c>
      <c r="L151" s="382" t="str">
        <f t="shared" si="1"/>
        <v/>
      </c>
      <c r="M151" s="382"/>
      <c r="N151" s="380"/>
      <c r="O151" s="369" t="str">
        <f>'5-0 Товары'!I151</f>
        <v/>
      </c>
      <c r="P151" s="371" t="str">
        <f>'5-0 Товары'!N151</f>
        <v/>
      </c>
      <c r="Q151" s="197"/>
      <c r="R151" s="193"/>
      <c r="S151" s="187"/>
      <c r="T151" s="187"/>
      <c r="U151" s="187"/>
      <c r="V151" s="187"/>
      <c r="W151" s="187"/>
      <c r="X151" s="187"/>
      <c r="Y151" s="187" t="s">
        <v>96</v>
      </c>
      <c r="Z151" s="193" t="str">
        <f t="shared" si="2"/>
        <v/>
      </c>
      <c r="AA151" s="383"/>
      <c r="AB151" s="384"/>
      <c r="AC151" s="385"/>
      <c r="AD151" s="383"/>
      <c r="AE151" s="384"/>
      <c r="AF151" s="385"/>
      <c r="AG151" s="383"/>
      <c r="AH151" s="384"/>
      <c r="AI151" s="385"/>
      <c r="AJ151" s="383"/>
      <c r="AK151" s="384"/>
      <c r="AL151" s="385"/>
      <c r="AM151" s="383"/>
      <c r="AN151" s="384"/>
      <c r="AO151" s="385"/>
      <c r="AP151" s="383"/>
      <c r="AQ151" s="384"/>
      <c r="AR151" s="385"/>
      <c r="AS151" s="383"/>
      <c r="AT151" s="384"/>
      <c r="AU151" s="385"/>
      <c r="AV151" s="383"/>
      <c r="AW151" s="384"/>
      <c r="AX151" s="385"/>
      <c r="AY151" s="383"/>
      <c r="AZ151" s="384"/>
      <c r="BA151" s="385"/>
      <c r="BB151" s="386"/>
      <c r="BC151" s="387"/>
      <c r="BD151" s="388"/>
      <c r="BE151" s="386"/>
      <c r="BF151" s="387"/>
      <c r="BG151" s="388"/>
      <c r="BH151" s="386"/>
      <c r="BI151" s="387"/>
      <c r="BJ151" s="388"/>
      <c r="BK151" s="386"/>
      <c r="BL151" s="387"/>
      <c r="BM151" s="388"/>
      <c r="BN151" s="386"/>
      <c r="BO151" s="387"/>
      <c r="BP151" s="388"/>
      <c r="BQ151" s="386"/>
      <c r="BR151" s="387"/>
      <c r="BS151" s="388"/>
      <c r="BT151" s="386"/>
      <c r="BU151" s="387"/>
      <c r="BV151" s="388"/>
      <c r="BW151" s="386"/>
      <c r="BX151" s="387"/>
      <c r="BY151" s="388"/>
      <c r="BZ151" s="386"/>
      <c r="CA151" s="387"/>
      <c r="CB151" s="388"/>
      <c r="CC151" s="386"/>
      <c r="CD151" s="387"/>
      <c r="CE151" s="388"/>
      <c r="CF151" s="386"/>
      <c r="CG151" s="387"/>
      <c r="CH151" s="388"/>
      <c r="CI151" s="386"/>
      <c r="CJ151" s="387"/>
      <c r="CK151" s="388"/>
      <c r="CL151" s="386"/>
      <c r="CM151" s="387"/>
      <c r="CN151" s="388"/>
      <c r="CO151" s="386"/>
      <c r="CP151" s="387"/>
      <c r="CQ151" s="388"/>
      <c r="CR151" s="386"/>
      <c r="CS151" s="387"/>
      <c r="CT151" s="388"/>
      <c r="CU151" s="386"/>
      <c r="CV151" s="387"/>
      <c r="CW151" s="388"/>
      <c r="CX151" s="386"/>
      <c r="CY151" s="387"/>
      <c r="CZ151" s="388"/>
    </row>
    <row r="152">
      <c r="A152" s="1"/>
      <c r="B152" s="402"/>
      <c r="C152" s="362" t="str">
        <f>'5-0 Товары'!C152</f>
        <v/>
      </c>
      <c r="D152" s="363" t="str">
        <f>'5-0 Товары'!D152</f>
        <v/>
      </c>
      <c r="E152" s="364" t="str">
        <f>'5-0 Товары'!E152</f>
        <v/>
      </c>
      <c r="F152" s="380"/>
      <c r="G152" s="380"/>
      <c r="H152" s="364" t="str">
        <f>'5-0 Товары'!F152</f>
        <v/>
      </c>
      <c r="I152" s="391"/>
      <c r="J152" s="364" t="str">
        <f>'5-0 Товары'!G152</f>
        <v/>
      </c>
      <c r="K152" s="366" t="str">
        <f>'5-0 Товары'!H152</f>
        <v/>
      </c>
      <c r="L152" s="382" t="str">
        <f t="shared" si="1"/>
        <v/>
      </c>
      <c r="M152" s="382"/>
      <c r="N152" s="380"/>
      <c r="O152" s="369" t="str">
        <f>'5-0 Товары'!I152</f>
        <v/>
      </c>
      <c r="P152" s="371" t="str">
        <f>'5-0 Товары'!N152</f>
        <v/>
      </c>
      <c r="Q152" s="197"/>
      <c r="R152" s="193"/>
      <c r="S152" s="187"/>
      <c r="T152" s="187"/>
      <c r="U152" s="187"/>
      <c r="V152" s="187"/>
      <c r="W152" s="187"/>
      <c r="X152" s="187"/>
      <c r="Y152" s="187" t="s">
        <v>96</v>
      </c>
      <c r="Z152" s="193" t="str">
        <f t="shared" si="2"/>
        <v/>
      </c>
      <c r="AA152" s="383"/>
      <c r="AB152" s="384"/>
      <c r="AC152" s="385"/>
      <c r="AD152" s="383"/>
      <c r="AE152" s="384"/>
      <c r="AF152" s="385"/>
      <c r="AG152" s="383"/>
      <c r="AH152" s="384"/>
      <c r="AI152" s="385"/>
      <c r="AJ152" s="383"/>
      <c r="AK152" s="384"/>
      <c r="AL152" s="385"/>
      <c r="AM152" s="383"/>
      <c r="AN152" s="384"/>
      <c r="AO152" s="385"/>
      <c r="AP152" s="383"/>
      <c r="AQ152" s="384"/>
      <c r="AR152" s="385"/>
      <c r="AS152" s="383"/>
      <c r="AT152" s="384"/>
      <c r="AU152" s="385"/>
      <c r="AV152" s="383"/>
      <c r="AW152" s="384"/>
      <c r="AX152" s="385"/>
      <c r="AY152" s="383"/>
      <c r="AZ152" s="384"/>
      <c r="BA152" s="385"/>
      <c r="BB152" s="386"/>
      <c r="BC152" s="387"/>
      <c r="BD152" s="388"/>
      <c r="BE152" s="386"/>
      <c r="BF152" s="387"/>
      <c r="BG152" s="388"/>
      <c r="BH152" s="386"/>
      <c r="BI152" s="387"/>
      <c r="BJ152" s="388"/>
      <c r="BK152" s="386"/>
      <c r="BL152" s="387"/>
      <c r="BM152" s="388"/>
      <c r="BN152" s="386"/>
      <c r="BO152" s="387"/>
      <c r="BP152" s="388"/>
      <c r="BQ152" s="386"/>
      <c r="BR152" s="387"/>
      <c r="BS152" s="388"/>
      <c r="BT152" s="386"/>
      <c r="BU152" s="387"/>
      <c r="BV152" s="388"/>
      <c r="BW152" s="386"/>
      <c r="BX152" s="387"/>
      <c r="BY152" s="388"/>
      <c r="BZ152" s="386"/>
      <c r="CA152" s="387"/>
      <c r="CB152" s="388"/>
      <c r="CC152" s="386"/>
      <c r="CD152" s="387"/>
      <c r="CE152" s="388"/>
      <c r="CF152" s="386"/>
      <c r="CG152" s="387"/>
      <c r="CH152" s="388"/>
      <c r="CI152" s="386"/>
      <c r="CJ152" s="387"/>
      <c r="CK152" s="388"/>
      <c r="CL152" s="386"/>
      <c r="CM152" s="387"/>
      <c r="CN152" s="388"/>
      <c r="CO152" s="386"/>
      <c r="CP152" s="387"/>
      <c r="CQ152" s="388"/>
      <c r="CR152" s="386"/>
      <c r="CS152" s="387"/>
      <c r="CT152" s="388"/>
      <c r="CU152" s="386"/>
      <c r="CV152" s="387"/>
      <c r="CW152" s="388"/>
      <c r="CX152" s="386"/>
      <c r="CY152" s="387"/>
      <c r="CZ152" s="388"/>
    </row>
    <row r="153">
      <c r="A153" s="1"/>
      <c r="B153" s="402"/>
      <c r="C153" s="362" t="str">
        <f>'5-0 Товары'!C153</f>
        <v/>
      </c>
      <c r="D153" s="363" t="str">
        <f>'5-0 Товары'!D153</f>
        <v/>
      </c>
      <c r="E153" s="364" t="str">
        <f>'5-0 Товары'!E153</f>
        <v/>
      </c>
      <c r="F153" s="380"/>
      <c r="G153" s="380"/>
      <c r="H153" s="364" t="str">
        <f>'5-0 Товары'!F153</f>
        <v/>
      </c>
      <c r="I153" s="391"/>
      <c r="J153" s="364" t="str">
        <f>'5-0 Товары'!G153</f>
        <v/>
      </c>
      <c r="K153" s="366" t="str">
        <f>'5-0 Товары'!H153</f>
        <v/>
      </c>
      <c r="L153" s="382" t="str">
        <f t="shared" si="1"/>
        <v/>
      </c>
      <c r="M153" s="382"/>
      <c r="N153" s="380"/>
      <c r="O153" s="369" t="str">
        <f>'5-0 Товары'!I153</f>
        <v/>
      </c>
      <c r="P153" s="371" t="str">
        <f>'5-0 Товары'!N153</f>
        <v/>
      </c>
      <c r="Q153" s="197"/>
      <c r="R153" s="193"/>
      <c r="S153" s="187"/>
      <c r="T153" s="187"/>
      <c r="U153" s="187"/>
      <c r="V153" s="187"/>
      <c r="W153" s="187"/>
      <c r="X153" s="187"/>
      <c r="Y153" s="187" t="s">
        <v>96</v>
      </c>
      <c r="Z153" s="193" t="str">
        <f t="shared" si="2"/>
        <v/>
      </c>
      <c r="AA153" s="383"/>
      <c r="AB153" s="384"/>
      <c r="AC153" s="385"/>
      <c r="AD153" s="383"/>
      <c r="AE153" s="384"/>
      <c r="AF153" s="385"/>
      <c r="AG153" s="383"/>
      <c r="AH153" s="384"/>
      <c r="AI153" s="385"/>
      <c r="AJ153" s="383"/>
      <c r="AK153" s="384"/>
      <c r="AL153" s="385"/>
      <c r="AM153" s="383"/>
      <c r="AN153" s="384"/>
      <c r="AO153" s="385"/>
      <c r="AP153" s="383"/>
      <c r="AQ153" s="384"/>
      <c r="AR153" s="385"/>
      <c r="AS153" s="383"/>
      <c r="AT153" s="384"/>
      <c r="AU153" s="385"/>
      <c r="AV153" s="383"/>
      <c r="AW153" s="384"/>
      <c r="AX153" s="385"/>
      <c r="AY153" s="383"/>
      <c r="AZ153" s="384"/>
      <c r="BA153" s="385"/>
      <c r="BB153" s="386"/>
      <c r="BC153" s="387"/>
      <c r="BD153" s="388"/>
      <c r="BE153" s="386"/>
      <c r="BF153" s="387"/>
      <c r="BG153" s="388"/>
      <c r="BH153" s="386"/>
      <c r="BI153" s="387"/>
      <c r="BJ153" s="388"/>
      <c r="BK153" s="386"/>
      <c r="BL153" s="387"/>
      <c r="BM153" s="388"/>
      <c r="BN153" s="386"/>
      <c r="BO153" s="387"/>
      <c r="BP153" s="388"/>
      <c r="BQ153" s="386"/>
      <c r="BR153" s="387"/>
      <c r="BS153" s="388"/>
      <c r="BT153" s="386"/>
      <c r="BU153" s="387"/>
      <c r="BV153" s="388"/>
      <c r="BW153" s="386"/>
      <c r="BX153" s="387"/>
      <c r="BY153" s="388"/>
      <c r="BZ153" s="386"/>
      <c r="CA153" s="387"/>
      <c r="CB153" s="388"/>
      <c r="CC153" s="386"/>
      <c r="CD153" s="387"/>
      <c r="CE153" s="388"/>
      <c r="CF153" s="386"/>
      <c r="CG153" s="387"/>
      <c r="CH153" s="388"/>
      <c r="CI153" s="386"/>
      <c r="CJ153" s="387"/>
      <c r="CK153" s="388"/>
      <c r="CL153" s="386"/>
      <c r="CM153" s="387"/>
      <c r="CN153" s="388"/>
      <c r="CO153" s="386"/>
      <c r="CP153" s="387"/>
      <c r="CQ153" s="388"/>
      <c r="CR153" s="386"/>
      <c r="CS153" s="387"/>
      <c r="CT153" s="388"/>
      <c r="CU153" s="386"/>
      <c r="CV153" s="387"/>
      <c r="CW153" s="388"/>
      <c r="CX153" s="386"/>
      <c r="CY153" s="387"/>
      <c r="CZ153" s="388"/>
    </row>
    <row r="154">
      <c r="A154" s="1"/>
      <c r="B154" s="402"/>
      <c r="C154" s="362" t="str">
        <f>'5-0 Товары'!C154</f>
        <v/>
      </c>
      <c r="D154" s="363" t="str">
        <f>'5-0 Товары'!D154</f>
        <v/>
      </c>
      <c r="E154" s="364" t="str">
        <f>'5-0 Товары'!E154</f>
        <v/>
      </c>
      <c r="F154" s="380"/>
      <c r="G154" s="380"/>
      <c r="H154" s="364" t="str">
        <f>'5-0 Товары'!F154</f>
        <v/>
      </c>
      <c r="I154" s="391"/>
      <c r="J154" s="364" t="str">
        <f>'5-0 Товары'!G154</f>
        <v/>
      </c>
      <c r="K154" s="366" t="str">
        <f>'5-0 Товары'!H154</f>
        <v/>
      </c>
      <c r="L154" s="382" t="str">
        <f t="shared" si="1"/>
        <v/>
      </c>
      <c r="M154" s="382"/>
      <c r="N154" s="380"/>
      <c r="O154" s="369" t="str">
        <f>'5-0 Товары'!I154</f>
        <v/>
      </c>
      <c r="P154" s="371" t="str">
        <f>'5-0 Товары'!N154</f>
        <v/>
      </c>
      <c r="Q154" s="197"/>
      <c r="R154" s="193"/>
      <c r="S154" s="187"/>
      <c r="T154" s="187"/>
      <c r="U154" s="187"/>
      <c r="V154" s="187"/>
      <c r="W154" s="187"/>
      <c r="X154" s="187"/>
      <c r="Y154" s="187" t="s">
        <v>96</v>
      </c>
      <c r="Z154" s="193" t="str">
        <f t="shared" si="2"/>
        <v/>
      </c>
      <c r="AA154" s="383"/>
      <c r="AB154" s="384"/>
      <c r="AC154" s="385"/>
      <c r="AD154" s="383"/>
      <c r="AE154" s="384"/>
      <c r="AF154" s="385"/>
      <c r="AG154" s="383"/>
      <c r="AH154" s="384"/>
      <c r="AI154" s="385"/>
      <c r="AJ154" s="383"/>
      <c r="AK154" s="384"/>
      <c r="AL154" s="385"/>
      <c r="AM154" s="383"/>
      <c r="AN154" s="384"/>
      <c r="AO154" s="385"/>
      <c r="AP154" s="383"/>
      <c r="AQ154" s="384"/>
      <c r="AR154" s="385"/>
      <c r="AS154" s="383"/>
      <c r="AT154" s="384"/>
      <c r="AU154" s="385"/>
      <c r="AV154" s="383"/>
      <c r="AW154" s="384"/>
      <c r="AX154" s="385"/>
      <c r="AY154" s="383"/>
      <c r="AZ154" s="384"/>
      <c r="BA154" s="385"/>
      <c r="BB154" s="386"/>
      <c r="BC154" s="387"/>
      <c r="BD154" s="388"/>
      <c r="BE154" s="386"/>
      <c r="BF154" s="387"/>
      <c r="BG154" s="388"/>
      <c r="BH154" s="386"/>
      <c r="BI154" s="387"/>
      <c r="BJ154" s="388"/>
      <c r="BK154" s="386"/>
      <c r="BL154" s="387"/>
      <c r="BM154" s="388"/>
      <c r="BN154" s="386"/>
      <c r="BO154" s="387"/>
      <c r="BP154" s="388"/>
      <c r="BQ154" s="386"/>
      <c r="BR154" s="387"/>
      <c r="BS154" s="388"/>
      <c r="BT154" s="386"/>
      <c r="BU154" s="387"/>
      <c r="BV154" s="388"/>
      <c r="BW154" s="386"/>
      <c r="BX154" s="387"/>
      <c r="BY154" s="388"/>
      <c r="BZ154" s="386"/>
      <c r="CA154" s="387"/>
      <c r="CB154" s="388"/>
      <c r="CC154" s="386"/>
      <c r="CD154" s="387"/>
      <c r="CE154" s="388"/>
      <c r="CF154" s="386"/>
      <c r="CG154" s="387"/>
      <c r="CH154" s="388"/>
      <c r="CI154" s="386"/>
      <c r="CJ154" s="387"/>
      <c r="CK154" s="388"/>
      <c r="CL154" s="386"/>
      <c r="CM154" s="387"/>
      <c r="CN154" s="388"/>
      <c r="CO154" s="386"/>
      <c r="CP154" s="387"/>
      <c r="CQ154" s="388"/>
      <c r="CR154" s="386"/>
      <c r="CS154" s="387"/>
      <c r="CT154" s="388"/>
      <c r="CU154" s="386"/>
      <c r="CV154" s="387"/>
      <c r="CW154" s="388"/>
      <c r="CX154" s="386"/>
      <c r="CY154" s="387"/>
      <c r="CZ154" s="388"/>
    </row>
    <row r="155">
      <c r="A155" s="1"/>
      <c r="B155" s="402"/>
      <c r="C155" s="362" t="str">
        <f>'5-0 Товары'!C155</f>
        <v/>
      </c>
      <c r="D155" s="363" t="str">
        <f>'5-0 Товары'!D155</f>
        <v/>
      </c>
      <c r="E155" s="364" t="str">
        <f>'5-0 Товары'!E155</f>
        <v/>
      </c>
      <c r="F155" s="380"/>
      <c r="G155" s="380"/>
      <c r="H155" s="364" t="str">
        <f>'5-0 Товары'!F155</f>
        <v/>
      </c>
      <c r="I155" s="391"/>
      <c r="J155" s="364" t="str">
        <f>'5-0 Товары'!G155</f>
        <v/>
      </c>
      <c r="K155" s="366" t="str">
        <f>'5-0 Товары'!H155</f>
        <v/>
      </c>
      <c r="L155" s="382" t="str">
        <f t="shared" si="1"/>
        <v/>
      </c>
      <c r="M155" s="382"/>
      <c r="N155" s="380"/>
      <c r="O155" s="369" t="str">
        <f>'5-0 Товары'!I155</f>
        <v/>
      </c>
      <c r="P155" s="371" t="str">
        <f>'5-0 Товары'!N155</f>
        <v/>
      </c>
      <c r="Q155" s="197"/>
      <c r="R155" s="193"/>
      <c r="S155" s="187"/>
      <c r="T155" s="187"/>
      <c r="U155" s="187"/>
      <c r="V155" s="187"/>
      <c r="W155" s="187"/>
      <c r="X155" s="187"/>
      <c r="Y155" s="187" t="s">
        <v>96</v>
      </c>
      <c r="Z155" s="193" t="str">
        <f t="shared" si="2"/>
        <v/>
      </c>
      <c r="AA155" s="383"/>
      <c r="AB155" s="384"/>
      <c r="AC155" s="385"/>
      <c r="AD155" s="383"/>
      <c r="AE155" s="384"/>
      <c r="AF155" s="385"/>
      <c r="AG155" s="383"/>
      <c r="AH155" s="384"/>
      <c r="AI155" s="385"/>
      <c r="AJ155" s="383"/>
      <c r="AK155" s="384"/>
      <c r="AL155" s="385"/>
      <c r="AM155" s="383"/>
      <c r="AN155" s="384"/>
      <c r="AO155" s="385"/>
      <c r="AP155" s="383"/>
      <c r="AQ155" s="384"/>
      <c r="AR155" s="385"/>
      <c r="AS155" s="383"/>
      <c r="AT155" s="384"/>
      <c r="AU155" s="385"/>
      <c r="AV155" s="383"/>
      <c r="AW155" s="384"/>
      <c r="AX155" s="385"/>
      <c r="AY155" s="383"/>
      <c r="AZ155" s="384"/>
      <c r="BA155" s="385"/>
      <c r="BB155" s="386"/>
      <c r="BC155" s="387"/>
      <c r="BD155" s="388"/>
      <c r="BE155" s="386"/>
      <c r="BF155" s="387"/>
      <c r="BG155" s="388"/>
      <c r="BH155" s="386"/>
      <c r="BI155" s="387"/>
      <c r="BJ155" s="388"/>
      <c r="BK155" s="386"/>
      <c r="BL155" s="387"/>
      <c r="BM155" s="388"/>
      <c r="BN155" s="386"/>
      <c r="BO155" s="387"/>
      <c r="BP155" s="388"/>
      <c r="BQ155" s="386"/>
      <c r="BR155" s="387"/>
      <c r="BS155" s="388"/>
      <c r="BT155" s="386"/>
      <c r="BU155" s="387"/>
      <c r="BV155" s="388"/>
      <c r="BW155" s="386"/>
      <c r="BX155" s="387"/>
      <c r="BY155" s="388"/>
      <c r="BZ155" s="386"/>
      <c r="CA155" s="387"/>
      <c r="CB155" s="388"/>
      <c r="CC155" s="386"/>
      <c r="CD155" s="387"/>
      <c r="CE155" s="388"/>
      <c r="CF155" s="386"/>
      <c r="CG155" s="387"/>
      <c r="CH155" s="388"/>
      <c r="CI155" s="386"/>
      <c r="CJ155" s="387"/>
      <c r="CK155" s="388"/>
      <c r="CL155" s="386"/>
      <c r="CM155" s="387"/>
      <c r="CN155" s="388"/>
      <c r="CO155" s="386"/>
      <c r="CP155" s="387"/>
      <c r="CQ155" s="388"/>
      <c r="CR155" s="386"/>
      <c r="CS155" s="387"/>
      <c r="CT155" s="388"/>
      <c r="CU155" s="386"/>
      <c r="CV155" s="387"/>
      <c r="CW155" s="388"/>
      <c r="CX155" s="386"/>
      <c r="CY155" s="387"/>
      <c r="CZ155" s="388"/>
    </row>
    <row r="156">
      <c r="A156" s="1"/>
      <c r="B156" s="402"/>
      <c r="C156" s="362" t="str">
        <f>'5-0 Товары'!C156</f>
        <v/>
      </c>
      <c r="D156" s="363" t="str">
        <f>'5-0 Товары'!D156</f>
        <v/>
      </c>
      <c r="E156" s="364" t="str">
        <f>'5-0 Товары'!E156</f>
        <v/>
      </c>
      <c r="F156" s="380"/>
      <c r="G156" s="380"/>
      <c r="H156" s="364" t="str">
        <f>'5-0 Товары'!F156</f>
        <v/>
      </c>
      <c r="I156" s="391"/>
      <c r="J156" s="364" t="str">
        <f>'5-0 Товары'!G156</f>
        <v/>
      </c>
      <c r="K156" s="366" t="str">
        <f>'5-0 Товары'!H156</f>
        <v/>
      </c>
      <c r="L156" s="382" t="str">
        <f t="shared" si="1"/>
        <v/>
      </c>
      <c r="M156" s="382"/>
      <c r="N156" s="380"/>
      <c r="O156" s="369" t="str">
        <f>'5-0 Товары'!I156</f>
        <v/>
      </c>
      <c r="P156" s="371" t="str">
        <f>'5-0 Товары'!N156</f>
        <v/>
      </c>
      <c r="Q156" s="197"/>
      <c r="R156" s="193"/>
      <c r="S156" s="187"/>
      <c r="T156" s="187"/>
      <c r="U156" s="187"/>
      <c r="V156" s="187"/>
      <c r="W156" s="187"/>
      <c r="X156" s="187"/>
      <c r="Y156" s="187" t="s">
        <v>96</v>
      </c>
      <c r="Z156" s="193" t="str">
        <f t="shared" si="2"/>
        <v/>
      </c>
      <c r="AA156" s="383"/>
      <c r="AB156" s="384"/>
      <c r="AC156" s="385"/>
      <c r="AD156" s="383"/>
      <c r="AE156" s="384"/>
      <c r="AF156" s="385"/>
      <c r="AG156" s="383"/>
      <c r="AH156" s="384"/>
      <c r="AI156" s="385"/>
      <c r="AJ156" s="383"/>
      <c r="AK156" s="384"/>
      <c r="AL156" s="385"/>
      <c r="AM156" s="383"/>
      <c r="AN156" s="384"/>
      <c r="AO156" s="385"/>
      <c r="AP156" s="383"/>
      <c r="AQ156" s="384"/>
      <c r="AR156" s="385"/>
      <c r="AS156" s="383"/>
      <c r="AT156" s="384"/>
      <c r="AU156" s="385"/>
      <c r="AV156" s="383"/>
      <c r="AW156" s="384"/>
      <c r="AX156" s="385"/>
      <c r="AY156" s="383"/>
      <c r="AZ156" s="384"/>
      <c r="BA156" s="385"/>
      <c r="BB156" s="386"/>
      <c r="BC156" s="387"/>
      <c r="BD156" s="388"/>
      <c r="BE156" s="386"/>
      <c r="BF156" s="387"/>
      <c r="BG156" s="388"/>
      <c r="BH156" s="386"/>
      <c r="BI156" s="387"/>
      <c r="BJ156" s="388"/>
      <c r="BK156" s="386"/>
      <c r="BL156" s="387"/>
      <c r="BM156" s="388"/>
      <c r="BN156" s="386"/>
      <c r="BO156" s="387"/>
      <c r="BP156" s="388"/>
      <c r="BQ156" s="386"/>
      <c r="BR156" s="387"/>
      <c r="BS156" s="388"/>
      <c r="BT156" s="386"/>
      <c r="BU156" s="387"/>
      <c r="BV156" s="388"/>
      <c r="BW156" s="386"/>
      <c r="BX156" s="387"/>
      <c r="BY156" s="388"/>
      <c r="BZ156" s="386"/>
      <c r="CA156" s="387"/>
      <c r="CB156" s="388"/>
      <c r="CC156" s="386"/>
      <c r="CD156" s="387"/>
      <c r="CE156" s="388"/>
      <c r="CF156" s="386"/>
      <c r="CG156" s="387"/>
      <c r="CH156" s="388"/>
      <c r="CI156" s="386"/>
      <c r="CJ156" s="387"/>
      <c r="CK156" s="388"/>
      <c r="CL156" s="386"/>
      <c r="CM156" s="387"/>
      <c r="CN156" s="388"/>
      <c r="CO156" s="386"/>
      <c r="CP156" s="387"/>
      <c r="CQ156" s="388"/>
      <c r="CR156" s="386"/>
      <c r="CS156" s="387"/>
      <c r="CT156" s="388"/>
      <c r="CU156" s="386"/>
      <c r="CV156" s="387"/>
      <c r="CW156" s="388"/>
      <c r="CX156" s="386"/>
      <c r="CY156" s="387"/>
      <c r="CZ156" s="388"/>
    </row>
    <row r="157">
      <c r="A157" s="1"/>
      <c r="B157" s="402"/>
      <c r="C157" s="362" t="str">
        <f>'5-0 Товары'!C157</f>
        <v/>
      </c>
      <c r="D157" s="363" t="str">
        <f>'5-0 Товары'!D157</f>
        <v/>
      </c>
      <c r="E157" s="364" t="str">
        <f>'5-0 Товары'!E157</f>
        <v/>
      </c>
      <c r="F157" s="380"/>
      <c r="G157" s="380"/>
      <c r="H157" s="364" t="str">
        <f>'5-0 Товары'!F157</f>
        <v/>
      </c>
      <c r="I157" s="391"/>
      <c r="J157" s="364" t="str">
        <f>'5-0 Товары'!G157</f>
        <v/>
      </c>
      <c r="K157" s="366" t="str">
        <f>'5-0 Товары'!H157</f>
        <v/>
      </c>
      <c r="L157" s="382" t="str">
        <f t="shared" si="1"/>
        <v/>
      </c>
      <c r="M157" s="382"/>
      <c r="N157" s="380"/>
      <c r="O157" s="369" t="str">
        <f>'5-0 Товары'!I157</f>
        <v/>
      </c>
      <c r="P157" s="371" t="str">
        <f>'5-0 Товары'!N157</f>
        <v/>
      </c>
      <c r="Q157" s="197"/>
      <c r="R157" s="193"/>
      <c r="S157" s="187"/>
      <c r="T157" s="187"/>
      <c r="U157" s="187"/>
      <c r="V157" s="187"/>
      <c r="W157" s="187"/>
      <c r="X157" s="187"/>
      <c r="Y157" s="187" t="s">
        <v>96</v>
      </c>
      <c r="Z157" s="193" t="str">
        <f t="shared" si="2"/>
        <v/>
      </c>
      <c r="AA157" s="383"/>
      <c r="AB157" s="384"/>
      <c r="AC157" s="385"/>
      <c r="AD157" s="383"/>
      <c r="AE157" s="384"/>
      <c r="AF157" s="385"/>
      <c r="AG157" s="383"/>
      <c r="AH157" s="384"/>
      <c r="AI157" s="385"/>
      <c r="AJ157" s="383"/>
      <c r="AK157" s="384"/>
      <c r="AL157" s="385"/>
      <c r="AM157" s="383"/>
      <c r="AN157" s="384"/>
      <c r="AO157" s="385"/>
      <c r="AP157" s="383"/>
      <c r="AQ157" s="384"/>
      <c r="AR157" s="385"/>
      <c r="AS157" s="383"/>
      <c r="AT157" s="384"/>
      <c r="AU157" s="385"/>
      <c r="AV157" s="383"/>
      <c r="AW157" s="384"/>
      <c r="AX157" s="385"/>
      <c r="AY157" s="383"/>
      <c r="AZ157" s="384"/>
      <c r="BA157" s="385"/>
      <c r="BB157" s="386"/>
      <c r="BC157" s="387"/>
      <c r="BD157" s="388"/>
      <c r="BE157" s="386"/>
      <c r="BF157" s="387"/>
      <c r="BG157" s="388"/>
      <c r="BH157" s="386"/>
      <c r="BI157" s="387"/>
      <c r="BJ157" s="388"/>
      <c r="BK157" s="386"/>
      <c r="BL157" s="387"/>
      <c r="BM157" s="388"/>
      <c r="BN157" s="386"/>
      <c r="BO157" s="387"/>
      <c r="BP157" s="388"/>
      <c r="BQ157" s="386"/>
      <c r="BR157" s="387"/>
      <c r="BS157" s="388"/>
      <c r="BT157" s="386"/>
      <c r="BU157" s="387"/>
      <c r="BV157" s="388"/>
      <c r="BW157" s="386"/>
      <c r="BX157" s="387"/>
      <c r="BY157" s="388"/>
      <c r="BZ157" s="386"/>
      <c r="CA157" s="387"/>
      <c r="CB157" s="388"/>
      <c r="CC157" s="386"/>
      <c r="CD157" s="387"/>
      <c r="CE157" s="388"/>
      <c r="CF157" s="386"/>
      <c r="CG157" s="387"/>
      <c r="CH157" s="388"/>
      <c r="CI157" s="386"/>
      <c r="CJ157" s="387"/>
      <c r="CK157" s="388"/>
      <c r="CL157" s="386"/>
      <c r="CM157" s="387"/>
      <c r="CN157" s="388"/>
      <c r="CO157" s="386"/>
      <c r="CP157" s="387"/>
      <c r="CQ157" s="388"/>
      <c r="CR157" s="386"/>
      <c r="CS157" s="387"/>
      <c r="CT157" s="388"/>
      <c r="CU157" s="386"/>
      <c r="CV157" s="387"/>
      <c r="CW157" s="388"/>
      <c r="CX157" s="386"/>
      <c r="CY157" s="387"/>
      <c r="CZ157" s="388"/>
    </row>
    <row r="158">
      <c r="A158" s="1"/>
      <c r="B158" s="402"/>
      <c r="C158" s="362" t="str">
        <f>'5-0 Товары'!C158</f>
        <v/>
      </c>
      <c r="D158" s="363" t="str">
        <f>'5-0 Товары'!D158</f>
        <v/>
      </c>
      <c r="E158" s="364" t="str">
        <f>'5-0 Товары'!E158</f>
        <v/>
      </c>
      <c r="F158" s="380"/>
      <c r="G158" s="380"/>
      <c r="H158" s="364" t="str">
        <f>'5-0 Товары'!F158</f>
        <v/>
      </c>
      <c r="I158" s="391"/>
      <c r="J158" s="364" t="str">
        <f>'5-0 Товары'!G158</f>
        <v/>
      </c>
      <c r="K158" s="366" t="str">
        <f>'5-0 Товары'!H158</f>
        <v/>
      </c>
      <c r="L158" s="382" t="str">
        <f t="shared" si="1"/>
        <v/>
      </c>
      <c r="M158" s="382"/>
      <c r="N158" s="380"/>
      <c r="O158" s="369" t="str">
        <f>'5-0 Товары'!I158</f>
        <v/>
      </c>
      <c r="P158" s="371" t="str">
        <f>'5-0 Товары'!N158</f>
        <v/>
      </c>
      <c r="Q158" s="197"/>
      <c r="R158" s="193"/>
      <c r="S158" s="187"/>
      <c r="T158" s="187"/>
      <c r="U158" s="187"/>
      <c r="V158" s="187"/>
      <c r="W158" s="187"/>
      <c r="X158" s="187"/>
      <c r="Y158" s="187" t="s">
        <v>96</v>
      </c>
      <c r="Z158" s="193" t="str">
        <f t="shared" si="2"/>
        <v/>
      </c>
      <c r="AA158" s="383"/>
      <c r="AB158" s="384"/>
      <c r="AC158" s="385"/>
      <c r="AD158" s="383"/>
      <c r="AE158" s="384"/>
      <c r="AF158" s="385"/>
      <c r="AG158" s="383"/>
      <c r="AH158" s="384"/>
      <c r="AI158" s="385"/>
      <c r="AJ158" s="383"/>
      <c r="AK158" s="384"/>
      <c r="AL158" s="385"/>
      <c r="AM158" s="383"/>
      <c r="AN158" s="384"/>
      <c r="AO158" s="385"/>
      <c r="AP158" s="383"/>
      <c r="AQ158" s="384"/>
      <c r="AR158" s="385"/>
      <c r="AS158" s="383"/>
      <c r="AT158" s="384"/>
      <c r="AU158" s="385"/>
      <c r="AV158" s="383"/>
      <c r="AW158" s="384"/>
      <c r="AX158" s="385"/>
      <c r="AY158" s="383"/>
      <c r="AZ158" s="384"/>
      <c r="BA158" s="385"/>
      <c r="BB158" s="386"/>
      <c r="BC158" s="387"/>
      <c r="BD158" s="388"/>
      <c r="BE158" s="386"/>
      <c r="BF158" s="387"/>
      <c r="BG158" s="388"/>
      <c r="BH158" s="386"/>
      <c r="BI158" s="387"/>
      <c r="BJ158" s="388"/>
      <c r="BK158" s="386"/>
      <c r="BL158" s="387"/>
      <c r="BM158" s="388"/>
      <c r="BN158" s="386"/>
      <c r="BO158" s="387"/>
      <c r="BP158" s="388"/>
      <c r="BQ158" s="386"/>
      <c r="BR158" s="387"/>
      <c r="BS158" s="388"/>
      <c r="BT158" s="386"/>
      <c r="BU158" s="387"/>
      <c r="BV158" s="388"/>
      <c r="BW158" s="386"/>
      <c r="BX158" s="387"/>
      <c r="BY158" s="388"/>
      <c r="BZ158" s="386"/>
      <c r="CA158" s="387"/>
      <c r="CB158" s="388"/>
      <c r="CC158" s="386"/>
      <c r="CD158" s="387"/>
      <c r="CE158" s="388"/>
      <c r="CF158" s="386"/>
      <c r="CG158" s="387"/>
      <c r="CH158" s="388"/>
      <c r="CI158" s="386"/>
      <c r="CJ158" s="387"/>
      <c r="CK158" s="388"/>
      <c r="CL158" s="386"/>
      <c r="CM158" s="387"/>
      <c r="CN158" s="388"/>
      <c r="CO158" s="386"/>
      <c r="CP158" s="387"/>
      <c r="CQ158" s="388"/>
      <c r="CR158" s="386"/>
      <c r="CS158" s="387"/>
      <c r="CT158" s="388"/>
      <c r="CU158" s="386"/>
      <c r="CV158" s="387"/>
      <c r="CW158" s="388"/>
      <c r="CX158" s="386"/>
      <c r="CY158" s="387"/>
      <c r="CZ158" s="388"/>
    </row>
    <row r="159">
      <c r="A159" s="1"/>
      <c r="B159" s="402"/>
      <c r="C159" s="362" t="str">
        <f>'5-0 Товары'!C159</f>
        <v/>
      </c>
      <c r="D159" s="363" t="str">
        <f>'5-0 Товары'!D159</f>
        <v/>
      </c>
      <c r="E159" s="364" t="str">
        <f>'5-0 Товары'!E159</f>
        <v/>
      </c>
      <c r="F159" s="380"/>
      <c r="G159" s="380"/>
      <c r="H159" s="364" t="str">
        <f>'5-0 Товары'!F159</f>
        <v/>
      </c>
      <c r="I159" s="391"/>
      <c r="J159" s="364" t="str">
        <f>'5-0 Товары'!G159</f>
        <v/>
      </c>
      <c r="K159" s="366" t="str">
        <f>'5-0 Товары'!H159</f>
        <v/>
      </c>
      <c r="L159" s="382" t="str">
        <f t="shared" si="1"/>
        <v/>
      </c>
      <c r="M159" s="382"/>
      <c r="N159" s="380"/>
      <c r="O159" s="369" t="str">
        <f>'5-0 Товары'!I159</f>
        <v/>
      </c>
      <c r="P159" s="371" t="str">
        <f>'5-0 Товары'!N159</f>
        <v/>
      </c>
      <c r="Q159" s="197"/>
      <c r="R159" s="193"/>
      <c r="S159" s="187"/>
      <c r="T159" s="187"/>
      <c r="U159" s="187"/>
      <c r="V159" s="187"/>
      <c r="W159" s="187"/>
      <c r="X159" s="187"/>
      <c r="Y159" s="187" t="s">
        <v>96</v>
      </c>
      <c r="Z159" s="193" t="str">
        <f t="shared" si="2"/>
        <v/>
      </c>
      <c r="AA159" s="383"/>
      <c r="AB159" s="384"/>
      <c r="AC159" s="385"/>
      <c r="AD159" s="383"/>
      <c r="AE159" s="384"/>
      <c r="AF159" s="385"/>
      <c r="AG159" s="383"/>
      <c r="AH159" s="384"/>
      <c r="AI159" s="385"/>
      <c r="AJ159" s="383"/>
      <c r="AK159" s="384"/>
      <c r="AL159" s="385"/>
      <c r="AM159" s="383"/>
      <c r="AN159" s="384"/>
      <c r="AO159" s="385"/>
      <c r="AP159" s="383"/>
      <c r="AQ159" s="384"/>
      <c r="AR159" s="385"/>
      <c r="AS159" s="383"/>
      <c r="AT159" s="384"/>
      <c r="AU159" s="385"/>
      <c r="AV159" s="383"/>
      <c r="AW159" s="384"/>
      <c r="AX159" s="385"/>
      <c r="AY159" s="383"/>
      <c r="AZ159" s="384"/>
      <c r="BA159" s="385"/>
      <c r="BB159" s="386"/>
      <c r="BC159" s="387"/>
      <c r="BD159" s="388"/>
      <c r="BE159" s="386"/>
      <c r="BF159" s="387"/>
      <c r="BG159" s="388"/>
      <c r="BH159" s="386"/>
      <c r="BI159" s="387"/>
      <c r="BJ159" s="388"/>
      <c r="BK159" s="386"/>
      <c r="BL159" s="387"/>
      <c r="BM159" s="388"/>
      <c r="BN159" s="386"/>
      <c r="BO159" s="387"/>
      <c r="BP159" s="388"/>
      <c r="BQ159" s="386"/>
      <c r="BR159" s="387"/>
      <c r="BS159" s="388"/>
      <c r="BT159" s="386"/>
      <c r="BU159" s="387"/>
      <c r="BV159" s="388"/>
      <c r="BW159" s="386"/>
      <c r="BX159" s="387"/>
      <c r="BY159" s="388"/>
      <c r="BZ159" s="386"/>
      <c r="CA159" s="387"/>
      <c r="CB159" s="388"/>
      <c r="CC159" s="386"/>
      <c r="CD159" s="387"/>
      <c r="CE159" s="388"/>
      <c r="CF159" s="386"/>
      <c r="CG159" s="387"/>
      <c r="CH159" s="388"/>
      <c r="CI159" s="386"/>
      <c r="CJ159" s="387"/>
      <c r="CK159" s="388"/>
      <c r="CL159" s="386"/>
      <c r="CM159" s="387"/>
      <c r="CN159" s="388"/>
      <c r="CO159" s="386"/>
      <c r="CP159" s="387"/>
      <c r="CQ159" s="388"/>
      <c r="CR159" s="386"/>
      <c r="CS159" s="387"/>
      <c r="CT159" s="388"/>
      <c r="CU159" s="386"/>
      <c r="CV159" s="387"/>
      <c r="CW159" s="388"/>
      <c r="CX159" s="386"/>
      <c r="CY159" s="387"/>
      <c r="CZ159" s="388"/>
    </row>
    <row r="160">
      <c r="A160" s="1"/>
      <c r="B160" s="402"/>
      <c r="C160" s="362" t="str">
        <f>'5-0 Товары'!C160</f>
        <v/>
      </c>
      <c r="D160" s="363" t="str">
        <f>'5-0 Товары'!D160</f>
        <v/>
      </c>
      <c r="E160" s="364" t="str">
        <f>'5-0 Товары'!E160</f>
        <v/>
      </c>
      <c r="F160" s="380"/>
      <c r="G160" s="380"/>
      <c r="H160" s="364" t="str">
        <f>'5-0 Товары'!F160</f>
        <v/>
      </c>
      <c r="I160" s="391"/>
      <c r="J160" s="364" t="str">
        <f>'5-0 Товары'!G160</f>
        <v/>
      </c>
      <c r="K160" s="366" t="str">
        <f>'5-0 Товары'!H160</f>
        <v/>
      </c>
      <c r="L160" s="382" t="str">
        <f t="shared" si="1"/>
        <v/>
      </c>
      <c r="M160" s="382"/>
      <c r="N160" s="380"/>
      <c r="O160" s="369" t="str">
        <f>'5-0 Товары'!I160</f>
        <v/>
      </c>
      <c r="P160" s="371" t="str">
        <f>'5-0 Товары'!N160</f>
        <v/>
      </c>
      <c r="Q160" s="197"/>
      <c r="R160" s="193"/>
      <c r="S160" s="187"/>
      <c r="T160" s="187"/>
      <c r="U160" s="187"/>
      <c r="V160" s="187"/>
      <c r="W160" s="187"/>
      <c r="X160" s="187"/>
      <c r="Y160" s="187" t="s">
        <v>96</v>
      </c>
      <c r="Z160" s="193" t="str">
        <f t="shared" si="2"/>
        <v/>
      </c>
      <c r="AA160" s="383"/>
      <c r="AB160" s="384"/>
      <c r="AC160" s="385"/>
      <c r="AD160" s="383"/>
      <c r="AE160" s="384"/>
      <c r="AF160" s="385"/>
      <c r="AG160" s="383"/>
      <c r="AH160" s="384"/>
      <c r="AI160" s="385"/>
      <c r="AJ160" s="383"/>
      <c r="AK160" s="384"/>
      <c r="AL160" s="385"/>
      <c r="AM160" s="383"/>
      <c r="AN160" s="384"/>
      <c r="AO160" s="385"/>
      <c r="AP160" s="383"/>
      <c r="AQ160" s="384"/>
      <c r="AR160" s="385"/>
      <c r="AS160" s="383"/>
      <c r="AT160" s="384"/>
      <c r="AU160" s="385"/>
      <c r="AV160" s="383"/>
      <c r="AW160" s="384"/>
      <c r="AX160" s="385"/>
      <c r="AY160" s="383"/>
      <c r="AZ160" s="384"/>
      <c r="BA160" s="385"/>
      <c r="BB160" s="386"/>
      <c r="BC160" s="387"/>
      <c r="BD160" s="388"/>
      <c r="BE160" s="386"/>
      <c r="BF160" s="387"/>
      <c r="BG160" s="388"/>
      <c r="BH160" s="386"/>
      <c r="BI160" s="387"/>
      <c r="BJ160" s="388"/>
      <c r="BK160" s="386"/>
      <c r="BL160" s="387"/>
      <c r="BM160" s="388"/>
      <c r="BN160" s="386"/>
      <c r="BO160" s="387"/>
      <c r="BP160" s="388"/>
      <c r="BQ160" s="386"/>
      <c r="BR160" s="387"/>
      <c r="BS160" s="388"/>
      <c r="BT160" s="386"/>
      <c r="BU160" s="387"/>
      <c r="BV160" s="388"/>
      <c r="BW160" s="386"/>
      <c r="BX160" s="387"/>
      <c r="BY160" s="388"/>
      <c r="BZ160" s="386"/>
      <c r="CA160" s="387"/>
      <c r="CB160" s="388"/>
      <c r="CC160" s="386"/>
      <c r="CD160" s="387"/>
      <c r="CE160" s="388"/>
      <c r="CF160" s="386"/>
      <c r="CG160" s="387"/>
      <c r="CH160" s="388"/>
      <c r="CI160" s="386"/>
      <c r="CJ160" s="387"/>
      <c r="CK160" s="388"/>
      <c r="CL160" s="386"/>
      <c r="CM160" s="387"/>
      <c r="CN160" s="388"/>
      <c r="CO160" s="386"/>
      <c r="CP160" s="387"/>
      <c r="CQ160" s="388"/>
      <c r="CR160" s="386"/>
      <c r="CS160" s="387"/>
      <c r="CT160" s="388"/>
      <c r="CU160" s="386"/>
      <c r="CV160" s="387"/>
      <c r="CW160" s="388"/>
      <c r="CX160" s="386"/>
      <c r="CY160" s="387"/>
      <c r="CZ160" s="388"/>
    </row>
    <row r="161">
      <c r="A161" s="1"/>
      <c r="B161" s="402"/>
      <c r="C161" s="362" t="str">
        <f>'5-0 Товары'!C161</f>
        <v/>
      </c>
      <c r="D161" s="363" t="str">
        <f>'5-0 Товары'!D161</f>
        <v/>
      </c>
      <c r="E161" s="364" t="str">
        <f>'5-0 Товары'!E161</f>
        <v/>
      </c>
      <c r="F161" s="380"/>
      <c r="G161" s="380"/>
      <c r="H161" s="364" t="str">
        <f>'5-0 Товары'!F161</f>
        <v/>
      </c>
      <c r="I161" s="391"/>
      <c r="J161" s="364" t="str">
        <f>'5-0 Товары'!G161</f>
        <v/>
      </c>
      <c r="K161" s="366" t="str">
        <f>'5-0 Товары'!H161</f>
        <v/>
      </c>
      <c r="L161" s="382" t="str">
        <f t="shared" si="1"/>
        <v/>
      </c>
      <c r="M161" s="382"/>
      <c r="N161" s="380"/>
      <c r="O161" s="369" t="str">
        <f>'5-0 Товары'!I161</f>
        <v/>
      </c>
      <c r="P161" s="371" t="str">
        <f>'5-0 Товары'!N161</f>
        <v/>
      </c>
      <c r="Q161" s="197"/>
      <c r="R161" s="193"/>
      <c r="S161" s="187"/>
      <c r="T161" s="187"/>
      <c r="U161" s="187"/>
      <c r="V161" s="187"/>
      <c r="W161" s="187"/>
      <c r="X161" s="187"/>
      <c r="Y161" s="187" t="s">
        <v>96</v>
      </c>
      <c r="Z161" s="193" t="str">
        <f t="shared" si="2"/>
        <v/>
      </c>
      <c r="AA161" s="383"/>
      <c r="AB161" s="384"/>
      <c r="AC161" s="385"/>
      <c r="AD161" s="383"/>
      <c r="AE161" s="384"/>
      <c r="AF161" s="385"/>
      <c r="AG161" s="383"/>
      <c r="AH161" s="384"/>
      <c r="AI161" s="385"/>
      <c r="AJ161" s="383"/>
      <c r="AK161" s="384"/>
      <c r="AL161" s="385"/>
      <c r="AM161" s="383"/>
      <c r="AN161" s="384"/>
      <c r="AO161" s="385"/>
      <c r="AP161" s="383"/>
      <c r="AQ161" s="384"/>
      <c r="AR161" s="385"/>
      <c r="AS161" s="383"/>
      <c r="AT161" s="384"/>
      <c r="AU161" s="385"/>
      <c r="AV161" s="383"/>
      <c r="AW161" s="384"/>
      <c r="AX161" s="385"/>
      <c r="AY161" s="383"/>
      <c r="AZ161" s="384"/>
      <c r="BA161" s="385"/>
      <c r="BB161" s="386"/>
      <c r="BC161" s="387"/>
      <c r="BD161" s="388"/>
      <c r="BE161" s="386"/>
      <c r="BF161" s="387"/>
      <c r="BG161" s="388"/>
      <c r="BH161" s="386"/>
      <c r="BI161" s="387"/>
      <c r="BJ161" s="388"/>
      <c r="BK161" s="386"/>
      <c r="BL161" s="387"/>
      <c r="BM161" s="388"/>
      <c r="BN161" s="386"/>
      <c r="BO161" s="387"/>
      <c r="BP161" s="388"/>
      <c r="BQ161" s="386"/>
      <c r="BR161" s="387"/>
      <c r="BS161" s="388"/>
      <c r="BT161" s="386"/>
      <c r="BU161" s="387"/>
      <c r="BV161" s="388"/>
      <c r="BW161" s="386"/>
      <c r="BX161" s="387"/>
      <c r="BY161" s="388"/>
      <c r="BZ161" s="386"/>
      <c r="CA161" s="387"/>
      <c r="CB161" s="388"/>
      <c r="CC161" s="386"/>
      <c r="CD161" s="387"/>
      <c r="CE161" s="388"/>
      <c r="CF161" s="386"/>
      <c r="CG161" s="387"/>
      <c r="CH161" s="388"/>
      <c r="CI161" s="386"/>
      <c r="CJ161" s="387"/>
      <c r="CK161" s="388"/>
      <c r="CL161" s="386"/>
      <c r="CM161" s="387"/>
      <c r="CN161" s="388"/>
      <c r="CO161" s="386"/>
      <c r="CP161" s="387"/>
      <c r="CQ161" s="388"/>
      <c r="CR161" s="386"/>
      <c r="CS161" s="387"/>
      <c r="CT161" s="388"/>
      <c r="CU161" s="386"/>
      <c r="CV161" s="387"/>
      <c r="CW161" s="388"/>
      <c r="CX161" s="386"/>
      <c r="CY161" s="387"/>
      <c r="CZ161" s="388"/>
    </row>
    <row r="162">
      <c r="A162" s="1"/>
      <c r="B162" s="402"/>
      <c r="C162" s="362" t="str">
        <f>'5-0 Товары'!C162</f>
        <v/>
      </c>
      <c r="D162" s="363" t="str">
        <f>'5-0 Товары'!D162</f>
        <v/>
      </c>
      <c r="E162" s="364" t="str">
        <f>'5-0 Товары'!E162</f>
        <v/>
      </c>
      <c r="F162" s="380"/>
      <c r="G162" s="380"/>
      <c r="H162" s="364" t="str">
        <f>'5-0 Товары'!F162</f>
        <v/>
      </c>
      <c r="I162" s="391"/>
      <c r="J162" s="364" t="str">
        <f>'5-0 Товары'!G162</f>
        <v/>
      </c>
      <c r="K162" s="366" t="str">
        <f>'5-0 Товары'!H162</f>
        <v/>
      </c>
      <c r="L162" s="382" t="str">
        <f t="shared" si="1"/>
        <v/>
      </c>
      <c r="M162" s="382"/>
      <c r="N162" s="380"/>
      <c r="O162" s="369" t="str">
        <f>'5-0 Товары'!I162</f>
        <v/>
      </c>
      <c r="P162" s="371" t="str">
        <f>'5-0 Товары'!N162</f>
        <v/>
      </c>
      <c r="Q162" s="197"/>
      <c r="R162" s="193"/>
      <c r="S162" s="187"/>
      <c r="T162" s="187"/>
      <c r="U162" s="187"/>
      <c r="V162" s="187"/>
      <c r="W162" s="187"/>
      <c r="X162" s="187"/>
      <c r="Y162" s="187" t="s">
        <v>96</v>
      </c>
      <c r="Z162" s="193" t="str">
        <f t="shared" si="2"/>
        <v/>
      </c>
      <c r="AA162" s="383"/>
      <c r="AB162" s="384"/>
      <c r="AC162" s="385"/>
      <c r="AD162" s="383"/>
      <c r="AE162" s="384"/>
      <c r="AF162" s="385"/>
      <c r="AG162" s="383"/>
      <c r="AH162" s="384"/>
      <c r="AI162" s="385"/>
      <c r="AJ162" s="383"/>
      <c r="AK162" s="384"/>
      <c r="AL162" s="385"/>
      <c r="AM162" s="383"/>
      <c r="AN162" s="384"/>
      <c r="AO162" s="385"/>
      <c r="AP162" s="383"/>
      <c r="AQ162" s="384"/>
      <c r="AR162" s="385"/>
      <c r="AS162" s="383"/>
      <c r="AT162" s="384"/>
      <c r="AU162" s="385"/>
      <c r="AV162" s="383"/>
      <c r="AW162" s="384"/>
      <c r="AX162" s="385"/>
      <c r="AY162" s="383"/>
      <c r="AZ162" s="384"/>
      <c r="BA162" s="385"/>
      <c r="BB162" s="386"/>
      <c r="BC162" s="387"/>
      <c r="BD162" s="388"/>
      <c r="BE162" s="386"/>
      <c r="BF162" s="387"/>
      <c r="BG162" s="388"/>
      <c r="BH162" s="386"/>
      <c r="BI162" s="387"/>
      <c r="BJ162" s="388"/>
      <c r="BK162" s="386"/>
      <c r="BL162" s="387"/>
      <c r="BM162" s="388"/>
      <c r="BN162" s="386"/>
      <c r="BO162" s="387"/>
      <c r="BP162" s="388"/>
      <c r="BQ162" s="386"/>
      <c r="BR162" s="387"/>
      <c r="BS162" s="388"/>
      <c r="BT162" s="386"/>
      <c r="BU162" s="387"/>
      <c r="BV162" s="388"/>
      <c r="BW162" s="386"/>
      <c r="BX162" s="387"/>
      <c r="BY162" s="388"/>
      <c r="BZ162" s="386"/>
      <c r="CA162" s="387"/>
      <c r="CB162" s="388"/>
      <c r="CC162" s="386"/>
      <c r="CD162" s="387"/>
      <c r="CE162" s="388"/>
      <c r="CF162" s="386"/>
      <c r="CG162" s="387"/>
      <c r="CH162" s="388"/>
      <c r="CI162" s="386"/>
      <c r="CJ162" s="387"/>
      <c r="CK162" s="388"/>
      <c r="CL162" s="386"/>
      <c r="CM162" s="387"/>
      <c r="CN162" s="388"/>
      <c r="CO162" s="386"/>
      <c r="CP162" s="387"/>
      <c r="CQ162" s="388"/>
      <c r="CR162" s="386"/>
      <c r="CS162" s="387"/>
      <c r="CT162" s="388"/>
      <c r="CU162" s="386"/>
      <c r="CV162" s="387"/>
      <c r="CW162" s="388"/>
      <c r="CX162" s="386"/>
      <c r="CY162" s="387"/>
      <c r="CZ162" s="388"/>
    </row>
    <row r="163">
      <c r="A163" s="1"/>
      <c r="B163" s="402"/>
      <c r="C163" s="362" t="str">
        <f>'5-0 Товары'!C163</f>
        <v/>
      </c>
      <c r="D163" s="363" t="str">
        <f>'5-0 Товары'!D163</f>
        <v/>
      </c>
      <c r="E163" s="364" t="str">
        <f>'5-0 Товары'!E163</f>
        <v/>
      </c>
      <c r="F163" s="380"/>
      <c r="G163" s="380"/>
      <c r="H163" s="364" t="str">
        <f>'5-0 Товары'!F163</f>
        <v/>
      </c>
      <c r="I163" s="391"/>
      <c r="J163" s="364" t="str">
        <f>'5-0 Товары'!G163</f>
        <v/>
      </c>
      <c r="K163" s="366" t="str">
        <f>'5-0 Товары'!H163</f>
        <v/>
      </c>
      <c r="L163" s="382" t="str">
        <f t="shared" si="1"/>
        <v/>
      </c>
      <c r="M163" s="382"/>
      <c r="N163" s="380"/>
      <c r="O163" s="369" t="str">
        <f>'5-0 Товары'!I163</f>
        <v/>
      </c>
      <c r="P163" s="371" t="str">
        <f>'5-0 Товары'!N163</f>
        <v/>
      </c>
      <c r="Q163" s="197"/>
      <c r="R163" s="193"/>
      <c r="S163" s="187"/>
      <c r="T163" s="187"/>
      <c r="U163" s="187"/>
      <c r="V163" s="187"/>
      <c r="W163" s="187"/>
      <c r="X163" s="187"/>
      <c r="Y163" s="187" t="s">
        <v>96</v>
      </c>
      <c r="Z163" s="193" t="str">
        <f t="shared" si="2"/>
        <v/>
      </c>
      <c r="AA163" s="383"/>
      <c r="AB163" s="384"/>
      <c r="AC163" s="385"/>
      <c r="AD163" s="383"/>
      <c r="AE163" s="384"/>
      <c r="AF163" s="385"/>
      <c r="AG163" s="383"/>
      <c r="AH163" s="384"/>
      <c r="AI163" s="385"/>
      <c r="AJ163" s="383"/>
      <c r="AK163" s="384"/>
      <c r="AL163" s="385"/>
      <c r="AM163" s="383"/>
      <c r="AN163" s="384"/>
      <c r="AO163" s="385"/>
      <c r="AP163" s="383"/>
      <c r="AQ163" s="384"/>
      <c r="AR163" s="385"/>
      <c r="AS163" s="383"/>
      <c r="AT163" s="384"/>
      <c r="AU163" s="385"/>
      <c r="AV163" s="383"/>
      <c r="AW163" s="384"/>
      <c r="AX163" s="385"/>
      <c r="AY163" s="383"/>
      <c r="AZ163" s="384"/>
      <c r="BA163" s="385"/>
      <c r="BB163" s="386"/>
      <c r="BC163" s="387"/>
      <c r="BD163" s="388"/>
      <c r="BE163" s="386"/>
      <c r="BF163" s="387"/>
      <c r="BG163" s="388"/>
      <c r="BH163" s="386"/>
      <c r="BI163" s="387"/>
      <c r="BJ163" s="388"/>
      <c r="BK163" s="386"/>
      <c r="BL163" s="387"/>
      <c r="BM163" s="388"/>
      <c r="BN163" s="386"/>
      <c r="BO163" s="387"/>
      <c r="BP163" s="388"/>
      <c r="BQ163" s="386"/>
      <c r="BR163" s="387"/>
      <c r="BS163" s="388"/>
      <c r="BT163" s="386"/>
      <c r="BU163" s="387"/>
      <c r="BV163" s="388"/>
      <c r="BW163" s="386"/>
      <c r="BX163" s="387"/>
      <c r="BY163" s="388"/>
      <c r="BZ163" s="386"/>
      <c r="CA163" s="387"/>
      <c r="CB163" s="388"/>
      <c r="CC163" s="386"/>
      <c r="CD163" s="387"/>
      <c r="CE163" s="388"/>
      <c r="CF163" s="386"/>
      <c r="CG163" s="387"/>
      <c r="CH163" s="388"/>
      <c r="CI163" s="386"/>
      <c r="CJ163" s="387"/>
      <c r="CK163" s="388"/>
      <c r="CL163" s="386"/>
      <c r="CM163" s="387"/>
      <c r="CN163" s="388"/>
      <c r="CO163" s="386"/>
      <c r="CP163" s="387"/>
      <c r="CQ163" s="388"/>
      <c r="CR163" s="386"/>
      <c r="CS163" s="387"/>
      <c r="CT163" s="388"/>
      <c r="CU163" s="386"/>
      <c r="CV163" s="387"/>
      <c r="CW163" s="388"/>
      <c r="CX163" s="386"/>
      <c r="CY163" s="387"/>
      <c r="CZ163" s="388"/>
    </row>
    <row r="164">
      <c r="A164" s="1"/>
      <c r="B164" s="402"/>
      <c r="C164" s="362" t="str">
        <f>'5-0 Товары'!C164</f>
        <v/>
      </c>
      <c r="D164" s="363" t="str">
        <f>'5-0 Товары'!D164</f>
        <v/>
      </c>
      <c r="E164" s="364" t="str">
        <f>'5-0 Товары'!E164</f>
        <v/>
      </c>
      <c r="F164" s="380"/>
      <c r="G164" s="380"/>
      <c r="H164" s="364" t="str">
        <f>'5-0 Товары'!F164</f>
        <v/>
      </c>
      <c r="I164" s="391"/>
      <c r="J164" s="364" t="str">
        <f>'5-0 Товары'!G164</f>
        <v/>
      </c>
      <c r="K164" s="366" t="str">
        <f>'5-0 Товары'!H164</f>
        <v/>
      </c>
      <c r="L164" s="382" t="str">
        <f t="shared" si="1"/>
        <v/>
      </c>
      <c r="M164" s="382"/>
      <c r="N164" s="380"/>
      <c r="O164" s="369" t="str">
        <f>'5-0 Товары'!I164</f>
        <v/>
      </c>
      <c r="P164" s="371" t="str">
        <f>'5-0 Товары'!N164</f>
        <v/>
      </c>
      <c r="Q164" s="197"/>
      <c r="R164" s="193"/>
      <c r="S164" s="187"/>
      <c r="T164" s="187"/>
      <c r="U164" s="187"/>
      <c r="V164" s="187"/>
      <c r="W164" s="187"/>
      <c r="X164" s="187"/>
      <c r="Y164" s="187" t="s">
        <v>96</v>
      </c>
      <c r="Z164" s="193" t="str">
        <f t="shared" si="2"/>
        <v/>
      </c>
      <c r="AA164" s="383"/>
      <c r="AB164" s="384"/>
      <c r="AC164" s="385"/>
      <c r="AD164" s="383"/>
      <c r="AE164" s="384"/>
      <c r="AF164" s="385"/>
      <c r="AG164" s="383"/>
      <c r="AH164" s="384"/>
      <c r="AI164" s="385"/>
      <c r="AJ164" s="383"/>
      <c r="AK164" s="384"/>
      <c r="AL164" s="385"/>
      <c r="AM164" s="383"/>
      <c r="AN164" s="384"/>
      <c r="AO164" s="385"/>
      <c r="AP164" s="383"/>
      <c r="AQ164" s="384"/>
      <c r="AR164" s="385"/>
      <c r="AS164" s="383"/>
      <c r="AT164" s="384"/>
      <c r="AU164" s="385"/>
      <c r="AV164" s="383"/>
      <c r="AW164" s="384"/>
      <c r="AX164" s="385"/>
      <c r="AY164" s="383"/>
      <c r="AZ164" s="384"/>
      <c r="BA164" s="385"/>
      <c r="BB164" s="386"/>
      <c r="BC164" s="387"/>
      <c r="BD164" s="388"/>
      <c r="BE164" s="386"/>
      <c r="BF164" s="387"/>
      <c r="BG164" s="388"/>
      <c r="BH164" s="386"/>
      <c r="BI164" s="387"/>
      <c r="BJ164" s="388"/>
      <c r="BK164" s="386"/>
      <c r="BL164" s="387"/>
      <c r="BM164" s="388"/>
      <c r="BN164" s="386"/>
      <c r="BO164" s="387"/>
      <c r="BP164" s="388"/>
      <c r="BQ164" s="386"/>
      <c r="BR164" s="387"/>
      <c r="BS164" s="388"/>
      <c r="BT164" s="386"/>
      <c r="BU164" s="387"/>
      <c r="BV164" s="388"/>
      <c r="BW164" s="386"/>
      <c r="BX164" s="387"/>
      <c r="BY164" s="388"/>
      <c r="BZ164" s="386"/>
      <c r="CA164" s="387"/>
      <c r="CB164" s="388"/>
      <c r="CC164" s="386"/>
      <c r="CD164" s="387"/>
      <c r="CE164" s="388"/>
      <c r="CF164" s="386"/>
      <c r="CG164" s="387"/>
      <c r="CH164" s="388"/>
      <c r="CI164" s="386"/>
      <c r="CJ164" s="387"/>
      <c r="CK164" s="388"/>
      <c r="CL164" s="386"/>
      <c r="CM164" s="387"/>
      <c r="CN164" s="388"/>
      <c r="CO164" s="386"/>
      <c r="CP164" s="387"/>
      <c r="CQ164" s="388"/>
      <c r="CR164" s="386"/>
      <c r="CS164" s="387"/>
      <c r="CT164" s="388"/>
      <c r="CU164" s="386"/>
      <c r="CV164" s="387"/>
      <c r="CW164" s="388"/>
      <c r="CX164" s="386"/>
      <c r="CY164" s="387"/>
      <c r="CZ164" s="388"/>
    </row>
    <row r="165">
      <c r="A165" s="1"/>
      <c r="B165" s="402"/>
      <c r="C165" s="362" t="str">
        <f>'5-0 Товары'!C165</f>
        <v/>
      </c>
      <c r="D165" s="363" t="str">
        <f>'5-0 Товары'!D165</f>
        <v/>
      </c>
      <c r="E165" s="364" t="str">
        <f>'5-0 Товары'!E165</f>
        <v/>
      </c>
      <c r="F165" s="380"/>
      <c r="G165" s="380"/>
      <c r="H165" s="364" t="str">
        <f>'5-0 Товары'!F165</f>
        <v/>
      </c>
      <c r="I165" s="391"/>
      <c r="J165" s="364" t="str">
        <f>'5-0 Товары'!G165</f>
        <v/>
      </c>
      <c r="K165" s="366" t="str">
        <f>'5-0 Товары'!H165</f>
        <v/>
      </c>
      <c r="L165" s="382" t="str">
        <f t="shared" si="1"/>
        <v/>
      </c>
      <c r="M165" s="382"/>
      <c r="N165" s="380"/>
      <c r="O165" s="369" t="str">
        <f>'5-0 Товары'!I165</f>
        <v/>
      </c>
      <c r="P165" s="371" t="str">
        <f>'5-0 Товары'!N165</f>
        <v/>
      </c>
      <c r="Q165" s="197"/>
      <c r="R165" s="193"/>
      <c r="S165" s="187"/>
      <c r="T165" s="187"/>
      <c r="U165" s="187"/>
      <c r="V165" s="187"/>
      <c r="W165" s="187"/>
      <c r="X165" s="187"/>
      <c r="Y165" s="187" t="s">
        <v>96</v>
      </c>
      <c r="Z165" s="193" t="str">
        <f t="shared" si="2"/>
        <v/>
      </c>
      <c r="AA165" s="383"/>
      <c r="AB165" s="384"/>
      <c r="AC165" s="385"/>
      <c r="AD165" s="383"/>
      <c r="AE165" s="384"/>
      <c r="AF165" s="385"/>
      <c r="AG165" s="383"/>
      <c r="AH165" s="384"/>
      <c r="AI165" s="385"/>
      <c r="AJ165" s="383"/>
      <c r="AK165" s="384"/>
      <c r="AL165" s="385"/>
      <c r="AM165" s="383"/>
      <c r="AN165" s="384"/>
      <c r="AO165" s="385"/>
      <c r="AP165" s="383"/>
      <c r="AQ165" s="384"/>
      <c r="AR165" s="385"/>
      <c r="AS165" s="383"/>
      <c r="AT165" s="384"/>
      <c r="AU165" s="385"/>
      <c r="AV165" s="383"/>
      <c r="AW165" s="384"/>
      <c r="AX165" s="385"/>
      <c r="AY165" s="383"/>
      <c r="AZ165" s="384"/>
      <c r="BA165" s="385"/>
      <c r="BB165" s="386"/>
      <c r="BC165" s="387"/>
      <c r="BD165" s="388"/>
      <c r="BE165" s="386"/>
      <c r="BF165" s="387"/>
      <c r="BG165" s="388"/>
      <c r="BH165" s="386"/>
      <c r="BI165" s="387"/>
      <c r="BJ165" s="388"/>
      <c r="BK165" s="386"/>
      <c r="BL165" s="387"/>
      <c r="BM165" s="388"/>
      <c r="BN165" s="386"/>
      <c r="BO165" s="387"/>
      <c r="BP165" s="388"/>
      <c r="BQ165" s="386"/>
      <c r="BR165" s="387"/>
      <c r="BS165" s="388"/>
      <c r="BT165" s="386"/>
      <c r="BU165" s="387"/>
      <c r="BV165" s="388"/>
      <c r="BW165" s="386"/>
      <c r="BX165" s="387"/>
      <c r="BY165" s="388"/>
      <c r="BZ165" s="386"/>
      <c r="CA165" s="387"/>
      <c r="CB165" s="388"/>
      <c r="CC165" s="386"/>
      <c r="CD165" s="387"/>
      <c r="CE165" s="388"/>
      <c r="CF165" s="386"/>
      <c r="CG165" s="387"/>
      <c r="CH165" s="388"/>
      <c r="CI165" s="386"/>
      <c r="CJ165" s="387"/>
      <c r="CK165" s="388"/>
      <c r="CL165" s="386"/>
      <c r="CM165" s="387"/>
      <c r="CN165" s="388"/>
      <c r="CO165" s="386"/>
      <c r="CP165" s="387"/>
      <c r="CQ165" s="388"/>
      <c r="CR165" s="386"/>
      <c r="CS165" s="387"/>
      <c r="CT165" s="388"/>
      <c r="CU165" s="386"/>
      <c r="CV165" s="387"/>
      <c r="CW165" s="388"/>
      <c r="CX165" s="386"/>
      <c r="CY165" s="387"/>
      <c r="CZ165" s="388"/>
    </row>
    <row r="166">
      <c r="A166" s="1"/>
      <c r="B166" s="402"/>
      <c r="C166" s="362" t="str">
        <f>'5-0 Товары'!C166</f>
        <v/>
      </c>
      <c r="D166" s="363" t="str">
        <f>'5-0 Товары'!D166</f>
        <v/>
      </c>
      <c r="E166" s="364" t="str">
        <f>'5-0 Товары'!E166</f>
        <v/>
      </c>
      <c r="F166" s="380"/>
      <c r="G166" s="380"/>
      <c r="H166" s="364" t="str">
        <f>'5-0 Товары'!F166</f>
        <v/>
      </c>
      <c r="I166" s="391"/>
      <c r="J166" s="364" t="str">
        <f>'5-0 Товары'!G166</f>
        <v/>
      </c>
      <c r="K166" s="366" t="str">
        <f>'5-0 Товары'!H166</f>
        <v/>
      </c>
      <c r="L166" s="382" t="str">
        <f t="shared" si="1"/>
        <v/>
      </c>
      <c r="M166" s="382"/>
      <c r="N166" s="380"/>
      <c r="O166" s="369" t="str">
        <f>'5-0 Товары'!I166</f>
        <v/>
      </c>
      <c r="P166" s="371" t="str">
        <f>'5-0 Товары'!N166</f>
        <v/>
      </c>
      <c r="Q166" s="197"/>
      <c r="R166" s="193"/>
      <c r="S166" s="187"/>
      <c r="T166" s="187"/>
      <c r="U166" s="187"/>
      <c r="V166" s="187"/>
      <c r="W166" s="187"/>
      <c r="X166" s="187"/>
      <c r="Y166" s="187" t="s">
        <v>96</v>
      </c>
      <c r="Z166" s="193" t="str">
        <f t="shared" si="2"/>
        <v/>
      </c>
      <c r="AA166" s="383"/>
      <c r="AB166" s="384"/>
      <c r="AC166" s="385"/>
      <c r="AD166" s="383"/>
      <c r="AE166" s="384"/>
      <c r="AF166" s="385"/>
      <c r="AG166" s="383"/>
      <c r="AH166" s="384"/>
      <c r="AI166" s="385"/>
      <c r="AJ166" s="383"/>
      <c r="AK166" s="384"/>
      <c r="AL166" s="385"/>
      <c r="AM166" s="383"/>
      <c r="AN166" s="384"/>
      <c r="AO166" s="385"/>
      <c r="AP166" s="383"/>
      <c r="AQ166" s="384"/>
      <c r="AR166" s="385"/>
      <c r="AS166" s="383"/>
      <c r="AT166" s="384"/>
      <c r="AU166" s="385"/>
      <c r="AV166" s="383"/>
      <c r="AW166" s="384"/>
      <c r="AX166" s="385"/>
      <c r="AY166" s="383"/>
      <c r="AZ166" s="384"/>
      <c r="BA166" s="385"/>
      <c r="BB166" s="386"/>
      <c r="BC166" s="387"/>
      <c r="BD166" s="388"/>
      <c r="BE166" s="386"/>
      <c r="BF166" s="387"/>
      <c r="BG166" s="388"/>
      <c r="BH166" s="386"/>
      <c r="BI166" s="387"/>
      <c r="BJ166" s="388"/>
      <c r="BK166" s="386"/>
      <c r="BL166" s="387"/>
      <c r="BM166" s="388"/>
      <c r="BN166" s="386"/>
      <c r="BO166" s="387"/>
      <c r="BP166" s="388"/>
      <c r="BQ166" s="386"/>
      <c r="BR166" s="387"/>
      <c r="BS166" s="388"/>
      <c r="BT166" s="386"/>
      <c r="BU166" s="387"/>
      <c r="BV166" s="388"/>
      <c r="BW166" s="386"/>
      <c r="BX166" s="387"/>
      <c r="BY166" s="388"/>
      <c r="BZ166" s="386"/>
      <c r="CA166" s="387"/>
      <c r="CB166" s="388"/>
      <c r="CC166" s="386"/>
      <c r="CD166" s="387"/>
      <c r="CE166" s="388"/>
      <c r="CF166" s="386"/>
      <c r="CG166" s="387"/>
      <c r="CH166" s="388"/>
      <c r="CI166" s="386"/>
      <c r="CJ166" s="387"/>
      <c r="CK166" s="388"/>
      <c r="CL166" s="386"/>
      <c r="CM166" s="387"/>
      <c r="CN166" s="388"/>
      <c r="CO166" s="386"/>
      <c r="CP166" s="387"/>
      <c r="CQ166" s="388"/>
      <c r="CR166" s="386"/>
      <c r="CS166" s="387"/>
      <c r="CT166" s="388"/>
      <c r="CU166" s="386"/>
      <c r="CV166" s="387"/>
      <c r="CW166" s="388"/>
      <c r="CX166" s="386"/>
      <c r="CY166" s="387"/>
      <c r="CZ166" s="388"/>
    </row>
    <row r="167">
      <c r="A167" s="1"/>
      <c r="B167" s="402"/>
      <c r="C167" s="362" t="str">
        <f>'5-0 Товары'!C167</f>
        <v/>
      </c>
      <c r="D167" s="363" t="str">
        <f>'5-0 Товары'!D167</f>
        <v/>
      </c>
      <c r="E167" s="364" t="str">
        <f>'5-0 Товары'!E167</f>
        <v/>
      </c>
      <c r="F167" s="380"/>
      <c r="G167" s="380"/>
      <c r="H167" s="364" t="str">
        <f>'5-0 Товары'!F167</f>
        <v/>
      </c>
      <c r="I167" s="391"/>
      <c r="J167" s="364" t="str">
        <f>'5-0 Товары'!G167</f>
        <v/>
      </c>
      <c r="K167" s="366" t="str">
        <f>'5-0 Товары'!H167</f>
        <v/>
      </c>
      <c r="L167" s="382" t="str">
        <f t="shared" si="1"/>
        <v/>
      </c>
      <c r="M167" s="382"/>
      <c r="N167" s="380"/>
      <c r="O167" s="369" t="str">
        <f>'5-0 Товары'!I167</f>
        <v/>
      </c>
      <c r="P167" s="371" t="str">
        <f>'5-0 Товары'!N167</f>
        <v/>
      </c>
      <c r="Q167" s="197"/>
      <c r="R167" s="193"/>
      <c r="S167" s="187"/>
      <c r="T167" s="187"/>
      <c r="U167" s="187"/>
      <c r="V167" s="187"/>
      <c r="W167" s="187"/>
      <c r="X167" s="187"/>
      <c r="Y167" s="187" t="s">
        <v>96</v>
      </c>
      <c r="Z167" s="193" t="str">
        <f t="shared" si="2"/>
        <v/>
      </c>
      <c r="AA167" s="383"/>
      <c r="AB167" s="384"/>
      <c r="AC167" s="385"/>
      <c r="AD167" s="383"/>
      <c r="AE167" s="384"/>
      <c r="AF167" s="385"/>
      <c r="AG167" s="383"/>
      <c r="AH167" s="384"/>
      <c r="AI167" s="385"/>
      <c r="AJ167" s="383"/>
      <c r="AK167" s="384"/>
      <c r="AL167" s="385"/>
      <c r="AM167" s="383"/>
      <c r="AN167" s="384"/>
      <c r="AO167" s="385"/>
      <c r="AP167" s="383"/>
      <c r="AQ167" s="384"/>
      <c r="AR167" s="385"/>
      <c r="AS167" s="383"/>
      <c r="AT167" s="384"/>
      <c r="AU167" s="385"/>
      <c r="AV167" s="383"/>
      <c r="AW167" s="384"/>
      <c r="AX167" s="385"/>
      <c r="AY167" s="383"/>
      <c r="AZ167" s="384"/>
      <c r="BA167" s="385"/>
      <c r="BB167" s="386"/>
      <c r="BC167" s="387"/>
      <c r="BD167" s="388"/>
      <c r="BE167" s="386"/>
      <c r="BF167" s="387"/>
      <c r="BG167" s="388"/>
      <c r="BH167" s="386"/>
      <c r="BI167" s="387"/>
      <c r="BJ167" s="388"/>
      <c r="BK167" s="386"/>
      <c r="BL167" s="387"/>
      <c r="BM167" s="388"/>
      <c r="BN167" s="386"/>
      <c r="BO167" s="387"/>
      <c r="BP167" s="388"/>
      <c r="BQ167" s="386"/>
      <c r="BR167" s="387"/>
      <c r="BS167" s="388"/>
      <c r="BT167" s="386"/>
      <c r="BU167" s="387"/>
      <c r="BV167" s="388"/>
      <c r="BW167" s="386"/>
      <c r="BX167" s="387"/>
      <c r="BY167" s="388"/>
      <c r="BZ167" s="386"/>
      <c r="CA167" s="387"/>
      <c r="CB167" s="388"/>
      <c r="CC167" s="386"/>
      <c r="CD167" s="387"/>
      <c r="CE167" s="388"/>
      <c r="CF167" s="386"/>
      <c r="CG167" s="387"/>
      <c r="CH167" s="388"/>
      <c r="CI167" s="386"/>
      <c r="CJ167" s="387"/>
      <c r="CK167" s="388"/>
      <c r="CL167" s="386"/>
      <c r="CM167" s="387"/>
      <c r="CN167" s="388"/>
      <c r="CO167" s="386"/>
      <c r="CP167" s="387"/>
      <c r="CQ167" s="388"/>
      <c r="CR167" s="386"/>
      <c r="CS167" s="387"/>
      <c r="CT167" s="388"/>
      <c r="CU167" s="386"/>
      <c r="CV167" s="387"/>
      <c r="CW167" s="388"/>
      <c r="CX167" s="386"/>
      <c r="CY167" s="387"/>
      <c r="CZ167" s="388"/>
    </row>
    <row r="168">
      <c r="A168" s="1"/>
      <c r="B168" s="402"/>
      <c r="C168" s="362" t="str">
        <f>'5-0 Товары'!C168</f>
        <v/>
      </c>
      <c r="D168" s="363" t="str">
        <f>'5-0 Товары'!D168</f>
        <v/>
      </c>
      <c r="E168" s="364" t="str">
        <f>'5-0 Товары'!E168</f>
        <v/>
      </c>
      <c r="F168" s="380"/>
      <c r="G168" s="380"/>
      <c r="H168" s="364" t="str">
        <f>'5-0 Товары'!F168</f>
        <v/>
      </c>
      <c r="I168" s="391"/>
      <c r="J168" s="364" t="str">
        <f>'5-0 Товары'!G168</f>
        <v/>
      </c>
      <c r="K168" s="366" t="str">
        <f>'5-0 Товары'!H168</f>
        <v/>
      </c>
      <c r="L168" s="382" t="str">
        <f t="shared" si="1"/>
        <v/>
      </c>
      <c r="M168" s="382"/>
      <c r="N168" s="380"/>
      <c r="O168" s="369" t="str">
        <f>'5-0 Товары'!I168</f>
        <v/>
      </c>
      <c r="P168" s="371" t="str">
        <f>'5-0 Товары'!N168</f>
        <v/>
      </c>
      <c r="Q168" s="197"/>
      <c r="R168" s="193"/>
      <c r="S168" s="187"/>
      <c r="T168" s="187"/>
      <c r="U168" s="187"/>
      <c r="V168" s="187"/>
      <c r="W168" s="187"/>
      <c r="X168" s="187"/>
      <c r="Y168" s="187" t="s">
        <v>96</v>
      </c>
      <c r="Z168" s="193" t="str">
        <f t="shared" si="2"/>
        <v/>
      </c>
      <c r="AA168" s="383"/>
      <c r="AB168" s="384"/>
      <c r="AC168" s="385"/>
      <c r="AD168" s="383"/>
      <c r="AE168" s="384"/>
      <c r="AF168" s="385"/>
      <c r="AG168" s="383"/>
      <c r="AH168" s="384"/>
      <c r="AI168" s="385"/>
      <c r="AJ168" s="383"/>
      <c r="AK168" s="384"/>
      <c r="AL168" s="385"/>
      <c r="AM168" s="383"/>
      <c r="AN168" s="384"/>
      <c r="AO168" s="385"/>
      <c r="AP168" s="383"/>
      <c r="AQ168" s="384"/>
      <c r="AR168" s="385"/>
      <c r="AS168" s="383"/>
      <c r="AT168" s="384"/>
      <c r="AU168" s="385"/>
      <c r="AV168" s="383"/>
      <c r="AW168" s="384"/>
      <c r="AX168" s="385"/>
      <c r="AY168" s="383"/>
      <c r="AZ168" s="384"/>
      <c r="BA168" s="385"/>
      <c r="BB168" s="386"/>
      <c r="BC168" s="387"/>
      <c r="BD168" s="388"/>
      <c r="BE168" s="386"/>
      <c r="BF168" s="387"/>
      <c r="BG168" s="388"/>
      <c r="BH168" s="386"/>
      <c r="BI168" s="387"/>
      <c r="BJ168" s="388"/>
      <c r="BK168" s="386"/>
      <c r="BL168" s="387"/>
      <c r="BM168" s="388"/>
      <c r="BN168" s="386"/>
      <c r="BO168" s="387"/>
      <c r="BP168" s="388"/>
      <c r="BQ168" s="386"/>
      <c r="BR168" s="387"/>
      <c r="BS168" s="388"/>
      <c r="BT168" s="386"/>
      <c r="BU168" s="387"/>
      <c r="BV168" s="388"/>
      <c r="BW168" s="386"/>
      <c r="BX168" s="387"/>
      <c r="BY168" s="388"/>
      <c r="BZ168" s="386"/>
      <c r="CA168" s="387"/>
      <c r="CB168" s="388"/>
      <c r="CC168" s="386"/>
      <c r="CD168" s="387"/>
      <c r="CE168" s="388"/>
      <c r="CF168" s="386"/>
      <c r="CG168" s="387"/>
      <c r="CH168" s="388"/>
      <c r="CI168" s="386"/>
      <c r="CJ168" s="387"/>
      <c r="CK168" s="388"/>
      <c r="CL168" s="386"/>
      <c r="CM168" s="387"/>
      <c r="CN168" s="388"/>
      <c r="CO168" s="386"/>
      <c r="CP168" s="387"/>
      <c r="CQ168" s="388"/>
      <c r="CR168" s="386"/>
      <c r="CS168" s="387"/>
      <c r="CT168" s="388"/>
      <c r="CU168" s="386"/>
      <c r="CV168" s="387"/>
      <c r="CW168" s="388"/>
      <c r="CX168" s="386"/>
      <c r="CY168" s="387"/>
      <c r="CZ168" s="388"/>
    </row>
    <row r="169">
      <c r="A169" s="1"/>
      <c r="B169" s="402"/>
      <c r="C169" s="362" t="str">
        <f>'5-0 Товары'!C169</f>
        <v/>
      </c>
      <c r="D169" s="363" t="str">
        <f>'5-0 Товары'!D169</f>
        <v/>
      </c>
      <c r="E169" s="364" t="str">
        <f>'5-0 Товары'!E169</f>
        <v/>
      </c>
      <c r="F169" s="380"/>
      <c r="G169" s="380"/>
      <c r="H169" s="364" t="str">
        <f>'5-0 Товары'!F169</f>
        <v/>
      </c>
      <c r="I169" s="391"/>
      <c r="J169" s="364" t="str">
        <f>'5-0 Товары'!G169</f>
        <v/>
      </c>
      <c r="K169" s="366" t="str">
        <f>'5-0 Товары'!H169</f>
        <v/>
      </c>
      <c r="L169" s="382" t="str">
        <f t="shared" si="1"/>
        <v/>
      </c>
      <c r="M169" s="382"/>
      <c r="N169" s="380"/>
      <c r="O169" s="369" t="str">
        <f>'5-0 Товары'!I169</f>
        <v/>
      </c>
      <c r="P169" s="371" t="str">
        <f>'5-0 Товары'!N169</f>
        <v/>
      </c>
      <c r="Q169" s="197"/>
      <c r="R169" s="193"/>
      <c r="S169" s="187"/>
      <c r="T169" s="187"/>
      <c r="U169" s="187"/>
      <c r="V169" s="187"/>
      <c r="W169" s="187"/>
      <c r="X169" s="187"/>
      <c r="Y169" s="187" t="s">
        <v>96</v>
      </c>
      <c r="Z169" s="193" t="str">
        <f t="shared" si="2"/>
        <v/>
      </c>
      <c r="AA169" s="383"/>
      <c r="AB169" s="384"/>
      <c r="AC169" s="385"/>
      <c r="AD169" s="383"/>
      <c r="AE169" s="384"/>
      <c r="AF169" s="385"/>
      <c r="AG169" s="383"/>
      <c r="AH169" s="384"/>
      <c r="AI169" s="385"/>
      <c r="AJ169" s="383"/>
      <c r="AK169" s="384"/>
      <c r="AL169" s="385"/>
      <c r="AM169" s="383"/>
      <c r="AN169" s="384"/>
      <c r="AO169" s="385"/>
      <c r="AP169" s="383"/>
      <c r="AQ169" s="384"/>
      <c r="AR169" s="385"/>
      <c r="AS169" s="383"/>
      <c r="AT169" s="384"/>
      <c r="AU169" s="385"/>
      <c r="AV169" s="383"/>
      <c r="AW169" s="384"/>
      <c r="AX169" s="385"/>
      <c r="AY169" s="383"/>
      <c r="AZ169" s="384"/>
      <c r="BA169" s="385"/>
      <c r="BB169" s="386"/>
      <c r="BC169" s="387"/>
      <c r="BD169" s="388"/>
      <c r="BE169" s="386"/>
      <c r="BF169" s="387"/>
      <c r="BG169" s="388"/>
      <c r="BH169" s="386"/>
      <c r="BI169" s="387"/>
      <c r="BJ169" s="388"/>
      <c r="BK169" s="386"/>
      <c r="BL169" s="387"/>
      <c r="BM169" s="388"/>
      <c r="BN169" s="386"/>
      <c r="BO169" s="387"/>
      <c r="BP169" s="388"/>
      <c r="BQ169" s="386"/>
      <c r="BR169" s="387"/>
      <c r="BS169" s="388"/>
      <c r="BT169" s="386"/>
      <c r="BU169" s="387"/>
      <c r="BV169" s="388"/>
      <c r="BW169" s="386"/>
      <c r="BX169" s="387"/>
      <c r="BY169" s="388"/>
      <c r="BZ169" s="386"/>
      <c r="CA169" s="387"/>
      <c r="CB169" s="388"/>
      <c r="CC169" s="386"/>
      <c r="CD169" s="387"/>
      <c r="CE169" s="388"/>
      <c r="CF169" s="386"/>
      <c r="CG169" s="387"/>
      <c r="CH169" s="388"/>
      <c r="CI169" s="386"/>
      <c r="CJ169" s="387"/>
      <c r="CK169" s="388"/>
      <c r="CL169" s="386"/>
      <c r="CM169" s="387"/>
      <c r="CN169" s="388"/>
      <c r="CO169" s="386"/>
      <c r="CP169" s="387"/>
      <c r="CQ169" s="388"/>
      <c r="CR169" s="386"/>
      <c r="CS169" s="387"/>
      <c r="CT169" s="388"/>
      <c r="CU169" s="386"/>
      <c r="CV169" s="387"/>
      <c r="CW169" s="388"/>
      <c r="CX169" s="386"/>
      <c r="CY169" s="387"/>
      <c r="CZ169" s="388"/>
    </row>
    <row r="170">
      <c r="A170" s="1"/>
      <c r="B170" s="402"/>
      <c r="C170" s="362" t="str">
        <f>'5-0 Товары'!C170</f>
        <v/>
      </c>
      <c r="D170" s="363" t="str">
        <f>'5-0 Товары'!D170</f>
        <v/>
      </c>
      <c r="E170" s="364" t="str">
        <f>'5-0 Товары'!E170</f>
        <v/>
      </c>
      <c r="F170" s="380"/>
      <c r="G170" s="380"/>
      <c r="H170" s="364" t="str">
        <f>'5-0 Товары'!F170</f>
        <v/>
      </c>
      <c r="I170" s="391"/>
      <c r="J170" s="364" t="str">
        <f>'5-0 Товары'!G170</f>
        <v/>
      </c>
      <c r="K170" s="366" t="str">
        <f>'5-0 Товары'!H170</f>
        <v/>
      </c>
      <c r="L170" s="382" t="str">
        <f t="shared" si="1"/>
        <v/>
      </c>
      <c r="M170" s="382"/>
      <c r="N170" s="380"/>
      <c r="O170" s="369" t="str">
        <f>'5-0 Товары'!I170</f>
        <v/>
      </c>
      <c r="P170" s="371" t="str">
        <f>'5-0 Товары'!N170</f>
        <v/>
      </c>
      <c r="Q170" s="197"/>
      <c r="R170" s="193"/>
      <c r="S170" s="187"/>
      <c r="T170" s="187"/>
      <c r="U170" s="187"/>
      <c r="V170" s="187"/>
      <c r="W170" s="187"/>
      <c r="X170" s="187"/>
      <c r="Y170" s="187" t="s">
        <v>96</v>
      </c>
      <c r="Z170" s="193" t="str">
        <f t="shared" si="2"/>
        <v/>
      </c>
      <c r="AA170" s="383"/>
      <c r="AB170" s="384"/>
      <c r="AC170" s="385"/>
      <c r="AD170" s="383"/>
      <c r="AE170" s="384"/>
      <c r="AF170" s="385"/>
      <c r="AG170" s="383"/>
      <c r="AH170" s="384"/>
      <c r="AI170" s="385"/>
      <c r="AJ170" s="383"/>
      <c r="AK170" s="384"/>
      <c r="AL170" s="385"/>
      <c r="AM170" s="383"/>
      <c r="AN170" s="384"/>
      <c r="AO170" s="385"/>
      <c r="AP170" s="383"/>
      <c r="AQ170" s="384"/>
      <c r="AR170" s="385"/>
      <c r="AS170" s="383"/>
      <c r="AT170" s="384"/>
      <c r="AU170" s="385"/>
      <c r="AV170" s="383"/>
      <c r="AW170" s="384"/>
      <c r="AX170" s="385"/>
      <c r="AY170" s="383"/>
      <c r="AZ170" s="384"/>
      <c r="BA170" s="385"/>
      <c r="BB170" s="386"/>
      <c r="BC170" s="387"/>
      <c r="BD170" s="388"/>
      <c r="BE170" s="386"/>
      <c r="BF170" s="387"/>
      <c r="BG170" s="388"/>
      <c r="BH170" s="386"/>
      <c r="BI170" s="387"/>
      <c r="BJ170" s="388"/>
      <c r="BK170" s="386"/>
      <c r="BL170" s="387"/>
      <c r="BM170" s="388"/>
      <c r="BN170" s="386"/>
      <c r="BO170" s="387"/>
      <c r="BP170" s="388"/>
      <c r="BQ170" s="386"/>
      <c r="BR170" s="387"/>
      <c r="BS170" s="388"/>
      <c r="BT170" s="386"/>
      <c r="BU170" s="387"/>
      <c r="BV170" s="388"/>
      <c r="BW170" s="386"/>
      <c r="BX170" s="387"/>
      <c r="BY170" s="388"/>
      <c r="BZ170" s="386"/>
      <c r="CA170" s="387"/>
      <c r="CB170" s="388"/>
      <c r="CC170" s="386"/>
      <c r="CD170" s="387"/>
      <c r="CE170" s="388"/>
      <c r="CF170" s="386"/>
      <c r="CG170" s="387"/>
      <c r="CH170" s="388"/>
      <c r="CI170" s="386"/>
      <c r="CJ170" s="387"/>
      <c r="CK170" s="388"/>
      <c r="CL170" s="386"/>
      <c r="CM170" s="387"/>
      <c r="CN170" s="388"/>
      <c r="CO170" s="386"/>
      <c r="CP170" s="387"/>
      <c r="CQ170" s="388"/>
      <c r="CR170" s="386"/>
      <c r="CS170" s="387"/>
      <c r="CT170" s="388"/>
      <c r="CU170" s="386"/>
      <c r="CV170" s="387"/>
      <c r="CW170" s="388"/>
      <c r="CX170" s="386"/>
      <c r="CY170" s="387"/>
      <c r="CZ170" s="388"/>
    </row>
    <row r="171">
      <c r="A171" s="1"/>
      <c r="B171" s="402"/>
      <c r="C171" s="362" t="str">
        <f>'5-0 Товары'!C171</f>
        <v/>
      </c>
      <c r="D171" s="363" t="str">
        <f>'5-0 Товары'!D171</f>
        <v/>
      </c>
      <c r="E171" s="364" t="str">
        <f>'5-0 Товары'!E171</f>
        <v/>
      </c>
      <c r="F171" s="380"/>
      <c r="G171" s="380"/>
      <c r="H171" s="364" t="str">
        <f>'5-0 Товары'!F171</f>
        <v/>
      </c>
      <c r="I171" s="391"/>
      <c r="J171" s="364" t="str">
        <f>'5-0 Товары'!G171</f>
        <v/>
      </c>
      <c r="K171" s="366" t="str">
        <f>'5-0 Товары'!H171</f>
        <v/>
      </c>
      <c r="L171" s="382" t="str">
        <f t="shared" si="1"/>
        <v/>
      </c>
      <c r="M171" s="382"/>
      <c r="N171" s="380"/>
      <c r="O171" s="369" t="str">
        <f>'5-0 Товары'!I171</f>
        <v/>
      </c>
      <c r="P171" s="371" t="str">
        <f>'5-0 Товары'!N171</f>
        <v/>
      </c>
      <c r="Q171" s="197"/>
      <c r="R171" s="193"/>
      <c r="S171" s="187"/>
      <c r="T171" s="187"/>
      <c r="U171" s="187"/>
      <c r="V171" s="187"/>
      <c r="W171" s="187"/>
      <c r="X171" s="187"/>
      <c r="Y171" s="187" t="s">
        <v>96</v>
      </c>
      <c r="Z171" s="193" t="str">
        <f t="shared" si="2"/>
        <v/>
      </c>
      <c r="AA171" s="383"/>
      <c r="AB171" s="384"/>
      <c r="AC171" s="385"/>
      <c r="AD171" s="383"/>
      <c r="AE171" s="384"/>
      <c r="AF171" s="385"/>
      <c r="AG171" s="383"/>
      <c r="AH171" s="384"/>
      <c r="AI171" s="385"/>
      <c r="AJ171" s="383"/>
      <c r="AK171" s="384"/>
      <c r="AL171" s="385"/>
      <c r="AM171" s="383"/>
      <c r="AN171" s="384"/>
      <c r="AO171" s="385"/>
      <c r="AP171" s="383"/>
      <c r="AQ171" s="384"/>
      <c r="AR171" s="385"/>
      <c r="AS171" s="383"/>
      <c r="AT171" s="384"/>
      <c r="AU171" s="385"/>
      <c r="AV171" s="383"/>
      <c r="AW171" s="384"/>
      <c r="AX171" s="385"/>
      <c r="AY171" s="383"/>
      <c r="AZ171" s="384"/>
      <c r="BA171" s="385"/>
      <c r="BB171" s="386"/>
      <c r="BC171" s="387"/>
      <c r="BD171" s="388"/>
      <c r="BE171" s="386"/>
      <c r="BF171" s="387"/>
      <c r="BG171" s="388"/>
      <c r="BH171" s="386"/>
      <c r="BI171" s="387"/>
      <c r="BJ171" s="388"/>
      <c r="BK171" s="386"/>
      <c r="BL171" s="387"/>
      <c r="BM171" s="388"/>
      <c r="BN171" s="386"/>
      <c r="BO171" s="387"/>
      <c r="BP171" s="388"/>
      <c r="BQ171" s="386"/>
      <c r="BR171" s="387"/>
      <c r="BS171" s="388"/>
      <c r="BT171" s="386"/>
      <c r="BU171" s="387"/>
      <c r="BV171" s="388"/>
      <c r="BW171" s="386"/>
      <c r="BX171" s="387"/>
      <c r="BY171" s="388"/>
      <c r="BZ171" s="386"/>
      <c r="CA171" s="387"/>
      <c r="CB171" s="388"/>
      <c r="CC171" s="386"/>
      <c r="CD171" s="387"/>
      <c r="CE171" s="388"/>
      <c r="CF171" s="386"/>
      <c r="CG171" s="387"/>
      <c r="CH171" s="388"/>
      <c r="CI171" s="386"/>
      <c r="CJ171" s="387"/>
      <c r="CK171" s="388"/>
      <c r="CL171" s="386"/>
      <c r="CM171" s="387"/>
      <c r="CN171" s="388"/>
      <c r="CO171" s="386"/>
      <c r="CP171" s="387"/>
      <c r="CQ171" s="388"/>
      <c r="CR171" s="386"/>
      <c r="CS171" s="387"/>
      <c r="CT171" s="388"/>
      <c r="CU171" s="386"/>
      <c r="CV171" s="387"/>
      <c r="CW171" s="388"/>
      <c r="CX171" s="386"/>
      <c r="CY171" s="387"/>
      <c r="CZ171" s="388"/>
    </row>
    <row r="172">
      <c r="A172" s="1"/>
      <c r="B172" s="402"/>
      <c r="C172" s="362" t="str">
        <f>'5-0 Товары'!C172</f>
        <v/>
      </c>
      <c r="D172" s="363" t="str">
        <f>'5-0 Товары'!D172</f>
        <v/>
      </c>
      <c r="E172" s="364" t="str">
        <f>'5-0 Товары'!E172</f>
        <v/>
      </c>
      <c r="F172" s="380"/>
      <c r="G172" s="380"/>
      <c r="H172" s="364" t="str">
        <f>'5-0 Товары'!F172</f>
        <v/>
      </c>
      <c r="I172" s="391"/>
      <c r="J172" s="364" t="str">
        <f>'5-0 Товары'!G172</f>
        <v/>
      </c>
      <c r="K172" s="366" t="str">
        <f>'5-0 Товары'!H172</f>
        <v/>
      </c>
      <c r="L172" s="382" t="str">
        <f t="shared" si="1"/>
        <v/>
      </c>
      <c r="M172" s="382"/>
      <c r="N172" s="380"/>
      <c r="O172" s="369" t="str">
        <f>'5-0 Товары'!I172</f>
        <v/>
      </c>
      <c r="P172" s="371" t="str">
        <f>'5-0 Товары'!N172</f>
        <v/>
      </c>
      <c r="Q172" s="197"/>
      <c r="R172" s="193"/>
      <c r="S172" s="187"/>
      <c r="T172" s="187"/>
      <c r="U172" s="187"/>
      <c r="V172" s="187"/>
      <c r="W172" s="187"/>
      <c r="X172" s="187"/>
      <c r="Y172" s="187" t="s">
        <v>96</v>
      </c>
      <c r="Z172" s="193" t="str">
        <f t="shared" si="2"/>
        <v/>
      </c>
      <c r="AA172" s="383"/>
      <c r="AB172" s="384"/>
      <c r="AC172" s="385"/>
      <c r="AD172" s="383"/>
      <c r="AE172" s="384"/>
      <c r="AF172" s="385"/>
      <c r="AG172" s="383"/>
      <c r="AH172" s="384"/>
      <c r="AI172" s="385"/>
      <c r="AJ172" s="383"/>
      <c r="AK172" s="384"/>
      <c r="AL172" s="385"/>
      <c r="AM172" s="383"/>
      <c r="AN172" s="384"/>
      <c r="AO172" s="385"/>
      <c r="AP172" s="383"/>
      <c r="AQ172" s="384"/>
      <c r="AR172" s="385"/>
      <c r="AS172" s="383"/>
      <c r="AT172" s="384"/>
      <c r="AU172" s="385"/>
      <c r="AV172" s="383"/>
      <c r="AW172" s="384"/>
      <c r="AX172" s="385"/>
      <c r="AY172" s="383"/>
      <c r="AZ172" s="384"/>
      <c r="BA172" s="385"/>
      <c r="BB172" s="386"/>
      <c r="BC172" s="387"/>
      <c r="BD172" s="388"/>
      <c r="BE172" s="386"/>
      <c r="BF172" s="387"/>
      <c r="BG172" s="388"/>
      <c r="BH172" s="386"/>
      <c r="BI172" s="387"/>
      <c r="BJ172" s="388"/>
      <c r="BK172" s="386"/>
      <c r="BL172" s="387"/>
      <c r="BM172" s="388"/>
      <c r="BN172" s="386"/>
      <c r="BO172" s="387"/>
      <c r="BP172" s="388"/>
      <c r="BQ172" s="386"/>
      <c r="BR172" s="387"/>
      <c r="BS172" s="388"/>
      <c r="BT172" s="386"/>
      <c r="BU172" s="387"/>
      <c r="BV172" s="388"/>
      <c r="BW172" s="386"/>
      <c r="BX172" s="387"/>
      <c r="BY172" s="388"/>
      <c r="BZ172" s="386"/>
      <c r="CA172" s="387"/>
      <c r="CB172" s="388"/>
      <c r="CC172" s="386"/>
      <c r="CD172" s="387"/>
      <c r="CE172" s="388"/>
      <c r="CF172" s="386"/>
      <c r="CG172" s="387"/>
      <c r="CH172" s="388"/>
      <c r="CI172" s="386"/>
      <c r="CJ172" s="387"/>
      <c r="CK172" s="388"/>
      <c r="CL172" s="386"/>
      <c r="CM172" s="387"/>
      <c r="CN172" s="388"/>
      <c r="CO172" s="386"/>
      <c r="CP172" s="387"/>
      <c r="CQ172" s="388"/>
      <c r="CR172" s="386"/>
      <c r="CS172" s="387"/>
      <c r="CT172" s="388"/>
      <c r="CU172" s="386"/>
      <c r="CV172" s="387"/>
      <c r="CW172" s="388"/>
      <c r="CX172" s="386"/>
      <c r="CY172" s="387"/>
      <c r="CZ172" s="388"/>
    </row>
    <row r="173">
      <c r="A173" s="1"/>
      <c r="B173" s="402"/>
      <c r="C173" s="362" t="str">
        <f>'5-0 Товары'!C173</f>
        <v/>
      </c>
      <c r="D173" s="363" t="str">
        <f>'5-0 Товары'!D173</f>
        <v/>
      </c>
      <c r="E173" s="364" t="str">
        <f>'5-0 Товары'!E173</f>
        <v/>
      </c>
      <c r="F173" s="380"/>
      <c r="G173" s="380"/>
      <c r="H173" s="364" t="str">
        <f>'5-0 Товары'!F173</f>
        <v/>
      </c>
      <c r="I173" s="391"/>
      <c r="J173" s="364" t="str">
        <f>'5-0 Товары'!G173</f>
        <v/>
      </c>
      <c r="K173" s="366" t="str">
        <f>'5-0 Товары'!H173</f>
        <v/>
      </c>
      <c r="L173" s="382" t="str">
        <f t="shared" si="1"/>
        <v/>
      </c>
      <c r="M173" s="382"/>
      <c r="N173" s="380"/>
      <c r="O173" s="369" t="str">
        <f>'5-0 Товары'!I173</f>
        <v/>
      </c>
      <c r="P173" s="371" t="str">
        <f>'5-0 Товары'!N173</f>
        <v/>
      </c>
      <c r="Q173" s="197"/>
      <c r="R173" s="193"/>
      <c r="S173" s="187"/>
      <c r="T173" s="187"/>
      <c r="U173" s="187"/>
      <c r="V173" s="187"/>
      <c r="W173" s="187"/>
      <c r="X173" s="187"/>
      <c r="Y173" s="187" t="s">
        <v>96</v>
      </c>
      <c r="Z173" s="193" t="str">
        <f t="shared" si="2"/>
        <v/>
      </c>
      <c r="AA173" s="383"/>
      <c r="AB173" s="384"/>
      <c r="AC173" s="385"/>
      <c r="AD173" s="383"/>
      <c r="AE173" s="384"/>
      <c r="AF173" s="385"/>
      <c r="AG173" s="383"/>
      <c r="AH173" s="384"/>
      <c r="AI173" s="385"/>
      <c r="AJ173" s="383"/>
      <c r="AK173" s="384"/>
      <c r="AL173" s="385"/>
      <c r="AM173" s="383"/>
      <c r="AN173" s="384"/>
      <c r="AO173" s="385"/>
      <c r="AP173" s="383"/>
      <c r="AQ173" s="384"/>
      <c r="AR173" s="385"/>
      <c r="AS173" s="383"/>
      <c r="AT173" s="384"/>
      <c r="AU173" s="385"/>
      <c r="AV173" s="383"/>
      <c r="AW173" s="384"/>
      <c r="AX173" s="385"/>
      <c r="AY173" s="383"/>
      <c r="AZ173" s="384"/>
      <c r="BA173" s="385"/>
      <c r="BB173" s="386"/>
      <c r="BC173" s="387"/>
      <c r="BD173" s="388"/>
      <c r="BE173" s="386"/>
      <c r="BF173" s="387"/>
      <c r="BG173" s="388"/>
      <c r="BH173" s="386"/>
      <c r="BI173" s="387"/>
      <c r="BJ173" s="388"/>
      <c r="BK173" s="386"/>
      <c r="BL173" s="387"/>
      <c r="BM173" s="388"/>
      <c r="BN173" s="386"/>
      <c r="BO173" s="387"/>
      <c r="BP173" s="388"/>
      <c r="BQ173" s="386"/>
      <c r="BR173" s="387"/>
      <c r="BS173" s="388"/>
      <c r="BT173" s="386"/>
      <c r="BU173" s="387"/>
      <c r="BV173" s="388"/>
      <c r="BW173" s="386"/>
      <c r="BX173" s="387"/>
      <c r="BY173" s="388"/>
      <c r="BZ173" s="386"/>
      <c r="CA173" s="387"/>
      <c r="CB173" s="388"/>
      <c r="CC173" s="386"/>
      <c r="CD173" s="387"/>
      <c r="CE173" s="388"/>
      <c r="CF173" s="386"/>
      <c r="CG173" s="387"/>
      <c r="CH173" s="388"/>
      <c r="CI173" s="386"/>
      <c r="CJ173" s="387"/>
      <c r="CK173" s="388"/>
      <c r="CL173" s="386"/>
      <c r="CM173" s="387"/>
      <c r="CN173" s="388"/>
      <c r="CO173" s="386"/>
      <c r="CP173" s="387"/>
      <c r="CQ173" s="388"/>
      <c r="CR173" s="386"/>
      <c r="CS173" s="387"/>
      <c r="CT173" s="388"/>
      <c r="CU173" s="386"/>
      <c r="CV173" s="387"/>
      <c r="CW173" s="388"/>
      <c r="CX173" s="386"/>
      <c r="CY173" s="387"/>
      <c r="CZ173" s="388"/>
    </row>
    <row r="174">
      <c r="A174" s="1"/>
      <c r="B174" s="402"/>
      <c r="C174" s="362" t="str">
        <f>'5-0 Товары'!C174</f>
        <v/>
      </c>
      <c r="D174" s="363" t="str">
        <f>'5-0 Товары'!D174</f>
        <v/>
      </c>
      <c r="E174" s="364" t="str">
        <f>'5-0 Товары'!E174</f>
        <v/>
      </c>
      <c r="F174" s="380"/>
      <c r="G174" s="380"/>
      <c r="H174" s="364" t="str">
        <f>'5-0 Товары'!F174</f>
        <v/>
      </c>
      <c r="I174" s="391"/>
      <c r="J174" s="364" t="str">
        <f>'5-0 Товары'!G174</f>
        <v/>
      </c>
      <c r="K174" s="366" t="str">
        <f>'5-0 Товары'!H174</f>
        <v/>
      </c>
      <c r="L174" s="382" t="str">
        <f t="shared" si="1"/>
        <v/>
      </c>
      <c r="M174" s="382"/>
      <c r="N174" s="380"/>
      <c r="O174" s="369" t="str">
        <f>'5-0 Товары'!I174</f>
        <v/>
      </c>
      <c r="P174" s="371" t="str">
        <f>'5-0 Товары'!N174</f>
        <v/>
      </c>
      <c r="Q174" s="197"/>
      <c r="R174" s="193"/>
      <c r="S174" s="187"/>
      <c r="T174" s="187"/>
      <c r="U174" s="187"/>
      <c r="V174" s="187"/>
      <c r="W174" s="187"/>
      <c r="X174" s="187"/>
      <c r="Y174" s="187" t="s">
        <v>96</v>
      </c>
      <c r="Z174" s="193" t="str">
        <f t="shared" si="2"/>
        <v/>
      </c>
      <c r="AA174" s="383"/>
      <c r="AB174" s="384"/>
      <c r="AC174" s="385"/>
      <c r="AD174" s="383"/>
      <c r="AE174" s="384"/>
      <c r="AF174" s="385"/>
      <c r="AG174" s="383"/>
      <c r="AH174" s="384"/>
      <c r="AI174" s="385"/>
      <c r="AJ174" s="383"/>
      <c r="AK174" s="384"/>
      <c r="AL174" s="385"/>
      <c r="AM174" s="383"/>
      <c r="AN174" s="384"/>
      <c r="AO174" s="385"/>
      <c r="AP174" s="383"/>
      <c r="AQ174" s="384"/>
      <c r="AR174" s="385"/>
      <c r="AS174" s="383"/>
      <c r="AT174" s="384"/>
      <c r="AU174" s="385"/>
      <c r="AV174" s="383"/>
      <c r="AW174" s="384"/>
      <c r="AX174" s="385"/>
      <c r="AY174" s="383"/>
      <c r="AZ174" s="384"/>
      <c r="BA174" s="385"/>
      <c r="BB174" s="386"/>
      <c r="BC174" s="387"/>
      <c r="BD174" s="388"/>
      <c r="BE174" s="386"/>
      <c r="BF174" s="387"/>
      <c r="BG174" s="388"/>
      <c r="BH174" s="386"/>
      <c r="BI174" s="387"/>
      <c r="BJ174" s="388"/>
      <c r="BK174" s="386"/>
      <c r="BL174" s="387"/>
      <c r="BM174" s="388"/>
      <c r="BN174" s="386"/>
      <c r="BO174" s="387"/>
      <c r="BP174" s="388"/>
      <c r="BQ174" s="386"/>
      <c r="BR174" s="387"/>
      <c r="BS174" s="388"/>
      <c r="BT174" s="386"/>
      <c r="BU174" s="387"/>
      <c r="BV174" s="388"/>
      <c r="BW174" s="386"/>
      <c r="BX174" s="387"/>
      <c r="BY174" s="388"/>
      <c r="BZ174" s="386"/>
      <c r="CA174" s="387"/>
      <c r="CB174" s="388"/>
      <c r="CC174" s="386"/>
      <c r="CD174" s="387"/>
      <c r="CE174" s="388"/>
      <c r="CF174" s="386"/>
      <c r="CG174" s="387"/>
      <c r="CH174" s="388"/>
      <c r="CI174" s="386"/>
      <c r="CJ174" s="387"/>
      <c r="CK174" s="388"/>
      <c r="CL174" s="386"/>
      <c r="CM174" s="387"/>
      <c r="CN174" s="388"/>
      <c r="CO174" s="386"/>
      <c r="CP174" s="387"/>
      <c r="CQ174" s="388"/>
      <c r="CR174" s="386"/>
      <c r="CS174" s="387"/>
      <c r="CT174" s="388"/>
      <c r="CU174" s="386"/>
      <c r="CV174" s="387"/>
      <c r="CW174" s="388"/>
      <c r="CX174" s="386"/>
      <c r="CY174" s="387"/>
      <c r="CZ174" s="388"/>
    </row>
    <row r="175">
      <c r="A175" s="1"/>
      <c r="B175" s="402"/>
      <c r="C175" s="362" t="str">
        <f>'5-0 Товары'!C175</f>
        <v/>
      </c>
      <c r="D175" s="363" t="str">
        <f>'5-0 Товары'!D175</f>
        <v/>
      </c>
      <c r="E175" s="364" t="str">
        <f>'5-0 Товары'!E175</f>
        <v/>
      </c>
      <c r="F175" s="380"/>
      <c r="G175" s="380"/>
      <c r="H175" s="364" t="str">
        <f>'5-0 Товары'!F175</f>
        <v/>
      </c>
      <c r="I175" s="391"/>
      <c r="J175" s="364" t="str">
        <f>'5-0 Товары'!G175</f>
        <v/>
      </c>
      <c r="K175" s="366" t="str">
        <f>'5-0 Товары'!H175</f>
        <v/>
      </c>
      <c r="L175" s="382" t="str">
        <f t="shared" si="1"/>
        <v/>
      </c>
      <c r="M175" s="382"/>
      <c r="N175" s="380"/>
      <c r="O175" s="369" t="str">
        <f>'5-0 Товары'!I175</f>
        <v/>
      </c>
      <c r="P175" s="371" t="str">
        <f>'5-0 Товары'!N175</f>
        <v/>
      </c>
      <c r="Q175" s="197"/>
      <c r="R175" s="193"/>
      <c r="S175" s="187"/>
      <c r="T175" s="187"/>
      <c r="U175" s="187"/>
      <c r="V175" s="187"/>
      <c r="W175" s="187"/>
      <c r="X175" s="187"/>
      <c r="Y175" s="187" t="s">
        <v>96</v>
      </c>
      <c r="Z175" s="193" t="str">
        <f t="shared" si="2"/>
        <v/>
      </c>
      <c r="AA175" s="383"/>
      <c r="AB175" s="384"/>
      <c r="AC175" s="385"/>
      <c r="AD175" s="383"/>
      <c r="AE175" s="384"/>
      <c r="AF175" s="385"/>
      <c r="AG175" s="383"/>
      <c r="AH175" s="384"/>
      <c r="AI175" s="385"/>
      <c r="AJ175" s="383"/>
      <c r="AK175" s="384"/>
      <c r="AL175" s="385"/>
      <c r="AM175" s="383"/>
      <c r="AN175" s="384"/>
      <c r="AO175" s="385"/>
      <c r="AP175" s="383"/>
      <c r="AQ175" s="384"/>
      <c r="AR175" s="385"/>
      <c r="AS175" s="383"/>
      <c r="AT175" s="384"/>
      <c r="AU175" s="385"/>
      <c r="AV175" s="383"/>
      <c r="AW175" s="384"/>
      <c r="AX175" s="385"/>
      <c r="AY175" s="383"/>
      <c r="AZ175" s="384"/>
      <c r="BA175" s="385"/>
      <c r="BB175" s="386"/>
      <c r="BC175" s="387"/>
      <c r="BD175" s="388"/>
      <c r="BE175" s="386"/>
      <c r="BF175" s="387"/>
      <c r="BG175" s="388"/>
      <c r="BH175" s="386"/>
      <c r="BI175" s="387"/>
      <c r="BJ175" s="388"/>
      <c r="BK175" s="386"/>
      <c r="BL175" s="387"/>
      <c r="BM175" s="388"/>
      <c r="BN175" s="386"/>
      <c r="BO175" s="387"/>
      <c r="BP175" s="388"/>
      <c r="BQ175" s="386"/>
      <c r="BR175" s="387"/>
      <c r="BS175" s="388"/>
      <c r="BT175" s="386"/>
      <c r="BU175" s="387"/>
      <c r="BV175" s="388"/>
      <c r="BW175" s="386"/>
      <c r="BX175" s="387"/>
      <c r="BY175" s="388"/>
      <c r="BZ175" s="386"/>
      <c r="CA175" s="387"/>
      <c r="CB175" s="388"/>
      <c r="CC175" s="386"/>
      <c r="CD175" s="387"/>
      <c r="CE175" s="388"/>
      <c r="CF175" s="386"/>
      <c r="CG175" s="387"/>
      <c r="CH175" s="388"/>
      <c r="CI175" s="386"/>
      <c r="CJ175" s="387"/>
      <c r="CK175" s="388"/>
      <c r="CL175" s="386"/>
      <c r="CM175" s="387"/>
      <c r="CN175" s="388"/>
      <c r="CO175" s="386"/>
      <c r="CP175" s="387"/>
      <c r="CQ175" s="388"/>
      <c r="CR175" s="386"/>
      <c r="CS175" s="387"/>
      <c r="CT175" s="388"/>
      <c r="CU175" s="386"/>
      <c r="CV175" s="387"/>
      <c r="CW175" s="388"/>
      <c r="CX175" s="386"/>
      <c r="CY175" s="387"/>
      <c r="CZ175" s="388"/>
    </row>
    <row r="176">
      <c r="A176" s="1"/>
      <c r="B176" s="402"/>
      <c r="C176" s="362" t="str">
        <f>'5-0 Товары'!C176</f>
        <v/>
      </c>
      <c r="D176" s="363" t="str">
        <f>'5-0 Товары'!D176</f>
        <v/>
      </c>
      <c r="E176" s="364" t="str">
        <f>'5-0 Товары'!E176</f>
        <v/>
      </c>
      <c r="F176" s="380"/>
      <c r="G176" s="380"/>
      <c r="H176" s="364" t="str">
        <f>'5-0 Товары'!F176</f>
        <v/>
      </c>
      <c r="I176" s="391"/>
      <c r="J176" s="364" t="str">
        <f>'5-0 Товары'!G176</f>
        <v/>
      </c>
      <c r="K176" s="366" t="str">
        <f>'5-0 Товары'!H176</f>
        <v/>
      </c>
      <c r="L176" s="382" t="str">
        <f t="shared" si="1"/>
        <v/>
      </c>
      <c r="M176" s="382"/>
      <c r="N176" s="380"/>
      <c r="O176" s="369" t="str">
        <f>'5-0 Товары'!I176</f>
        <v/>
      </c>
      <c r="P176" s="371" t="str">
        <f>'5-0 Товары'!N176</f>
        <v/>
      </c>
      <c r="Q176" s="197"/>
      <c r="R176" s="193"/>
      <c r="S176" s="187"/>
      <c r="T176" s="187"/>
      <c r="U176" s="187"/>
      <c r="V176" s="187"/>
      <c r="W176" s="187"/>
      <c r="X176" s="187"/>
      <c r="Y176" s="187" t="s">
        <v>96</v>
      </c>
      <c r="Z176" s="193" t="str">
        <f t="shared" si="2"/>
        <v/>
      </c>
      <c r="AA176" s="383"/>
      <c r="AB176" s="384"/>
      <c r="AC176" s="385"/>
      <c r="AD176" s="383"/>
      <c r="AE176" s="384"/>
      <c r="AF176" s="385"/>
      <c r="AG176" s="383"/>
      <c r="AH176" s="384"/>
      <c r="AI176" s="385"/>
      <c r="AJ176" s="383"/>
      <c r="AK176" s="384"/>
      <c r="AL176" s="385"/>
      <c r="AM176" s="383"/>
      <c r="AN176" s="384"/>
      <c r="AO176" s="385"/>
      <c r="AP176" s="383"/>
      <c r="AQ176" s="384"/>
      <c r="AR176" s="385"/>
      <c r="AS176" s="383"/>
      <c r="AT176" s="384"/>
      <c r="AU176" s="385"/>
      <c r="AV176" s="383"/>
      <c r="AW176" s="384"/>
      <c r="AX176" s="385"/>
      <c r="AY176" s="383"/>
      <c r="AZ176" s="384"/>
      <c r="BA176" s="385"/>
      <c r="BB176" s="386"/>
      <c r="BC176" s="387"/>
      <c r="BD176" s="388"/>
      <c r="BE176" s="386"/>
      <c r="BF176" s="387"/>
      <c r="BG176" s="388"/>
      <c r="BH176" s="386"/>
      <c r="BI176" s="387"/>
      <c r="BJ176" s="388"/>
      <c r="BK176" s="386"/>
      <c r="BL176" s="387"/>
      <c r="BM176" s="388"/>
      <c r="BN176" s="386"/>
      <c r="BO176" s="387"/>
      <c r="BP176" s="388"/>
      <c r="BQ176" s="386"/>
      <c r="BR176" s="387"/>
      <c r="BS176" s="388"/>
      <c r="BT176" s="386"/>
      <c r="BU176" s="387"/>
      <c r="BV176" s="388"/>
      <c r="BW176" s="386"/>
      <c r="BX176" s="387"/>
      <c r="BY176" s="388"/>
      <c r="BZ176" s="386"/>
      <c r="CA176" s="387"/>
      <c r="CB176" s="388"/>
      <c r="CC176" s="386"/>
      <c r="CD176" s="387"/>
      <c r="CE176" s="388"/>
      <c r="CF176" s="386"/>
      <c r="CG176" s="387"/>
      <c r="CH176" s="388"/>
      <c r="CI176" s="386"/>
      <c r="CJ176" s="387"/>
      <c r="CK176" s="388"/>
      <c r="CL176" s="386"/>
      <c r="CM176" s="387"/>
      <c r="CN176" s="388"/>
      <c r="CO176" s="386"/>
      <c r="CP176" s="387"/>
      <c r="CQ176" s="388"/>
      <c r="CR176" s="386"/>
      <c r="CS176" s="387"/>
      <c r="CT176" s="388"/>
      <c r="CU176" s="386"/>
      <c r="CV176" s="387"/>
      <c r="CW176" s="388"/>
      <c r="CX176" s="386"/>
      <c r="CY176" s="387"/>
      <c r="CZ176" s="388"/>
    </row>
    <row r="177">
      <c r="A177" s="1"/>
      <c r="B177" s="402"/>
      <c r="C177" s="362" t="str">
        <f>'5-0 Товары'!C177</f>
        <v/>
      </c>
      <c r="D177" s="363" t="str">
        <f>'5-0 Товары'!D177</f>
        <v/>
      </c>
      <c r="E177" s="364" t="str">
        <f>'5-0 Товары'!E177</f>
        <v/>
      </c>
      <c r="F177" s="380"/>
      <c r="G177" s="380"/>
      <c r="H177" s="364" t="str">
        <f>'5-0 Товары'!F177</f>
        <v/>
      </c>
      <c r="I177" s="391"/>
      <c r="J177" s="364" t="str">
        <f>'5-0 Товары'!G177</f>
        <v/>
      </c>
      <c r="K177" s="366" t="str">
        <f>'5-0 Товары'!H177</f>
        <v/>
      </c>
      <c r="L177" s="382" t="str">
        <f t="shared" si="1"/>
        <v/>
      </c>
      <c r="M177" s="382"/>
      <c r="N177" s="380"/>
      <c r="O177" s="369" t="str">
        <f>'5-0 Товары'!I177</f>
        <v/>
      </c>
      <c r="P177" s="371" t="str">
        <f>'5-0 Товары'!N177</f>
        <v/>
      </c>
      <c r="Q177" s="197"/>
      <c r="R177" s="193"/>
      <c r="S177" s="187"/>
      <c r="T177" s="187"/>
      <c r="U177" s="187"/>
      <c r="V177" s="187"/>
      <c r="W177" s="187"/>
      <c r="X177" s="187"/>
      <c r="Y177" s="187" t="s">
        <v>96</v>
      </c>
      <c r="Z177" s="193" t="str">
        <f t="shared" si="2"/>
        <v/>
      </c>
      <c r="AA177" s="383"/>
      <c r="AB177" s="384"/>
      <c r="AC177" s="385"/>
      <c r="AD177" s="383"/>
      <c r="AE177" s="384"/>
      <c r="AF177" s="385"/>
      <c r="AG177" s="383"/>
      <c r="AH177" s="384"/>
      <c r="AI177" s="385"/>
      <c r="AJ177" s="383"/>
      <c r="AK177" s="384"/>
      <c r="AL177" s="385"/>
      <c r="AM177" s="383"/>
      <c r="AN177" s="384"/>
      <c r="AO177" s="385"/>
      <c r="AP177" s="383"/>
      <c r="AQ177" s="384"/>
      <c r="AR177" s="385"/>
      <c r="AS177" s="383"/>
      <c r="AT177" s="384"/>
      <c r="AU177" s="385"/>
      <c r="AV177" s="383"/>
      <c r="AW177" s="384"/>
      <c r="AX177" s="385"/>
      <c r="AY177" s="383"/>
      <c r="AZ177" s="384"/>
      <c r="BA177" s="385"/>
      <c r="BB177" s="386"/>
      <c r="BC177" s="387"/>
      <c r="BD177" s="388"/>
      <c r="BE177" s="386"/>
      <c r="BF177" s="387"/>
      <c r="BG177" s="388"/>
      <c r="BH177" s="386"/>
      <c r="BI177" s="387"/>
      <c r="BJ177" s="388"/>
      <c r="BK177" s="386"/>
      <c r="BL177" s="387"/>
      <c r="BM177" s="388"/>
      <c r="BN177" s="386"/>
      <c r="BO177" s="387"/>
      <c r="BP177" s="388"/>
      <c r="BQ177" s="386"/>
      <c r="BR177" s="387"/>
      <c r="BS177" s="388"/>
      <c r="BT177" s="386"/>
      <c r="BU177" s="387"/>
      <c r="BV177" s="388"/>
      <c r="BW177" s="386"/>
      <c r="BX177" s="387"/>
      <c r="BY177" s="388"/>
      <c r="BZ177" s="386"/>
      <c r="CA177" s="387"/>
      <c r="CB177" s="388"/>
      <c r="CC177" s="386"/>
      <c r="CD177" s="387"/>
      <c r="CE177" s="388"/>
      <c r="CF177" s="386"/>
      <c r="CG177" s="387"/>
      <c r="CH177" s="388"/>
      <c r="CI177" s="386"/>
      <c r="CJ177" s="387"/>
      <c r="CK177" s="388"/>
      <c r="CL177" s="386"/>
      <c r="CM177" s="387"/>
      <c r="CN177" s="388"/>
      <c r="CO177" s="386"/>
      <c r="CP177" s="387"/>
      <c r="CQ177" s="388"/>
      <c r="CR177" s="386"/>
      <c r="CS177" s="387"/>
      <c r="CT177" s="388"/>
      <c r="CU177" s="386"/>
      <c r="CV177" s="387"/>
      <c r="CW177" s="388"/>
      <c r="CX177" s="386"/>
      <c r="CY177" s="387"/>
      <c r="CZ177" s="388"/>
    </row>
    <row r="178">
      <c r="A178" s="1"/>
      <c r="B178" s="402"/>
      <c r="C178" s="362" t="str">
        <f>'5-0 Товары'!C178</f>
        <v/>
      </c>
      <c r="D178" s="363" t="str">
        <f>'5-0 Товары'!D178</f>
        <v/>
      </c>
      <c r="E178" s="364" t="str">
        <f>'5-0 Товары'!E178</f>
        <v/>
      </c>
      <c r="F178" s="380"/>
      <c r="G178" s="380"/>
      <c r="H178" s="364" t="str">
        <f>'5-0 Товары'!F178</f>
        <v/>
      </c>
      <c r="I178" s="391"/>
      <c r="J178" s="364" t="str">
        <f>'5-0 Товары'!G178</f>
        <v/>
      </c>
      <c r="K178" s="366" t="str">
        <f>'5-0 Товары'!H178</f>
        <v/>
      </c>
      <c r="L178" s="382" t="str">
        <f t="shared" si="1"/>
        <v/>
      </c>
      <c r="M178" s="382"/>
      <c r="N178" s="380"/>
      <c r="O178" s="369" t="str">
        <f>'5-0 Товары'!I178</f>
        <v/>
      </c>
      <c r="P178" s="371" t="str">
        <f>'5-0 Товары'!N178</f>
        <v/>
      </c>
      <c r="Q178" s="197"/>
      <c r="R178" s="193"/>
      <c r="S178" s="187"/>
      <c r="T178" s="187"/>
      <c r="U178" s="187"/>
      <c r="V178" s="187"/>
      <c r="W178" s="187"/>
      <c r="X178" s="187"/>
      <c r="Y178" s="187" t="s">
        <v>96</v>
      </c>
      <c r="Z178" s="193" t="str">
        <f t="shared" si="2"/>
        <v/>
      </c>
      <c r="AA178" s="383"/>
      <c r="AB178" s="384"/>
      <c r="AC178" s="385"/>
      <c r="AD178" s="383"/>
      <c r="AE178" s="384"/>
      <c r="AF178" s="385"/>
      <c r="AG178" s="383"/>
      <c r="AH178" s="384"/>
      <c r="AI178" s="385"/>
      <c r="AJ178" s="383"/>
      <c r="AK178" s="384"/>
      <c r="AL178" s="385"/>
      <c r="AM178" s="383"/>
      <c r="AN178" s="384"/>
      <c r="AO178" s="385"/>
      <c r="AP178" s="383"/>
      <c r="AQ178" s="384"/>
      <c r="AR178" s="385"/>
      <c r="AS178" s="383"/>
      <c r="AT178" s="384"/>
      <c r="AU178" s="385"/>
      <c r="AV178" s="383"/>
      <c r="AW178" s="384"/>
      <c r="AX178" s="385"/>
      <c r="AY178" s="383"/>
      <c r="AZ178" s="384"/>
      <c r="BA178" s="385"/>
      <c r="BB178" s="386"/>
      <c r="BC178" s="387"/>
      <c r="BD178" s="388"/>
      <c r="BE178" s="386"/>
      <c r="BF178" s="387"/>
      <c r="BG178" s="388"/>
      <c r="BH178" s="386"/>
      <c r="BI178" s="387"/>
      <c r="BJ178" s="388"/>
      <c r="BK178" s="386"/>
      <c r="BL178" s="387"/>
      <c r="BM178" s="388"/>
      <c r="BN178" s="386"/>
      <c r="BO178" s="387"/>
      <c r="BP178" s="388"/>
      <c r="BQ178" s="386"/>
      <c r="BR178" s="387"/>
      <c r="BS178" s="388"/>
      <c r="BT178" s="386"/>
      <c r="BU178" s="387"/>
      <c r="BV178" s="388"/>
      <c r="BW178" s="386"/>
      <c r="BX178" s="387"/>
      <c r="BY178" s="388"/>
      <c r="BZ178" s="386"/>
      <c r="CA178" s="387"/>
      <c r="CB178" s="388"/>
      <c r="CC178" s="386"/>
      <c r="CD178" s="387"/>
      <c r="CE178" s="388"/>
      <c r="CF178" s="386"/>
      <c r="CG178" s="387"/>
      <c r="CH178" s="388"/>
      <c r="CI178" s="386"/>
      <c r="CJ178" s="387"/>
      <c r="CK178" s="388"/>
      <c r="CL178" s="386"/>
      <c r="CM178" s="387"/>
      <c r="CN178" s="388"/>
      <c r="CO178" s="386"/>
      <c r="CP178" s="387"/>
      <c r="CQ178" s="388"/>
      <c r="CR178" s="386"/>
      <c r="CS178" s="387"/>
      <c r="CT178" s="388"/>
      <c r="CU178" s="386"/>
      <c r="CV178" s="387"/>
      <c r="CW178" s="388"/>
      <c r="CX178" s="386"/>
      <c r="CY178" s="387"/>
      <c r="CZ178" s="388"/>
    </row>
    <row r="179">
      <c r="A179" s="1"/>
      <c r="B179" s="402"/>
      <c r="C179" s="362" t="str">
        <f>'5-0 Товары'!C179</f>
        <v/>
      </c>
      <c r="D179" s="363" t="str">
        <f>'5-0 Товары'!D179</f>
        <v/>
      </c>
      <c r="E179" s="364" t="str">
        <f>'5-0 Товары'!E179</f>
        <v/>
      </c>
      <c r="F179" s="380"/>
      <c r="G179" s="380"/>
      <c r="H179" s="364" t="str">
        <f>'5-0 Товары'!F179</f>
        <v/>
      </c>
      <c r="I179" s="391"/>
      <c r="J179" s="364" t="str">
        <f>'5-0 Товары'!G179</f>
        <v/>
      </c>
      <c r="K179" s="366" t="str">
        <f>'5-0 Товары'!H179</f>
        <v/>
      </c>
      <c r="L179" s="382" t="str">
        <f t="shared" si="1"/>
        <v/>
      </c>
      <c r="M179" s="382"/>
      <c r="N179" s="380"/>
      <c r="O179" s="369" t="str">
        <f>'5-0 Товары'!I179</f>
        <v/>
      </c>
      <c r="P179" s="371" t="str">
        <f>'5-0 Товары'!N179</f>
        <v/>
      </c>
      <c r="Q179" s="197"/>
      <c r="R179" s="193"/>
      <c r="S179" s="187"/>
      <c r="T179" s="187"/>
      <c r="U179" s="187"/>
      <c r="V179" s="187"/>
      <c r="W179" s="187"/>
      <c r="X179" s="187"/>
      <c r="Y179" s="187" t="s">
        <v>96</v>
      </c>
      <c r="Z179" s="193" t="str">
        <f t="shared" si="2"/>
        <v/>
      </c>
      <c r="AA179" s="383"/>
      <c r="AB179" s="384"/>
      <c r="AC179" s="385"/>
      <c r="AD179" s="383"/>
      <c r="AE179" s="384"/>
      <c r="AF179" s="385"/>
      <c r="AG179" s="383"/>
      <c r="AH179" s="384"/>
      <c r="AI179" s="385"/>
      <c r="AJ179" s="383"/>
      <c r="AK179" s="384"/>
      <c r="AL179" s="385"/>
      <c r="AM179" s="383"/>
      <c r="AN179" s="384"/>
      <c r="AO179" s="385"/>
      <c r="AP179" s="383"/>
      <c r="AQ179" s="384"/>
      <c r="AR179" s="385"/>
      <c r="AS179" s="383"/>
      <c r="AT179" s="384"/>
      <c r="AU179" s="385"/>
      <c r="AV179" s="383"/>
      <c r="AW179" s="384"/>
      <c r="AX179" s="385"/>
      <c r="AY179" s="383"/>
      <c r="AZ179" s="384"/>
      <c r="BA179" s="385"/>
      <c r="BB179" s="386"/>
      <c r="BC179" s="387"/>
      <c r="BD179" s="388"/>
      <c r="BE179" s="386"/>
      <c r="BF179" s="387"/>
      <c r="BG179" s="388"/>
      <c r="BH179" s="386"/>
      <c r="BI179" s="387"/>
      <c r="BJ179" s="388"/>
      <c r="BK179" s="386"/>
      <c r="BL179" s="387"/>
      <c r="BM179" s="388"/>
      <c r="BN179" s="386"/>
      <c r="BO179" s="387"/>
      <c r="BP179" s="388"/>
      <c r="BQ179" s="386"/>
      <c r="BR179" s="387"/>
      <c r="BS179" s="388"/>
      <c r="BT179" s="386"/>
      <c r="BU179" s="387"/>
      <c r="BV179" s="388"/>
      <c r="BW179" s="386"/>
      <c r="BX179" s="387"/>
      <c r="BY179" s="388"/>
      <c r="BZ179" s="386"/>
      <c r="CA179" s="387"/>
      <c r="CB179" s="388"/>
      <c r="CC179" s="386"/>
      <c r="CD179" s="387"/>
      <c r="CE179" s="388"/>
      <c r="CF179" s="386"/>
      <c r="CG179" s="387"/>
      <c r="CH179" s="388"/>
      <c r="CI179" s="386"/>
      <c r="CJ179" s="387"/>
      <c r="CK179" s="388"/>
      <c r="CL179" s="386"/>
      <c r="CM179" s="387"/>
      <c r="CN179" s="388"/>
      <c r="CO179" s="386"/>
      <c r="CP179" s="387"/>
      <c r="CQ179" s="388"/>
      <c r="CR179" s="386"/>
      <c r="CS179" s="387"/>
      <c r="CT179" s="388"/>
      <c r="CU179" s="386"/>
      <c r="CV179" s="387"/>
      <c r="CW179" s="388"/>
      <c r="CX179" s="386"/>
      <c r="CY179" s="387"/>
      <c r="CZ179" s="388"/>
    </row>
    <row r="180">
      <c r="A180" s="1"/>
      <c r="B180" s="402"/>
      <c r="C180" s="362" t="str">
        <f>'5-0 Товары'!C180</f>
        <v/>
      </c>
      <c r="D180" s="363" t="str">
        <f>'5-0 Товары'!D180</f>
        <v/>
      </c>
      <c r="E180" s="364" t="str">
        <f>'5-0 Товары'!E180</f>
        <v/>
      </c>
      <c r="F180" s="380"/>
      <c r="G180" s="380"/>
      <c r="H180" s="364" t="str">
        <f>'5-0 Товары'!F180</f>
        <v/>
      </c>
      <c r="I180" s="391"/>
      <c r="J180" s="364" t="str">
        <f>'5-0 Товары'!G180</f>
        <v/>
      </c>
      <c r="K180" s="366" t="str">
        <f>'5-0 Товары'!H180</f>
        <v/>
      </c>
      <c r="L180" s="382" t="str">
        <f t="shared" si="1"/>
        <v/>
      </c>
      <c r="M180" s="382"/>
      <c r="N180" s="380"/>
      <c r="O180" s="369" t="str">
        <f>'5-0 Товары'!I180</f>
        <v/>
      </c>
      <c r="P180" s="371" t="str">
        <f>'5-0 Товары'!N180</f>
        <v/>
      </c>
      <c r="Q180" s="197"/>
      <c r="R180" s="193"/>
      <c r="S180" s="187"/>
      <c r="T180" s="187"/>
      <c r="U180" s="187"/>
      <c r="V180" s="187"/>
      <c r="W180" s="187"/>
      <c r="X180" s="187"/>
      <c r="Y180" s="187" t="s">
        <v>96</v>
      </c>
      <c r="Z180" s="193" t="str">
        <f t="shared" si="2"/>
        <v/>
      </c>
      <c r="AA180" s="383"/>
      <c r="AB180" s="384"/>
      <c r="AC180" s="385"/>
      <c r="AD180" s="383"/>
      <c r="AE180" s="384"/>
      <c r="AF180" s="385"/>
      <c r="AG180" s="383"/>
      <c r="AH180" s="384"/>
      <c r="AI180" s="385"/>
      <c r="AJ180" s="383"/>
      <c r="AK180" s="384"/>
      <c r="AL180" s="385"/>
      <c r="AM180" s="383"/>
      <c r="AN180" s="384"/>
      <c r="AO180" s="385"/>
      <c r="AP180" s="383"/>
      <c r="AQ180" s="384"/>
      <c r="AR180" s="385"/>
      <c r="AS180" s="383"/>
      <c r="AT180" s="384"/>
      <c r="AU180" s="385"/>
      <c r="AV180" s="383"/>
      <c r="AW180" s="384"/>
      <c r="AX180" s="385"/>
      <c r="AY180" s="383"/>
      <c r="AZ180" s="384"/>
      <c r="BA180" s="385"/>
      <c r="BB180" s="386"/>
      <c r="BC180" s="387"/>
      <c r="BD180" s="388"/>
      <c r="BE180" s="386"/>
      <c r="BF180" s="387"/>
      <c r="BG180" s="388"/>
      <c r="BH180" s="386"/>
      <c r="BI180" s="387"/>
      <c r="BJ180" s="388"/>
      <c r="BK180" s="386"/>
      <c r="BL180" s="387"/>
      <c r="BM180" s="388"/>
      <c r="BN180" s="386"/>
      <c r="BO180" s="387"/>
      <c r="BP180" s="388"/>
      <c r="BQ180" s="386"/>
      <c r="BR180" s="387"/>
      <c r="BS180" s="388"/>
      <c r="BT180" s="386"/>
      <c r="BU180" s="387"/>
      <c r="BV180" s="388"/>
      <c r="BW180" s="386"/>
      <c r="BX180" s="387"/>
      <c r="BY180" s="388"/>
      <c r="BZ180" s="386"/>
      <c r="CA180" s="387"/>
      <c r="CB180" s="388"/>
      <c r="CC180" s="386"/>
      <c r="CD180" s="387"/>
      <c r="CE180" s="388"/>
      <c r="CF180" s="386"/>
      <c r="CG180" s="387"/>
      <c r="CH180" s="388"/>
      <c r="CI180" s="386"/>
      <c r="CJ180" s="387"/>
      <c r="CK180" s="388"/>
      <c r="CL180" s="386"/>
      <c r="CM180" s="387"/>
      <c r="CN180" s="388"/>
      <c r="CO180" s="386"/>
      <c r="CP180" s="387"/>
      <c r="CQ180" s="388"/>
      <c r="CR180" s="386"/>
      <c r="CS180" s="387"/>
      <c r="CT180" s="388"/>
      <c r="CU180" s="386"/>
      <c r="CV180" s="387"/>
      <c r="CW180" s="388"/>
      <c r="CX180" s="386"/>
      <c r="CY180" s="387"/>
      <c r="CZ180" s="388"/>
    </row>
    <row r="181">
      <c r="A181" s="1"/>
      <c r="B181" s="402"/>
      <c r="C181" s="362" t="str">
        <f>'5-0 Товары'!C181</f>
        <v/>
      </c>
      <c r="D181" s="363" t="str">
        <f>'5-0 Товары'!D181</f>
        <v/>
      </c>
      <c r="E181" s="364" t="str">
        <f>'5-0 Товары'!E181</f>
        <v/>
      </c>
      <c r="F181" s="380"/>
      <c r="G181" s="380"/>
      <c r="H181" s="364" t="str">
        <f>'5-0 Товары'!F181</f>
        <v/>
      </c>
      <c r="I181" s="391"/>
      <c r="J181" s="364" t="str">
        <f>'5-0 Товары'!G181</f>
        <v/>
      </c>
      <c r="K181" s="366" t="str">
        <f>'5-0 Товары'!H181</f>
        <v/>
      </c>
      <c r="L181" s="382" t="str">
        <f t="shared" si="1"/>
        <v/>
      </c>
      <c r="M181" s="382"/>
      <c r="N181" s="380"/>
      <c r="O181" s="369" t="str">
        <f>'5-0 Товары'!I181</f>
        <v/>
      </c>
      <c r="P181" s="371" t="str">
        <f>'5-0 Товары'!N181</f>
        <v/>
      </c>
      <c r="Q181" s="197"/>
      <c r="R181" s="193"/>
      <c r="S181" s="187"/>
      <c r="T181" s="187"/>
      <c r="U181" s="187"/>
      <c r="V181" s="187"/>
      <c r="W181" s="187"/>
      <c r="X181" s="187"/>
      <c r="Y181" s="187" t="s">
        <v>96</v>
      </c>
      <c r="Z181" s="193" t="str">
        <f t="shared" si="2"/>
        <v/>
      </c>
      <c r="AA181" s="383"/>
      <c r="AB181" s="384"/>
      <c r="AC181" s="385"/>
      <c r="AD181" s="383"/>
      <c r="AE181" s="384"/>
      <c r="AF181" s="385"/>
      <c r="AG181" s="383"/>
      <c r="AH181" s="384"/>
      <c r="AI181" s="385"/>
      <c r="AJ181" s="383"/>
      <c r="AK181" s="384"/>
      <c r="AL181" s="385"/>
      <c r="AM181" s="383"/>
      <c r="AN181" s="384"/>
      <c r="AO181" s="385"/>
      <c r="AP181" s="383"/>
      <c r="AQ181" s="384"/>
      <c r="AR181" s="385"/>
      <c r="AS181" s="383"/>
      <c r="AT181" s="384"/>
      <c r="AU181" s="385"/>
      <c r="AV181" s="383"/>
      <c r="AW181" s="384"/>
      <c r="AX181" s="385"/>
      <c r="AY181" s="383"/>
      <c r="AZ181" s="384"/>
      <c r="BA181" s="385"/>
      <c r="BB181" s="386"/>
      <c r="BC181" s="387"/>
      <c r="BD181" s="388"/>
      <c r="BE181" s="386"/>
      <c r="BF181" s="387"/>
      <c r="BG181" s="388"/>
      <c r="BH181" s="386"/>
      <c r="BI181" s="387"/>
      <c r="BJ181" s="388"/>
      <c r="BK181" s="386"/>
      <c r="BL181" s="387"/>
      <c r="BM181" s="388"/>
      <c r="BN181" s="386"/>
      <c r="BO181" s="387"/>
      <c r="BP181" s="388"/>
      <c r="BQ181" s="386"/>
      <c r="BR181" s="387"/>
      <c r="BS181" s="388"/>
      <c r="BT181" s="386"/>
      <c r="BU181" s="387"/>
      <c r="BV181" s="388"/>
      <c r="BW181" s="386"/>
      <c r="BX181" s="387"/>
      <c r="BY181" s="388"/>
      <c r="BZ181" s="386"/>
      <c r="CA181" s="387"/>
      <c r="CB181" s="388"/>
      <c r="CC181" s="386"/>
      <c r="CD181" s="387"/>
      <c r="CE181" s="388"/>
      <c r="CF181" s="386"/>
      <c r="CG181" s="387"/>
      <c r="CH181" s="388"/>
      <c r="CI181" s="386"/>
      <c r="CJ181" s="387"/>
      <c r="CK181" s="388"/>
      <c r="CL181" s="386"/>
      <c r="CM181" s="387"/>
      <c r="CN181" s="388"/>
      <c r="CO181" s="386"/>
      <c r="CP181" s="387"/>
      <c r="CQ181" s="388"/>
      <c r="CR181" s="386"/>
      <c r="CS181" s="387"/>
      <c r="CT181" s="388"/>
      <c r="CU181" s="386"/>
      <c r="CV181" s="387"/>
      <c r="CW181" s="388"/>
      <c r="CX181" s="386"/>
      <c r="CY181" s="387"/>
      <c r="CZ181" s="388"/>
    </row>
    <row r="182">
      <c r="A182" s="1"/>
      <c r="B182" s="402"/>
      <c r="C182" s="362" t="str">
        <f>'5-0 Товары'!C182</f>
        <v/>
      </c>
      <c r="D182" s="363" t="str">
        <f>'5-0 Товары'!D182</f>
        <v/>
      </c>
      <c r="E182" s="364" t="str">
        <f>'5-0 Товары'!E182</f>
        <v/>
      </c>
      <c r="F182" s="380"/>
      <c r="G182" s="380"/>
      <c r="H182" s="364" t="str">
        <f>'5-0 Товары'!F182</f>
        <v/>
      </c>
      <c r="I182" s="391"/>
      <c r="J182" s="364" t="str">
        <f>'5-0 Товары'!G182</f>
        <v/>
      </c>
      <c r="K182" s="366" t="str">
        <f>'5-0 Товары'!H182</f>
        <v/>
      </c>
      <c r="L182" s="382" t="str">
        <f t="shared" si="1"/>
        <v/>
      </c>
      <c r="M182" s="382"/>
      <c r="N182" s="380"/>
      <c r="O182" s="369" t="str">
        <f>'5-0 Товары'!I182</f>
        <v/>
      </c>
      <c r="P182" s="371" t="str">
        <f>'5-0 Товары'!N182</f>
        <v/>
      </c>
      <c r="Q182" s="197"/>
      <c r="R182" s="193"/>
      <c r="S182" s="187"/>
      <c r="T182" s="187"/>
      <c r="U182" s="187"/>
      <c r="V182" s="187"/>
      <c r="W182" s="187"/>
      <c r="X182" s="187"/>
      <c r="Y182" s="187" t="s">
        <v>96</v>
      </c>
      <c r="Z182" s="193" t="str">
        <f t="shared" si="2"/>
        <v/>
      </c>
      <c r="AA182" s="383"/>
      <c r="AB182" s="384"/>
      <c r="AC182" s="385"/>
      <c r="AD182" s="383"/>
      <c r="AE182" s="384"/>
      <c r="AF182" s="385"/>
      <c r="AG182" s="383"/>
      <c r="AH182" s="384"/>
      <c r="AI182" s="385"/>
      <c r="AJ182" s="383"/>
      <c r="AK182" s="384"/>
      <c r="AL182" s="385"/>
      <c r="AM182" s="383"/>
      <c r="AN182" s="384"/>
      <c r="AO182" s="385"/>
      <c r="AP182" s="383"/>
      <c r="AQ182" s="384"/>
      <c r="AR182" s="385"/>
      <c r="AS182" s="383"/>
      <c r="AT182" s="384"/>
      <c r="AU182" s="385"/>
      <c r="AV182" s="383"/>
      <c r="AW182" s="384"/>
      <c r="AX182" s="385"/>
      <c r="AY182" s="383"/>
      <c r="AZ182" s="384"/>
      <c r="BA182" s="385"/>
      <c r="BB182" s="386"/>
      <c r="BC182" s="387"/>
      <c r="BD182" s="388"/>
      <c r="BE182" s="386"/>
      <c r="BF182" s="387"/>
      <c r="BG182" s="388"/>
      <c r="BH182" s="386"/>
      <c r="BI182" s="387"/>
      <c r="BJ182" s="388"/>
      <c r="BK182" s="386"/>
      <c r="BL182" s="387"/>
      <c r="BM182" s="388"/>
      <c r="BN182" s="386"/>
      <c r="BO182" s="387"/>
      <c r="BP182" s="388"/>
      <c r="BQ182" s="386"/>
      <c r="BR182" s="387"/>
      <c r="BS182" s="388"/>
      <c r="BT182" s="386"/>
      <c r="BU182" s="387"/>
      <c r="BV182" s="388"/>
      <c r="BW182" s="386"/>
      <c r="BX182" s="387"/>
      <c r="BY182" s="388"/>
      <c r="BZ182" s="386"/>
      <c r="CA182" s="387"/>
      <c r="CB182" s="388"/>
      <c r="CC182" s="386"/>
      <c r="CD182" s="387"/>
      <c r="CE182" s="388"/>
      <c r="CF182" s="386"/>
      <c r="CG182" s="387"/>
      <c r="CH182" s="388"/>
      <c r="CI182" s="386"/>
      <c r="CJ182" s="387"/>
      <c r="CK182" s="388"/>
      <c r="CL182" s="386"/>
      <c r="CM182" s="387"/>
      <c r="CN182" s="388"/>
      <c r="CO182" s="386"/>
      <c r="CP182" s="387"/>
      <c r="CQ182" s="388"/>
      <c r="CR182" s="386"/>
      <c r="CS182" s="387"/>
      <c r="CT182" s="388"/>
      <c r="CU182" s="386"/>
      <c r="CV182" s="387"/>
      <c r="CW182" s="388"/>
      <c r="CX182" s="386"/>
      <c r="CY182" s="387"/>
      <c r="CZ182" s="388"/>
    </row>
    <row r="183">
      <c r="A183" s="1"/>
      <c r="B183" s="402"/>
      <c r="C183" s="362" t="str">
        <f>'5-0 Товары'!C183</f>
        <v/>
      </c>
      <c r="D183" s="363" t="str">
        <f>'5-0 Товары'!D183</f>
        <v/>
      </c>
      <c r="E183" s="364" t="str">
        <f>'5-0 Товары'!E183</f>
        <v/>
      </c>
      <c r="F183" s="380"/>
      <c r="G183" s="380"/>
      <c r="H183" s="364" t="str">
        <f>'5-0 Товары'!F183</f>
        <v/>
      </c>
      <c r="I183" s="391"/>
      <c r="J183" s="364" t="str">
        <f>'5-0 Товары'!G183</f>
        <v/>
      </c>
      <c r="K183" s="366" t="str">
        <f>'5-0 Товары'!H183</f>
        <v/>
      </c>
      <c r="L183" s="382" t="str">
        <f t="shared" si="1"/>
        <v/>
      </c>
      <c r="M183" s="382"/>
      <c r="N183" s="380"/>
      <c r="O183" s="369" t="str">
        <f>'5-0 Товары'!I183</f>
        <v/>
      </c>
      <c r="P183" s="371" t="str">
        <f>'5-0 Товары'!N183</f>
        <v/>
      </c>
      <c r="Q183" s="197"/>
      <c r="R183" s="193"/>
      <c r="S183" s="187"/>
      <c r="T183" s="187"/>
      <c r="U183" s="187"/>
      <c r="V183" s="187"/>
      <c r="W183" s="187"/>
      <c r="X183" s="187"/>
      <c r="Y183" s="187" t="s">
        <v>96</v>
      </c>
      <c r="Z183" s="193" t="str">
        <f t="shared" si="2"/>
        <v/>
      </c>
      <c r="AA183" s="383"/>
      <c r="AB183" s="384"/>
      <c r="AC183" s="385"/>
      <c r="AD183" s="383"/>
      <c r="AE183" s="384"/>
      <c r="AF183" s="385"/>
      <c r="AG183" s="383"/>
      <c r="AH183" s="384"/>
      <c r="AI183" s="385"/>
      <c r="AJ183" s="383"/>
      <c r="AK183" s="384"/>
      <c r="AL183" s="385"/>
      <c r="AM183" s="383"/>
      <c r="AN183" s="384"/>
      <c r="AO183" s="385"/>
      <c r="AP183" s="383"/>
      <c r="AQ183" s="384"/>
      <c r="AR183" s="385"/>
      <c r="AS183" s="383"/>
      <c r="AT183" s="384"/>
      <c r="AU183" s="385"/>
      <c r="AV183" s="383"/>
      <c r="AW183" s="384"/>
      <c r="AX183" s="385"/>
      <c r="AY183" s="383"/>
      <c r="AZ183" s="384"/>
      <c r="BA183" s="385"/>
      <c r="BB183" s="386"/>
      <c r="BC183" s="387"/>
      <c r="BD183" s="388"/>
      <c r="BE183" s="386"/>
      <c r="BF183" s="387"/>
      <c r="BG183" s="388"/>
      <c r="BH183" s="386"/>
      <c r="BI183" s="387"/>
      <c r="BJ183" s="388"/>
      <c r="BK183" s="386"/>
      <c r="BL183" s="387"/>
      <c r="BM183" s="388"/>
      <c r="BN183" s="386"/>
      <c r="BO183" s="387"/>
      <c r="BP183" s="388"/>
      <c r="BQ183" s="386"/>
      <c r="BR183" s="387"/>
      <c r="BS183" s="388"/>
      <c r="BT183" s="386"/>
      <c r="BU183" s="387"/>
      <c r="BV183" s="388"/>
      <c r="BW183" s="386"/>
      <c r="BX183" s="387"/>
      <c r="BY183" s="388"/>
      <c r="BZ183" s="386"/>
      <c r="CA183" s="387"/>
      <c r="CB183" s="388"/>
      <c r="CC183" s="386"/>
      <c r="CD183" s="387"/>
      <c r="CE183" s="388"/>
      <c r="CF183" s="386"/>
      <c r="CG183" s="387"/>
      <c r="CH183" s="388"/>
      <c r="CI183" s="386"/>
      <c r="CJ183" s="387"/>
      <c r="CK183" s="388"/>
      <c r="CL183" s="386"/>
      <c r="CM183" s="387"/>
      <c r="CN183" s="388"/>
      <c r="CO183" s="386"/>
      <c r="CP183" s="387"/>
      <c r="CQ183" s="388"/>
      <c r="CR183" s="386"/>
      <c r="CS183" s="387"/>
      <c r="CT183" s="388"/>
      <c r="CU183" s="386"/>
      <c r="CV183" s="387"/>
      <c r="CW183" s="388"/>
      <c r="CX183" s="386"/>
      <c r="CY183" s="387"/>
      <c r="CZ183" s="388"/>
    </row>
    <row r="184">
      <c r="A184" s="1"/>
      <c r="B184" s="402"/>
      <c r="C184" s="362" t="str">
        <f>'5-0 Товары'!C184</f>
        <v/>
      </c>
      <c r="D184" s="363" t="str">
        <f>'5-0 Товары'!D184</f>
        <v/>
      </c>
      <c r="E184" s="364" t="str">
        <f>'5-0 Товары'!E184</f>
        <v/>
      </c>
      <c r="F184" s="380"/>
      <c r="G184" s="380"/>
      <c r="H184" s="364" t="str">
        <f>'5-0 Товары'!F184</f>
        <v/>
      </c>
      <c r="I184" s="391"/>
      <c r="J184" s="364" t="str">
        <f>'5-0 Товары'!G184</f>
        <v/>
      </c>
      <c r="K184" s="366" t="str">
        <f>'5-0 Товары'!H184</f>
        <v/>
      </c>
      <c r="L184" s="382" t="str">
        <f t="shared" si="1"/>
        <v/>
      </c>
      <c r="M184" s="382"/>
      <c r="N184" s="380"/>
      <c r="O184" s="369" t="str">
        <f>'5-0 Товары'!I184</f>
        <v/>
      </c>
      <c r="P184" s="371" t="str">
        <f>'5-0 Товары'!N184</f>
        <v/>
      </c>
      <c r="Q184" s="197"/>
      <c r="R184" s="193"/>
      <c r="S184" s="187"/>
      <c r="T184" s="187"/>
      <c r="U184" s="187"/>
      <c r="V184" s="187"/>
      <c r="W184" s="187"/>
      <c r="X184" s="187"/>
      <c r="Y184" s="187" t="s">
        <v>96</v>
      </c>
      <c r="Z184" s="193" t="str">
        <f t="shared" si="2"/>
        <v/>
      </c>
      <c r="AA184" s="383"/>
      <c r="AB184" s="384"/>
      <c r="AC184" s="385"/>
      <c r="AD184" s="383"/>
      <c r="AE184" s="384"/>
      <c r="AF184" s="385"/>
      <c r="AG184" s="383"/>
      <c r="AH184" s="384"/>
      <c r="AI184" s="385"/>
      <c r="AJ184" s="383"/>
      <c r="AK184" s="384"/>
      <c r="AL184" s="385"/>
      <c r="AM184" s="383"/>
      <c r="AN184" s="384"/>
      <c r="AO184" s="385"/>
      <c r="AP184" s="383"/>
      <c r="AQ184" s="384"/>
      <c r="AR184" s="385"/>
      <c r="AS184" s="383"/>
      <c r="AT184" s="384"/>
      <c r="AU184" s="385"/>
      <c r="AV184" s="383"/>
      <c r="AW184" s="384"/>
      <c r="AX184" s="385"/>
      <c r="AY184" s="383"/>
      <c r="AZ184" s="384"/>
      <c r="BA184" s="385"/>
      <c r="BB184" s="386"/>
      <c r="BC184" s="387"/>
      <c r="BD184" s="388"/>
      <c r="BE184" s="386"/>
      <c r="BF184" s="387"/>
      <c r="BG184" s="388"/>
      <c r="BH184" s="386"/>
      <c r="BI184" s="387"/>
      <c r="BJ184" s="388"/>
      <c r="BK184" s="386"/>
      <c r="BL184" s="387"/>
      <c r="BM184" s="388"/>
      <c r="BN184" s="386"/>
      <c r="BO184" s="387"/>
      <c r="BP184" s="388"/>
      <c r="BQ184" s="386"/>
      <c r="BR184" s="387"/>
      <c r="BS184" s="388"/>
      <c r="BT184" s="386"/>
      <c r="BU184" s="387"/>
      <c r="BV184" s="388"/>
      <c r="BW184" s="386"/>
      <c r="BX184" s="387"/>
      <c r="BY184" s="388"/>
      <c r="BZ184" s="386"/>
      <c r="CA184" s="387"/>
      <c r="CB184" s="388"/>
      <c r="CC184" s="386"/>
      <c r="CD184" s="387"/>
      <c r="CE184" s="388"/>
      <c r="CF184" s="386"/>
      <c r="CG184" s="387"/>
      <c r="CH184" s="388"/>
      <c r="CI184" s="386"/>
      <c r="CJ184" s="387"/>
      <c r="CK184" s="388"/>
      <c r="CL184" s="386"/>
      <c r="CM184" s="387"/>
      <c r="CN184" s="388"/>
      <c r="CO184" s="386"/>
      <c r="CP184" s="387"/>
      <c r="CQ184" s="388"/>
      <c r="CR184" s="386"/>
      <c r="CS184" s="387"/>
      <c r="CT184" s="388"/>
      <c r="CU184" s="386"/>
      <c r="CV184" s="387"/>
      <c r="CW184" s="388"/>
      <c r="CX184" s="386"/>
      <c r="CY184" s="387"/>
      <c r="CZ184" s="388"/>
    </row>
    <row r="185">
      <c r="A185" s="1"/>
      <c r="B185" s="402"/>
      <c r="C185" s="362" t="str">
        <f>'5-0 Товары'!C185</f>
        <v/>
      </c>
      <c r="D185" s="363" t="str">
        <f>'5-0 Товары'!D185</f>
        <v/>
      </c>
      <c r="E185" s="364" t="str">
        <f>'5-0 Товары'!E185</f>
        <v/>
      </c>
      <c r="F185" s="380"/>
      <c r="G185" s="380"/>
      <c r="H185" s="364" t="str">
        <f>'5-0 Товары'!F185</f>
        <v/>
      </c>
      <c r="I185" s="391"/>
      <c r="J185" s="364" t="str">
        <f>'5-0 Товары'!G185</f>
        <v/>
      </c>
      <c r="K185" s="366" t="str">
        <f>'5-0 Товары'!H185</f>
        <v/>
      </c>
      <c r="L185" s="382" t="str">
        <f t="shared" si="1"/>
        <v/>
      </c>
      <c r="M185" s="382"/>
      <c r="N185" s="380"/>
      <c r="O185" s="369" t="str">
        <f>'5-0 Товары'!I185</f>
        <v/>
      </c>
      <c r="P185" s="371" t="str">
        <f>'5-0 Товары'!N185</f>
        <v/>
      </c>
      <c r="Q185" s="197"/>
      <c r="R185" s="193"/>
      <c r="S185" s="187"/>
      <c r="T185" s="187"/>
      <c r="U185" s="187"/>
      <c r="V185" s="187"/>
      <c r="W185" s="187"/>
      <c r="X185" s="187"/>
      <c r="Y185" s="187" t="s">
        <v>96</v>
      </c>
      <c r="Z185" s="193" t="str">
        <f t="shared" si="2"/>
        <v/>
      </c>
      <c r="AA185" s="383"/>
      <c r="AB185" s="384"/>
      <c r="AC185" s="385"/>
      <c r="AD185" s="383"/>
      <c r="AE185" s="384"/>
      <c r="AF185" s="385"/>
      <c r="AG185" s="383"/>
      <c r="AH185" s="384"/>
      <c r="AI185" s="385"/>
      <c r="AJ185" s="383"/>
      <c r="AK185" s="384"/>
      <c r="AL185" s="385"/>
      <c r="AM185" s="383"/>
      <c r="AN185" s="384"/>
      <c r="AO185" s="385"/>
      <c r="AP185" s="383"/>
      <c r="AQ185" s="384"/>
      <c r="AR185" s="385"/>
      <c r="AS185" s="383"/>
      <c r="AT185" s="384"/>
      <c r="AU185" s="385"/>
      <c r="AV185" s="383"/>
      <c r="AW185" s="384"/>
      <c r="AX185" s="385"/>
      <c r="AY185" s="383"/>
      <c r="AZ185" s="384"/>
      <c r="BA185" s="385"/>
      <c r="BB185" s="386"/>
      <c r="BC185" s="387"/>
      <c r="BD185" s="388"/>
      <c r="BE185" s="386"/>
      <c r="BF185" s="387"/>
      <c r="BG185" s="388"/>
      <c r="BH185" s="386"/>
      <c r="BI185" s="387"/>
      <c r="BJ185" s="388"/>
      <c r="BK185" s="386"/>
      <c r="BL185" s="387"/>
      <c r="BM185" s="388"/>
      <c r="BN185" s="386"/>
      <c r="BO185" s="387"/>
      <c r="BP185" s="388"/>
      <c r="BQ185" s="386"/>
      <c r="BR185" s="387"/>
      <c r="BS185" s="388"/>
      <c r="BT185" s="386"/>
      <c r="BU185" s="387"/>
      <c r="BV185" s="388"/>
      <c r="BW185" s="386"/>
      <c r="BX185" s="387"/>
      <c r="BY185" s="388"/>
      <c r="BZ185" s="386"/>
      <c r="CA185" s="387"/>
      <c r="CB185" s="388"/>
      <c r="CC185" s="386"/>
      <c r="CD185" s="387"/>
      <c r="CE185" s="388"/>
      <c r="CF185" s="386"/>
      <c r="CG185" s="387"/>
      <c r="CH185" s="388"/>
      <c r="CI185" s="386"/>
      <c r="CJ185" s="387"/>
      <c r="CK185" s="388"/>
      <c r="CL185" s="386"/>
      <c r="CM185" s="387"/>
      <c r="CN185" s="388"/>
      <c r="CO185" s="386"/>
      <c r="CP185" s="387"/>
      <c r="CQ185" s="388"/>
      <c r="CR185" s="386"/>
      <c r="CS185" s="387"/>
      <c r="CT185" s="388"/>
      <c r="CU185" s="386"/>
      <c r="CV185" s="387"/>
      <c r="CW185" s="388"/>
      <c r="CX185" s="386"/>
      <c r="CY185" s="387"/>
      <c r="CZ185" s="388"/>
    </row>
    <row r="186">
      <c r="A186" s="1"/>
      <c r="B186" s="402"/>
      <c r="C186" s="362" t="str">
        <f>'5-0 Товары'!C186</f>
        <v/>
      </c>
      <c r="D186" s="363" t="str">
        <f>'5-0 Товары'!D186</f>
        <v/>
      </c>
      <c r="E186" s="364" t="str">
        <f>'5-0 Товары'!E186</f>
        <v/>
      </c>
      <c r="F186" s="380"/>
      <c r="G186" s="380"/>
      <c r="H186" s="364" t="str">
        <f>'5-0 Товары'!F186</f>
        <v/>
      </c>
      <c r="I186" s="391"/>
      <c r="J186" s="364" t="str">
        <f>'5-0 Товары'!G186</f>
        <v/>
      </c>
      <c r="K186" s="366" t="str">
        <f>'5-0 Товары'!H186</f>
        <v/>
      </c>
      <c r="L186" s="382" t="str">
        <f t="shared" si="1"/>
        <v/>
      </c>
      <c r="M186" s="382"/>
      <c r="N186" s="380"/>
      <c r="O186" s="369" t="str">
        <f>'5-0 Товары'!I186</f>
        <v/>
      </c>
      <c r="P186" s="371" t="str">
        <f>'5-0 Товары'!N186</f>
        <v/>
      </c>
      <c r="Q186" s="197"/>
      <c r="R186" s="193"/>
      <c r="S186" s="187"/>
      <c r="T186" s="187"/>
      <c r="U186" s="187"/>
      <c r="V186" s="187"/>
      <c r="W186" s="187"/>
      <c r="X186" s="187"/>
      <c r="Y186" s="187" t="s">
        <v>96</v>
      </c>
      <c r="Z186" s="193" t="str">
        <f t="shared" si="2"/>
        <v/>
      </c>
      <c r="AA186" s="383"/>
      <c r="AB186" s="384"/>
      <c r="AC186" s="385"/>
      <c r="AD186" s="383"/>
      <c r="AE186" s="384"/>
      <c r="AF186" s="385"/>
      <c r="AG186" s="383"/>
      <c r="AH186" s="384"/>
      <c r="AI186" s="385"/>
      <c r="AJ186" s="383"/>
      <c r="AK186" s="384"/>
      <c r="AL186" s="385"/>
      <c r="AM186" s="383"/>
      <c r="AN186" s="384"/>
      <c r="AO186" s="385"/>
      <c r="AP186" s="383"/>
      <c r="AQ186" s="384"/>
      <c r="AR186" s="385"/>
      <c r="AS186" s="383"/>
      <c r="AT186" s="384"/>
      <c r="AU186" s="385"/>
      <c r="AV186" s="383"/>
      <c r="AW186" s="384"/>
      <c r="AX186" s="385"/>
      <c r="AY186" s="383"/>
      <c r="AZ186" s="384"/>
      <c r="BA186" s="385"/>
      <c r="BB186" s="386"/>
      <c r="BC186" s="387"/>
      <c r="BD186" s="388"/>
      <c r="BE186" s="386"/>
      <c r="BF186" s="387"/>
      <c r="BG186" s="388"/>
      <c r="BH186" s="386"/>
      <c r="BI186" s="387"/>
      <c r="BJ186" s="388"/>
      <c r="BK186" s="386"/>
      <c r="BL186" s="387"/>
      <c r="BM186" s="388"/>
      <c r="BN186" s="386"/>
      <c r="BO186" s="387"/>
      <c r="BP186" s="388"/>
      <c r="BQ186" s="386"/>
      <c r="BR186" s="387"/>
      <c r="BS186" s="388"/>
      <c r="BT186" s="386"/>
      <c r="BU186" s="387"/>
      <c r="BV186" s="388"/>
      <c r="BW186" s="386"/>
      <c r="BX186" s="387"/>
      <c r="BY186" s="388"/>
      <c r="BZ186" s="386"/>
      <c r="CA186" s="387"/>
      <c r="CB186" s="388"/>
      <c r="CC186" s="386"/>
      <c r="CD186" s="387"/>
      <c r="CE186" s="388"/>
      <c r="CF186" s="386"/>
      <c r="CG186" s="387"/>
      <c r="CH186" s="388"/>
      <c r="CI186" s="386"/>
      <c r="CJ186" s="387"/>
      <c r="CK186" s="388"/>
      <c r="CL186" s="386"/>
      <c r="CM186" s="387"/>
      <c r="CN186" s="388"/>
      <c r="CO186" s="386"/>
      <c r="CP186" s="387"/>
      <c r="CQ186" s="388"/>
      <c r="CR186" s="386"/>
      <c r="CS186" s="387"/>
      <c r="CT186" s="388"/>
      <c r="CU186" s="386"/>
      <c r="CV186" s="387"/>
      <c r="CW186" s="388"/>
      <c r="CX186" s="386"/>
      <c r="CY186" s="387"/>
      <c r="CZ186" s="388"/>
    </row>
    <row r="187">
      <c r="A187" s="1"/>
      <c r="B187" s="402"/>
      <c r="C187" s="362" t="str">
        <f>'5-0 Товары'!C187</f>
        <v/>
      </c>
      <c r="D187" s="363" t="str">
        <f>'5-0 Товары'!D187</f>
        <v/>
      </c>
      <c r="E187" s="364" t="str">
        <f>'5-0 Товары'!E187</f>
        <v/>
      </c>
      <c r="F187" s="380"/>
      <c r="G187" s="380"/>
      <c r="H187" s="364" t="str">
        <f>'5-0 Товары'!F187</f>
        <v/>
      </c>
      <c r="I187" s="391"/>
      <c r="J187" s="364" t="str">
        <f>'5-0 Товары'!G187</f>
        <v/>
      </c>
      <c r="K187" s="366" t="str">
        <f>'5-0 Товары'!H187</f>
        <v/>
      </c>
      <c r="L187" s="382" t="str">
        <f t="shared" si="1"/>
        <v/>
      </c>
      <c r="M187" s="382"/>
      <c r="N187" s="380"/>
      <c r="O187" s="369" t="str">
        <f>'5-0 Товары'!I187</f>
        <v/>
      </c>
      <c r="P187" s="371" t="str">
        <f>'5-0 Товары'!N187</f>
        <v/>
      </c>
      <c r="Q187" s="197"/>
      <c r="R187" s="193"/>
      <c r="S187" s="187"/>
      <c r="T187" s="187"/>
      <c r="U187" s="187"/>
      <c r="V187" s="187"/>
      <c r="W187" s="187"/>
      <c r="X187" s="187"/>
      <c r="Y187" s="187" t="s">
        <v>96</v>
      </c>
      <c r="Z187" s="193" t="str">
        <f t="shared" si="2"/>
        <v/>
      </c>
      <c r="AA187" s="383"/>
      <c r="AB187" s="384"/>
      <c r="AC187" s="385"/>
      <c r="AD187" s="383"/>
      <c r="AE187" s="384"/>
      <c r="AF187" s="385"/>
      <c r="AG187" s="383"/>
      <c r="AH187" s="384"/>
      <c r="AI187" s="385"/>
      <c r="AJ187" s="383"/>
      <c r="AK187" s="384"/>
      <c r="AL187" s="385"/>
      <c r="AM187" s="383"/>
      <c r="AN187" s="384"/>
      <c r="AO187" s="385"/>
      <c r="AP187" s="383"/>
      <c r="AQ187" s="384"/>
      <c r="AR187" s="385"/>
      <c r="AS187" s="383"/>
      <c r="AT187" s="384"/>
      <c r="AU187" s="385"/>
      <c r="AV187" s="383"/>
      <c r="AW187" s="384"/>
      <c r="AX187" s="385"/>
      <c r="AY187" s="383"/>
      <c r="AZ187" s="384"/>
      <c r="BA187" s="385"/>
      <c r="BB187" s="386"/>
      <c r="BC187" s="387"/>
      <c r="BD187" s="388"/>
      <c r="BE187" s="386"/>
      <c r="BF187" s="387"/>
      <c r="BG187" s="388"/>
      <c r="BH187" s="386"/>
      <c r="BI187" s="387"/>
      <c r="BJ187" s="388"/>
      <c r="BK187" s="386"/>
      <c r="BL187" s="387"/>
      <c r="BM187" s="388"/>
      <c r="BN187" s="386"/>
      <c r="BO187" s="387"/>
      <c r="BP187" s="388"/>
      <c r="BQ187" s="386"/>
      <c r="BR187" s="387"/>
      <c r="BS187" s="388"/>
      <c r="BT187" s="386"/>
      <c r="BU187" s="387"/>
      <c r="BV187" s="388"/>
      <c r="BW187" s="386"/>
      <c r="BX187" s="387"/>
      <c r="BY187" s="388"/>
      <c r="BZ187" s="386"/>
      <c r="CA187" s="387"/>
      <c r="CB187" s="388"/>
      <c r="CC187" s="386"/>
      <c r="CD187" s="387"/>
      <c r="CE187" s="388"/>
      <c r="CF187" s="386"/>
      <c r="CG187" s="387"/>
      <c r="CH187" s="388"/>
      <c r="CI187" s="386"/>
      <c r="CJ187" s="387"/>
      <c r="CK187" s="388"/>
      <c r="CL187" s="386"/>
      <c r="CM187" s="387"/>
      <c r="CN187" s="388"/>
      <c r="CO187" s="386"/>
      <c r="CP187" s="387"/>
      <c r="CQ187" s="388"/>
      <c r="CR187" s="386"/>
      <c r="CS187" s="387"/>
      <c r="CT187" s="388"/>
      <c r="CU187" s="386"/>
      <c r="CV187" s="387"/>
      <c r="CW187" s="388"/>
      <c r="CX187" s="386"/>
      <c r="CY187" s="387"/>
      <c r="CZ187" s="388"/>
    </row>
    <row r="188">
      <c r="A188" s="1"/>
      <c r="B188" s="402"/>
      <c r="C188" s="362" t="str">
        <f>'5-0 Товары'!C188</f>
        <v/>
      </c>
      <c r="D188" s="363" t="str">
        <f>'5-0 Товары'!D188</f>
        <v/>
      </c>
      <c r="E188" s="364" t="str">
        <f>'5-0 Товары'!E188</f>
        <v/>
      </c>
      <c r="F188" s="380"/>
      <c r="G188" s="380"/>
      <c r="H188" s="364" t="str">
        <f>'5-0 Товары'!F188</f>
        <v/>
      </c>
      <c r="I188" s="391"/>
      <c r="J188" s="364" t="str">
        <f>'5-0 Товары'!G188</f>
        <v/>
      </c>
      <c r="K188" s="366" t="str">
        <f>'5-0 Товары'!H188</f>
        <v/>
      </c>
      <c r="L188" s="382" t="str">
        <f t="shared" si="1"/>
        <v/>
      </c>
      <c r="M188" s="382"/>
      <c r="N188" s="380"/>
      <c r="O188" s="369" t="str">
        <f>'5-0 Товары'!I188</f>
        <v/>
      </c>
      <c r="P188" s="371" t="str">
        <f>'5-0 Товары'!N188</f>
        <v/>
      </c>
      <c r="Q188" s="197"/>
      <c r="R188" s="193"/>
      <c r="S188" s="187"/>
      <c r="T188" s="187"/>
      <c r="U188" s="187"/>
      <c r="V188" s="187"/>
      <c r="W188" s="187"/>
      <c r="X188" s="187"/>
      <c r="Y188" s="187" t="s">
        <v>96</v>
      </c>
      <c r="Z188" s="193" t="str">
        <f t="shared" si="2"/>
        <v/>
      </c>
      <c r="AA188" s="383"/>
      <c r="AB188" s="384"/>
      <c r="AC188" s="385"/>
      <c r="AD188" s="383"/>
      <c r="AE188" s="384"/>
      <c r="AF188" s="385"/>
      <c r="AG188" s="383"/>
      <c r="AH188" s="384"/>
      <c r="AI188" s="385"/>
      <c r="AJ188" s="383"/>
      <c r="AK188" s="384"/>
      <c r="AL188" s="385"/>
      <c r="AM188" s="383"/>
      <c r="AN188" s="384"/>
      <c r="AO188" s="385"/>
      <c r="AP188" s="383"/>
      <c r="AQ188" s="384"/>
      <c r="AR188" s="385"/>
      <c r="AS188" s="383"/>
      <c r="AT188" s="384"/>
      <c r="AU188" s="385"/>
      <c r="AV188" s="383"/>
      <c r="AW188" s="384"/>
      <c r="AX188" s="385"/>
      <c r="AY188" s="383"/>
      <c r="AZ188" s="384"/>
      <c r="BA188" s="385"/>
      <c r="BB188" s="386"/>
      <c r="BC188" s="387"/>
      <c r="BD188" s="388"/>
      <c r="BE188" s="386"/>
      <c r="BF188" s="387"/>
      <c r="BG188" s="388"/>
      <c r="BH188" s="386"/>
      <c r="BI188" s="387"/>
      <c r="BJ188" s="388"/>
      <c r="BK188" s="386"/>
      <c r="BL188" s="387"/>
      <c r="BM188" s="388"/>
      <c r="BN188" s="386"/>
      <c r="BO188" s="387"/>
      <c r="BP188" s="388"/>
      <c r="BQ188" s="386"/>
      <c r="BR188" s="387"/>
      <c r="BS188" s="388"/>
      <c r="BT188" s="386"/>
      <c r="BU188" s="387"/>
      <c r="BV188" s="388"/>
      <c r="BW188" s="386"/>
      <c r="BX188" s="387"/>
      <c r="BY188" s="388"/>
      <c r="BZ188" s="386"/>
      <c r="CA188" s="387"/>
      <c r="CB188" s="388"/>
      <c r="CC188" s="386"/>
      <c r="CD188" s="387"/>
      <c r="CE188" s="388"/>
      <c r="CF188" s="386"/>
      <c r="CG188" s="387"/>
      <c r="CH188" s="388"/>
      <c r="CI188" s="386"/>
      <c r="CJ188" s="387"/>
      <c r="CK188" s="388"/>
      <c r="CL188" s="386"/>
      <c r="CM188" s="387"/>
      <c r="CN188" s="388"/>
      <c r="CO188" s="386"/>
      <c r="CP188" s="387"/>
      <c r="CQ188" s="388"/>
      <c r="CR188" s="386"/>
      <c r="CS188" s="387"/>
      <c r="CT188" s="388"/>
      <c r="CU188" s="386"/>
      <c r="CV188" s="387"/>
      <c r="CW188" s="388"/>
      <c r="CX188" s="386"/>
      <c r="CY188" s="387"/>
      <c r="CZ188" s="388"/>
    </row>
    <row r="189">
      <c r="A189" s="1"/>
      <c r="B189" s="402"/>
      <c r="C189" s="362" t="str">
        <f>'5-0 Товары'!C189</f>
        <v/>
      </c>
      <c r="D189" s="363" t="str">
        <f>'5-0 Товары'!D189</f>
        <v/>
      </c>
      <c r="E189" s="364" t="str">
        <f>'5-0 Товары'!E189</f>
        <v/>
      </c>
      <c r="F189" s="380"/>
      <c r="G189" s="380"/>
      <c r="H189" s="364" t="str">
        <f>'5-0 Товары'!F189</f>
        <v/>
      </c>
      <c r="I189" s="391"/>
      <c r="J189" s="364" t="str">
        <f>'5-0 Товары'!G189</f>
        <v/>
      </c>
      <c r="K189" s="366" t="str">
        <f>'5-0 Товары'!H189</f>
        <v/>
      </c>
      <c r="L189" s="382" t="str">
        <f t="shared" si="1"/>
        <v/>
      </c>
      <c r="M189" s="382"/>
      <c r="N189" s="380"/>
      <c r="O189" s="369" t="str">
        <f>'5-0 Товары'!I189</f>
        <v/>
      </c>
      <c r="P189" s="371" t="str">
        <f>'5-0 Товары'!N189</f>
        <v/>
      </c>
      <c r="Q189" s="197"/>
      <c r="R189" s="193"/>
      <c r="S189" s="187"/>
      <c r="T189" s="187"/>
      <c r="U189" s="187"/>
      <c r="V189" s="187"/>
      <c r="W189" s="187"/>
      <c r="X189" s="187"/>
      <c r="Y189" s="187" t="s">
        <v>96</v>
      </c>
      <c r="Z189" s="193" t="str">
        <f t="shared" si="2"/>
        <v/>
      </c>
      <c r="AA189" s="383"/>
      <c r="AB189" s="384"/>
      <c r="AC189" s="385"/>
      <c r="AD189" s="383"/>
      <c r="AE189" s="384"/>
      <c r="AF189" s="385"/>
      <c r="AG189" s="383"/>
      <c r="AH189" s="384"/>
      <c r="AI189" s="385"/>
      <c r="AJ189" s="383"/>
      <c r="AK189" s="384"/>
      <c r="AL189" s="385"/>
      <c r="AM189" s="383"/>
      <c r="AN189" s="384"/>
      <c r="AO189" s="385"/>
      <c r="AP189" s="383"/>
      <c r="AQ189" s="384"/>
      <c r="AR189" s="385"/>
      <c r="AS189" s="383"/>
      <c r="AT189" s="384"/>
      <c r="AU189" s="385"/>
      <c r="AV189" s="383"/>
      <c r="AW189" s="384"/>
      <c r="AX189" s="385"/>
      <c r="AY189" s="383"/>
      <c r="AZ189" s="384"/>
      <c r="BA189" s="385"/>
      <c r="BB189" s="386"/>
      <c r="BC189" s="387"/>
      <c r="BD189" s="388"/>
      <c r="BE189" s="386"/>
      <c r="BF189" s="387"/>
      <c r="BG189" s="388"/>
      <c r="BH189" s="386"/>
      <c r="BI189" s="387"/>
      <c r="BJ189" s="388"/>
      <c r="BK189" s="386"/>
      <c r="BL189" s="387"/>
      <c r="BM189" s="388"/>
      <c r="BN189" s="386"/>
      <c r="BO189" s="387"/>
      <c r="BP189" s="388"/>
      <c r="BQ189" s="386"/>
      <c r="BR189" s="387"/>
      <c r="BS189" s="388"/>
      <c r="BT189" s="386"/>
      <c r="BU189" s="387"/>
      <c r="BV189" s="388"/>
      <c r="BW189" s="386"/>
      <c r="BX189" s="387"/>
      <c r="BY189" s="388"/>
      <c r="BZ189" s="386"/>
      <c r="CA189" s="387"/>
      <c r="CB189" s="388"/>
      <c r="CC189" s="386"/>
      <c r="CD189" s="387"/>
      <c r="CE189" s="388"/>
      <c r="CF189" s="386"/>
      <c r="CG189" s="387"/>
      <c r="CH189" s="388"/>
      <c r="CI189" s="386"/>
      <c r="CJ189" s="387"/>
      <c r="CK189" s="388"/>
      <c r="CL189" s="386"/>
      <c r="CM189" s="387"/>
      <c r="CN189" s="388"/>
      <c r="CO189" s="386"/>
      <c r="CP189" s="387"/>
      <c r="CQ189" s="388"/>
      <c r="CR189" s="386"/>
      <c r="CS189" s="387"/>
      <c r="CT189" s="388"/>
      <c r="CU189" s="386"/>
      <c r="CV189" s="387"/>
      <c r="CW189" s="388"/>
      <c r="CX189" s="386"/>
      <c r="CY189" s="387"/>
      <c r="CZ189" s="388"/>
    </row>
    <row r="190">
      <c r="A190" s="1"/>
      <c r="B190" s="402"/>
      <c r="C190" s="362" t="str">
        <f>'5-0 Товары'!C190</f>
        <v/>
      </c>
      <c r="D190" s="363" t="str">
        <f>'5-0 Товары'!D190</f>
        <v/>
      </c>
      <c r="E190" s="364" t="str">
        <f>'5-0 Товары'!E190</f>
        <v/>
      </c>
      <c r="F190" s="380"/>
      <c r="G190" s="380"/>
      <c r="H190" s="364" t="str">
        <f>'5-0 Товары'!F190</f>
        <v/>
      </c>
      <c r="I190" s="391"/>
      <c r="J190" s="364" t="str">
        <f>'5-0 Товары'!G190</f>
        <v/>
      </c>
      <c r="K190" s="366" t="str">
        <f>'5-0 Товары'!H190</f>
        <v/>
      </c>
      <c r="L190" s="382" t="str">
        <f t="shared" si="1"/>
        <v/>
      </c>
      <c r="M190" s="382"/>
      <c r="N190" s="380"/>
      <c r="O190" s="369" t="str">
        <f>'5-0 Товары'!I190</f>
        <v/>
      </c>
      <c r="P190" s="371" t="str">
        <f>'5-0 Товары'!N190</f>
        <v/>
      </c>
      <c r="Q190" s="197"/>
      <c r="R190" s="193"/>
      <c r="S190" s="187"/>
      <c r="T190" s="187"/>
      <c r="U190" s="187"/>
      <c r="V190" s="187"/>
      <c r="W190" s="187"/>
      <c r="X190" s="187"/>
      <c r="Y190" s="187" t="s">
        <v>96</v>
      </c>
      <c r="Z190" s="193" t="str">
        <f t="shared" si="2"/>
        <v/>
      </c>
      <c r="AA190" s="383"/>
      <c r="AB190" s="384"/>
      <c r="AC190" s="385"/>
      <c r="AD190" s="383"/>
      <c r="AE190" s="384"/>
      <c r="AF190" s="385"/>
      <c r="AG190" s="383"/>
      <c r="AH190" s="384"/>
      <c r="AI190" s="385"/>
      <c r="AJ190" s="383"/>
      <c r="AK190" s="384"/>
      <c r="AL190" s="385"/>
      <c r="AM190" s="383"/>
      <c r="AN190" s="384"/>
      <c r="AO190" s="385"/>
      <c r="AP190" s="383"/>
      <c r="AQ190" s="384"/>
      <c r="AR190" s="385"/>
      <c r="AS190" s="383"/>
      <c r="AT190" s="384"/>
      <c r="AU190" s="385"/>
      <c r="AV190" s="383"/>
      <c r="AW190" s="384"/>
      <c r="AX190" s="385"/>
      <c r="AY190" s="383"/>
      <c r="AZ190" s="384"/>
      <c r="BA190" s="385"/>
      <c r="BB190" s="386"/>
      <c r="BC190" s="387"/>
      <c r="BD190" s="388"/>
      <c r="BE190" s="386"/>
      <c r="BF190" s="387"/>
      <c r="BG190" s="388"/>
      <c r="BH190" s="386"/>
      <c r="BI190" s="387"/>
      <c r="BJ190" s="388"/>
      <c r="BK190" s="386"/>
      <c r="BL190" s="387"/>
      <c r="BM190" s="388"/>
      <c r="BN190" s="386"/>
      <c r="BO190" s="387"/>
      <c r="BP190" s="388"/>
      <c r="BQ190" s="386"/>
      <c r="BR190" s="387"/>
      <c r="BS190" s="388"/>
      <c r="BT190" s="386"/>
      <c r="BU190" s="387"/>
      <c r="BV190" s="388"/>
      <c r="BW190" s="386"/>
      <c r="BX190" s="387"/>
      <c r="BY190" s="388"/>
      <c r="BZ190" s="386"/>
      <c r="CA190" s="387"/>
      <c r="CB190" s="388"/>
      <c r="CC190" s="386"/>
      <c r="CD190" s="387"/>
      <c r="CE190" s="388"/>
      <c r="CF190" s="386"/>
      <c r="CG190" s="387"/>
      <c r="CH190" s="388"/>
      <c r="CI190" s="386"/>
      <c r="CJ190" s="387"/>
      <c r="CK190" s="388"/>
      <c r="CL190" s="386"/>
      <c r="CM190" s="387"/>
      <c r="CN190" s="388"/>
      <c r="CO190" s="386"/>
      <c r="CP190" s="387"/>
      <c r="CQ190" s="388"/>
      <c r="CR190" s="386"/>
      <c r="CS190" s="387"/>
      <c r="CT190" s="388"/>
      <c r="CU190" s="386"/>
      <c r="CV190" s="387"/>
      <c r="CW190" s="388"/>
      <c r="CX190" s="386"/>
      <c r="CY190" s="387"/>
      <c r="CZ190" s="388"/>
    </row>
    <row r="191">
      <c r="A191" s="1"/>
      <c r="B191" s="402"/>
      <c r="C191" s="362" t="str">
        <f>'5-0 Товары'!C191</f>
        <v/>
      </c>
      <c r="D191" s="363" t="str">
        <f>'5-0 Товары'!D191</f>
        <v/>
      </c>
      <c r="E191" s="364" t="str">
        <f>'5-0 Товары'!E191</f>
        <v/>
      </c>
      <c r="F191" s="380"/>
      <c r="G191" s="380"/>
      <c r="H191" s="364" t="str">
        <f>'5-0 Товары'!F191</f>
        <v/>
      </c>
      <c r="I191" s="391"/>
      <c r="J191" s="364" t="str">
        <f>'5-0 Товары'!G191</f>
        <v/>
      </c>
      <c r="K191" s="366" t="str">
        <f>'5-0 Товары'!H191</f>
        <v/>
      </c>
      <c r="L191" s="382" t="str">
        <f t="shared" si="1"/>
        <v/>
      </c>
      <c r="M191" s="382"/>
      <c r="N191" s="380"/>
      <c r="O191" s="369" t="str">
        <f>'5-0 Товары'!I191</f>
        <v/>
      </c>
      <c r="P191" s="371" t="str">
        <f>'5-0 Товары'!N191</f>
        <v/>
      </c>
      <c r="Q191" s="197"/>
      <c r="R191" s="193"/>
      <c r="S191" s="187"/>
      <c r="T191" s="187"/>
      <c r="U191" s="187"/>
      <c r="V191" s="187"/>
      <c r="W191" s="187"/>
      <c r="X191" s="187"/>
      <c r="Y191" s="187" t="s">
        <v>96</v>
      </c>
      <c r="Z191" s="193" t="str">
        <f t="shared" si="2"/>
        <v/>
      </c>
      <c r="AA191" s="383"/>
      <c r="AB191" s="384"/>
      <c r="AC191" s="385"/>
      <c r="AD191" s="383"/>
      <c r="AE191" s="384"/>
      <c r="AF191" s="385"/>
      <c r="AG191" s="383"/>
      <c r="AH191" s="384"/>
      <c r="AI191" s="385"/>
      <c r="AJ191" s="383"/>
      <c r="AK191" s="384"/>
      <c r="AL191" s="385"/>
      <c r="AM191" s="383"/>
      <c r="AN191" s="384"/>
      <c r="AO191" s="385"/>
      <c r="AP191" s="383"/>
      <c r="AQ191" s="384"/>
      <c r="AR191" s="385"/>
      <c r="AS191" s="383"/>
      <c r="AT191" s="384"/>
      <c r="AU191" s="385"/>
      <c r="AV191" s="383"/>
      <c r="AW191" s="384"/>
      <c r="AX191" s="385"/>
      <c r="AY191" s="383"/>
      <c r="AZ191" s="384"/>
      <c r="BA191" s="385"/>
      <c r="BB191" s="386"/>
      <c r="BC191" s="387"/>
      <c r="BD191" s="388"/>
      <c r="BE191" s="386"/>
      <c r="BF191" s="387"/>
      <c r="BG191" s="388"/>
      <c r="BH191" s="386"/>
      <c r="BI191" s="387"/>
      <c r="BJ191" s="388"/>
      <c r="BK191" s="386"/>
      <c r="BL191" s="387"/>
      <c r="BM191" s="388"/>
      <c r="BN191" s="386"/>
      <c r="BO191" s="387"/>
      <c r="BP191" s="388"/>
      <c r="BQ191" s="386"/>
      <c r="BR191" s="387"/>
      <c r="BS191" s="388"/>
      <c r="BT191" s="386"/>
      <c r="BU191" s="387"/>
      <c r="BV191" s="388"/>
      <c r="BW191" s="386"/>
      <c r="BX191" s="387"/>
      <c r="BY191" s="388"/>
      <c r="BZ191" s="386"/>
      <c r="CA191" s="387"/>
      <c r="CB191" s="388"/>
      <c r="CC191" s="386"/>
      <c r="CD191" s="387"/>
      <c r="CE191" s="388"/>
      <c r="CF191" s="386"/>
      <c r="CG191" s="387"/>
      <c r="CH191" s="388"/>
      <c r="CI191" s="386"/>
      <c r="CJ191" s="387"/>
      <c r="CK191" s="388"/>
      <c r="CL191" s="386"/>
      <c r="CM191" s="387"/>
      <c r="CN191" s="388"/>
      <c r="CO191" s="386"/>
      <c r="CP191" s="387"/>
      <c r="CQ191" s="388"/>
      <c r="CR191" s="386"/>
      <c r="CS191" s="387"/>
      <c r="CT191" s="388"/>
      <c r="CU191" s="386"/>
      <c r="CV191" s="387"/>
      <c r="CW191" s="388"/>
      <c r="CX191" s="386"/>
      <c r="CY191" s="387"/>
      <c r="CZ191" s="388"/>
    </row>
    <row r="192">
      <c r="A192" s="1"/>
      <c r="B192" s="402"/>
      <c r="C192" s="362" t="str">
        <f>'5-0 Товары'!C192</f>
        <v/>
      </c>
      <c r="D192" s="363" t="str">
        <f>'5-0 Товары'!D192</f>
        <v/>
      </c>
      <c r="E192" s="364" t="str">
        <f>'5-0 Товары'!E192</f>
        <v/>
      </c>
      <c r="F192" s="380"/>
      <c r="G192" s="380"/>
      <c r="H192" s="364" t="str">
        <f>'5-0 Товары'!F192</f>
        <v/>
      </c>
      <c r="I192" s="391"/>
      <c r="J192" s="364" t="str">
        <f>'5-0 Товары'!G192</f>
        <v/>
      </c>
      <c r="K192" s="366" t="str">
        <f>'5-0 Товары'!H192</f>
        <v/>
      </c>
      <c r="L192" s="382" t="str">
        <f t="shared" si="1"/>
        <v/>
      </c>
      <c r="M192" s="382"/>
      <c r="N192" s="380"/>
      <c r="O192" s="369" t="str">
        <f>'5-0 Товары'!I192</f>
        <v/>
      </c>
      <c r="P192" s="371" t="str">
        <f>'5-0 Товары'!N192</f>
        <v/>
      </c>
      <c r="Q192" s="197"/>
      <c r="R192" s="193"/>
      <c r="S192" s="187"/>
      <c r="T192" s="187"/>
      <c r="U192" s="187"/>
      <c r="V192" s="187"/>
      <c r="W192" s="187"/>
      <c r="X192" s="187"/>
      <c r="Y192" s="187" t="s">
        <v>96</v>
      </c>
      <c r="Z192" s="193" t="str">
        <f t="shared" si="2"/>
        <v/>
      </c>
      <c r="AA192" s="383"/>
      <c r="AB192" s="384"/>
      <c r="AC192" s="385"/>
      <c r="AD192" s="383"/>
      <c r="AE192" s="384"/>
      <c r="AF192" s="385"/>
      <c r="AG192" s="383"/>
      <c r="AH192" s="384"/>
      <c r="AI192" s="385"/>
      <c r="AJ192" s="383"/>
      <c r="AK192" s="384"/>
      <c r="AL192" s="385"/>
      <c r="AM192" s="383"/>
      <c r="AN192" s="384"/>
      <c r="AO192" s="385"/>
      <c r="AP192" s="383"/>
      <c r="AQ192" s="384"/>
      <c r="AR192" s="385"/>
      <c r="AS192" s="383"/>
      <c r="AT192" s="384"/>
      <c r="AU192" s="385"/>
      <c r="AV192" s="383"/>
      <c r="AW192" s="384"/>
      <c r="AX192" s="385"/>
      <c r="AY192" s="383"/>
      <c r="AZ192" s="384"/>
      <c r="BA192" s="385"/>
      <c r="BB192" s="386"/>
      <c r="BC192" s="387"/>
      <c r="BD192" s="388"/>
      <c r="BE192" s="386"/>
      <c r="BF192" s="387"/>
      <c r="BG192" s="388"/>
      <c r="BH192" s="386"/>
      <c r="BI192" s="387"/>
      <c r="BJ192" s="388"/>
      <c r="BK192" s="386"/>
      <c r="BL192" s="387"/>
      <c r="BM192" s="388"/>
      <c r="BN192" s="386"/>
      <c r="BO192" s="387"/>
      <c r="BP192" s="388"/>
      <c r="BQ192" s="386"/>
      <c r="BR192" s="387"/>
      <c r="BS192" s="388"/>
      <c r="BT192" s="386"/>
      <c r="BU192" s="387"/>
      <c r="BV192" s="388"/>
      <c r="BW192" s="386"/>
      <c r="BX192" s="387"/>
      <c r="BY192" s="388"/>
      <c r="BZ192" s="386"/>
      <c r="CA192" s="387"/>
      <c r="CB192" s="388"/>
      <c r="CC192" s="386"/>
      <c r="CD192" s="387"/>
      <c r="CE192" s="388"/>
      <c r="CF192" s="386"/>
      <c r="CG192" s="387"/>
      <c r="CH192" s="388"/>
      <c r="CI192" s="386"/>
      <c r="CJ192" s="387"/>
      <c r="CK192" s="388"/>
      <c r="CL192" s="386"/>
      <c r="CM192" s="387"/>
      <c r="CN192" s="388"/>
      <c r="CO192" s="386"/>
      <c r="CP192" s="387"/>
      <c r="CQ192" s="388"/>
      <c r="CR192" s="386"/>
      <c r="CS192" s="387"/>
      <c r="CT192" s="388"/>
      <c r="CU192" s="386"/>
      <c r="CV192" s="387"/>
      <c r="CW192" s="388"/>
      <c r="CX192" s="386"/>
      <c r="CY192" s="387"/>
      <c r="CZ192" s="388"/>
    </row>
    <row r="193">
      <c r="A193" s="1"/>
      <c r="B193" s="402"/>
      <c r="C193" s="362" t="str">
        <f>'5-0 Товары'!C193</f>
        <v/>
      </c>
      <c r="D193" s="363" t="str">
        <f>'5-0 Товары'!D193</f>
        <v/>
      </c>
      <c r="E193" s="364" t="str">
        <f>'5-0 Товары'!E193</f>
        <v/>
      </c>
      <c r="F193" s="380"/>
      <c r="G193" s="380"/>
      <c r="H193" s="364" t="str">
        <f>'5-0 Товары'!F193</f>
        <v/>
      </c>
      <c r="I193" s="391"/>
      <c r="J193" s="364" t="str">
        <f>'5-0 Товары'!G193</f>
        <v/>
      </c>
      <c r="K193" s="366" t="str">
        <f>'5-0 Товары'!H193</f>
        <v/>
      </c>
      <c r="L193" s="382" t="str">
        <f t="shared" si="1"/>
        <v/>
      </c>
      <c r="M193" s="382"/>
      <c r="N193" s="380"/>
      <c r="O193" s="369" t="str">
        <f>'5-0 Товары'!I193</f>
        <v/>
      </c>
      <c r="P193" s="371" t="str">
        <f>'5-0 Товары'!N193</f>
        <v/>
      </c>
      <c r="Q193" s="197"/>
      <c r="R193" s="193"/>
      <c r="S193" s="187"/>
      <c r="T193" s="187"/>
      <c r="U193" s="187"/>
      <c r="V193" s="187"/>
      <c r="W193" s="187"/>
      <c r="X193" s="187"/>
      <c r="Y193" s="187" t="s">
        <v>96</v>
      </c>
      <c r="Z193" s="193" t="str">
        <f t="shared" si="2"/>
        <v/>
      </c>
      <c r="AA193" s="383"/>
      <c r="AB193" s="384"/>
      <c r="AC193" s="385"/>
      <c r="AD193" s="383"/>
      <c r="AE193" s="384"/>
      <c r="AF193" s="385"/>
      <c r="AG193" s="383"/>
      <c r="AH193" s="384"/>
      <c r="AI193" s="385"/>
      <c r="AJ193" s="383"/>
      <c r="AK193" s="384"/>
      <c r="AL193" s="385"/>
      <c r="AM193" s="383"/>
      <c r="AN193" s="384"/>
      <c r="AO193" s="385"/>
      <c r="AP193" s="383"/>
      <c r="AQ193" s="384"/>
      <c r="AR193" s="385"/>
      <c r="AS193" s="383"/>
      <c r="AT193" s="384"/>
      <c r="AU193" s="385"/>
      <c r="AV193" s="383"/>
      <c r="AW193" s="384"/>
      <c r="AX193" s="385"/>
      <c r="AY193" s="383"/>
      <c r="AZ193" s="384"/>
      <c r="BA193" s="385"/>
      <c r="BB193" s="386"/>
      <c r="BC193" s="387"/>
      <c r="BD193" s="388"/>
      <c r="BE193" s="386"/>
      <c r="BF193" s="387"/>
      <c r="BG193" s="388"/>
      <c r="BH193" s="386"/>
      <c r="BI193" s="387"/>
      <c r="BJ193" s="388"/>
      <c r="BK193" s="386"/>
      <c r="BL193" s="387"/>
      <c r="BM193" s="388"/>
      <c r="BN193" s="386"/>
      <c r="BO193" s="387"/>
      <c r="BP193" s="388"/>
      <c r="BQ193" s="386"/>
      <c r="BR193" s="387"/>
      <c r="BS193" s="388"/>
      <c r="BT193" s="386"/>
      <c r="BU193" s="387"/>
      <c r="BV193" s="388"/>
      <c r="BW193" s="386"/>
      <c r="BX193" s="387"/>
      <c r="BY193" s="388"/>
      <c r="BZ193" s="386"/>
      <c r="CA193" s="387"/>
      <c r="CB193" s="388"/>
      <c r="CC193" s="386"/>
      <c r="CD193" s="387"/>
      <c r="CE193" s="388"/>
      <c r="CF193" s="386"/>
      <c r="CG193" s="387"/>
      <c r="CH193" s="388"/>
      <c r="CI193" s="386"/>
      <c r="CJ193" s="387"/>
      <c r="CK193" s="388"/>
      <c r="CL193" s="386"/>
      <c r="CM193" s="387"/>
      <c r="CN193" s="388"/>
      <c r="CO193" s="386"/>
      <c r="CP193" s="387"/>
      <c r="CQ193" s="388"/>
      <c r="CR193" s="386"/>
      <c r="CS193" s="387"/>
      <c r="CT193" s="388"/>
      <c r="CU193" s="386"/>
      <c r="CV193" s="387"/>
      <c r="CW193" s="388"/>
      <c r="CX193" s="386"/>
      <c r="CY193" s="387"/>
      <c r="CZ193" s="388"/>
    </row>
    <row r="194">
      <c r="A194" s="1"/>
      <c r="B194" s="402"/>
      <c r="C194" s="362" t="str">
        <f>'5-0 Товары'!C194</f>
        <v/>
      </c>
      <c r="D194" s="363" t="str">
        <f>'5-0 Товары'!D194</f>
        <v/>
      </c>
      <c r="E194" s="364" t="str">
        <f>'5-0 Товары'!E194</f>
        <v/>
      </c>
      <c r="F194" s="380"/>
      <c r="G194" s="380"/>
      <c r="H194" s="364" t="str">
        <f>'5-0 Товары'!F194</f>
        <v/>
      </c>
      <c r="I194" s="391"/>
      <c r="J194" s="364" t="str">
        <f>'5-0 Товары'!G194</f>
        <v/>
      </c>
      <c r="K194" s="366" t="str">
        <f>'5-0 Товары'!H194</f>
        <v/>
      </c>
      <c r="L194" s="382" t="str">
        <f t="shared" si="1"/>
        <v/>
      </c>
      <c r="M194" s="382"/>
      <c r="N194" s="380"/>
      <c r="O194" s="369" t="str">
        <f>'5-0 Товары'!I194</f>
        <v/>
      </c>
      <c r="P194" s="371" t="str">
        <f>'5-0 Товары'!N194</f>
        <v/>
      </c>
      <c r="Q194" s="197"/>
      <c r="R194" s="193"/>
      <c r="S194" s="187"/>
      <c r="T194" s="187"/>
      <c r="U194" s="187"/>
      <c r="V194" s="187"/>
      <c r="W194" s="187"/>
      <c r="X194" s="187"/>
      <c r="Y194" s="187" t="s">
        <v>96</v>
      </c>
      <c r="Z194" s="193" t="str">
        <f t="shared" si="2"/>
        <v/>
      </c>
      <c r="AA194" s="383"/>
      <c r="AB194" s="384"/>
      <c r="AC194" s="385"/>
      <c r="AD194" s="383"/>
      <c r="AE194" s="384"/>
      <c r="AF194" s="385"/>
      <c r="AG194" s="383"/>
      <c r="AH194" s="384"/>
      <c r="AI194" s="385"/>
      <c r="AJ194" s="383"/>
      <c r="AK194" s="384"/>
      <c r="AL194" s="385"/>
      <c r="AM194" s="383"/>
      <c r="AN194" s="384"/>
      <c r="AO194" s="385"/>
      <c r="AP194" s="383"/>
      <c r="AQ194" s="384"/>
      <c r="AR194" s="385"/>
      <c r="AS194" s="383"/>
      <c r="AT194" s="384"/>
      <c r="AU194" s="385"/>
      <c r="AV194" s="383"/>
      <c r="AW194" s="384"/>
      <c r="AX194" s="385"/>
      <c r="AY194" s="383"/>
      <c r="AZ194" s="384"/>
      <c r="BA194" s="385"/>
      <c r="BB194" s="386"/>
      <c r="BC194" s="387"/>
      <c r="BD194" s="388"/>
      <c r="BE194" s="386"/>
      <c r="BF194" s="387"/>
      <c r="BG194" s="388"/>
      <c r="BH194" s="386"/>
      <c r="BI194" s="387"/>
      <c r="BJ194" s="388"/>
      <c r="BK194" s="386"/>
      <c r="BL194" s="387"/>
      <c r="BM194" s="388"/>
      <c r="BN194" s="386"/>
      <c r="BO194" s="387"/>
      <c r="BP194" s="388"/>
      <c r="BQ194" s="386"/>
      <c r="BR194" s="387"/>
      <c r="BS194" s="388"/>
      <c r="BT194" s="386"/>
      <c r="BU194" s="387"/>
      <c r="BV194" s="388"/>
      <c r="BW194" s="386"/>
      <c r="BX194" s="387"/>
      <c r="BY194" s="388"/>
      <c r="BZ194" s="386"/>
      <c r="CA194" s="387"/>
      <c r="CB194" s="388"/>
      <c r="CC194" s="386"/>
      <c r="CD194" s="387"/>
      <c r="CE194" s="388"/>
      <c r="CF194" s="386"/>
      <c r="CG194" s="387"/>
      <c r="CH194" s="388"/>
      <c r="CI194" s="386"/>
      <c r="CJ194" s="387"/>
      <c r="CK194" s="388"/>
      <c r="CL194" s="386"/>
      <c r="CM194" s="387"/>
      <c r="CN194" s="388"/>
      <c r="CO194" s="386"/>
      <c r="CP194" s="387"/>
      <c r="CQ194" s="388"/>
      <c r="CR194" s="386"/>
      <c r="CS194" s="387"/>
      <c r="CT194" s="388"/>
      <c r="CU194" s="386"/>
      <c r="CV194" s="387"/>
      <c r="CW194" s="388"/>
      <c r="CX194" s="386"/>
      <c r="CY194" s="387"/>
      <c r="CZ194" s="388"/>
    </row>
    <row r="195">
      <c r="A195" s="1"/>
      <c r="B195" s="402"/>
      <c r="C195" s="362" t="str">
        <f>'5-0 Товары'!C195</f>
        <v/>
      </c>
      <c r="D195" s="363" t="str">
        <f>'5-0 Товары'!D195</f>
        <v/>
      </c>
      <c r="E195" s="364" t="str">
        <f>'5-0 Товары'!E195</f>
        <v/>
      </c>
      <c r="F195" s="380"/>
      <c r="G195" s="380"/>
      <c r="H195" s="364" t="str">
        <f>'5-0 Товары'!F195</f>
        <v/>
      </c>
      <c r="I195" s="391"/>
      <c r="J195" s="364" t="str">
        <f>'5-0 Товары'!G195</f>
        <v/>
      </c>
      <c r="K195" s="366" t="str">
        <f>'5-0 Товары'!H195</f>
        <v/>
      </c>
      <c r="L195" s="382" t="str">
        <f t="shared" si="1"/>
        <v/>
      </c>
      <c r="M195" s="382"/>
      <c r="N195" s="380"/>
      <c r="O195" s="369" t="str">
        <f>'5-0 Товары'!I195</f>
        <v/>
      </c>
      <c r="P195" s="371" t="str">
        <f>'5-0 Товары'!N195</f>
        <v/>
      </c>
      <c r="Q195" s="197"/>
      <c r="R195" s="193"/>
      <c r="S195" s="187"/>
      <c r="T195" s="187"/>
      <c r="U195" s="187"/>
      <c r="V195" s="187"/>
      <c r="W195" s="187"/>
      <c r="X195" s="187"/>
      <c r="Y195" s="187" t="s">
        <v>96</v>
      </c>
      <c r="Z195" s="193" t="str">
        <f t="shared" si="2"/>
        <v/>
      </c>
      <c r="AA195" s="383"/>
      <c r="AB195" s="384"/>
      <c r="AC195" s="385"/>
      <c r="AD195" s="383"/>
      <c r="AE195" s="384"/>
      <c r="AF195" s="385"/>
      <c r="AG195" s="383"/>
      <c r="AH195" s="384"/>
      <c r="AI195" s="385"/>
      <c r="AJ195" s="383"/>
      <c r="AK195" s="384"/>
      <c r="AL195" s="385"/>
      <c r="AM195" s="383"/>
      <c r="AN195" s="384"/>
      <c r="AO195" s="385"/>
      <c r="AP195" s="383"/>
      <c r="AQ195" s="384"/>
      <c r="AR195" s="385"/>
      <c r="AS195" s="383"/>
      <c r="AT195" s="384"/>
      <c r="AU195" s="385"/>
      <c r="AV195" s="383"/>
      <c r="AW195" s="384"/>
      <c r="AX195" s="385"/>
      <c r="AY195" s="383"/>
      <c r="AZ195" s="384"/>
      <c r="BA195" s="385"/>
      <c r="BB195" s="386"/>
      <c r="BC195" s="387"/>
      <c r="BD195" s="388"/>
      <c r="BE195" s="386"/>
      <c r="BF195" s="387"/>
      <c r="BG195" s="388"/>
      <c r="BH195" s="386"/>
      <c r="BI195" s="387"/>
      <c r="BJ195" s="388"/>
      <c r="BK195" s="386"/>
      <c r="BL195" s="387"/>
      <c r="BM195" s="388"/>
      <c r="BN195" s="386"/>
      <c r="BO195" s="387"/>
      <c r="BP195" s="388"/>
      <c r="BQ195" s="386"/>
      <c r="BR195" s="387"/>
      <c r="BS195" s="388"/>
      <c r="BT195" s="386"/>
      <c r="BU195" s="387"/>
      <c r="BV195" s="388"/>
      <c r="BW195" s="386"/>
      <c r="BX195" s="387"/>
      <c r="BY195" s="388"/>
      <c r="BZ195" s="386"/>
      <c r="CA195" s="387"/>
      <c r="CB195" s="388"/>
      <c r="CC195" s="386"/>
      <c r="CD195" s="387"/>
      <c r="CE195" s="388"/>
      <c r="CF195" s="386"/>
      <c r="CG195" s="387"/>
      <c r="CH195" s="388"/>
      <c r="CI195" s="386"/>
      <c r="CJ195" s="387"/>
      <c r="CK195" s="388"/>
      <c r="CL195" s="386"/>
      <c r="CM195" s="387"/>
      <c r="CN195" s="388"/>
      <c r="CO195" s="386"/>
      <c r="CP195" s="387"/>
      <c r="CQ195" s="388"/>
      <c r="CR195" s="386"/>
      <c r="CS195" s="387"/>
      <c r="CT195" s="388"/>
      <c r="CU195" s="386"/>
      <c r="CV195" s="387"/>
      <c r="CW195" s="388"/>
      <c r="CX195" s="386"/>
      <c r="CY195" s="387"/>
      <c r="CZ195" s="388"/>
    </row>
    <row r="196">
      <c r="A196" s="1"/>
      <c r="B196" s="402"/>
      <c r="C196" s="362" t="str">
        <f>'5-0 Товары'!C196</f>
        <v/>
      </c>
      <c r="D196" s="363" t="str">
        <f>'5-0 Товары'!D196</f>
        <v/>
      </c>
      <c r="E196" s="364" t="str">
        <f>'5-0 Товары'!E196</f>
        <v/>
      </c>
      <c r="F196" s="380"/>
      <c r="G196" s="380"/>
      <c r="H196" s="364" t="str">
        <f>'5-0 Товары'!F196</f>
        <v/>
      </c>
      <c r="I196" s="391"/>
      <c r="J196" s="364" t="str">
        <f>'5-0 Товары'!G196</f>
        <v/>
      </c>
      <c r="K196" s="366" t="str">
        <f>'5-0 Товары'!H196</f>
        <v/>
      </c>
      <c r="L196" s="382" t="str">
        <f t="shared" si="1"/>
        <v/>
      </c>
      <c r="M196" s="382"/>
      <c r="N196" s="380"/>
      <c r="O196" s="369" t="str">
        <f>'5-0 Товары'!I196</f>
        <v/>
      </c>
      <c r="P196" s="371" t="str">
        <f>'5-0 Товары'!N196</f>
        <v/>
      </c>
      <c r="Q196" s="197"/>
      <c r="R196" s="193"/>
      <c r="S196" s="187"/>
      <c r="T196" s="187"/>
      <c r="U196" s="187"/>
      <c r="V196" s="187"/>
      <c r="W196" s="187"/>
      <c r="X196" s="187"/>
      <c r="Y196" s="187" t="s">
        <v>96</v>
      </c>
      <c r="Z196" s="193" t="str">
        <f t="shared" si="2"/>
        <v/>
      </c>
      <c r="AA196" s="383"/>
      <c r="AB196" s="384"/>
      <c r="AC196" s="385"/>
      <c r="AD196" s="383"/>
      <c r="AE196" s="384"/>
      <c r="AF196" s="385"/>
      <c r="AG196" s="383"/>
      <c r="AH196" s="384"/>
      <c r="AI196" s="385"/>
      <c r="AJ196" s="383"/>
      <c r="AK196" s="384"/>
      <c r="AL196" s="385"/>
      <c r="AM196" s="383"/>
      <c r="AN196" s="384"/>
      <c r="AO196" s="385"/>
      <c r="AP196" s="383"/>
      <c r="AQ196" s="384"/>
      <c r="AR196" s="385"/>
      <c r="AS196" s="383"/>
      <c r="AT196" s="384"/>
      <c r="AU196" s="385"/>
      <c r="AV196" s="383"/>
      <c r="AW196" s="384"/>
      <c r="AX196" s="385"/>
      <c r="AY196" s="383"/>
      <c r="AZ196" s="384"/>
      <c r="BA196" s="385"/>
      <c r="BB196" s="386"/>
      <c r="BC196" s="387"/>
      <c r="BD196" s="388"/>
      <c r="BE196" s="386"/>
      <c r="BF196" s="387"/>
      <c r="BG196" s="388"/>
      <c r="BH196" s="386"/>
      <c r="BI196" s="387"/>
      <c r="BJ196" s="388"/>
      <c r="BK196" s="386"/>
      <c r="BL196" s="387"/>
      <c r="BM196" s="388"/>
      <c r="BN196" s="386"/>
      <c r="BO196" s="387"/>
      <c r="BP196" s="388"/>
      <c r="BQ196" s="386"/>
      <c r="BR196" s="387"/>
      <c r="BS196" s="388"/>
      <c r="BT196" s="386"/>
      <c r="BU196" s="387"/>
      <c r="BV196" s="388"/>
      <c r="BW196" s="386"/>
      <c r="BX196" s="387"/>
      <c r="BY196" s="388"/>
      <c r="BZ196" s="386"/>
      <c r="CA196" s="387"/>
      <c r="CB196" s="388"/>
      <c r="CC196" s="386"/>
      <c r="CD196" s="387"/>
      <c r="CE196" s="388"/>
      <c r="CF196" s="386"/>
      <c r="CG196" s="387"/>
      <c r="CH196" s="388"/>
      <c r="CI196" s="386"/>
      <c r="CJ196" s="387"/>
      <c r="CK196" s="388"/>
      <c r="CL196" s="386"/>
      <c r="CM196" s="387"/>
      <c r="CN196" s="388"/>
      <c r="CO196" s="386"/>
      <c r="CP196" s="387"/>
      <c r="CQ196" s="388"/>
      <c r="CR196" s="386"/>
      <c r="CS196" s="387"/>
      <c r="CT196" s="388"/>
      <c r="CU196" s="386"/>
      <c r="CV196" s="387"/>
      <c r="CW196" s="388"/>
      <c r="CX196" s="386"/>
      <c r="CY196" s="387"/>
      <c r="CZ196" s="388"/>
    </row>
    <row r="197">
      <c r="A197" s="1"/>
      <c r="B197" s="402"/>
      <c r="C197" s="362" t="str">
        <f>'5-0 Товары'!C197</f>
        <v/>
      </c>
      <c r="D197" s="363" t="str">
        <f>'5-0 Товары'!D197</f>
        <v/>
      </c>
      <c r="E197" s="364" t="str">
        <f>'5-0 Товары'!E197</f>
        <v/>
      </c>
      <c r="F197" s="380"/>
      <c r="G197" s="380"/>
      <c r="H197" s="364" t="str">
        <f>'5-0 Товары'!F197</f>
        <v/>
      </c>
      <c r="I197" s="391"/>
      <c r="J197" s="364" t="str">
        <f>'5-0 Товары'!G197</f>
        <v/>
      </c>
      <c r="K197" s="366" t="str">
        <f>'5-0 Товары'!H197</f>
        <v/>
      </c>
      <c r="L197" s="382" t="str">
        <f t="shared" si="1"/>
        <v/>
      </c>
      <c r="M197" s="382"/>
      <c r="N197" s="380"/>
      <c r="O197" s="369" t="str">
        <f>'5-0 Товары'!I197</f>
        <v/>
      </c>
      <c r="P197" s="371" t="str">
        <f>'5-0 Товары'!N197</f>
        <v/>
      </c>
      <c r="Q197" s="197"/>
      <c r="R197" s="193"/>
      <c r="S197" s="187"/>
      <c r="T197" s="187"/>
      <c r="U197" s="187"/>
      <c r="V197" s="187"/>
      <c r="W197" s="187"/>
      <c r="X197" s="187"/>
      <c r="Y197" s="187" t="s">
        <v>96</v>
      </c>
      <c r="Z197" s="193" t="str">
        <f t="shared" si="2"/>
        <v/>
      </c>
      <c r="AA197" s="383"/>
      <c r="AB197" s="384"/>
      <c r="AC197" s="385"/>
      <c r="AD197" s="383"/>
      <c r="AE197" s="384"/>
      <c r="AF197" s="385"/>
      <c r="AG197" s="383"/>
      <c r="AH197" s="384"/>
      <c r="AI197" s="385"/>
      <c r="AJ197" s="383"/>
      <c r="AK197" s="384"/>
      <c r="AL197" s="385"/>
      <c r="AM197" s="383"/>
      <c r="AN197" s="384"/>
      <c r="AO197" s="385"/>
      <c r="AP197" s="383"/>
      <c r="AQ197" s="384"/>
      <c r="AR197" s="385"/>
      <c r="AS197" s="383"/>
      <c r="AT197" s="384"/>
      <c r="AU197" s="385"/>
      <c r="AV197" s="383"/>
      <c r="AW197" s="384"/>
      <c r="AX197" s="385"/>
      <c r="AY197" s="383"/>
      <c r="AZ197" s="384"/>
      <c r="BA197" s="385"/>
      <c r="BB197" s="386"/>
      <c r="BC197" s="387"/>
      <c r="BD197" s="388"/>
      <c r="BE197" s="386"/>
      <c r="BF197" s="387"/>
      <c r="BG197" s="388"/>
      <c r="BH197" s="386"/>
      <c r="BI197" s="387"/>
      <c r="BJ197" s="388"/>
      <c r="BK197" s="386"/>
      <c r="BL197" s="387"/>
      <c r="BM197" s="388"/>
      <c r="BN197" s="386"/>
      <c r="BO197" s="387"/>
      <c r="BP197" s="388"/>
      <c r="BQ197" s="386"/>
      <c r="BR197" s="387"/>
      <c r="BS197" s="388"/>
      <c r="BT197" s="386"/>
      <c r="BU197" s="387"/>
      <c r="BV197" s="388"/>
      <c r="BW197" s="386"/>
      <c r="BX197" s="387"/>
      <c r="BY197" s="388"/>
      <c r="BZ197" s="386"/>
      <c r="CA197" s="387"/>
      <c r="CB197" s="388"/>
      <c r="CC197" s="386"/>
      <c r="CD197" s="387"/>
      <c r="CE197" s="388"/>
      <c r="CF197" s="386"/>
      <c r="CG197" s="387"/>
      <c r="CH197" s="388"/>
      <c r="CI197" s="386"/>
      <c r="CJ197" s="387"/>
      <c r="CK197" s="388"/>
      <c r="CL197" s="386"/>
      <c r="CM197" s="387"/>
      <c r="CN197" s="388"/>
      <c r="CO197" s="386"/>
      <c r="CP197" s="387"/>
      <c r="CQ197" s="388"/>
      <c r="CR197" s="386"/>
      <c r="CS197" s="387"/>
      <c r="CT197" s="388"/>
      <c r="CU197" s="386"/>
      <c r="CV197" s="387"/>
      <c r="CW197" s="388"/>
      <c r="CX197" s="386"/>
      <c r="CY197" s="387"/>
      <c r="CZ197" s="388"/>
    </row>
    <row r="198">
      <c r="A198" s="1"/>
      <c r="B198" s="402"/>
      <c r="C198" s="362" t="str">
        <f>'5-0 Товары'!C198</f>
        <v/>
      </c>
      <c r="D198" s="363" t="str">
        <f>'5-0 Товары'!D198</f>
        <v/>
      </c>
      <c r="E198" s="364" t="str">
        <f>'5-0 Товары'!E198</f>
        <v/>
      </c>
      <c r="F198" s="380"/>
      <c r="G198" s="380"/>
      <c r="H198" s="364" t="str">
        <f>'5-0 Товары'!F198</f>
        <v/>
      </c>
      <c r="I198" s="391"/>
      <c r="J198" s="364" t="str">
        <f>'5-0 Товары'!G198</f>
        <v/>
      </c>
      <c r="K198" s="366" t="str">
        <f>'5-0 Товары'!H198</f>
        <v/>
      </c>
      <c r="L198" s="382" t="str">
        <f t="shared" si="1"/>
        <v/>
      </c>
      <c r="M198" s="382"/>
      <c r="N198" s="380"/>
      <c r="O198" s="369" t="str">
        <f>'5-0 Товары'!I198</f>
        <v/>
      </c>
      <c r="P198" s="371" t="str">
        <f>'5-0 Товары'!N198</f>
        <v/>
      </c>
      <c r="Q198" s="197"/>
      <c r="R198" s="193"/>
      <c r="S198" s="187"/>
      <c r="T198" s="187"/>
      <c r="U198" s="187"/>
      <c r="V198" s="187"/>
      <c r="W198" s="187"/>
      <c r="X198" s="187"/>
      <c r="Y198" s="187" t="s">
        <v>96</v>
      </c>
      <c r="Z198" s="193" t="str">
        <f t="shared" si="2"/>
        <v/>
      </c>
      <c r="AA198" s="383"/>
      <c r="AB198" s="384"/>
      <c r="AC198" s="385"/>
      <c r="AD198" s="383"/>
      <c r="AE198" s="384"/>
      <c r="AF198" s="385"/>
      <c r="AG198" s="383"/>
      <c r="AH198" s="384"/>
      <c r="AI198" s="385"/>
      <c r="AJ198" s="383"/>
      <c r="AK198" s="384"/>
      <c r="AL198" s="385"/>
      <c r="AM198" s="383"/>
      <c r="AN198" s="384"/>
      <c r="AO198" s="385"/>
      <c r="AP198" s="383"/>
      <c r="AQ198" s="384"/>
      <c r="AR198" s="385"/>
      <c r="AS198" s="383"/>
      <c r="AT198" s="384"/>
      <c r="AU198" s="385"/>
      <c r="AV198" s="383"/>
      <c r="AW198" s="384"/>
      <c r="AX198" s="385"/>
      <c r="AY198" s="383"/>
      <c r="AZ198" s="384"/>
      <c r="BA198" s="385"/>
      <c r="BB198" s="386"/>
      <c r="BC198" s="387"/>
      <c r="BD198" s="388"/>
      <c r="BE198" s="386"/>
      <c r="BF198" s="387"/>
      <c r="BG198" s="388"/>
      <c r="BH198" s="386"/>
      <c r="BI198" s="387"/>
      <c r="BJ198" s="388"/>
      <c r="BK198" s="386"/>
      <c r="BL198" s="387"/>
      <c r="BM198" s="388"/>
      <c r="BN198" s="386"/>
      <c r="BO198" s="387"/>
      <c r="BP198" s="388"/>
      <c r="BQ198" s="386"/>
      <c r="BR198" s="387"/>
      <c r="BS198" s="388"/>
      <c r="BT198" s="386"/>
      <c r="BU198" s="387"/>
      <c r="BV198" s="388"/>
      <c r="BW198" s="386"/>
      <c r="BX198" s="387"/>
      <c r="BY198" s="388"/>
      <c r="BZ198" s="386"/>
      <c r="CA198" s="387"/>
      <c r="CB198" s="388"/>
      <c r="CC198" s="386"/>
      <c r="CD198" s="387"/>
      <c r="CE198" s="388"/>
      <c r="CF198" s="386"/>
      <c r="CG198" s="387"/>
      <c r="CH198" s="388"/>
      <c r="CI198" s="386"/>
      <c r="CJ198" s="387"/>
      <c r="CK198" s="388"/>
      <c r="CL198" s="386"/>
      <c r="CM198" s="387"/>
      <c r="CN198" s="388"/>
      <c r="CO198" s="386"/>
      <c r="CP198" s="387"/>
      <c r="CQ198" s="388"/>
      <c r="CR198" s="386"/>
      <c r="CS198" s="387"/>
      <c r="CT198" s="388"/>
      <c r="CU198" s="386"/>
      <c r="CV198" s="387"/>
      <c r="CW198" s="388"/>
      <c r="CX198" s="386"/>
      <c r="CY198" s="387"/>
      <c r="CZ198" s="388"/>
    </row>
    <row r="199">
      <c r="A199" s="1"/>
      <c r="B199" s="402"/>
      <c r="C199" s="362" t="str">
        <f>'5-0 Товары'!C199</f>
        <v/>
      </c>
      <c r="D199" s="363" t="str">
        <f>'5-0 Товары'!D199</f>
        <v/>
      </c>
      <c r="E199" s="364" t="str">
        <f>'5-0 Товары'!E199</f>
        <v/>
      </c>
      <c r="F199" s="380"/>
      <c r="G199" s="380"/>
      <c r="H199" s="364" t="str">
        <f>'5-0 Товары'!F199</f>
        <v/>
      </c>
      <c r="I199" s="391"/>
      <c r="J199" s="364" t="str">
        <f>'5-0 Товары'!G199</f>
        <v/>
      </c>
      <c r="K199" s="366" t="str">
        <f>'5-0 Товары'!H199</f>
        <v/>
      </c>
      <c r="L199" s="382" t="str">
        <f t="shared" si="1"/>
        <v/>
      </c>
      <c r="M199" s="382"/>
      <c r="N199" s="380"/>
      <c r="O199" s="369" t="str">
        <f>'5-0 Товары'!I199</f>
        <v/>
      </c>
      <c r="P199" s="371" t="str">
        <f>'5-0 Товары'!N199</f>
        <v/>
      </c>
      <c r="Q199" s="197"/>
      <c r="R199" s="193"/>
      <c r="S199" s="187"/>
      <c r="T199" s="187"/>
      <c r="U199" s="187"/>
      <c r="V199" s="187"/>
      <c r="W199" s="187"/>
      <c r="X199" s="187"/>
      <c r="Y199" s="187" t="s">
        <v>96</v>
      </c>
      <c r="Z199" s="193" t="str">
        <f t="shared" si="2"/>
        <v/>
      </c>
      <c r="AA199" s="383"/>
      <c r="AB199" s="384"/>
      <c r="AC199" s="385"/>
      <c r="AD199" s="383"/>
      <c r="AE199" s="384"/>
      <c r="AF199" s="385"/>
      <c r="AG199" s="383"/>
      <c r="AH199" s="384"/>
      <c r="AI199" s="385"/>
      <c r="AJ199" s="383"/>
      <c r="AK199" s="384"/>
      <c r="AL199" s="385"/>
      <c r="AM199" s="383"/>
      <c r="AN199" s="384"/>
      <c r="AO199" s="385"/>
      <c r="AP199" s="383"/>
      <c r="AQ199" s="384"/>
      <c r="AR199" s="385"/>
      <c r="AS199" s="383"/>
      <c r="AT199" s="384"/>
      <c r="AU199" s="385"/>
      <c r="AV199" s="383"/>
      <c r="AW199" s="384"/>
      <c r="AX199" s="385"/>
      <c r="AY199" s="383"/>
      <c r="AZ199" s="384"/>
      <c r="BA199" s="385"/>
      <c r="BB199" s="386"/>
      <c r="BC199" s="387"/>
      <c r="BD199" s="388"/>
      <c r="BE199" s="386"/>
      <c r="BF199" s="387"/>
      <c r="BG199" s="388"/>
      <c r="BH199" s="386"/>
      <c r="BI199" s="387"/>
      <c r="BJ199" s="388"/>
      <c r="BK199" s="386"/>
      <c r="BL199" s="387"/>
      <c r="BM199" s="388"/>
      <c r="BN199" s="386"/>
      <c r="BO199" s="387"/>
      <c r="BP199" s="388"/>
      <c r="BQ199" s="386"/>
      <c r="BR199" s="387"/>
      <c r="BS199" s="388"/>
      <c r="BT199" s="386"/>
      <c r="BU199" s="387"/>
      <c r="BV199" s="388"/>
      <c r="BW199" s="386"/>
      <c r="BX199" s="387"/>
      <c r="BY199" s="388"/>
      <c r="BZ199" s="386"/>
      <c r="CA199" s="387"/>
      <c r="CB199" s="388"/>
      <c r="CC199" s="386"/>
      <c r="CD199" s="387"/>
      <c r="CE199" s="388"/>
      <c r="CF199" s="386"/>
      <c r="CG199" s="387"/>
      <c r="CH199" s="388"/>
      <c r="CI199" s="386"/>
      <c r="CJ199" s="387"/>
      <c r="CK199" s="388"/>
      <c r="CL199" s="386"/>
      <c r="CM199" s="387"/>
      <c r="CN199" s="388"/>
      <c r="CO199" s="386"/>
      <c r="CP199" s="387"/>
      <c r="CQ199" s="388"/>
      <c r="CR199" s="386"/>
      <c r="CS199" s="387"/>
      <c r="CT199" s="388"/>
      <c r="CU199" s="386"/>
      <c r="CV199" s="387"/>
      <c r="CW199" s="388"/>
      <c r="CX199" s="386"/>
      <c r="CY199" s="387"/>
      <c r="CZ199" s="388"/>
    </row>
    <row r="200">
      <c r="A200" s="1"/>
      <c r="B200" s="402"/>
      <c r="C200" s="362" t="str">
        <f>'5-0 Товары'!C200</f>
        <v/>
      </c>
      <c r="D200" s="363" t="str">
        <f>'5-0 Товары'!D200</f>
        <v/>
      </c>
      <c r="E200" s="364" t="str">
        <f>'5-0 Товары'!E200</f>
        <v/>
      </c>
      <c r="F200" s="380"/>
      <c r="G200" s="380"/>
      <c r="H200" s="364" t="str">
        <f>'5-0 Товары'!F200</f>
        <v/>
      </c>
      <c r="I200" s="391"/>
      <c r="J200" s="364" t="str">
        <f>'5-0 Товары'!G200</f>
        <v/>
      </c>
      <c r="K200" s="366" t="str">
        <f>'5-0 Товары'!H200</f>
        <v/>
      </c>
      <c r="L200" s="382" t="str">
        <f t="shared" si="1"/>
        <v/>
      </c>
      <c r="M200" s="382"/>
      <c r="N200" s="380"/>
      <c r="O200" s="369" t="str">
        <f>'5-0 Товары'!I200</f>
        <v/>
      </c>
      <c r="P200" s="371" t="str">
        <f>'5-0 Товары'!N200</f>
        <v/>
      </c>
      <c r="Q200" s="197"/>
      <c r="R200" s="193"/>
      <c r="S200" s="187"/>
      <c r="T200" s="187"/>
      <c r="U200" s="187"/>
      <c r="V200" s="187"/>
      <c r="W200" s="187"/>
      <c r="X200" s="187"/>
      <c r="Y200" s="187" t="s">
        <v>96</v>
      </c>
      <c r="Z200" s="193" t="str">
        <f t="shared" si="2"/>
        <v/>
      </c>
      <c r="AA200" s="383"/>
      <c r="AB200" s="384"/>
      <c r="AC200" s="385"/>
      <c r="AD200" s="383"/>
      <c r="AE200" s="384"/>
      <c r="AF200" s="385"/>
      <c r="AG200" s="383"/>
      <c r="AH200" s="384"/>
      <c r="AI200" s="385"/>
      <c r="AJ200" s="383"/>
      <c r="AK200" s="384"/>
      <c r="AL200" s="385"/>
      <c r="AM200" s="383"/>
      <c r="AN200" s="384"/>
      <c r="AO200" s="385"/>
      <c r="AP200" s="383"/>
      <c r="AQ200" s="384"/>
      <c r="AR200" s="385"/>
      <c r="AS200" s="383"/>
      <c r="AT200" s="384"/>
      <c r="AU200" s="385"/>
      <c r="AV200" s="383"/>
      <c r="AW200" s="384"/>
      <c r="AX200" s="385"/>
      <c r="AY200" s="383"/>
      <c r="AZ200" s="384"/>
      <c r="BA200" s="385"/>
      <c r="BB200" s="386"/>
      <c r="BC200" s="387"/>
      <c r="BD200" s="388"/>
      <c r="BE200" s="386"/>
      <c r="BF200" s="387"/>
      <c r="BG200" s="388"/>
      <c r="BH200" s="386"/>
      <c r="BI200" s="387"/>
      <c r="BJ200" s="388"/>
      <c r="BK200" s="386"/>
      <c r="BL200" s="387"/>
      <c r="BM200" s="388"/>
      <c r="BN200" s="386"/>
      <c r="BO200" s="387"/>
      <c r="BP200" s="388"/>
      <c r="BQ200" s="386"/>
      <c r="BR200" s="387"/>
      <c r="BS200" s="388"/>
      <c r="BT200" s="386"/>
      <c r="BU200" s="387"/>
      <c r="BV200" s="388"/>
      <c r="BW200" s="386"/>
      <c r="BX200" s="387"/>
      <c r="BY200" s="388"/>
      <c r="BZ200" s="386"/>
      <c r="CA200" s="387"/>
      <c r="CB200" s="388"/>
      <c r="CC200" s="386"/>
      <c r="CD200" s="387"/>
      <c r="CE200" s="388"/>
      <c r="CF200" s="386"/>
      <c r="CG200" s="387"/>
      <c r="CH200" s="388"/>
      <c r="CI200" s="386"/>
      <c r="CJ200" s="387"/>
      <c r="CK200" s="388"/>
      <c r="CL200" s="386"/>
      <c r="CM200" s="387"/>
      <c r="CN200" s="388"/>
      <c r="CO200" s="386"/>
      <c r="CP200" s="387"/>
      <c r="CQ200" s="388"/>
      <c r="CR200" s="386"/>
      <c r="CS200" s="387"/>
      <c r="CT200" s="388"/>
      <c r="CU200" s="386"/>
      <c r="CV200" s="387"/>
      <c r="CW200" s="388"/>
      <c r="CX200" s="386"/>
      <c r="CY200" s="387"/>
      <c r="CZ200" s="388"/>
    </row>
    <row r="201">
      <c r="A201" s="1"/>
      <c r="B201" s="402"/>
      <c r="C201" s="362" t="str">
        <f>'5-0 Товары'!C201</f>
        <v/>
      </c>
      <c r="D201" s="363" t="str">
        <f>'5-0 Товары'!D201</f>
        <v/>
      </c>
      <c r="E201" s="364" t="str">
        <f>'5-0 Товары'!E201</f>
        <v/>
      </c>
      <c r="F201" s="380"/>
      <c r="G201" s="380"/>
      <c r="H201" s="364" t="str">
        <f>'5-0 Товары'!F201</f>
        <v/>
      </c>
      <c r="I201" s="391"/>
      <c r="J201" s="364" t="str">
        <f>'5-0 Товары'!G201</f>
        <v/>
      </c>
      <c r="K201" s="366" t="str">
        <f>'5-0 Товары'!H201</f>
        <v/>
      </c>
      <c r="L201" s="382" t="str">
        <f t="shared" si="1"/>
        <v/>
      </c>
      <c r="M201" s="382"/>
      <c r="N201" s="380"/>
      <c r="O201" s="369" t="str">
        <f>'5-0 Товары'!I201</f>
        <v/>
      </c>
      <c r="P201" s="371" t="str">
        <f>'5-0 Товары'!N201</f>
        <v/>
      </c>
      <c r="Q201" s="197"/>
      <c r="R201" s="193"/>
      <c r="S201" s="187"/>
      <c r="T201" s="187"/>
      <c r="U201" s="187"/>
      <c r="V201" s="187"/>
      <c r="W201" s="187"/>
      <c r="X201" s="187"/>
      <c r="Y201" s="187" t="s">
        <v>96</v>
      </c>
      <c r="Z201" s="193" t="str">
        <f t="shared" si="2"/>
        <v/>
      </c>
      <c r="AA201" s="383"/>
      <c r="AB201" s="384"/>
      <c r="AC201" s="385"/>
      <c r="AD201" s="383"/>
      <c r="AE201" s="384"/>
      <c r="AF201" s="385"/>
      <c r="AG201" s="383"/>
      <c r="AH201" s="384"/>
      <c r="AI201" s="385"/>
      <c r="AJ201" s="383"/>
      <c r="AK201" s="384"/>
      <c r="AL201" s="385"/>
      <c r="AM201" s="383"/>
      <c r="AN201" s="384"/>
      <c r="AO201" s="385"/>
      <c r="AP201" s="383"/>
      <c r="AQ201" s="384"/>
      <c r="AR201" s="385"/>
      <c r="AS201" s="383"/>
      <c r="AT201" s="384"/>
      <c r="AU201" s="385"/>
      <c r="AV201" s="383"/>
      <c r="AW201" s="384"/>
      <c r="AX201" s="385"/>
      <c r="AY201" s="383"/>
      <c r="AZ201" s="384"/>
      <c r="BA201" s="385"/>
      <c r="BB201" s="386"/>
      <c r="BC201" s="387"/>
      <c r="BD201" s="388"/>
      <c r="BE201" s="386"/>
      <c r="BF201" s="387"/>
      <c r="BG201" s="388"/>
      <c r="BH201" s="386"/>
      <c r="BI201" s="387"/>
      <c r="BJ201" s="388"/>
      <c r="BK201" s="386"/>
      <c r="BL201" s="387"/>
      <c r="BM201" s="388"/>
      <c r="BN201" s="386"/>
      <c r="BO201" s="387"/>
      <c r="BP201" s="388"/>
      <c r="BQ201" s="386"/>
      <c r="BR201" s="387"/>
      <c r="BS201" s="388"/>
      <c r="BT201" s="386"/>
      <c r="BU201" s="387"/>
      <c r="BV201" s="388"/>
      <c r="BW201" s="386"/>
      <c r="BX201" s="387"/>
      <c r="BY201" s="388"/>
      <c r="BZ201" s="386"/>
      <c r="CA201" s="387"/>
      <c r="CB201" s="388"/>
      <c r="CC201" s="386"/>
      <c r="CD201" s="387"/>
      <c r="CE201" s="388"/>
      <c r="CF201" s="386"/>
      <c r="CG201" s="387"/>
      <c r="CH201" s="388"/>
      <c r="CI201" s="386"/>
      <c r="CJ201" s="387"/>
      <c r="CK201" s="388"/>
      <c r="CL201" s="386"/>
      <c r="CM201" s="387"/>
      <c r="CN201" s="388"/>
      <c r="CO201" s="386"/>
      <c r="CP201" s="387"/>
      <c r="CQ201" s="388"/>
      <c r="CR201" s="386"/>
      <c r="CS201" s="387"/>
      <c r="CT201" s="388"/>
      <c r="CU201" s="386"/>
      <c r="CV201" s="387"/>
      <c r="CW201" s="388"/>
      <c r="CX201" s="386"/>
      <c r="CY201" s="387"/>
      <c r="CZ201" s="388"/>
    </row>
    <row r="202">
      <c r="A202" s="1"/>
      <c r="B202" s="402"/>
      <c r="C202" s="362" t="str">
        <f>'5-0 Товары'!C202</f>
        <v/>
      </c>
      <c r="D202" s="363" t="str">
        <f>'5-0 Товары'!D202</f>
        <v/>
      </c>
      <c r="E202" s="364" t="str">
        <f>'5-0 Товары'!E202</f>
        <v/>
      </c>
      <c r="F202" s="380"/>
      <c r="G202" s="380"/>
      <c r="H202" s="364" t="str">
        <f>'5-0 Товары'!F202</f>
        <v/>
      </c>
      <c r="I202" s="391"/>
      <c r="J202" s="364" t="str">
        <f>'5-0 Товары'!G202</f>
        <v/>
      </c>
      <c r="K202" s="366" t="str">
        <f>'5-0 Товары'!H202</f>
        <v/>
      </c>
      <c r="L202" s="382" t="str">
        <f t="shared" si="1"/>
        <v/>
      </c>
      <c r="M202" s="382"/>
      <c r="N202" s="380"/>
      <c r="O202" s="369" t="str">
        <f>'5-0 Товары'!I202</f>
        <v/>
      </c>
      <c r="P202" s="371" t="str">
        <f>'5-0 Товары'!N202</f>
        <v/>
      </c>
      <c r="Q202" s="197"/>
      <c r="R202" s="193"/>
      <c r="S202" s="187"/>
      <c r="T202" s="187"/>
      <c r="U202" s="187"/>
      <c r="V202" s="187"/>
      <c r="W202" s="187"/>
      <c r="X202" s="187"/>
      <c r="Y202" s="187" t="s">
        <v>96</v>
      </c>
      <c r="Z202" s="193" t="str">
        <f t="shared" si="2"/>
        <v/>
      </c>
      <c r="AA202" s="383"/>
      <c r="AB202" s="384"/>
      <c r="AC202" s="385"/>
      <c r="AD202" s="383"/>
      <c r="AE202" s="384"/>
      <c r="AF202" s="385"/>
      <c r="AG202" s="383"/>
      <c r="AH202" s="384"/>
      <c r="AI202" s="385"/>
      <c r="AJ202" s="383"/>
      <c r="AK202" s="384"/>
      <c r="AL202" s="385"/>
      <c r="AM202" s="383"/>
      <c r="AN202" s="384"/>
      <c r="AO202" s="385"/>
      <c r="AP202" s="383"/>
      <c r="AQ202" s="384"/>
      <c r="AR202" s="385"/>
      <c r="AS202" s="383"/>
      <c r="AT202" s="384"/>
      <c r="AU202" s="385"/>
      <c r="AV202" s="383"/>
      <c r="AW202" s="384"/>
      <c r="AX202" s="385"/>
      <c r="AY202" s="383"/>
      <c r="AZ202" s="384"/>
      <c r="BA202" s="385"/>
      <c r="BB202" s="386"/>
      <c r="BC202" s="387"/>
      <c r="BD202" s="388"/>
      <c r="BE202" s="386"/>
      <c r="BF202" s="387"/>
      <c r="BG202" s="388"/>
      <c r="BH202" s="386"/>
      <c r="BI202" s="387"/>
      <c r="BJ202" s="388"/>
      <c r="BK202" s="386"/>
      <c r="BL202" s="387"/>
      <c r="BM202" s="388"/>
      <c r="BN202" s="386"/>
      <c r="BO202" s="387"/>
      <c r="BP202" s="388"/>
      <c r="BQ202" s="386"/>
      <c r="BR202" s="387"/>
      <c r="BS202" s="388"/>
      <c r="BT202" s="386"/>
      <c r="BU202" s="387"/>
      <c r="BV202" s="388"/>
      <c r="BW202" s="386"/>
      <c r="BX202" s="387"/>
      <c r="BY202" s="388"/>
      <c r="BZ202" s="386"/>
      <c r="CA202" s="387"/>
      <c r="CB202" s="388"/>
      <c r="CC202" s="386"/>
      <c r="CD202" s="387"/>
      <c r="CE202" s="388"/>
      <c r="CF202" s="386"/>
      <c r="CG202" s="387"/>
      <c r="CH202" s="388"/>
      <c r="CI202" s="386"/>
      <c r="CJ202" s="387"/>
      <c r="CK202" s="388"/>
      <c r="CL202" s="386"/>
      <c r="CM202" s="387"/>
      <c r="CN202" s="388"/>
      <c r="CO202" s="386"/>
      <c r="CP202" s="387"/>
      <c r="CQ202" s="388"/>
      <c r="CR202" s="386"/>
      <c r="CS202" s="387"/>
      <c r="CT202" s="388"/>
      <c r="CU202" s="386"/>
      <c r="CV202" s="387"/>
      <c r="CW202" s="388"/>
      <c r="CX202" s="386"/>
      <c r="CY202" s="387"/>
      <c r="CZ202" s="388"/>
    </row>
    <row r="203">
      <c r="A203" s="1"/>
      <c r="B203" s="402"/>
      <c r="C203" s="362" t="str">
        <f>'5-0 Товары'!C203</f>
        <v/>
      </c>
      <c r="D203" s="363" t="str">
        <f>'5-0 Товары'!D203</f>
        <v/>
      </c>
      <c r="E203" s="364" t="str">
        <f>'5-0 Товары'!E203</f>
        <v/>
      </c>
      <c r="F203" s="380"/>
      <c r="G203" s="380"/>
      <c r="H203" s="364" t="str">
        <f>'5-0 Товары'!F203</f>
        <v/>
      </c>
      <c r="I203" s="391"/>
      <c r="J203" s="364" t="str">
        <f>'5-0 Товары'!G203</f>
        <v/>
      </c>
      <c r="K203" s="366" t="str">
        <f>'5-0 Товары'!H203</f>
        <v/>
      </c>
      <c r="L203" s="382" t="str">
        <f t="shared" si="1"/>
        <v/>
      </c>
      <c r="M203" s="382"/>
      <c r="N203" s="380"/>
      <c r="O203" s="369" t="str">
        <f>'5-0 Товары'!I203</f>
        <v/>
      </c>
      <c r="P203" s="371" t="str">
        <f>'5-0 Товары'!N203</f>
        <v/>
      </c>
      <c r="Q203" s="197"/>
      <c r="R203" s="193"/>
      <c r="S203" s="187"/>
      <c r="T203" s="187"/>
      <c r="U203" s="187"/>
      <c r="V203" s="187"/>
      <c r="W203" s="187"/>
      <c r="X203" s="187"/>
      <c r="Y203" s="187" t="s">
        <v>96</v>
      </c>
      <c r="Z203" s="193" t="str">
        <f t="shared" si="2"/>
        <v/>
      </c>
      <c r="AA203" s="383"/>
      <c r="AB203" s="384"/>
      <c r="AC203" s="385"/>
      <c r="AD203" s="383"/>
      <c r="AE203" s="384"/>
      <c r="AF203" s="385"/>
      <c r="AG203" s="383"/>
      <c r="AH203" s="384"/>
      <c r="AI203" s="385"/>
      <c r="AJ203" s="383"/>
      <c r="AK203" s="384"/>
      <c r="AL203" s="385"/>
      <c r="AM203" s="383"/>
      <c r="AN203" s="384"/>
      <c r="AO203" s="385"/>
      <c r="AP203" s="383"/>
      <c r="AQ203" s="384"/>
      <c r="AR203" s="385"/>
      <c r="AS203" s="383"/>
      <c r="AT203" s="384"/>
      <c r="AU203" s="385"/>
      <c r="AV203" s="383"/>
      <c r="AW203" s="384"/>
      <c r="AX203" s="385"/>
      <c r="AY203" s="383"/>
      <c r="AZ203" s="384"/>
      <c r="BA203" s="385"/>
      <c r="BB203" s="386"/>
      <c r="BC203" s="387"/>
      <c r="BD203" s="388"/>
      <c r="BE203" s="386"/>
      <c r="BF203" s="387"/>
      <c r="BG203" s="388"/>
      <c r="BH203" s="386"/>
      <c r="BI203" s="387"/>
      <c r="BJ203" s="388"/>
      <c r="BK203" s="386"/>
      <c r="BL203" s="387"/>
      <c r="BM203" s="388"/>
      <c r="BN203" s="386"/>
      <c r="BO203" s="387"/>
      <c r="BP203" s="388"/>
      <c r="BQ203" s="386"/>
      <c r="BR203" s="387"/>
      <c r="BS203" s="388"/>
      <c r="BT203" s="386"/>
      <c r="BU203" s="387"/>
      <c r="BV203" s="388"/>
      <c r="BW203" s="386"/>
      <c r="BX203" s="387"/>
      <c r="BY203" s="388"/>
      <c r="BZ203" s="386"/>
      <c r="CA203" s="387"/>
      <c r="CB203" s="388"/>
      <c r="CC203" s="386"/>
      <c r="CD203" s="387"/>
      <c r="CE203" s="388"/>
      <c r="CF203" s="386"/>
      <c r="CG203" s="387"/>
      <c r="CH203" s="388"/>
      <c r="CI203" s="386"/>
      <c r="CJ203" s="387"/>
      <c r="CK203" s="388"/>
      <c r="CL203" s="386"/>
      <c r="CM203" s="387"/>
      <c r="CN203" s="388"/>
      <c r="CO203" s="386"/>
      <c r="CP203" s="387"/>
      <c r="CQ203" s="388"/>
      <c r="CR203" s="386"/>
      <c r="CS203" s="387"/>
      <c r="CT203" s="388"/>
      <c r="CU203" s="386"/>
      <c r="CV203" s="387"/>
      <c r="CW203" s="388"/>
      <c r="CX203" s="386"/>
      <c r="CY203" s="387"/>
      <c r="CZ203" s="388"/>
    </row>
    <row r="204">
      <c r="A204" s="1"/>
      <c r="B204" s="402"/>
      <c r="C204" s="362" t="str">
        <f>'5-0 Товары'!C204</f>
        <v/>
      </c>
      <c r="D204" s="363" t="str">
        <f>'5-0 Товары'!D204</f>
        <v/>
      </c>
      <c r="E204" s="364" t="str">
        <f>'5-0 Товары'!E204</f>
        <v/>
      </c>
      <c r="F204" s="380"/>
      <c r="G204" s="380"/>
      <c r="H204" s="364" t="str">
        <f>'5-0 Товары'!F204</f>
        <v/>
      </c>
      <c r="I204" s="391"/>
      <c r="J204" s="364" t="str">
        <f>'5-0 Товары'!G204</f>
        <v/>
      </c>
      <c r="K204" s="366" t="str">
        <f>'5-0 Товары'!H204</f>
        <v/>
      </c>
      <c r="L204" s="382" t="str">
        <f t="shared" si="1"/>
        <v/>
      </c>
      <c r="M204" s="382"/>
      <c r="N204" s="380"/>
      <c r="O204" s="369" t="str">
        <f>'5-0 Товары'!I204</f>
        <v/>
      </c>
      <c r="P204" s="371" t="str">
        <f>'5-0 Товары'!N204</f>
        <v/>
      </c>
      <c r="Q204" s="197"/>
      <c r="R204" s="193"/>
      <c r="S204" s="187"/>
      <c r="T204" s="187"/>
      <c r="U204" s="187"/>
      <c r="V204" s="187"/>
      <c r="W204" s="187"/>
      <c r="X204" s="187"/>
      <c r="Y204" s="187" t="s">
        <v>96</v>
      </c>
      <c r="Z204" s="193" t="str">
        <f t="shared" si="2"/>
        <v/>
      </c>
      <c r="AA204" s="383"/>
      <c r="AB204" s="384"/>
      <c r="AC204" s="385"/>
      <c r="AD204" s="383"/>
      <c r="AE204" s="384"/>
      <c r="AF204" s="385"/>
      <c r="AG204" s="383"/>
      <c r="AH204" s="384"/>
      <c r="AI204" s="385"/>
      <c r="AJ204" s="383"/>
      <c r="AK204" s="384"/>
      <c r="AL204" s="385"/>
      <c r="AM204" s="383"/>
      <c r="AN204" s="384"/>
      <c r="AO204" s="385"/>
      <c r="AP204" s="383"/>
      <c r="AQ204" s="384"/>
      <c r="AR204" s="385"/>
      <c r="AS204" s="383"/>
      <c r="AT204" s="384"/>
      <c r="AU204" s="385"/>
      <c r="AV204" s="383"/>
      <c r="AW204" s="384"/>
      <c r="AX204" s="385"/>
      <c r="AY204" s="383"/>
      <c r="AZ204" s="384"/>
      <c r="BA204" s="385"/>
      <c r="BB204" s="386"/>
      <c r="BC204" s="387"/>
      <c r="BD204" s="388"/>
      <c r="BE204" s="386"/>
      <c r="BF204" s="387"/>
      <c r="BG204" s="388"/>
      <c r="BH204" s="386"/>
      <c r="BI204" s="387"/>
      <c r="BJ204" s="388"/>
      <c r="BK204" s="386"/>
      <c r="BL204" s="387"/>
      <c r="BM204" s="388"/>
      <c r="BN204" s="386"/>
      <c r="BO204" s="387"/>
      <c r="BP204" s="388"/>
      <c r="BQ204" s="386"/>
      <c r="BR204" s="387"/>
      <c r="BS204" s="388"/>
      <c r="BT204" s="386"/>
      <c r="BU204" s="387"/>
      <c r="BV204" s="388"/>
      <c r="BW204" s="386"/>
      <c r="BX204" s="387"/>
      <c r="BY204" s="388"/>
      <c r="BZ204" s="386"/>
      <c r="CA204" s="387"/>
      <c r="CB204" s="388"/>
      <c r="CC204" s="386"/>
      <c r="CD204" s="387"/>
      <c r="CE204" s="388"/>
      <c r="CF204" s="386"/>
      <c r="CG204" s="387"/>
      <c r="CH204" s="388"/>
      <c r="CI204" s="386"/>
      <c r="CJ204" s="387"/>
      <c r="CK204" s="388"/>
      <c r="CL204" s="386"/>
      <c r="CM204" s="387"/>
      <c r="CN204" s="388"/>
      <c r="CO204" s="386"/>
      <c r="CP204" s="387"/>
      <c r="CQ204" s="388"/>
      <c r="CR204" s="386"/>
      <c r="CS204" s="387"/>
      <c r="CT204" s="388"/>
      <c r="CU204" s="386"/>
      <c r="CV204" s="387"/>
      <c r="CW204" s="388"/>
      <c r="CX204" s="386"/>
      <c r="CY204" s="387"/>
      <c r="CZ204" s="388"/>
    </row>
    <row r="205">
      <c r="A205" s="1"/>
      <c r="B205" s="402"/>
      <c r="C205" s="362" t="str">
        <f>'5-0 Товары'!C205</f>
        <v/>
      </c>
      <c r="D205" s="363" t="str">
        <f>'5-0 Товары'!D205</f>
        <v/>
      </c>
      <c r="E205" s="364" t="str">
        <f>'5-0 Товары'!E205</f>
        <v/>
      </c>
      <c r="F205" s="380"/>
      <c r="G205" s="380"/>
      <c r="H205" s="364" t="str">
        <f>'5-0 Товары'!F205</f>
        <v/>
      </c>
      <c r="I205" s="391"/>
      <c r="J205" s="364" t="str">
        <f>'5-0 Товары'!G205</f>
        <v/>
      </c>
      <c r="K205" s="366" t="str">
        <f>'5-0 Товары'!H205</f>
        <v/>
      </c>
      <c r="L205" s="382" t="str">
        <f t="shared" si="1"/>
        <v/>
      </c>
      <c r="M205" s="382"/>
      <c r="N205" s="380"/>
      <c r="O205" s="369" t="str">
        <f>'5-0 Товары'!I205</f>
        <v/>
      </c>
      <c r="P205" s="371" t="str">
        <f>'5-0 Товары'!N205</f>
        <v/>
      </c>
      <c r="Q205" s="197"/>
      <c r="R205" s="193"/>
      <c r="S205" s="187"/>
      <c r="T205" s="187"/>
      <c r="U205" s="187"/>
      <c r="V205" s="187"/>
      <c r="W205" s="187"/>
      <c r="X205" s="187"/>
      <c r="Y205" s="187" t="s">
        <v>96</v>
      </c>
      <c r="Z205" s="193" t="str">
        <f t="shared" si="2"/>
        <v/>
      </c>
      <c r="AA205" s="383"/>
      <c r="AB205" s="384"/>
      <c r="AC205" s="385"/>
      <c r="AD205" s="383"/>
      <c r="AE205" s="384"/>
      <c r="AF205" s="385"/>
      <c r="AG205" s="383"/>
      <c r="AH205" s="384"/>
      <c r="AI205" s="385"/>
      <c r="AJ205" s="383"/>
      <c r="AK205" s="384"/>
      <c r="AL205" s="385"/>
      <c r="AM205" s="383"/>
      <c r="AN205" s="384"/>
      <c r="AO205" s="385"/>
      <c r="AP205" s="383"/>
      <c r="AQ205" s="384"/>
      <c r="AR205" s="385"/>
      <c r="AS205" s="383"/>
      <c r="AT205" s="384"/>
      <c r="AU205" s="385"/>
      <c r="AV205" s="383"/>
      <c r="AW205" s="384"/>
      <c r="AX205" s="385"/>
      <c r="AY205" s="383"/>
      <c r="AZ205" s="384"/>
      <c r="BA205" s="385"/>
      <c r="BB205" s="386"/>
      <c r="BC205" s="387"/>
      <c r="BD205" s="388"/>
      <c r="BE205" s="386"/>
      <c r="BF205" s="387"/>
      <c r="BG205" s="388"/>
      <c r="BH205" s="386"/>
      <c r="BI205" s="387"/>
      <c r="BJ205" s="388"/>
      <c r="BK205" s="386"/>
      <c r="BL205" s="387"/>
      <c r="BM205" s="388"/>
      <c r="BN205" s="386"/>
      <c r="BO205" s="387"/>
      <c r="BP205" s="388"/>
      <c r="BQ205" s="386"/>
      <c r="BR205" s="387"/>
      <c r="BS205" s="388"/>
      <c r="BT205" s="386"/>
      <c r="BU205" s="387"/>
      <c r="BV205" s="388"/>
      <c r="BW205" s="386"/>
      <c r="BX205" s="387"/>
      <c r="BY205" s="388"/>
      <c r="BZ205" s="386"/>
      <c r="CA205" s="387"/>
      <c r="CB205" s="388"/>
      <c r="CC205" s="386"/>
      <c r="CD205" s="387"/>
      <c r="CE205" s="388"/>
      <c r="CF205" s="386"/>
      <c r="CG205" s="387"/>
      <c r="CH205" s="388"/>
      <c r="CI205" s="386"/>
      <c r="CJ205" s="387"/>
      <c r="CK205" s="388"/>
      <c r="CL205" s="386"/>
      <c r="CM205" s="387"/>
      <c r="CN205" s="388"/>
      <c r="CO205" s="386"/>
      <c r="CP205" s="387"/>
      <c r="CQ205" s="388"/>
      <c r="CR205" s="386"/>
      <c r="CS205" s="387"/>
      <c r="CT205" s="388"/>
      <c r="CU205" s="386"/>
      <c r="CV205" s="387"/>
      <c r="CW205" s="388"/>
      <c r="CX205" s="386"/>
      <c r="CY205" s="387"/>
      <c r="CZ205" s="388"/>
    </row>
    <row r="206">
      <c r="A206" s="1"/>
      <c r="B206" s="402"/>
      <c r="C206" s="362" t="str">
        <f>'5-0 Товары'!C206</f>
        <v/>
      </c>
      <c r="D206" s="363" t="str">
        <f>'5-0 Товары'!D206</f>
        <v/>
      </c>
      <c r="E206" s="364" t="str">
        <f>'5-0 Товары'!E206</f>
        <v/>
      </c>
      <c r="F206" s="380"/>
      <c r="G206" s="380"/>
      <c r="H206" s="364" t="str">
        <f>'5-0 Товары'!F206</f>
        <v/>
      </c>
      <c r="I206" s="391"/>
      <c r="J206" s="364" t="str">
        <f>'5-0 Товары'!G206</f>
        <v/>
      </c>
      <c r="K206" s="366" t="str">
        <f>'5-0 Товары'!H206</f>
        <v/>
      </c>
      <c r="L206" s="382" t="str">
        <f t="shared" si="1"/>
        <v/>
      </c>
      <c r="M206" s="382"/>
      <c r="N206" s="380"/>
      <c r="O206" s="369" t="str">
        <f>'5-0 Товары'!I206</f>
        <v/>
      </c>
      <c r="P206" s="371" t="str">
        <f>'5-0 Товары'!N206</f>
        <v/>
      </c>
      <c r="Q206" s="197"/>
      <c r="R206" s="193"/>
      <c r="S206" s="187"/>
      <c r="T206" s="187"/>
      <c r="U206" s="187"/>
      <c r="V206" s="187"/>
      <c r="W206" s="187"/>
      <c r="X206" s="187"/>
      <c r="Y206" s="187" t="s">
        <v>96</v>
      </c>
      <c r="Z206" s="193" t="str">
        <f t="shared" si="2"/>
        <v/>
      </c>
      <c r="AA206" s="383"/>
      <c r="AB206" s="384"/>
      <c r="AC206" s="385"/>
      <c r="AD206" s="383"/>
      <c r="AE206" s="384"/>
      <c r="AF206" s="385"/>
      <c r="AG206" s="383"/>
      <c r="AH206" s="384"/>
      <c r="AI206" s="385"/>
      <c r="AJ206" s="383"/>
      <c r="AK206" s="384"/>
      <c r="AL206" s="385"/>
      <c r="AM206" s="383"/>
      <c r="AN206" s="384"/>
      <c r="AO206" s="385"/>
      <c r="AP206" s="383"/>
      <c r="AQ206" s="384"/>
      <c r="AR206" s="385"/>
      <c r="AS206" s="383"/>
      <c r="AT206" s="384"/>
      <c r="AU206" s="385"/>
      <c r="AV206" s="383"/>
      <c r="AW206" s="384"/>
      <c r="AX206" s="385"/>
      <c r="AY206" s="383"/>
      <c r="AZ206" s="384"/>
      <c r="BA206" s="385"/>
      <c r="BB206" s="386"/>
      <c r="BC206" s="387"/>
      <c r="BD206" s="388"/>
      <c r="BE206" s="386"/>
      <c r="BF206" s="387"/>
      <c r="BG206" s="388"/>
      <c r="BH206" s="386"/>
      <c r="BI206" s="387"/>
      <c r="BJ206" s="388"/>
      <c r="BK206" s="386"/>
      <c r="BL206" s="387"/>
      <c r="BM206" s="388"/>
      <c r="BN206" s="386"/>
      <c r="BO206" s="387"/>
      <c r="BP206" s="388"/>
      <c r="BQ206" s="386"/>
      <c r="BR206" s="387"/>
      <c r="BS206" s="388"/>
      <c r="BT206" s="386"/>
      <c r="BU206" s="387"/>
      <c r="BV206" s="388"/>
      <c r="BW206" s="386"/>
      <c r="BX206" s="387"/>
      <c r="BY206" s="388"/>
      <c r="BZ206" s="386"/>
      <c r="CA206" s="387"/>
      <c r="CB206" s="388"/>
      <c r="CC206" s="386"/>
      <c r="CD206" s="387"/>
      <c r="CE206" s="388"/>
      <c r="CF206" s="386"/>
      <c r="CG206" s="387"/>
      <c r="CH206" s="388"/>
      <c r="CI206" s="386"/>
      <c r="CJ206" s="387"/>
      <c r="CK206" s="388"/>
      <c r="CL206" s="386"/>
      <c r="CM206" s="387"/>
      <c r="CN206" s="388"/>
      <c r="CO206" s="386"/>
      <c r="CP206" s="387"/>
      <c r="CQ206" s="388"/>
      <c r="CR206" s="386"/>
      <c r="CS206" s="387"/>
      <c r="CT206" s="388"/>
      <c r="CU206" s="386"/>
      <c r="CV206" s="387"/>
      <c r="CW206" s="388"/>
      <c r="CX206" s="386"/>
      <c r="CY206" s="387"/>
      <c r="CZ206" s="388"/>
    </row>
    <row r="207">
      <c r="A207" s="1"/>
      <c r="B207" s="402"/>
      <c r="C207" s="362" t="str">
        <f>'5-0 Товары'!C207</f>
        <v/>
      </c>
      <c r="D207" s="363" t="str">
        <f>'5-0 Товары'!D207</f>
        <v/>
      </c>
      <c r="E207" s="364" t="str">
        <f>'5-0 Товары'!E207</f>
        <v/>
      </c>
      <c r="F207" s="380"/>
      <c r="G207" s="380"/>
      <c r="H207" s="364" t="str">
        <f>'5-0 Товары'!F207</f>
        <v/>
      </c>
      <c r="I207" s="391"/>
      <c r="J207" s="364" t="str">
        <f>'5-0 Товары'!G207</f>
        <v/>
      </c>
      <c r="K207" s="366" t="str">
        <f>'5-0 Товары'!H207</f>
        <v/>
      </c>
      <c r="L207" s="382" t="str">
        <f t="shared" si="1"/>
        <v/>
      </c>
      <c r="M207" s="382"/>
      <c r="N207" s="380"/>
      <c r="O207" s="369" t="str">
        <f>'5-0 Товары'!I207</f>
        <v/>
      </c>
      <c r="P207" s="371" t="str">
        <f>'5-0 Товары'!N207</f>
        <v/>
      </c>
      <c r="Q207" s="197"/>
      <c r="R207" s="193"/>
      <c r="S207" s="187"/>
      <c r="T207" s="187"/>
      <c r="U207" s="187"/>
      <c r="V207" s="187"/>
      <c r="W207" s="187"/>
      <c r="X207" s="187"/>
      <c r="Y207" s="187" t="s">
        <v>96</v>
      </c>
      <c r="Z207" s="193" t="str">
        <f t="shared" si="2"/>
        <v/>
      </c>
      <c r="AA207" s="383"/>
      <c r="AB207" s="384"/>
      <c r="AC207" s="385"/>
      <c r="AD207" s="383"/>
      <c r="AE207" s="384"/>
      <c r="AF207" s="385"/>
      <c r="AG207" s="383"/>
      <c r="AH207" s="384"/>
      <c r="AI207" s="385"/>
      <c r="AJ207" s="383"/>
      <c r="AK207" s="384"/>
      <c r="AL207" s="385"/>
      <c r="AM207" s="383"/>
      <c r="AN207" s="384"/>
      <c r="AO207" s="385"/>
      <c r="AP207" s="383"/>
      <c r="AQ207" s="384"/>
      <c r="AR207" s="385"/>
      <c r="AS207" s="383"/>
      <c r="AT207" s="384"/>
      <c r="AU207" s="385"/>
      <c r="AV207" s="383"/>
      <c r="AW207" s="384"/>
      <c r="AX207" s="385"/>
      <c r="AY207" s="383"/>
      <c r="AZ207" s="384"/>
      <c r="BA207" s="385"/>
      <c r="BB207" s="386"/>
      <c r="BC207" s="387"/>
      <c r="BD207" s="388"/>
      <c r="BE207" s="386"/>
      <c r="BF207" s="387"/>
      <c r="BG207" s="388"/>
      <c r="BH207" s="386"/>
      <c r="BI207" s="387"/>
      <c r="BJ207" s="388"/>
      <c r="BK207" s="386"/>
      <c r="BL207" s="387"/>
      <c r="BM207" s="388"/>
      <c r="BN207" s="386"/>
      <c r="BO207" s="387"/>
      <c r="BP207" s="388"/>
      <c r="BQ207" s="386"/>
      <c r="BR207" s="387"/>
      <c r="BS207" s="388"/>
      <c r="BT207" s="386"/>
      <c r="BU207" s="387"/>
      <c r="BV207" s="388"/>
      <c r="BW207" s="386"/>
      <c r="BX207" s="387"/>
      <c r="BY207" s="388"/>
      <c r="BZ207" s="386"/>
      <c r="CA207" s="387"/>
      <c r="CB207" s="388"/>
      <c r="CC207" s="386"/>
      <c r="CD207" s="387"/>
      <c r="CE207" s="388"/>
      <c r="CF207" s="386"/>
      <c r="CG207" s="387"/>
      <c r="CH207" s="388"/>
      <c r="CI207" s="386"/>
      <c r="CJ207" s="387"/>
      <c r="CK207" s="388"/>
      <c r="CL207" s="386"/>
      <c r="CM207" s="387"/>
      <c r="CN207" s="388"/>
      <c r="CO207" s="386"/>
      <c r="CP207" s="387"/>
      <c r="CQ207" s="388"/>
      <c r="CR207" s="386"/>
      <c r="CS207" s="387"/>
      <c r="CT207" s="388"/>
      <c r="CU207" s="386"/>
      <c r="CV207" s="387"/>
      <c r="CW207" s="388"/>
      <c r="CX207" s="386"/>
      <c r="CY207" s="387"/>
      <c r="CZ207" s="388"/>
    </row>
    <row r="208">
      <c r="A208" s="1"/>
      <c r="B208" s="402"/>
      <c r="C208" s="362" t="str">
        <f>'5-0 Товары'!C208</f>
        <v/>
      </c>
      <c r="D208" s="363" t="str">
        <f>'5-0 Товары'!D208</f>
        <v/>
      </c>
      <c r="E208" s="364" t="str">
        <f>'5-0 Товары'!E208</f>
        <v/>
      </c>
      <c r="F208" s="380"/>
      <c r="G208" s="380"/>
      <c r="H208" s="364" t="str">
        <f>'5-0 Товары'!F208</f>
        <v/>
      </c>
      <c r="I208" s="391"/>
      <c r="J208" s="364" t="str">
        <f>'5-0 Товары'!G208</f>
        <v/>
      </c>
      <c r="K208" s="366" t="str">
        <f>'5-0 Товары'!H208</f>
        <v/>
      </c>
      <c r="L208" s="382" t="str">
        <f t="shared" si="1"/>
        <v/>
      </c>
      <c r="M208" s="382"/>
      <c r="N208" s="380"/>
      <c r="O208" s="369" t="str">
        <f>'5-0 Товары'!I208</f>
        <v/>
      </c>
      <c r="P208" s="371" t="str">
        <f>'5-0 Товары'!N208</f>
        <v/>
      </c>
      <c r="Q208" s="197"/>
      <c r="R208" s="193"/>
      <c r="S208" s="187"/>
      <c r="T208" s="187"/>
      <c r="U208" s="187"/>
      <c r="V208" s="187"/>
      <c r="W208" s="187"/>
      <c r="X208" s="187"/>
      <c r="Y208" s="187" t="s">
        <v>96</v>
      </c>
      <c r="Z208" s="193" t="str">
        <f t="shared" si="2"/>
        <v/>
      </c>
      <c r="AA208" s="383"/>
      <c r="AB208" s="384"/>
      <c r="AC208" s="385"/>
      <c r="AD208" s="383"/>
      <c r="AE208" s="384"/>
      <c r="AF208" s="385"/>
      <c r="AG208" s="383"/>
      <c r="AH208" s="384"/>
      <c r="AI208" s="385"/>
      <c r="AJ208" s="383"/>
      <c r="AK208" s="384"/>
      <c r="AL208" s="385"/>
      <c r="AM208" s="383"/>
      <c r="AN208" s="384"/>
      <c r="AO208" s="385"/>
      <c r="AP208" s="383"/>
      <c r="AQ208" s="384"/>
      <c r="AR208" s="385"/>
      <c r="AS208" s="383"/>
      <c r="AT208" s="384"/>
      <c r="AU208" s="385"/>
      <c r="AV208" s="383"/>
      <c r="AW208" s="384"/>
      <c r="AX208" s="385"/>
      <c r="AY208" s="383"/>
      <c r="AZ208" s="384"/>
      <c r="BA208" s="385"/>
      <c r="BB208" s="386"/>
      <c r="BC208" s="387"/>
      <c r="BD208" s="388"/>
      <c r="BE208" s="386"/>
      <c r="BF208" s="387"/>
      <c r="BG208" s="388"/>
      <c r="BH208" s="386"/>
      <c r="BI208" s="387"/>
      <c r="BJ208" s="388"/>
      <c r="BK208" s="386"/>
      <c r="BL208" s="387"/>
      <c r="BM208" s="388"/>
      <c r="BN208" s="386"/>
      <c r="BO208" s="387"/>
      <c r="BP208" s="388"/>
      <c r="BQ208" s="386"/>
      <c r="BR208" s="387"/>
      <c r="BS208" s="388"/>
      <c r="BT208" s="386"/>
      <c r="BU208" s="387"/>
      <c r="BV208" s="388"/>
      <c r="BW208" s="386"/>
      <c r="BX208" s="387"/>
      <c r="BY208" s="388"/>
      <c r="BZ208" s="386"/>
      <c r="CA208" s="387"/>
      <c r="CB208" s="388"/>
      <c r="CC208" s="386"/>
      <c r="CD208" s="387"/>
      <c r="CE208" s="388"/>
      <c r="CF208" s="386"/>
      <c r="CG208" s="387"/>
      <c r="CH208" s="388"/>
      <c r="CI208" s="386"/>
      <c r="CJ208" s="387"/>
      <c r="CK208" s="388"/>
      <c r="CL208" s="386"/>
      <c r="CM208" s="387"/>
      <c r="CN208" s="388"/>
      <c r="CO208" s="386"/>
      <c r="CP208" s="387"/>
      <c r="CQ208" s="388"/>
      <c r="CR208" s="386"/>
      <c r="CS208" s="387"/>
      <c r="CT208" s="388"/>
      <c r="CU208" s="386"/>
      <c r="CV208" s="387"/>
      <c r="CW208" s="388"/>
      <c r="CX208" s="386"/>
      <c r="CY208" s="387"/>
      <c r="CZ208" s="388"/>
    </row>
    <row r="209">
      <c r="A209" s="1"/>
      <c r="B209" s="402"/>
      <c r="C209" s="362" t="str">
        <f>'5-0 Товары'!C209</f>
        <v/>
      </c>
      <c r="D209" s="363" t="str">
        <f>'5-0 Товары'!D209</f>
        <v/>
      </c>
      <c r="E209" s="364" t="str">
        <f>'5-0 Товары'!E209</f>
        <v/>
      </c>
      <c r="F209" s="380"/>
      <c r="G209" s="380"/>
      <c r="H209" s="364" t="str">
        <f>'5-0 Товары'!F209</f>
        <v/>
      </c>
      <c r="I209" s="391"/>
      <c r="J209" s="364" t="str">
        <f>'5-0 Товары'!G209</f>
        <v/>
      </c>
      <c r="K209" s="366" t="str">
        <f>'5-0 Товары'!H209</f>
        <v/>
      </c>
      <c r="L209" s="382" t="str">
        <f t="shared" si="1"/>
        <v/>
      </c>
      <c r="M209" s="382"/>
      <c r="N209" s="380"/>
      <c r="O209" s="369" t="str">
        <f>'5-0 Товары'!I209</f>
        <v/>
      </c>
      <c r="P209" s="371" t="str">
        <f>'5-0 Товары'!N209</f>
        <v/>
      </c>
      <c r="Q209" s="197"/>
      <c r="R209" s="193"/>
      <c r="S209" s="187"/>
      <c r="T209" s="187"/>
      <c r="U209" s="187"/>
      <c r="V209" s="187"/>
      <c r="W209" s="187"/>
      <c r="X209" s="187"/>
      <c r="Y209" s="187" t="s">
        <v>96</v>
      </c>
      <c r="Z209" s="193" t="str">
        <f t="shared" si="2"/>
        <v/>
      </c>
      <c r="AA209" s="383"/>
      <c r="AB209" s="384"/>
      <c r="AC209" s="385"/>
      <c r="AD209" s="383"/>
      <c r="AE209" s="384"/>
      <c r="AF209" s="385"/>
      <c r="AG209" s="383"/>
      <c r="AH209" s="384"/>
      <c r="AI209" s="385"/>
      <c r="AJ209" s="383"/>
      <c r="AK209" s="384"/>
      <c r="AL209" s="385"/>
      <c r="AM209" s="383"/>
      <c r="AN209" s="384"/>
      <c r="AO209" s="385"/>
      <c r="AP209" s="383"/>
      <c r="AQ209" s="384"/>
      <c r="AR209" s="385"/>
      <c r="AS209" s="383"/>
      <c r="AT209" s="384"/>
      <c r="AU209" s="385"/>
      <c r="AV209" s="383"/>
      <c r="AW209" s="384"/>
      <c r="AX209" s="385"/>
      <c r="AY209" s="383"/>
      <c r="AZ209" s="384"/>
      <c r="BA209" s="385"/>
      <c r="BB209" s="386"/>
      <c r="BC209" s="387"/>
      <c r="BD209" s="388"/>
      <c r="BE209" s="386"/>
      <c r="BF209" s="387"/>
      <c r="BG209" s="388"/>
      <c r="BH209" s="386"/>
      <c r="BI209" s="387"/>
      <c r="BJ209" s="388"/>
      <c r="BK209" s="386"/>
      <c r="BL209" s="387"/>
      <c r="BM209" s="388"/>
      <c r="BN209" s="386"/>
      <c r="BO209" s="387"/>
      <c r="BP209" s="388"/>
      <c r="BQ209" s="386"/>
      <c r="BR209" s="387"/>
      <c r="BS209" s="388"/>
      <c r="BT209" s="386"/>
      <c r="BU209" s="387"/>
      <c r="BV209" s="388"/>
      <c r="BW209" s="386"/>
      <c r="BX209" s="387"/>
      <c r="BY209" s="388"/>
      <c r="BZ209" s="386"/>
      <c r="CA209" s="387"/>
      <c r="CB209" s="388"/>
      <c r="CC209" s="386"/>
      <c r="CD209" s="387"/>
      <c r="CE209" s="388"/>
      <c r="CF209" s="386"/>
      <c r="CG209" s="387"/>
      <c r="CH209" s="388"/>
      <c r="CI209" s="386"/>
      <c r="CJ209" s="387"/>
      <c r="CK209" s="388"/>
      <c r="CL209" s="386"/>
      <c r="CM209" s="387"/>
      <c r="CN209" s="388"/>
      <c r="CO209" s="386"/>
      <c r="CP209" s="387"/>
      <c r="CQ209" s="388"/>
      <c r="CR209" s="386"/>
      <c r="CS209" s="387"/>
      <c r="CT209" s="388"/>
      <c r="CU209" s="386"/>
      <c r="CV209" s="387"/>
      <c r="CW209" s="388"/>
      <c r="CX209" s="386"/>
      <c r="CY209" s="387"/>
      <c r="CZ209" s="388"/>
    </row>
    <row r="210">
      <c r="A210" s="1"/>
      <c r="B210" s="402"/>
      <c r="C210" s="362" t="str">
        <f>'5-0 Товары'!C210</f>
        <v/>
      </c>
      <c r="D210" s="363" t="str">
        <f>'5-0 Товары'!D210</f>
        <v/>
      </c>
      <c r="E210" s="364" t="str">
        <f>'5-0 Товары'!E210</f>
        <v/>
      </c>
      <c r="F210" s="380"/>
      <c r="G210" s="380"/>
      <c r="H210" s="364" t="str">
        <f>'5-0 Товары'!F210</f>
        <v/>
      </c>
      <c r="I210" s="391"/>
      <c r="J210" s="364" t="str">
        <f>'5-0 Товары'!G210</f>
        <v/>
      </c>
      <c r="K210" s="366" t="str">
        <f>'5-0 Товары'!H210</f>
        <v/>
      </c>
      <c r="L210" s="382" t="str">
        <f t="shared" si="1"/>
        <v/>
      </c>
      <c r="M210" s="382"/>
      <c r="N210" s="380"/>
      <c r="O210" s="369" t="str">
        <f>'5-0 Товары'!I210</f>
        <v/>
      </c>
      <c r="P210" s="371" t="str">
        <f>'5-0 Товары'!N210</f>
        <v/>
      </c>
      <c r="Q210" s="197"/>
      <c r="R210" s="193"/>
      <c r="S210" s="187"/>
      <c r="T210" s="187"/>
      <c r="U210" s="187"/>
      <c r="V210" s="187"/>
      <c r="W210" s="187"/>
      <c r="X210" s="187"/>
      <c r="Y210" s="187" t="s">
        <v>96</v>
      </c>
      <c r="Z210" s="193" t="str">
        <f t="shared" si="2"/>
        <v/>
      </c>
      <c r="AA210" s="383"/>
      <c r="AB210" s="384"/>
      <c r="AC210" s="385"/>
      <c r="AD210" s="383"/>
      <c r="AE210" s="384"/>
      <c r="AF210" s="385"/>
      <c r="AG210" s="383"/>
      <c r="AH210" s="384"/>
      <c r="AI210" s="385"/>
      <c r="AJ210" s="383"/>
      <c r="AK210" s="384"/>
      <c r="AL210" s="385"/>
      <c r="AM210" s="383"/>
      <c r="AN210" s="384"/>
      <c r="AO210" s="385"/>
      <c r="AP210" s="383"/>
      <c r="AQ210" s="384"/>
      <c r="AR210" s="385"/>
      <c r="AS210" s="383"/>
      <c r="AT210" s="384"/>
      <c r="AU210" s="385"/>
      <c r="AV210" s="383"/>
      <c r="AW210" s="384"/>
      <c r="AX210" s="385"/>
      <c r="AY210" s="383"/>
      <c r="AZ210" s="384"/>
      <c r="BA210" s="385"/>
      <c r="BB210" s="386"/>
      <c r="BC210" s="387"/>
      <c r="BD210" s="388"/>
      <c r="BE210" s="386"/>
      <c r="BF210" s="387"/>
      <c r="BG210" s="388"/>
      <c r="BH210" s="386"/>
      <c r="BI210" s="387"/>
      <c r="BJ210" s="388"/>
      <c r="BK210" s="386"/>
      <c r="BL210" s="387"/>
      <c r="BM210" s="388"/>
      <c r="BN210" s="386"/>
      <c r="BO210" s="387"/>
      <c r="BP210" s="388"/>
      <c r="BQ210" s="386"/>
      <c r="BR210" s="387"/>
      <c r="BS210" s="388"/>
      <c r="BT210" s="386"/>
      <c r="BU210" s="387"/>
      <c r="BV210" s="388"/>
      <c r="BW210" s="386"/>
      <c r="BX210" s="387"/>
      <c r="BY210" s="388"/>
      <c r="BZ210" s="386"/>
      <c r="CA210" s="387"/>
      <c r="CB210" s="388"/>
      <c r="CC210" s="386"/>
      <c r="CD210" s="387"/>
      <c r="CE210" s="388"/>
      <c r="CF210" s="386"/>
      <c r="CG210" s="387"/>
      <c r="CH210" s="388"/>
      <c r="CI210" s="386"/>
      <c r="CJ210" s="387"/>
      <c r="CK210" s="388"/>
      <c r="CL210" s="386"/>
      <c r="CM210" s="387"/>
      <c r="CN210" s="388"/>
      <c r="CO210" s="386"/>
      <c r="CP210" s="387"/>
      <c r="CQ210" s="388"/>
      <c r="CR210" s="386"/>
      <c r="CS210" s="387"/>
      <c r="CT210" s="388"/>
      <c r="CU210" s="386"/>
      <c r="CV210" s="387"/>
      <c r="CW210" s="388"/>
      <c r="CX210" s="386"/>
      <c r="CY210" s="387"/>
      <c r="CZ210" s="388"/>
    </row>
    <row r="211">
      <c r="A211" s="1"/>
      <c r="B211" s="402"/>
      <c r="C211" s="362" t="str">
        <f>'5-0 Товары'!C211</f>
        <v/>
      </c>
      <c r="D211" s="363" t="str">
        <f>'5-0 Товары'!D211</f>
        <v/>
      </c>
      <c r="E211" s="364" t="str">
        <f>'5-0 Товары'!E211</f>
        <v/>
      </c>
      <c r="F211" s="380"/>
      <c r="G211" s="380"/>
      <c r="H211" s="364" t="str">
        <f>'5-0 Товары'!F211</f>
        <v/>
      </c>
      <c r="I211" s="391"/>
      <c r="J211" s="364" t="str">
        <f>'5-0 Товары'!G211</f>
        <v/>
      </c>
      <c r="K211" s="366" t="str">
        <f>'5-0 Товары'!H211</f>
        <v/>
      </c>
      <c r="L211" s="382" t="str">
        <f t="shared" si="1"/>
        <v/>
      </c>
      <c r="M211" s="382"/>
      <c r="N211" s="380"/>
      <c r="O211" s="369" t="str">
        <f>'5-0 Товары'!I211</f>
        <v/>
      </c>
      <c r="P211" s="371" t="str">
        <f>'5-0 Товары'!N211</f>
        <v/>
      </c>
      <c r="Q211" s="197"/>
      <c r="R211" s="193"/>
      <c r="S211" s="187"/>
      <c r="T211" s="187"/>
      <c r="U211" s="187"/>
      <c r="V211" s="187"/>
      <c r="W211" s="187"/>
      <c r="X211" s="187"/>
      <c r="Y211" s="187" t="s">
        <v>96</v>
      </c>
      <c r="Z211" s="193" t="str">
        <f t="shared" si="2"/>
        <v/>
      </c>
      <c r="AA211" s="383"/>
      <c r="AB211" s="384"/>
      <c r="AC211" s="385"/>
      <c r="AD211" s="383"/>
      <c r="AE211" s="384"/>
      <c r="AF211" s="385"/>
      <c r="AG211" s="383"/>
      <c r="AH211" s="384"/>
      <c r="AI211" s="385"/>
      <c r="AJ211" s="383"/>
      <c r="AK211" s="384"/>
      <c r="AL211" s="385"/>
      <c r="AM211" s="383"/>
      <c r="AN211" s="384"/>
      <c r="AO211" s="385"/>
      <c r="AP211" s="383"/>
      <c r="AQ211" s="384"/>
      <c r="AR211" s="385"/>
      <c r="AS211" s="383"/>
      <c r="AT211" s="384"/>
      <c r="AU211" s="385"/>
      <c r="AV211" s="383"/>
      <c r="AW211" s="384"/>
      <c r="AX211" s="385"/>
      <c r="AY211" s="383"/>
      <c r="AZ211" s="384"/>
      <c r="BA211" s="385"/>
      <c r="BB211" s="386"/>
      <c r="BC211" s="387"/>
      <c r="BD211" s="388"/>
      <c r="BE211" s="386"/>
      <c r="BF211" s="387"/>
      <c r="BG211" s="388"/>
      <c r="BH211" s="386"/>
      <c r="BI211" s="387"/>
      <c r="BJ211" s="388"/>
      <c r="BK211" s="386"/>
      <c r="BL211" s="387"/>
      <c r="BM211" s="388"/>
      <c r="BN211" s="386"/>
      <c r="BO211" s="387"/>
      <c r="BP211" s="388"/>
      <c r="BQ211" s="386"/>
      <c r="BR211" s="387"/>
      <c r="BS211" s="388"/>
      <c r="BT211" s="386"/>
      <c r="BU211" s="387"/>
      <c r="BV211" s="388"/>
      <c r="BW211" s="386"/>
      <c r="BX211" s="387"/>
      <c r="BY211" s="388"/>
      <c r="BZ211" s="386"/>
      <c r="CA211" s="387"/>
      <c r="CB211" s="388"/>
      <c r="CC211" s="386"/>
      <c r="CD211" s="387"/>
      <c r="CE211" s="388"/>
      <c r="CF211" s="386"/>
      <c r="CG211" s="387"/>
      <c r="CH211" s="388"/>
      <c r="CI211" s="386"/>
      <c r="CJ211" s="387"/>
      <c r="CK211" s="388"/>
      <c r="CL211" s="386"/>
      <c r="CM211" s="387"/>
      <c r="CN211" s="388"/>
      <c r="CO211" s="386"/>
      <c r="CP211" s="387"/>
      <c r="CQ211" s="388"/>
      <c r="CR211" s="386"/>
      <c r="CS211" s="387"/>
      <c r="CT211" s="388"/>
      <c r="CU211" s="386"/>
      <c r="CV211" s="387"/>
      <c r="CW211" s="388"/>
      <c r="CX211" s="386"/>
      <c r="CY211" s="387"/>
      <c r="CZ211" s="388"/>
    </row>
    <row r="212">
      <c r="A212" s="1"/>
      <c r="B212" s="402"/>
      <c r="C212" s="362" t="str">
        <f>'5-0 Товары'!C212</f>
        <v/>
      </c>
      <c r="D212" s="363" t="str">
        <f>'5-0 Товары'!D212</f>
        <v/>
      </c>
      <c r="E212" s="364" t="str">
        <f>'5-0 Товары'!E212</f>
        <v/>
      </c>
      <c r="F212" s="380"/>
      <c r="G212" s="380"/>
      <c r="H212" s="364" t="str">
        <f>'5-0 Товары'!F212</f>
        <v/>
      </c>
      <c r="I212" s="391"/>
      <c r="J212" s="364" t="str">
        <f>'5-0 Товары'!G212</f>
        <v/>
      </c>
      <c r="K212" s="366" t="str">
        <f>'5-0 Товары'!H212</f>
        <v/>
      </c>
      <c r="L212" s="382" t="str">
        <f t="shared" si="1"/>
        <v/>
      </c>
      <c r="M212" s="382"/>
      <c r="N212" s="380"/>
      <c r="O212" s="369" t="str">
        <f>'5-0 Товары'!I212</f>
        <v/>
      </c>
      <c r="P212" s="371" t="str">
        <f>'5-0 Товары'!N212</f>
        <v/>
      </c>
      <c r="Q212" s="197"/>
      <c r="R212" s="193"/>
      <c r="S212" s="187"/>
      <c r="T212" s="187"/>
      <c r="U212" s="187"/>
      <c r="V212" s="187"/>
      <c r="W212" s="187"/>
      <c r="X212" s="187"/>
      <c r="Y212" s="187" t="s">
        <v>96</v>
      </c>
      <c r="Z212" s="193" t="str">
        <f t="shared" si="2"/>
        <v/>
      </c>
      <c r="AA212" s="383"/>
      <c r="AB212" s="384"/>
      <c r="AC212" s="385"/>
      <c r="AD212" s="383"/>
      <c r="AE212" s="384"/>
      <c r="AF212" s="385"/>
      <c r="AG212" s="383"/>
      <c r="AH212" s="384"/>
      <c r="AI212" s="385"/>
      <c r="AJ212" s="383"/>
      <c r="AK212" s="384"/>
      <c r="AL212" s="385"/>
      <c r="AM212" s="383"/>
      <c r="AN212" s="384"/>
      <c r="AO212" s="385"/>
      <c r="AP212" s="383"/>
      <c r="AQ212" s="384"/>
      <c r="AR212" s="385"/>
      <c r="AS212" s="383"/>
      <c r="AT212" s="384"/>
      <c r="AU212" s="385"/>
      <c r="AV212" s="383"/>
      <c r="AW212" s="384"/>
      <c r="AX212" s="385"/>
      <c r="AY212" s="383"/>
      <c r="AZ212" s="384"/>
      <c r="BA212" s="385"/>
      <c r="BB212" s="386"/>
      <c r="BC212" s="387"/>
      <c r="BD212" s="388"/>
      <c r="BE212" s="386"/>
      <c r="BF212" s="387"/>
      <c r="BG212" s="388"/>
      <c r="BH212" s="386"/>
      <c r="BI212" s="387"/>
      <c r="BJ212" s="388"/>
      <c r="BK212" s="386"/>
      <c r="BL212" s="387"/>
      <c r="BM212" s="388"/>
      <c r="BN212" s="386"/>
      <c r="BO212" s="387"/>
      <c r="BP212" s="388"/>
      <c r="BQ212" s="386"/>
      <c r="BR212" s="387"/>
      <c r="BS212" s="388"/>
      <c r="BT212" s="386"/>
      <c r="BU212" s="387"/>
      <c r="BV212" s="388"/>
      <c r="BW212" s="386"/>
      <c r="BX212" s="387"/>
      <c r="BY212" s="388"/>
      <c r="BZ212" s="386"/>
      <c r="CA212" s="387"/>
      <c r="CB212" s="388"/>
      <c r="CC212" s="386"/>
      <c r="CD212" s="387"/>
      <c r="CE212" s="388"/>
      <c r="CF212" s="386"/>
      <c r="CG212" s="387"/>
      <c r="CH212" s="388"/>
      <c r="CI212" s="386"/>
      <c r="CJ212" s="387"/>
      <c r="CK212" s="388"/>
      <c r="CL212" s="386"/>
      <c r="CM212" s="387"/>
      <c r="CN212" s="388"/>
      <c r="CO212" s="386"/>
      <c r="CP212" s="387"/>
      <c r="CQ212" s="388"/>
      <c r="CR212" s="386"/>
      <c r="CS212" s="387"/>
      <c r="CT212" s="388"/>
      <c r="CU212" s="386"/>
      <c r="CV212" s="387"/>
      <c r="CW212" s="388"/>
      <c r="CX212" s="386"/>
      <c r="CY212" s="387"/>
      <c r="CZ212" s="388"/>
    </row>
    <row r="213">
      <c r="A213" s="1"/>
      <c r="B213" s="402"/>
      <c r="C213" s="362" t="str">
        <f>'5-0 Товары'!C213</f>
        <v/>
      </c>
      <c r="D213" s="363" t="str">
        <f>'5-0 Товары'!D213</f>
        <v/>
      </c>
      <c r="E213" s="364" t="str">
        <f>'5-0 Товары'!E213</f>
        <v/>
      </c>
      <c r="F213" s="380"/>
      <c r="G213" s="380"/>
      <c r="H213" s="364" t="str">
        <f>'5-0 Товары'!F213</f>
        <v/>
      </c>
      <c r="I213" s="391"/>
      <c r="J213" s="364" t="str">
        <f>'5-0 Товары'!G213</f>
        <v/>
      </c>
      <c r="K213" s="366" t="str">
        <f>'5-0 Товары'!H213</f>
        <v/>
      </c>
      <c r="L213" s="382" t="str">
        <f t="shared" si="1"/>
        <v/>
      </c>
      <c r="M213" s="382"/>
      <c r="N213" s="380"/>
      <c r="O213" s="369" t="str">
        <f>'5-0 Товары'!I213</f>
        <v/>
      </c>
      <c r="P213" s="371" t="str">
        <f>'5-0 Товары'!N213</f>
        <v/>
      </c>
      <c r="Q213" s="197"/>
      <c r="R213" s="193"/>
      <c r="S213" s="187"/>
      <c r="T213" s="187"/>
      <c r="U213" s="187"/>
      <c r="V213" s="187"/>
      <c r="W213" s="187"/>
      <c r="X213" s="187"/>
      <c r="Y213" s="187" t="s">
        <v>96</v>
      </c>
      <c r="Z213" s="193" t="str">
        <f t="shared" si="2"/>
        <v/>
      </c>
      <c r="AA213" s="383"/>
      <c r="AB213" s="384"/>
      <c r="AC213" s="385"/>
      <c r="AD213" s="383"/>
      <c r="AE213" s="384"/>
      <c r="AF213" s="385"/>
      <c r="AG213" s="383"/>
      <c r="AH213" s="384"/>
      <c r="AI213" s="385"/>
      <c r="AJ213" s="383"/>
      <c r="AK213" s="384"/>
      <c r="AL213" s="385"/>
      <c r="AM213" s="383"/>
      <c r="AN213" s="384"/>
      <c r="AO213" s="385"/>
      <c r="AP213" s="383"/>
      <c r="AQ213" s="384"/>
      <c r="AR213" s="385"/>
      <c r="AS213" s="383"/>
      <c r="AT213" s="384"/>
      <c r="AU213" s="385"/>
      <c r="AV213" s="383"/>
      <c r="AW213" s="384"/>
      <c r="AX213" s="385"/>
      <c r="AY213" s="383"/>
      <c r="AZ213" s="384"/>
      <c r="BA213" s="385"/>
      <c r="BB213" s="386"/>
      <c r="BC213" s="387"/>
      <c r="BD213" s="388"/>
      <c r="BE213" s="386"/>
      <c r="BF213" s="387"/>
      <c r="BG213" s="388"/>
      <c r="BH213" s="386"/>
      <c r="BI213" s="387"/>
      <c r="BJ213" s="388"/>
      <c r="BK213" s="386"/>
      <c r="BL213" s="387"/>
      <c r="BM213" s="388"/>
      <c r="BN213" s="386"/>
      <c r="BO213" s="387"/>
      <c r="BP213" s="388"/>
      <c r="BQ213" s="386"/>
      <c r="BR213" s="387"/>
      <c r="BS213" s="388"/>
      <c r="BT213" s="386"/>
      <c r="BU213" s="387"/>
      <c r="BV213" s="388"/>
      <c r="BW213" s="386"/>
      <c r="BX213" s="387"/>
      <c r="BY213" s="388"/>
      <c r="BZ213" s="386"/>
      <c r="CA213" s="387"/>
      <c r="CB213" s="388"/>
      <c r="CC213" s="386"/>
      <c r="CD213" s="387"/>
      <c r="CE213" s="388"/>
      <c r="CF213" s="386"/>
      <c r="CG213" s="387"/>
      <c r="CH213" s="388"/>
      <c r="CI213" s="386"/>
      <c r="CJ213" s="387"/>
      <c r="CK213" s="388"/>
      <c r="CL213" s="386"/>
      <c r="CM213" s="387"/>
      <c r="CN213" s="388"/>
      <c r="CO213" s="386"/>
      <c r="CP213" s="387"/>
      <c r="CQ213" s="388"/>
      <c r="CR213" s="386"/>
      <c r="CS213" s="387"/>
      <c r="CT213" s="388"/>
      <c r="CU213" s="386"/>
      <c r="CV213" s="387"/>
      <c r="CW213" s="388"/>
      <c r="CX213" s="386"/>
      <c r="CY213" s="387"/>
      <c r="CZ213" s="388"/>
    </row>
    <row r="214">
      <c r="A214" s="1"/>
      <c r="B214" s="402"/>
      <c r="C214" s="362" t="str">
        <f>'5-0 Товары'!C214</f>
        <v/>
      </c>
      <c r="D214" s="363" t="str">
        <f>'5-0 Товары'!D214</f>
        <v/>
      </c>
      <c r="E214" s="364" t="str">
        <f>'5-0 Товары'!E214</f>
        <v/>
      </c>
      <c r="F214" s="380"/>
      <c r="G214" s="380"/>
      <c r="H214" s="364" t="str">
        <f>'5-0 Товары'!F214</f>
        <v/>
      </c>
      <c r="I214" s="391"/>
      <c r="J214" s="364" t="str">
        <f>'5-0 Товары'!G214</f>
        <v/>
      </c>
      <c r="K214" s="366" t="str">
        <f>'5-0 Товары'!H214</f>
        <v/>
      </c>
      <c r="L214" s="382" t="str">
        <f t="shared" si="1"/>
        <v/>
      </c>
      <c r="M214" s="382"/>
      <c r="N214" s="380"/>
      <c r="O214" s="369" t="str">
        <f>'5-0 Товары'!I214</f>
        <v/>
      </c>
      <c r="P214" s="371" t="str">
        <f>'5-0 Товары'!N214</f>
        <v/>
      </c>
      <c r="Q214" s="197"/>
      <c r="R214" s="193"/>
      <c r="S214" s="187"/>
      <c r="T214" s="187"/>
      <c r="U214" s="187"/>
      <c r="V214" s="187"/>
      <c r="W214" s="187"/>
      <c r="X214" s="187"/>
      <c r="Y214" s="187" t="s">
        <v>96</v>
      </c>
      <c r="Z214" s="193" t="str">
        <f t="shared" si="2"/>
        <v/>
      </c>
      <c r="AA214" s="383"/>
      <c r="AB214" s="384"/>
      <c r="AC214" s="385"/>
      <c r="AD214" s="383"/>
      <c r="AE214" s="384"/>
      <c r="AF214" s="385"/>
      <c r="AG214" s="383"/>
      <c r="AH214" s="384"/>
      <c r="AI214" s="385"/>
      <c r="AJ214" s="383"/>
      <c r="AK214" s="384"/>
      <c r="AL214" s="385"/>
      <c r="AM214" s="383"/>
      <c r="AN214" s="384"/>
      <c r="AO214" s="385"/>
      <c r="AP214" s="383"/>
      <c r="AQ214" s="384"/>
      <c r="AR214" s="385"/>
      <c r="AS214" s="383"/>
      <c r="AT214" s="384"/>
      <c r="AU214" s="385"/>
      <c r="AV214" s="383"/>
      <c r="AW214" s="384"/>
      <c r="AX214" s="385"/>
      <c r="AY214" s="383"/>
      <c r="AZ214" s="384"/>
      <c r="BA214" s="385"/>
      <c r="BB214" s="386"/>
      <c r="BC214" s="387"/>
      <c r="BD214" s="388"/>
      <c r="BE214" s="386"/>
      <c r="BF214" s="387"/>
      <c r="BG214" s="388"/>
      <c r="BH214" s="386"/>
      <c r="BI214" s="387"/>
      <c r="BJ214" s="388"/>
      <c r="BK214" s="386"/>
      <c r="BL214" s="387"/>
      <c r="BM214" s="388"/>
      <c r="BN214" s="386"/>
      <c r="BO214" s="387"/>
      <c r="BP214" s="388"/>
      <c r="BQ214" s="386"/>
      <c r="BR214" s="387"/>
      <c r="BS214" s="388"/>
      <c r="BT214" s="386"/>
      <c r="BU214" s="387"/>
      <c r="BV214" s="388"/>
      <c r="BW214" s="386"/>
      <c r="BX214" s="387"/>
      <c r="BY214" s="388"/>
      <c r="BZ214" s="386"/>
      <c r="CA214" s="387"/>
      <c r="CB214" s="388"/>
      <c r="CC214" s="386"/>
      <c r="CD214" s="387"/>
      <c r="CE214" s="388"/>
      <c r="CF214" s="386"/>
      <c r="CG214" s="387"/>
      <c r="CH214" s="388"/>
      <c r="CI214" s="386"/>
      <c r="CJ214" s="387"/>
      <c r="CK214" s="388"/>
      <c r="CL214" s="386"/>
      <c r="CM214" s="387"/>
      <c r="CN214" s="388"/>
      <c r="CO214" s="386"/>
      <c r="CP214" s="387"/>
      <c r="CQ214" s="388"/>
      <c r="CR214" s="386"/>
      <c r="CS214" s="387"/>
      <c r="CT214" s="388"/>
      <c r="CU214" s="386"/>
      <c r="CV214" s="387"/>
      <c r="CW214" s="388"/>
      <c r="CX214" s="386"/>
      <c r="CY214" s="387"/>
      <c r="CZ214" s="388"/>
    </row>
    <row r="215">
      <c r="A215" s="1"/>
      <c r="B215" s="402"/>
      <c r="C215" s="362" t="str">
        <f>'5-0 Товары'!C215</f>
        <v/>
      </c>
      <c r="D215" s="363" t="str">
        <f>'5-0 Товары'!D215</f>
        <v/>
      </c>
      <c r="E215" s="364" t="str">
        <f>'5-0 Товары'!E215</f>
        <v/>
      </c>
      <c r="F215" s="380"/>
      <c r="G215" s="380"/>
      <c r="H215" s="364" t="str">
        <f>'5-0 Товары'!F215</f>
        <v/>
      </c>
      <c r="I215" s="391"/>
      <c r="J215" s="364" t="str">
        <f>'5-0 Товары'!G215</f>
        <v/>
      </c>
      <c r="K215" s="366" t="str">
        <f>'5-0 Товары'!H215</f>
        <v/>
      </c>
      <c r="L215" s="382" t="str">
        <f t="shared" si="1"/>
        <v/>
      </c>
      <c r="M215" s="382"/>
      <c r="N215" s="380"/>
      <c r="O215" s="369" t="str">
        <f>'5-0 Товары'!I215</f>
        <v/>
      </c>
      <c r="P215" s="371" t="str">
        <f>'5-0 Товары'!N215</f>
        <v/>
      </c>
      <c r="Q215" s="197"/>
      <c r="R215" s="193"/>
      <c r="S215" s="187"/>
      <c r="T215" s="187"/>
      <c r="U215" s="187"/>
      <c r="V215" s="187"/>
      <c r="W215" s="187"/>
      <c r="X215" s="187"/>
      <c r="Y215" s="187" t="s">
        <v>96</v>
      </c>
      <c r="Z215" s="193" t="str">
        <f t="shared" si="2"/>
        <v/>
      </c>
      <c r="AA215" s="383"/>
      <c r="AB215" s="384"/>
      <c r="AC215" s="385"/>
      <c r="AD215" s="383"/>
      <c r="AE215" s="384"/>
      <c r="AF215" s="385"/>
      <c r="AG215" s="383"/>
      <c r="AH215" s="384"/>
      <c r="AI215" s="385"/>
      <c r="AJ215" s="383"/>
      <c r="AK215" s="384"/>
      <c r="AL215" s="385"/>
      <c r="AM215" s="383"/>
      <c r="AN215" s="384"/>
      <c r="AO215" s="385"/>
      <c r="AP215" s="383"/>
      <c r="AQ215" s="384"/>
      <c r="AR215" s="385"/>
      <c r="AS215" s="383"/>
      <c r="AT215" s="384"/>
      <c r="AU215" s="385"/>
      <c r="AV215" s="383"/>
      <c r="AW215" s="384"/>
      <c r="AX215" s="385"/>
      <c r="AY215" s="383"/>
      <c r="AZ215" s="384"/>
      <c r="BA215" s="385"/>
      <c r="BB215" s="386"/>
      <c r="BC215" s="387"/>
      <c r="BD215" s="388"/>
      <c r="BE215" s="386"/>
      <c r="BF215" s="387"/>
      <c r="BG215" s="388"/>
      <c r="BH215" s="386"/>
      <c r="BI215" s="387"/>
      <c r="BJ215" s="388"/>
      <c r="BK215" s="386"/>
      <c r="BL215" s="387"/>
      <c r="BM215" s="388"/>
      <c r="BN215" s="386"/>
      <c r="BO215" s="387"/>
      <c r="BP215" s="388"/>
      <c r="BQ215" s="386"/>
      <c r="BR215" s="387"/>
      <c r="BS215" s="388"/>
      <c r="BT215" s="386"/>
      <c r="BU215" s="387"/>
      <c r="BV215" s="388"/>
      <c r="BW215" s="386"/>
      <c r="BX215" s="387"/>
      <c r="BY215" s="388"/>
      <c r="BZ215" s="386"/>
      <c r="CA215" s="387"/>
      <c r="CB215" s="388"/>
      <c r="CC215" s="386"/>
      <c r="CD215" s="387"/>
      <c r="CE215" s="388"/>
      <c r="CF215" s="386"/>
      <c r="CG215" s="387"/>
      <c r="CH215" s="388"/>
      <c r="CI215" s="386"/>
      <c r="CJ215" s="387"/>
      <c r="CK215" s="388"/>
      <c r="CL215" s="386"/>
      <c r="CM215" s="387"/>
      <c r="CN215" s="388"/>
      <c r="CO215" s="386"/>
      <c r="CP215" s="387"/>
      <c r="CQ215" s="388"/>
      <c r="CR215" s="386"/>
      <c r="CS215" s="387"/>
      <c r="CT215" s="388"/>
      <c r="CU215" s="386"/>
      <c r="CV215" s="387"/>
      <c r="CW215" s="388"/>
      <c r="CX215" s="386"/>
      <c r="CY215" s="387"/>
      <c r="CZ215" s="388"/>
    </row>
    <row r="216">
      <c r="A216" s="1"/>
      <c r="B216" s="402"/>
      <c r="C216" s="362" t="str">
        <f>'5-0 Товары'!C216</f>
        <v/>
      </c>
      <c r="D216" s="363" t="str">
        <f>'5-0 Товары'!D216</f>
        <v/>
      </c>
      <c r="E216" s="364" t="str">
        <f>'5-0 Товары'!E216</f>
        <v/>
      </c>
      <c r="F216" s="380"/>
      <c r="G216" s="380"/>
      <c r="H216" s="364" t="str">
        <f>'5-0 Товары'!F216</f>
        <v/>
      </c>
      <c r="I216" s="391"/>
      <c r="J216" s="364" t="str">
        <f>'5-0 Товары'!G216</f>
        <v/>
      </c>
      <c r="K216" s="366" t="str">
        <f>'5-0 Товары'!H216</f>
        <v/>
      </c>
      <c r="L216" s="382" t="str">
        <f t="shared" si="1"/>
        <v/>
      </c>
      <c r="M216" s="382"/>
      <c r="N216" s="380"/>
      <c r="O216" s="369" t="str">
        <f>'5-0 Товары'!I216</f>
        <v/>
      </c>
      <c r="P216" s="371" t="str">
        <f>'5-0 Товары'!N216</f>
        <v/>
      </c>
      <c r="Q216" s="197"/>
      <c r="R216" s="193"/>
      <c r="S216" s="187"/>
      <c r="T216" s="187"/>
      <c r="U216" s="187"/>
      <c r="V216" s="187"/>
      <c r="W216" s="187"/>
      <c r="X216" s="187"/>
      <c r="Y216" s="187" t="s">
        <v>96</v>
      </c>
      <c r="Z216" s="193" t="str">
        <f t="shared" si="2"/>
        <v/>
      </c>
      <c r="AA216" s="383"/>
      <c r="AB216" s="384"/>
      <c r="AC216" s="385"/>
      <c r="AD216" s="383"/>
      <c r="AE216" s="384"/>
      <c r="AF216" s="385"/>
      <c r="AG216" s="383"/>
      <c r="AH216" s="384"/>
      <c r="AI216" s="385"/>
      <c r="AJ216" s="383"/>
      <c r="AK216" s="384"/>
      <c r="AL216" s="385"/>
      <c r="AM216" s="383"/>
      <c r="AN216" s="384"/>
      <c r="AO216" s="385"/>
      <c r="AP216" s="383"/>
      <c r="AQ216" s="384"/>
      <c r="AR216" s="385"/>
      <c r="AS216" s="383"/>
      <c r="AT216" s="384"/>
      <c r="AU216" s="385"/>
      <c r="AV216" s="383"/>
      <c r="AW216" s="384"/>
      <c r="AX216" s="385"/>
      <c r="AY216" s="383"/>
      <c r="AZ216" s="384"/>
      <c r="BA216" s="385"/>
      <c r="BB216" s="386"/>
      <c r="BC216" s="387"/>
      <c r="BD216" s="388"/>
      <c r="BE216" s="386"/>
      <c r="BF216" s="387"/>
      <c r="BG216" s="388"/>
      <c r="BH216" s="386"/>
      <c r="BI216" s="387"/>
      <c r="BJ216" s="388"/>
      <c r="BK216" s="386"/>
      <c r="BL216" s="387"/>
      <c r="BM216" s="388"/>
      <c r="BN216" s="386"/>
      <c r="BO216" s="387"/>
      <c r="BP216" s="388"/>
      <c r="BQ216" s="386"/>
      <c r="BR216" s="387"/>
      <c r="BS216" s="388"/>
      <c r="BT216" s="386"/>
      <c r="BU216" s="387"/>
      <c r="BV216" s="388"/>
      <c r="BW216" s="386"/>
      <c r="BX216" s="387"/>
      <c r="BY216" s="388"/>
      <c r="BZ216" s="386"/>
      <c r="CA216" s="387"/>
      <c r="CB216" s="388"/>
      <c r="CC216" s="386"/>
      <c r="CD216" s="387"/>
      <c r="CE216" s="388"/>
      <c r="CF216" s="386"/>
      <c r="CG216" s="387"/>
      <c r="CH216" s="388"/>
      <c r="CI216" s="386"/>
      <c r="CJ216" s="387"/>
      <c r="CK216" s="388"/>
      <c r="CL216" s="386"/>
      <c r="CM216" s="387"/>
      <c r="CN216" s="388"/>
      <c r="CO216" s="386"/>
      <c r="CP216" s="387"/>
      <c r="CQ216" s="388"/>
      <c r="CR216" s="386"/>
      <c r="CS216" s="387"/>
      <c r="CT216" s="388"/>
      <c r="CU216" s="386"/>
      <c r="CV216" s="387"/>
      <c r="CW216" s="388"/>
      <c r="CX216" s="386"/>
      <c r="CY216" s="387"/>
      <c r="CZ216" s="388"/>
    </row>
    <row r="217">
      <c r="A217" s="1"/>
      <c r="B217" s="402"/>
      <c r="C217" s="362" t="str">
        <f>'5-0 Товары'!C217</f>
        <v/>
      </c>
      <c r="D217" s="363" t="str">
        <f>'5-0 Товары'!D217</f>
        <v/>
      </c>
      <c r="E217" s="364" t="str">
        <f>'5-0 Товары'!E217</f>
        <v/>
      </c>
      <c r="F217" s="380"/>
      <c r="G217" s="380"/>
      <c r="H217" s="364" t="str">
        <f>'5-0 Товары'!F217</f>
        <v/>
      </c>
      <c r="I217" s="391"/>
      <c r="J217" s="364" t="str">
        <f>'5-0 Товары'!G217</f>
        <v/>
      </c>
      <c r="K217" s="366" t="str">
        <f>'5-0 Товары'!H217</f>
        <v/>
      </c>
      <c r="L217" s="382" t="str">
        <f t="shared" si="1"/>
        <v/>
      </c>
      <c r="M217" s="382"/>
      <c r="N217" s="380"/>
      <c r="O217" s="369" t="str">
        <f>'5-0 Товары'!I217</f>
        <v/>
      </c>
      <c r="P217" s="371" t="str">
        <f>'5-0 Товары'!N217</f>
        <v/>
      </c>
      <c r="Q217" s="197"/>
      <c r="R217" s="193"/>
      <c r="S217" s="187"/>
      <c r="T217" s="187"/>
      <c r="U217" s="187"/>
      <c r="V217" s="187"/>
      <c r="W217" s="187"/>
      <c r="X217" s="187"/>
      <c r="Y217" s="187" t="s">
        <v>96</v>
      </c>
      <c r="Z217" s="193" t="str">
        <f t="shared" si="2"/>
        <v/>
      </c>
      <c r="AA217" s="383"/>
      <c r="AB217" s="384"/>
      <c r="AC217" s="385"/>
      <c r="AD217" s="383"/>
      <c r="AE217" s="384"/>
      <c r="AF217" s="385"/>
      <c r="AG217" s="383"/>
      <c r="AH217" s="384"/>
      <c r="AI217" s="385"/>
      <c r="AJ217" s="383"/>
      <c r="AK217" s="384"/>
      <c r="AL217" s="385"/>
      <c r="AM217" s="383"/>
      <c r="AN217" s="384"/>
      <c r="AO217" s="385"/>
      <c r="AP217" s="383"/>
      <c r="AQ217" s="384"/>
      <c r="AR217" s="385"/>
      <c r="AS217" s="383"/>
      <c r="AT217" s="384"/>
      <c r="AU217" s="385"/>
      <c r="AV217" s="383"/>
      <c r="AW217" s="384"/>
      <c r="AX217" s="385"/>
      <c r="AY217" s="383"/>
      <c r="AZ217" s="384"/>
      <c r="BA217" s="385"/>
      <c r="BB217" s="386"/>
      <c r="BC217" s="387"/>
      <c r="BD217" s="388"/>
      <c r="BE217" s="386"/>
      <c r="BF217" s="387"/>
      <c r="BG217" s="388"/>
      <c r="BH217" s="386"/>
      <c r="BI217" s="387"/>
      <c r="BJ217" s="388"/>
      <c r="BK217" s="386"/>
      <c r="BL217" s="387"/>
      <c r="BM217" s="388"/>
      <c r="BN217" s="386"/>
      <c r="BO217" s="387"/>
      <c r="BP217" s="388"/>
      <c r="BQ217" s="386"/>
      <c r="BR217" s="387"/>
      <c r="BS217" s="388"/>
      <c r="BT217" s="386"/>
      <c r="BU217" s="387"/>
      <c r="BV217" s="388"/>
      <c r="BW217" s="386"/>
      <c r="BX217" s="387"/>
      <c r="BY217" s="388"/>
      <c r="BZ217" s="386"/>
      <c r="CA217" s="387"/>
      <c r="CB217" s="388"/>
      <c r="CC217" s="386"/>
      <c r="CD217" s="387"/>
      <c r="CE217" s="388"/>
      <c r="CF217" s="386"/>
      <c r="CG217" s="387"/>
      <c r="CH217" s="388"/>
      <c r="CI217" s="386"/>
      <c r="CJ217" s="387"/>
      <c r="CK217" s="388"/>
      <c r="CL217" s="386"/>
      <c r="CM217" s="387"/>
      <c r="CN217" s="388"/>
      <c r="CO217" s="386"/>
      <c r="CP217" s="387"/>
      <c r="CQ217" s="388"/>
      <c r="CR217" s="386"/>
      <c r="CS217" s="387"/>
      <c r="CT217" s="388"/>
      <c r="CU217" s="386"/>
      <c r="CV217" s="387"/>
      <c r="CW217" s="388"/>
      <c r="CX217" s="386"/>
      <c r="CY217" s="387"/>
      <c r="CZ217" s="388"/>
    </row>
    <row r="218">
      <c r="A218" s="1"/>
      <c r="B218" s="402"/>
      <c r="C218" s="362" t="str">
        <f>'5-0 Товары'!C218</f>
        <v/>
      </c>
      <c r="D218" s="363" t="str">
        <f>'5-0 Товары'!D218</f>
        <v/>
      </c>
      <c r="E218" s="364" t="str">
        <f>'5-0 Товары'!E218</f>
        <v/>
      </c>
      <c r="F218" s="380"/>
      <c r="G218" s="380"/>
      <c r="H218" s="364" t="str">
        <f>'5-0 Товары'!F218</f>
        <v/>
      </c>
      <c r="I218" s="391"/>
      <c r="J218" s="364" t="str">
        <f>'5-0 Товары'!G218</f>
        <v/>
      </c>
      <c r="K218" s="366" t="str">
        <f>'5-0 Товары'!H218</f>
        <v/>
      </c>
      <c r="L218" s="382" t="str">
        <f t="shared" si="1"/>
        <v/>
      </c>
      <c r="M218" s="382"/>
      <c r="N218" s="380"/>
      <c r="O218" s="369" t="str">
        <f>'5-0 Товары'!I218</f>
        <v/>
      </c>
      <c r="P218" s="371" t="str">
        <f>'5-0 Товары'!N218</f>
        <v/>
      </c>
      <c r="Q218" s="197"/>
      <c r="R218" s="193"/>
      <c r="S218" s="187"/>
      <c r="T218" s="187"/>
      <c r="U218" s="187"/>
      <c r="V218" s="187"/>
      <c r="W218" s="187"/>
      <c r="X218" s="187"/>
      <c r="Y218" s="187" t="s">
        <v>96</v>
      </c>
      <c r="Z218" s="193" t="str">
        <f t="shared" si="2"/>
        <v/>
      </c>
      <c r="AA218" s="383"/>
      <c r="AB218" s="384"/>
      <c r="AC218" s="385"/>
      <c r="AD218" s="383"/>
      <c r="AE218" s="384"/>
      <c r="AF218" s="385"/>
      <c r="AG218" s="383"/>
      <c r="AH218" s="384"/>
      <c r="AI218" s="385"/>
      <c r="AJ218" s="383"/>
      <c r="AK218" s="384"/>
      <c r="AL218" s="385"/>
      <c r="AM218" s="383"/>
      <c r="AN218" s="384"/>
      <c r="AO218" s="385"/>
      <c r="AP218" s="383"/>
      <c r="AQ218" s="384"/>
      <c r="AR218" s="385"/>
      <c r="AS218" s="383"/>
      <c r="AT218" s="384"/>
      <c r="AU218" s="385"/>
      <c r="AV218" s="383"/>
      <c r="AW218" s="384"/>
      <c r="AX218" s="385"/>
      <c r="AY218" s="383"/>
      <c r="AZ218" s="384"/>
      <c r="BA218" s="385"/>
      <c r="BB218" s="386"/>
      <c r="BC218" s="387"/>
      <c r="BD218" s="388"/>
      <c r="BE218" s="386"/>
      <c r="BF218" s="387"/>
      <c r="BG218" s="388"/>
      <c r="BH218" s="386"/>
      <c r="BI218" s="387"/>
      <c r="BJ218" s="388"/>
      <c r="BK218" s="386"/>
      <c r="BL218" s="387"/>
      <c r="BM218" s="388"/>
      <c r="BN218" s="386"/>
      <c r="BO218" s="387"/>
      <c r="BP218" s="388"/>
      <c r="BQ218" s="386"/>
      <c r="BR218" s="387"/>
      <c r="BS218" s="388"/>
      <c r="BT218" s="386"/>
      <c r="BU218" s="387"/>
      <c r="BV218" s="388"/>
      <c r="BW218" s="386"/>
      <c r="BX218" s="387"/>
      <c r="BY218" s="388"/>
      <c r="BZ218" s="386"/>
      <c r="CA218" s="387"/>
      <c r="CB218" s="388"/>
      <c r="CC218" s="386"/>
      <c r="CD218" s="387"/>
      <c r="CE218" s="388"/>
      <c r="CF218" s="386"/>
      <c r="CG218" s="387"/>
      <c r="CH218" s="388"/>
      <c r="CI218" s="386"/>
      <c r="CJ218" s="387"/>
      <c r="CK218" s="388"/>
      <c r="CL218" s="386"/>
      <c r="CM218" s="387"/>
      <c r="CN218" s="388"/>
      <c r="CO218" s="386"/>
      <c r="CP218" s="387"/>
      <c r="CQ218" s="388"/>
      <c r="CR218" s="386"/>
      <c r="CS218" s="387"/>
      <c r="CT218" s="388"/>
      <c r="CU218" s="386"/>
      <c r="CV218" s="387"/>
      <c r="CW218" s="388"/>
      <c r="CX218" s="386"/>
      <c r="CY218" s="387"/>
      <c r="CZ218" s="388"/>
    </row>
    <row r="219">
      <c r="A219" s="1"/>
      <c r="B219" s="402"/>
      <c r="C219" s="362" t="str">
        <f>'5-0 Товары'!C219</f>
        <v/>
      </c>
      <c r="D219" s="363" t="str">
        <f>'5-0 Товары'!D219</f>
        <v/>
      </c>
      <c r="E219" s="364" t="str">
        <f>'5-0 Товары'!E219</f>
        <v/>
      </c>
      <c r="F219" s="380"/>
      <c r="G219" s="380"/>
      <c r="H219" s="364" t="str">
        <f>'5-0 Товары'!F219</f>
        <v/>
      </c>
      <c r="I219" s="391"/>
      <c r="J219" s="364" t="str">
        <f>'5-0 Товары'!G219</f>
        <v/>
      </c>
      <c r="K219" s="366" t="str">
        <f>'5-0 Товары'!H219</f>
        <v/>
      </c>
      <c r="L219" s="382" t="str">
        <f t="shared" si="1"/>
        <v/>
      </c>
      <c r="M219" s="382"/>
      <c r="N219" s="380"/>
      <c r="O219" s="369" t="str">
        <f>'5-0 Товары'!I219</f>
        <v/>
      </c>
      <c r="P219" s="371" t="str">
        <f>'5-0 Товары'!N219</f>
        <v/>
      </c>
      <c r="Q219" s="197"/>
      <c r="R219" s="193"/>
      <c r="S219" s="187"/>
      <c r="T219" s="187"/>
      <c r="U219" s="187"/>
      <c r="V219" s="187"/>
      <c r="W219" s="187"/>
      <c r="X219" s="187"/>
      <c r="Y219" s="187" t="s">
        <v>96</v>
      </c>
      <c r="Z219" s="193" t="str">
        <f t="shared" si="2"/>
        <v/>
      </c>
      <c r="AA219" s="383"/>
      <c r="AB219" s="384"/>
      <c r="AC219" s="385"/>
      <c r="AD219" s="383"/>
      <c r="AE219" s="384"/>
      <c r="AF219" s="385"/>
      <c r="AG219" s="383"/>
      <c r="AH219" s="384"/>
      <c r="AI219" s="385"/>
      <c r="AJ219" s="383"/>
      <c r="AK219" s="384"/>
      <c r="AL219" s="385"/>
      <c r="AM219" s="383"/>
      <c r="AN219" s="384"/>
      <c r="AO219" s="385"/>
      <c r="AP219" s="383"/>
      <c r="AQ219" s="384"/>
      <c r="AR219" s="385"/>
      <c r="AS219" s="383"/>
      <c r="AT219" s="384"/>
      <c r="AU219" s="385"/>
      <c r="AV219" s="383"/>
      <c r="AW219" s="384"/>
      <c r="AX219" s="385"/>
      <c r="AY219" s="383"/>
      <c r="AZ219" s="384"/>
      <c r="BA219" s="385"/>
      <c r="BB219" s="386"/>
      <c r="BC219" s="387"/>
      <c r="BD219" s="388"/>
      <c r="BE219" s="386"/>
      <c r="BF219" s="387"/>
      <c r="BG219" s="388"/>
      <c r="BH219" s="386"/>
      <c r="BI219" s="387"/>
      <c r="BJ219" s="388"/>
      <c r="BK219" s="386"/>
      <c r="BL219" s="387"/>
      <c r="BM219" s="388"/>
      <c r="BN219" s="386"/>
      <c r="BO219" s="387"/>
      <c r="BP219" s="388"/>
      <c r="BQ219" s="386"/>
      <c r="BR219" s="387"/>
      <c r="BS219" s="388"/>
      <c r="BT219" s="386"/>
      <c r="BU219" s="387"/>
      <c r="BV219" s="388"/>
      <c r="BW219" s="386"/>
      <c r="BX219" s="387"/>
      <c r="BY219" s="388"/>
      <c r="BZ219" s="386"/>
      <c r="CA219" s="387"/>
      <c r="CB219" s="388"/>
      <c r="CC219" s="386"/>
      <c r="CD219" s="387"/>
      <c r="CE219" s="388"/>
      <c r="CF219" s="386"/>
      <c r="CG219" s="387"/>
      <c r="CH219" s="388"/>
      <c r="CI219" s="386"/>
      <c r="CJ219" s="387"/>
      <c r="CK219" s="388"/>
      <c r="CL219" s="386"/>
      <c r="CM219" s="387"/>
      <c r="CN219" s="388"/>
      <c r="CO219" s="386"/>
      <c r="CP219" s="387"/>
      <c r="CQ219" s="388"/>
      <c r="CR219" s="386"/>
      <c r="CS219" s="387"/>
      <c r="CT219" s="388"/>
      <c r="CU219" s="386"/>
      <c r="CV219" s="387"/>
      <c r="CW219" s="388"/>
      <c r="CX219" s="386"/>
      <c r="CY219" s="387"/>
      <c r="CZ219" s="388"/>
    </row>
    <row r="220">
      <c r="A220" s="1"/>
      <c r="B220" s="402"/>
      <c r="C220" s="362" t="str">
        <f>'5-0 Товары'!C220</f>
        <v/>
      </c>
      <c r="D220" s="363" t="str">
        <f>'5-0 Товары'!D220</f>
        <v/>
      </c>
      <c r="E220" s="364" t="str">
        <f>'5-0 Товары'!E220</f>
        <v/>
      </c>
      <c r="F220" s="380"/>
      <c r="G220" s="380"/>
      <c r="H220" s="364" t="str">
        <f>'5-0 Товары'!F220</f>
        <v/>
      </c>
      <c r="I220" s="391"/>
      <c r="J220" s="364" t="str">
        <f>'5-0 Товары'!G220</f>
        <v/>
      </c>
      <c r="K220" s="366" t="str">
        <f>'5-0 Товары'!H220</f>
        <v/>
      </c>
      <c r="L220" s="382" t="str">
        <f t="shared" si="1"/>
        <v/>
      </c>
      <c r="M220" s="382"/>
      <c r="N220" s="380"/>
      <c r="O220" s="369" t="str">
        <f>'5-0 Товары'!I220</f>
        <v/>
      </c>
      <c r="P220" s="371" t="str">
        <f>'5-0 Товары'!N220</f>
        <v/>
      </c>
      <c r="Q220" s="197"/>
      <c r="R220" s="193"/>
      <c r="S220" s="187"/>
      <c r="T220" s="187"/>
      <c r="U220" s="187"/>
      <c r="V220" s="187"/>
      <c r="W220" s="187"/>
      <c r="X220" s="187"/>
      <c r="Y220" s="187" t="s">
        <v>96</v>
      </c>
      <c r="Z220" s="193" t="str">
        <f t="shared" si="2"/>
        <v/>
      </c>
      <c r="AA220" s="383"/>
      <c r="AB220" s="384"/>
      <c r="AC220" s="385"/>
      <c r="AD220" s="383"/>
      <c r="AE220" s="384"/>
      <c r="AF220" s="385"/>
      <c r="AG220" s="383"/>
      <c r="AH220" s="384"/>
      <c r="AI220" s="385"/>
      <c r="AJ220" s="383"/>
      <c r="AK220" s="384"/>
      <c r="AL220" s="385"/>
      <c r="AM220" s="383"/>
      <c r="AN220" s="384"/>
      <c r="AO220" s="385"/>
      <c r="AP220" s="383"/>
      <c r="AQ220" s="384"/>
      <c r="AR220" s="385"/>
      <c r="AS220" s="383"/>
      <c r="AT220" s="384"/>
      <c r="AU220" s="385"/>
      <c r="AV220" s="383"/>
      <c r="AW220" s="384"/>
      <c r="AX220" s="385"/>
      <c r="AY220" s="383"/>
      <c r="AZ220" s="384"/>
      <c r="BA220" s="385"/>
      <c r="BB220" s="386"/>
      <c r="BC220" s="387"/>
      <c r="BD220" s="388"/>
      <c r="BE220" s="386"/>
      <c r="BF220" s="387"/>
      <c r="BG220" s="388"/>
      <c r="BH220" s="386"/>
      <c r="BI220" s="387"/>
      <c r="BJ220" s="388"/>
      <c r="BK220" s="386"/>
      <c r="BL220" s="387"/>
      <c r="BM220" s="388"/>
      <c r="BN220" s="386"/>
      <c r="BO220" s="387"/>
      <c r="BP220" s="388"/>
      <c r="BQ220" s="386"/>
      <c r="BR220" s="387"/>
      <c r="BS220" s="388"/>
      <c r="BT220" s="386"/>
      <c r="BU220" s="387"/>
      <c r="BV220" s="388"/>
      <c r="BW220" s="386"/>
      <c r="BX220" s="387"/>
      <c r="BY220" s="388"/>
      <c r="BZ220" s="386"/>
      <c r="CA220" s="387"/>
      <c r="CB220" s="388"/>
      <c r="CC220" s="386"/>
      <c r="CD220" s="387"/>
      <c r="CE220" s="388"/>
      <c r="CF220" s="386"/>
      <c r="CG220" s="387"/>
      <c r="CH220" s="388"/>
      <c r="CI220" s="386"/>
      <c r="CJ220" s="387"/>
      <c r="CK220" s="388"/>
      <c r="CL220" s="386"/>
      <c r="CM220" s="387"/>
      <c r="CN220" s="388"/>
      <c r="CO220" s="386"/>
      <c r="CP220" s="387"/>
      <c r="CQ220" s="388"/>
      <c r="CR220" s="386"/>
      <c r="CS220" s="387"/>
      <c r="CT220" s="388"/>
      <c r="CU220" s="386"/>
      <c r="CV220" s="387"/>
      <c r="CW220" s="388"/>
      <c r="CX220" s="386"/>
      <c r="CY220" s="387"/>
      <c r="CZ220" s="388"/>
    </row>
    <row r="221">
      <c r="A221" s="1"/>
      <c r="B221" s="402"/>
      <c r="C221" s="362" t="str">
        <f>'5-0 Товары'!C221</f>
        <v/>
      </c>
      <c r="D221" s="363" t="str">
        <f>'5-0 Товары'!D221</f>
        <v/>
      </c>
      <c r="E221" s="364" t="str">
        <f>'5-0 Товары'!E221</f>
        <v/>
      </c>
      <c r="F221" s="380"/>
      <c r="G221" s="380"/>
      <c r="H221" s="364" t="str">
        <f>'5-0 Товары'!F221</f>
        <v/>
      </c>
      <c r="I221" s="391"/>
      <c r="J221" s="364" t="str">
        <f>'5-0 Товары'!G221</f>
        <v/>
      </c>
      <c r="K221" s="366" t="str">
        <f>'5-0 Товары'!H221</f>
        <v/>
      </c>
      <c r="L221" s="382" t="str">
        <f t="shared" si="1"/>
        <v/>
      </c>
      <c r="M221" s="382"/>
      <c r="N221" s="380"/>
      <c r="O221" s="369" t="str">
        <f>'5-0 Товары'!I221</f>
        <v/>
      </c>
      <c r="P221" s="371" t="str">
        <f>'5-0 Товары'!N221</f>
        <v/>
      </c>
      <c r="Q221" s="197"/>
      <c r="R221" s="193"/>
      <c r="S221" s="187"/>
      <c r="T221" s="187"/>
      <c r="U221" s="187"/>
      <c r="V221" s="187"/>
      <c r="W221" s="187"/>
      <c r="X221" s="187"/>
      <c r="Y221" s="187" t="s">
        <v>96</v>
      </c>
      <c r="Z221" s="193" t="str">
        <f t="shared" si="2"/>
        <v/>
      </c>
      <c r="AA221" s="383"/>
      <c r="AB221" s="384"/>
      <c r="AC221" s="385"/>
      <c r="AD221" s="383"/>
      <c r="AE221" s="384"/>
      <c r="AF221" s="385"/>
      <c r="AG221" s="383"/>
      <c r="AH221" s="384"/>
      <c r="AI221" s="385"/>
      <c r="AJ221" s="383"/>
      <c r="AK221" s="384"/>
      <c r="AL221" s="385"/>
      <c r="AM221" s="383"/>
      <c r="AN221" s="384"/>
      <c r="AO221" s="385"/>
      <c r="AP221" s="383"/>
      <c r="AQ221" s="384"/>
      <c r="AR221" s="385"/>
      <c r="AS221" s="383"/>
      <c r="AT221" s="384"/>
      <c r="AU221" s="385"/>
      <c r="AV221" s="383"/>
      <c r="AW221" s="384"/>
      <c r="AX221" s="385"/>
      <c r="AY221" s="383"/>
      <c r="AZ221" s="384"/>
      <c r="BA221" s="385"/>
      <c r="BB221" s="386"/>
      <c r="BC221" s="387"/>
      <c r="BD221" s="388"/>
      <c r="BE221" s="386"/>
      <c r="BF221" s="387"/>
      <c r="BG221" s="388"/>
      <c r="BH221" s="386"/>
      <c r="BI221" s="387"/>
      <c r="BJ221" s="388"/>
      <c r="BK221" s="386"/>
      <c r="BL221" s="387"/>
      <c r="BM221" s="388"/>
      <c r="BN221" s="386"/>
      <c r="BO221" s="387"/>
      <c r="BP221" s="388"/>
      <c r="BQ221" s="386"/>
      <c r="BR221" s="387"/>
      <c r="BS221" s="388"/>
      <c r="BT221" s="386"/>
      <c r="BU221" s="387"/>
      <c r="BV221" s="388"/>
      <c r="BW221" s="386"/>
      <c r="BX221" s="387"/>
      <c r="BY221" s="388"/>
      <c r="BZ221" s="386"/>
      <c r="CA221" s="387"/>
      <c r="CB221" s="388"/>
      <c r="CC221" s="386"/>
      <c r="CD221" s="387"/>
      <c r="CE221" s="388"/>
      <c r="CF221" s="386"/>
      <c r="CG221" s="387"/>
      <c r="CH221" s="388"/>
      <c r="CI221" s="386"/>
      <c r="CJ221" s="387"/>
      <c r="CK221" s="388"/>
      <c r="CL221" s="386"/>
      <c r="CM221" s="387"/>
      <c r="CN221" s="388"/>
      <c r="CO221" s="386"/>
      <c r="CP221" s="387"/>
      <c r="CQ221" s="388"/>
      <c r="CR221" s="386"/>
      <c r="CS221" s="387"/>
      <c r="CT221" s="388"/>
      <c r="CU221" s="386"/>
      <c r="CV221" s="387"/>
      <c r="CW221" s="388"/>
      <c r="CX221" s="386"/>
      <c r="CY221" s="387"/>
      <c r="CZ221" s="388"/>
    </row>
    <row r="222">
      <c r="A222" s="1"/>
      <c r="B222" s="402"/>
      <c r="C222" s="362" t="str">
        <f>'5-0 Товары'!C222</f>
        <v/>
      </c>
      <c r="D222" s="363" t="str">
        <f>'5-0 Товары'!D222</f>
        <v/>
      </c>
      <c r="E222" s="364" t="str">
        <f>'5-0 Товары'!E222</f>
        <v/>
      </c>
      <c r="F222" s="380"/>
      <c r="G222" s="380"/>
      <c r="H222" s="364" t="str">
        <f>'5-0 Товары'!F222</f>
        <v/>
      </c>
      <c r="I222" s="391"/>
      <c r="J222" s="364" t="str">
        <f>'5-0 Товары'!G222</f>
        <v/>
      </c>
      <c r="K222" s="366" t="str">
        <f>'5-0 Товары'!H222</f>
        <v/>
      </c>
      <c r="L222" s="382" t="str">
        <f t="shared" si="1"/>
        <v/>
      </c>
      <c r="M222" s="382"/>
      <c r="N222" s="380"/>
      <c r="O222" s="369" t="str">
        <f>'5-0 Товары'!I222</f>
        <v/>
      </c>
      <c r="P222" s="371" t="str">
        <f>'5-0 Товары'!N222</f>
        <v/>
      </c>
      <c r="Q222" s="197"/>
      <c r="R222" s="193"/>
      <c r="S222" s="187"/>
      <c r="T222" s="187"/>
      <c r="U222" s="187"/>
      <c r="V222" s="187"/>
      <c r="W222" s="187"/>
      <c r="X222" s="187"/>
      <c r="Y222" s="187" t="s">
        <v>96</v>
      </c>
      <c r="Z222" s="193" t="str">
        <f t="shared" si="2"/>
        <v/>
      </c>
      <c r="AA222" s="383"/>
      <c r="AB222" s="384"/>
      <c r="AC222" s="385"/>
      <c r="AD222" s="383"/>
      <c r="AE222" s="384"/>
      <c r="AF222" s="385"/>
      <c r="AG222" s="383"/>
      <c r="AH222" s="384"/>
      <c r="AI222" s="385"/>
      <c r="AJ222" s="383"/>
      <c r="AK222" s="384"/>
      <c r="AL222" s="385"/>
      <c r="AM222" s="383"/>
      <c r="AN222" s="384"/>
      <c r="AO222" s="385"/>
      <c r="AP222" s="383"/>
      <c r="AQ222" s="384"/>
      <c r="AR222" s="385"/>
      <c r="AS222" s="383"/>
      <c r="AT222" s="384"/>
      <c r="AU222" s="385"/>
      <c r="AV222" s="383"/>
      <c r="AW222" s="384"/>
      <c r="AX222" s="385"/>
      <c r="AY222" s="383"/>
      <c r="AZ222" s="384"/>
      <c r="BA222" s="385"/>
      <c r="BB222" s="386"/>
      <c r="BC222" s="387"/>
      <c r="BD222" s="388"/>
      <c r="BE222" s="386"/>
      <c r="BF222" s="387"/>
      <c r="BG222" s="388"/>
      <c r="BH222" s="386"/>
      <c r="BI222" s="387"/>
      <c r="BJ222" s="388"/>
      <c r="BK222" s="386"/>
      <c r="BL222" s="387"/>
      <c r="BM222" s="388"/>
      <c r="BN222" s="386"/>
      <c r="BO222" s="387"/>
      <c r="BP222" s="388"/>
      <c r="BQ222" s="386"/>
      <c r="BR222" s="387"/>
      <c r="BS222" s="388"/>
      <c r="BT222" s="386"/>
      <c r="BU222" s="387"/>
      <c r="BV222" s="388"/>
      <c r="BW222" s="386"/>
      <c r="BX222" s="387"/>
      <c r="BY222" s="388"/>
      <c r="BZ222" s="386"/>
      <c r="CA222" s="387"/>
      <c r="CB222" s="388"/>
      <c r="CC222" s="386"/>
      <c r="CD222" s="387"/>
      <c r="CE222" s="388"/>
      <c r="CF222" s="386"/>
      <c r="CG222" s="387"/>
      <c r="CH222" s="388"/>
      <c r="CI222" s="386"/>
      <c r="CJ222" s="387"/>
      <c r="CK222" s="388"/>
      <c r="CL222" s="386"/>
      <c r="CM222" s="387"/>
      <c r="CN222" s="388"/>
      <c r="CO222" s="386"/>
      <c r="CP222" s="387"/>
      <c r="CQ222" s="388"/>
      <c r="CR222" s="386"/>
      <c r="CS222" s="387"/>
      <c r="CT222" s="388"/>
      <c r="CU222" s="386"/>
      <c r="CV222" s="387"/>
      <c r="CW222" s="388"/>
      <c r="CX222" s="386"/>
      <c r="CY222" s="387"/>
      <c r="CZ222" s="388"/>
    </row>
    <row r="223">
      <c r="A223" s="1"/>
      <c r="B223" s="402"/>
      <c r="C223" s="362" t="str">
        <f>'5-0 Товары'!C223</f>
        <v/>
      </c>
      <c r="D223" s="363" t="str">
        <f>'5-0 Товары'!D223</f>
        <v/>
      </c>
      <c r="E223" s="364" t="str">
        <f>'5-0 Товары'!E223</f>
        <v/>
      </c>
      <c r="F223" s="380"/>
      <c r="G223" s="380"/>
      <c r="H223" s="364" t="str">
        <f>'5-0 Товары'!F223</f>
        <v/>
      </c>
      <c r="I223" s="391"/>
      <c r="J223" s="364" t="str">
        <f>'5-0 Товары'!G223</f>
        <v/>
      </c>
      <c r="K223" s="366" t="str">
        <f>'5-0 Товары'!H223</f>
        <v/>
      </c>
      <c r="L223" s="382" t="str">
        <f t="shared" si="1"/>
        <v/>
      </c>
      <c r="M223" s="382"/>
      <c r="N223" s="380"/>
      <c r="O223" s="369" t="str">
        <f>'5-0 Товары'!I223</f>
        <v/>
      </c>
      <c r="P223" s="371" t="str">
        <f>'5-0 Товары'!N223</f>
        <v/>
      </c>
      <c r="Q223" s="197"/>
      <c r="R223" s="193"/>
      <c r="S223" s="187"/>
      <c r="T223" s="187"/>
      <c r="U223" s="187"/>
      <c r="V223" s="187"/>
      <c r="W223" s="187"/>
      <c r="X223" s="187"/>
      <c r="Y223" s="187" t="s">
        <v>96</v>
      </c>
      <c r="Z223" s="193" t="str">
        <f t="shared" si="2"/>
        <v/>
      </c>
      <c r="AA223" s="383"/>
      <c r="AB223" s="384"/>
      <c r="AC223" s="385"/>
      <c r="AD223" s="383"/>
      <c r="AE223" s="384"/>
      <c r="AF223" s="385"/>
      <c r="AG223" s="383"/>
      <c r="AH223" s="384"/>
      <c r="AI223" s="385"/>
      <c r="AJ223" s="383"/>
      <c r="AK223" s="384"/>
      <c r="AL223" s="385"/>
      <c r="AM223" s="383"/>
      <c r="AN223" s="384"/>
      <c r="AO223" s="385"/>
      <c r="AP223" s="383"/>
      <c r="AQ223" s="384"/>
      <c r="AR223" s="385"/>
      <c r="AS223" s="383"/>
      <c r="AT223" s="384"/>
      <c r="AU223" s="385"/>
      <c r="AV223" s="383"/>
      <c r="AW223" s="384"/>
      <c r="AX223" s="385"/>
      <c r="AY223" s="383"/>
      <c r="AZ223" s="384"/>
      <c r="BA223" s="385"/>
      <c r="BB223" s="386"/>
      <c r="BC223" s="387"/>
      <c r="BD223" s="388"/>
      <c r="BE223" s="386"/>
      <c r="BF223" s="387"/>
      <c r="BG223" s="388"/>
      <c r="BH223" s="386"/>
      <c r="BI223" s="387"/>
      <c r="BJ223" s="388"/>
      <c r="BK223" s="386"/>
      <c r="BL223" s="387"/>
      <c r="BM223" s="388"/>
      <c r="BN223" s="386"/>
      <c r="BO223" s="387"/>
      <c r="BP223" s="388"/>
      <c r="BQ223" s="386"/>
      <c r="BR223" s="387"/>
      <c r="BS223" s="388"/>
      <c r="BT223" s="386"/>
      <c r="BU223" s="387"/>
      <c r="BV223" s="388"/>
      <c r="BW223" s="386"/>
      <c r="BX223" s="387"/>
      <c r="BY223" s="388"/>
      <c r="BZ223" s="386"/>
      <c r="CA223" s="387"/>
      <c r="CB223" s="388"/>
      <c r="CC223" s="386"/>
      <c r="CD223" s="387"/>
      <c r="CE223" s="388"/>
      <c r="CF223" s="386"/>
      <c r="CG223" s="387"/>
      <c r="CH223" s="388"/>
      <c r="CI223" s="386"/>
      <c r="CJ223" s="387"/>
      <c r="CK223" s="388"/>
      <c r="CL223" s="386"/>
      <c r="CM223" s="387"/>
      <c r="CN223" s="388"/>
      <c r="CO223" s="386"/>
      <c r="CP223" s="387"/>
      <c r="CQ223" s="388"/>
      <c r="CR223" s="386"/>
      <c r="CS223" s="387"/>
      <c r="CT223" s="388"/>
      <c r="CU223" s="386"/>
      <c r="CV223" s="387"/>
      <c r="CW223" s="388"/>
      <c r="CX223" s="386"/>
      <c r="CY223" s="387"/>
      <c r="CZ223" s="388"/>
    </row>
    <row r="224">
      <c r="A224" s="1"/>
      <c r="B224" s="402"/>
      <c r="C224" s="362" t="str">
        <f>'5-0 Товары'!C224</f>
        <v/>
      </c>
      <c r="D224" s="363" t="str">
        <f>'5-0 Товары'!D224</f>
        <v/>
      </c>
      <c r="E224" s="364" t="str">
        <f>'5-0 Товары'!E224</f>
        <v/>
      </c>
      <c r="F224" s="380"/>
      <c r="G224" s="380"/>
      <c r="H224" s="364" t="str">
        <f>'5-0 Товары'!F224</f>
        <v/>
      </c>
      <c r="I224" s="391"/>
      <c r="J224" s="364" t="str">
        <f>'5-0 Товары'!G224</f>
        <v/>
      </c>
      <c r="K224" s="366" t="str">
        <f>'5-0 Товары'!H224</f>
        <v/>
      </c>
      <c r="L224" s="382" t="str">
        <f t="shared" si="1"/>
        <v/>
      </c>
      <c r="M224" s="382"/>
      <c r="N224" s="380"/>
      <c r="O224" s="369" t="str">
        <f>'5-0 Товары'!I224</f>
        <v/>
      </c>
      <c r="P224" s="371" t="str">
        <f>'5-0 Товары'!N224</f>
        <v/>
      </c>
      <c r="Q224" s="197"/>
      <c r="R224" s="193"/>
      <c r="S224" s="187"/>
      <c r="T224" s="187"/>
      <c r="U224" s="187"/>
      <c r="V224" s="187"/>
      <c r="W224" s="187"/>
      <c r="X224" s="187"/>
      <c r="Y224" s="187" t="s">
        <v>96</v>
      </c>
      <c r="Z224" s="193" t="str">
        <f t="shared" si="2"/>
        <v/>
      </c>
      <c r="AA224" s="383"/>
      <c r="AB224" s="384"/>
      <c r="AC224" s="385"/>
      <c r="AD224" s="383"/>
      <c r="AE224" s="384"/>
      <c r="AF224" s="385"/>
      <c r="AG224" s="383"/>
      <c r="AH224" s="384"/>
      <c r="AI224" s="385"/>
      <c r="AJ224" s="383"/>
      <c r="AK224" s="384"/>
      <c r="AL224" s="385"/>
      <c r="AM224" s="383"/>
      <c r="AN224" s="384"/>
      <c r="AO224" s="385"/>
      <c r="AP224" s="383"/>
      <c r="AQ224" s="384"/>
      <c r="AR224" s="385"/>
      <c r="AS224" s="383"/>
      <c r="AT224" s="384"/>
      <c r="AU224" s="385"/>
      <c r="AV224" s="383"/>
      <c r="AW224" s="384"/>
      <c r="AX224" s="385"/>
      <c r="AY224" s="383"/>
      <c r="AZ224" s="384"/>
      <c r="BA224" s="385"/>
      <c r="BB224" s="386"/>
      <c r="BC224" s="387"/>
      <c r="BD224" s="388"/>
      <c r="BE224" s="386"/>
      <c r="BF224" s="387"/>
      <c r="BG224" s="388"/>
      <c r="BH224" s="386"/>
      <c r="BI224" s="387"/>
      <c r="BJ224" s="388"/>
      <c r="BK224" s="386"/>
      <c r="BL224" s="387"/>
      <c r="BM224" s="388"/>
      <c r="BN224" s="386"/>
      <c r="BO224" s="387"/>
      <c r="BP224" s="388"/>
      <c r="BQ224" s="386"/>
      <c r="BR224" s="387"/>
      <c r="BS224" s="388"/>
      <c r="BT224" s="386"/>
      <c r="BU224" s="387"/>
      <c r="BV224" s="388"/>
      <c r="BW224" s="386"/>
      <c r="BX224" s="387"/>
      <c r="BY224" s="388"/>
      <c r="BZ224" s="386"/>
      <c r="CA224" s="387"/>
      <c r="CB224" s="388"/>
      <c r="CC224" s="386"/>
      <c r="CD224" s="387"/>
      <c r="CE224" s="388"/>
      <c r="CF224" s="386"/>
      <c r="CG224" s="387"/>
      <c r="CH224" s="388"/>
      <c r="CI224" s="386"/>
      <c r="CJ224" s="387"/>
      <c r="CK224" s="388"/>
      <c r="CL224" s="386"/>
      <c r="CM224" s="387"/>
      <c r="CN224" s="388"/>
      <c r="CO224" s="386"/>
      <c r="CP224" s="387"/>
      <c r="CQ224" s="388"/>
      <c r="CR224" s="386"/>
      <c r="CS224" s="387"/>
      <c r="CT224" s="388"/>
      <c r="CU224" s="386"/>
      <c r="CV224" s="387"/>
      <c r="CW224" s="388"/>
      <c r="CX224" s="386"/>
      <c r="CY224" s="387"/>
      <c r="CZ224" s="388"/>
    </row>
    <row r="225">
      <c r="A225" s="1"/>
      <c r="B225" s="402"/>
      <c r="C225" s="362" t="str">
        <f>'5-0 Товары'!C225</f>
        <v/>
      </c>
      <c r="D225" s="363" t="str">
        <f>'5-0 Товары'!D225</f>
        <v/>
      </c>
      <c r="E225" s="364" t="str">
        <f>'5-0 Товары'!E225</f>
        <v/>
      </c>
      <c r="F225" s="380"/>
      <c r="G225" s="380"/>
      <c r="H225" s="364" t="str">
        <f>'5-0 Товары'!F225</f>
        <v/>
      </c>
      <c r="I225" s="391"/>
      <c r="J225" s="364" t="str">
        <f>'5-0 Товары'!G225</f>
        <v/>
      </c>
      <c r="K225" s="366" t="str">
        <f>'5-0 Товары'!H225</f>
        <v/>
      </c>
      <c r="L225" s="382" t="str">
        <f t="shared" si="1"/>
        <v/>
      </c>
      <c r="M225" s="382"/>
      <c r="N225" s="380"/>
      <c r="O225" s="369" t="str">
        <f>'5-0 Товары'!I225</f>
        <v/>
      </c>
      <c r="P225" s="371" t="str">
        <f>'5-0 Товары'!N225</f>
        <v/>
      </c>
      <c r="Q225" s="197"/>
      <c r="R225" s="193"/>
      <c r="S225" s="187"/>
      <c r="T225" s="187"/>
      <c r="U225" s="187"/>
      <c r="V225" s="187"/>
      <c r="W225" s="187"/>
      <c r="X225" s="187"/>
      <c r="Y225" s="187" t="s">
        <v>96</v>
      </c>
      <c r="Z225" s="193" t="str">
        <f t="shared" si="2"/>
        <v/>
      </c>
      <c r="AA225" s="383"/>
      <c r="AB225" s="384"/>
      <c r="AC225" s="385"/>
      <c r="AD225" s="383"/>
      <c r="AE225" s="384"/>
      <c r="AF225" s="385"/>
      <c r="AG225" s="383"/>
      <c r="AH225" s="384"/>
      <c r="AI225" s="385"/>
      <c r="AJ225" s="383"/>
      <c r="AK225" s="384"/>
      <c r="AL225" s="385"/>
      <c r="AM225" s="383"/>
      <c r="AN225" s="384"/>
      <c r="AO225" s="385"/>
      <c r="AP225" s="383"/>
      <c r="AQ225" s="384"/>
      <c r="AR225" s="385"/>
      <c r="AS225" s="383"/>
      <c r="AT225" s="384"/>
      <c r="AU225" s="385"/>
      <c r="AV225" s="383"/>
      <c r="AW225" s="384"/>
      <c r="AX225" s="385"/>
      <c r="AY225" s="383"/>
      <c r="AZ225" s="384"/>
      <c r="BA225" s="385"/>
      <c r="BB225" s="386"/>
      <c r="BC225" s="387"/>
      <c r="BD225" s="388"/>
      <c r="BE225" s="386"/>
      <c r="BF225" s="387"/>
      <c r="BG225" s="388"/>
      <c r="BH225" s="386"/>
      <c r="BI225" s="387"/>
      <c r="BJ225" s="388"/>
      <c r="BK225" s="386"/>
      <c r="BL225" s="387"/>
      <c r="BM225" s="388"/>
      <c r="BN225" s="386"/>
      <c r="BO225" s="387"/>
      <c r="BP225" s="388"/>
      <c r="BQ225" s="386"/>
      <c r="BR225" s="387"/>
      <c r="BS225" s="388"/>
      <c r="BT225" s="386"/>
      <c r="BU225" s="387"/>
      <c r="BV225" s="388"/>
      <c r="BW225" s="386"/>
      <c r="BX225" s="387"/>
      <c r="BY225" s="388"/>
      <c r="BZ225" s="386"/>
      <c r="CA225" s="387"/>
      <c r="CB225" s="388"/>
      <c r="CC225" s="386"/>
      <c r="CD225" s="387"/>
      <c r="CE225" s="388"/>
      <c r="CF225" s="386"/>
      <c r="CG225" s="387"/>
      <c r="CH225" s="388"/>
      <c r="CI225" s="386"/>
      <c r="CJ225" s="387"/>
      <c r="CK225" s="388"/>
      <c r="CL225" s="386"/>
      <c r="CM225" s="387"/>
      <c r="CN225" s="388"/>
      <c r="CO225" s="386"/>
      <c r="CP225" s="387"/>
      <c r="CQ225" s="388"/>
      <c r="CR225" s="386"/>
      <c r="CS225" s="387"/>
      <c r="CT225" s="388"/>
      <c r="CU225" s="386"/>
      <c r="CV225" s="387"/>
      <c r="CW225" s="388"/>
      <c r="CX225" s="386"/>
      <c r="CY225" s="387"/>
      <c r="CZ225" s="388"/>
    </row>
    <row r="226">
      <c r="A226" s="1"/>
      <c r="B226" s="402"/>
      <c r="C226" s="362" t="str">
        <f>'5-0 Товары'!C226</f>
        <v/>
      </c>
      <c r="D226" s="363" t="str">
        <f>'5-0 Товары'!D226</f>
        <v/>
      </c>
      <c r="E226" s="364" t="str">
        <f>'5-0 Товары'!E226</f>
        <v/>
      </c>
      <c r="F226" s="380"/>
      <c r="G226" s="380"/>
      <c r="H226" s="364" t="str">
        <f>'5-0 Товары'!F226</f>
        <v/>
      </c>
      <c r="I226" s="391"/>
      <c r="J226" s="364" t="str">
        <f>'5-0 Товары'!G226</f>
        <v/>
      </c>
      <c r="K226" s="366" t="str">
        <f>'5-0 Товары'!H226</f>
        <v/>
      </c>
      <c r="L226" s="382" t="str">
        <f t="shared" si="1"/>
        <v/>
      </c>
      <c r="M226" s="382"/>
      <c r="N226" s="380"/>
      <c r="O226" s="369" t="str">
        <f>'5-0 Товары'!I226</f>
        <v/>
      </c>
      <c r="P226" s="371" t="str">
        <f>'5-0 Товары'!N226</f>
        <v/>
      </c>
      <c r="Q226" s="197"/>
      <c r="R226" s="193"/>
      <c r="S226" s="187"/>
      <c r="T226" s="187"/>
      <c r="U226" s="187"/>
      <c r="V226" s="187"/>
      <c r="W226" s="187"/>
      <c r="X226" s="187"/>
      <c r="Y226" s="187" t="s">
        <v>96</v>
      </c>
      <c r="Z226" s="193" t="str">
        <f t="shared" si="2"/>
        <v/>
      </c>
      <c r="AA226" s="383"/>
      <c r="AB226" s="384"/>
      <c r="AC226" s="385"/>
      <c r="AD226" s="383"/>
      <c r="AE226" s="384"/>
      <c r="AF226" s="385"/>
      <c r="AG226" s="383"/>
      <c r="AH226" s="384"/>
      <c r="AI226" s="385"/>
      <c r="AJ226" s="383"/>
      <c r="AK226" s="384"/>
      <c r="AL226" s="385"/>
      <c r="AM226" s="383"/>
      <c r="AN226" s="384"/>
      <c r="AO226" s="385"/>
      <c r="AP226" s="383"/>
      <c r="AQ226" s="384"/>
      <c r="AR226" s="385"/>
      <c r="AS226" s="383"/>
      <c r="AT226" s="384"/>
      <c r="AU226" s="385"/>
      <c r="AV226" s="383"/>
      <c r="AW226" s="384"/>
      <c r="AX226" s="385"/>
      <c r="AY226" s="383"/>
      <c r="AZ226" s="384"/>
      <c r="BA226" s="385"/>
      <c r="BB226" s="386"/>
      <c r="BC226" s="387"/>
      <c r="BD226" s="388"/>
      <c r="BE226" s="386"/>
      <c r="BF226" s="387"/>
      <c r="BG226" s="388"/>
      <c r="BH226" s="386"/>
      <c r="BI226" s="387"/>
      <c r="BJ226" s="388"/>
      <c r="BK226" s="386"/>
      <c r="BL226" s="387"/>
      <c r="BM226" s="388"/>
      <c r="BN226" s="386"/>
      <c r="BO226" s="387"/>
      <c r="BP226" s="388"/>
      <c r="BQ226" s="386"/>
      <c r="BR226" s="387"/>
      <c r="BS226" s="388"/>
      <c r="BT226" s="386"/>
      <c r="BU226" s="387"/>
      <c r="BV226" s="388"/>
      <c r="BW226" s="386"/>
      <c r="BX226" s="387"/>
      <c r="BY226" s="388"/>
      <c r="BZ226" s="386"/>
      <c r="CA226" s="387"/>
      <c r="CB226" s="388"/>
      <c r="CC226" s="386"/>
      <c r="CD226" s="387"/>
      <c r="CE226" s="388"/>
      <c r="CF226" s="386"/>
      <c r="CG226" s="387"/>
      <c r="CH226" s="388"/>
      <c r="CI226" s="386"/>
      <c r="CJ226" s="387"/>
      <c r="CK226" s="388"/>
      <c r="CL226" s="386"/>
      <c r="CM226" s="387"/>
      <c r="CN226" s="388"/>
      <c r="CO226" s="386"/>
      <c r="CP226" s="387"/>
      <c r="CQ226" s="388"/>
      <c r="CR226" s="386"/>
      <c r="CS226" s="387"/>
      <c r="CT226" s="388"/>
      <c r="CU226" s="386"/>
      <c r="CV226" s="387"/>
      <c r="CW226" s="388"/>
      <c r="CX226" s="386"/>
      <c r="CY226" s="387"/>
      <c r="CZ226" s="388"/>
    </row>
    <row r="227">
      <c r="A227" s="1"/>
      <c r="B227" s="402"/>
      <c r="C227" s="362" t="str">
        <f>'5-0 Товары'!C227</f>
        <v/>
      </c>
      <c r="D227" s="363" t="str">
        <f>'5-0 Товары'!D227</f>
        <v/>
      </c>
      <c r="E227" s="364" t="str">
        <f>'5-0 Товары'!E227</f>
        <v/>
      </c>
      <c r="F227" s="380"/>
      <c r="G227" s="380"/>
      <c r="H227" s="364" t="str">
        <f>'5-0 Товары'!F227</f>
        <v/>
      </c>
      <c r="I227" s="391"/>
      <c r="J227" s="364" t="str">
        <f>'5-0 Товары'!G227</f>
        <v/>
      </c>
      <c r="K227" s="366" t="str">
        <f>'5-0 Товары'!H227</f>
        <v/>
      </c>
      <c r="L227" s="382" t="str">
        <f t="shared" si="1"/>
        <v/>
      </c>
      <c r="M227" s="382"/>
      <c r="N227" s="380"/>
      <c r="O227" s="369" t="str">
        <f>'5-0 Товары'!I227</f>
        <v/>
      </c>
      <c r="P227" s="371" t="str">
        <f>'5-0 Товары'!N227</f>
        <v/>
      </c>
      <c r="Q227" s="197"/>
      <c r="R227" s="193"/>
      <c r="S227" s="187"/>
      <c r="T227" s="187"/>
      <c r="U227" s="187"/>
      <c r="V227" s="187"/>
      <c r="W227" s="187"/>
      <c r="X227" s="187"/>
      <c r="Y227" s="187" t="s">
        <v>96</v>
      </c>
      <c r="Z227" s="193" t="str">
        <f t="shared" si="2"/>
        <v/>
      </c>
      <c r="AA227" s="383"/>
      <c r="AB227" s="384"/>
      <c r="AC227" s="385"/>
      <c r="AD227" s="383"/>
      <c r="AE227" s="384"/>
      <c r="AF227" s="385"/>
      <c r="AG227" s="383"/>
      <c r="AH227" s="384"/>
      <c r="AI227" s="385"/>
      <c r="AJ227" s="383"/>
      <c r="AK227" s="384"/>
      <c r="AL227" s="385"/>
      <c r="AM227" s="383"/>
      <c r="AN227" s="384"/>
      <c r="AO227" s="385"/>
      <c r="AP227" s="383"/>
      <c r="AQ227" s="384"/>
      <c r="AR227" s="385"/>
      <c r="AS227" s="383"/>
      <c r="AT227" s="384"/>
      <c r="AU227" s="385"/>
      <c r="AV227" s="383"/>
      <c r="AW227" s="384"/>
      <c r="AX227" s="385"/>
      <c r="AY227" s="383"/>
      <c r="AZ227" s="384"/>
      <c r="BA227" s="385"/>
      <c r="BB227" s="386"/>
      <c r="BC227" s="387"/>
      <c r="BD227" s="388"/>
      <c r="BE227" s="386"/>
      <c r="BF227" s="387"/>
      <c r="BG227" s="388"/>
      <c r="BH227" s="386"/>
      <c r="BI227" s="387"/>
      <c r="BJ227" s="388"/>
      <c r="BK227" s="386"/>
      <c r="BL227" s="387"/>
      <c r="BM227" s="388"/>
      <c r="BN227" s="386"/>
      <c r="BO227" s="387"/>
      <c r="BP227" s="388"/>
      <c r="BQ227" s="386"/>
      <c r="BR227" s="387"/>
      <c r="BS227" s="388"/>
      <c r="BT227" s="386"/>
      <c r="BU227" s="387"/>
      <c r="BV227" s="388"/>
      <c r="BW227" s="386"/>
      <c r="BX227" s="387"/>
      <c r="BY227" s="388"/>
      <c r="BZ227" s="386"/>
      <c r="CA227" s="387"/>
      <c r="CB227" s="388"/>
      <c r="CC227" s="386"/>
      <c r="CD227" s="387"/>
      <c r="CE227" s="388"/>
      <c r="CF227" s="386"/>
      <c r="CG227" s="387"/>
      <c r="CH227" s="388"/>
      <c r="CI227" s="386"/>
      <c r="CJ227" s="387"/>
      <c r="CK227" s="388"/>
      <c r="CL227" s="386"/>
      <c r="CM227" s="387"/>
      <c r="CN227" s="388"/>
      <c r="CO227" s="386"/>
      <c r="CP227" s="387"/>
      <c r="CQ227" s="388"/>
      <c r="CR227" s="386"/>
      <c r="CS227" s="387"/>
      <c r="CT227" s="388"/>
      <c r="CU227" s="386"/>
      <c r="CV227" s="387"/>
      <c r="CW227" s="388"/>
      <c r="CX227" s="386"/>
      <c r="CY227" s="387"/>
      <c r="CZ227" s="388"/>
    </row>
    <row r="228">
      <c r="A228" s="1"/>
      <c r="B228" s="402"/>
      <c r="C228" s="362" t="str">
        <f>'5-0 Товары'!C228</f>
        <v/>
      </c>
      <c r="D228" s="363" t="str">
        <f>'5-0 Товары'!D228</f>
        <v/>
      </c>
      <c r="E228" s="364" t="str">
        <f>'5-0 Товары'!E228</f>
        <v/>
      </c>
      <c r="F228" s="380"/>
      <c r="G228" s="380"/>
      <c r="H228" s="364" t="str">
        <f>'5-0 Товары'!F228</f>
        <v/>
      </c>
      <c r="I228" s="391"/>
      <c r="J228" s="364" t="str">
        <f>'5-0 Товары'!G228</f>
        <v/>
      </c>
      <c r="K228" s="366" t="str">
        <f>'5-0 Товары'!H228</f>
        <v/>
      </c>
      <c r="L228" s="382" t="str">
        <f t="shared" si="1"/>
        <v/>
      </c>
      <c r="M228" s="382"/>
      <c r="N228" s="380"/>
      <c r="O228" s="369" t="str">
        <f>'5-0 Товары'!I228</f>
        <v/>
      </c>
      <c r="P228" s="371" t="str">
        <f>'5-0 Товары'!N228</f>
        <v/>
      </c>
      <c r="Q228" s="197"/>
      <c r="R228" s="193"/>
      <c r="S228" s="187"/>
      <c r="T228" s="187"/>
      <c r="U228" s="187"/>
      <c r="V228" s="187"/>
      <c r="W228" s="187"/>
      <c r="X228" s="187"/>
      <c r="Y228" s="187" t="s">
        <v>96</v>
      </c>
      <c r="Z228" s="193" t="str">
        <f t="shared" si="2"/>
        <v/>
      </c>
      <c r="AA228" s="383"/>
      <c r="AB228" s="384"/>
      <c r="AC228" s="385"/>
      <c r="AD228" s="383"/>
      <c r="AE228" s="384"/>
      <c r="AF228" s="385"/>
      <c r="AG228" s="383"/>
      <c r="AH228" s="384"/>
      <c r="AI228" s="385"/>
      <c r="AJ228" s="383"/>
      <c r="AK228" s="384"/>
      <c r="AL228" s="385"/>
      <c r="AM228" s="383"/>
      <c r="AN228" s="384"/>
      <c r="AO228" s="385"/>
      <c r="AP228" s="383"/>
      <c r="AQ228" s="384"/>
      <c r="AR228" s="385"/>
      <c r="AS228" s="383"/>
      <c r="AT228" s="384"/>
      <c r="AU228" s="385"/>
      <c r="AV228" s="383"/>
      <c r="AW228" s="384"/>
      <c r="AX228" s="385"/>
      <c r="AY228" s="383"/>
      <c r="AZ228" s="384"/>
      <c r="BA228" s="385"/>
      <c r="BB228" s="386"/>
      <c r="BC228" s="387"/>
      <c r="BD228" s="388"/>
      <c r="BE228" s="386"/>
      <c r="BF228" s="387"/>
      <c r="BG228" s="388"/>
      <c r="BH228" s="386"/>
      <c r="BI228" s="387"/>
      <c r="BJ228" s="388"/>
      <c r="BK228" s="386"/>
      <c r="BL228" s="387"/>
      <c r="BM228" s="388"/>
      <c r="BN228" s="386"/>
      <c r="BO228" s="387"/>
      <c r="BP228" s="388"/>
      <c r="BQ228" s="386"/>
      <c r="BR228" s="387"/>
      <c r="BS228" s="388"/>
      <c r="BT228" s="386"/>
      <c r="BU228" s="387"/>
      <c r="BV228" s="388"/>
      <c r="BW228" s="386"/>
      <c r="BX228" s="387"/>
      <c r="BY228" s="388"/>
      <c r="BZ228" s="386"/>
      <c r="CA228" s="387"/>
      <c r="CB228" s="388"/>
      <c r="CC228" s="386"/>
      <c r="CD228" s="387"/>
      <c r="CE228" s="388"/>
      <c r="CF228" s="386"/>
      <c r="CG228" s="387"/>
      <c r="CH228" s="388"/>
      <c r="CI228" s="386"/>
      <c r="CJ228" s="387"/>
      <c r="CK228" s="388"/>
      <c r="CL228" s="386"/>
      <c r="CM228" s="387"/>
      <c r="CN228" s="388"/>
      <c r="CO228" s="386"/>
      <c r="CP228" s="387"/>
      <c r="CQ228" s="388"/>
      <c r="CR228" s="386"/>
      <c r="CS228" s="387"/>
      <c r="CT228" s="388"/>
      <c r="CU228" s="386"/>
      <c r="CV228" s="387"/>
      <c r="CW228" s="388"/>
      <c r="CX228" s="386"/>
      <c r="CY228" s="387"/>
      <c r="CZ228" s="388"/>
    </row>
    <row r="229">
      <c r="A229" s="1"/>
      <c r="B229" s="402"/>
      <c r="C229" s="362" t="str">
        <f>'5-0 Товары'!C229</f>
        <v/>
      </c>
      <c r="D229" s="363" t="str">
        <f>'5-0 Товары'!D229</f>
        <v/>
      </c>
      <c r="E229" s="364" t="str">
        <f>'5-0 Товары'!E229</f>
        <v/>
      </c>
      <c r="F229" s="380"/>
      <c r="G229" s="380"/>
      <c r="H229" s="364" t="str">
        <f>'5-0 Товары'!F229</f>
        <v/>
      </c>
      <c r="I229" s="391"/>
      <c r="J229" s="364" t="str">
        <f>'5-0 Товары'!G229</f>
        <v/>
      </c>
      <c r="K229" s="366" t="str">
        <f>'5-0 Товары'!H229</f>
        <v/>
      </c>
      <c r="L229" s="382" t="str">
        <f t="shared" si="1"/>
        <v/>
      </c>
      <c r="M229" s="382"/>
      <c r="N229" s="380"/>
      <c r="O229" s="369" t="str">
        <f>'5-0 Товары'!I229</f>
        <v/>
      </c>
      <c r="P229" s="371" t="str">
        <f>'5-0 Товары'!N229</f>
        <v/>
      </c>
      <c r="Q229" s="197"/>
      <c r="R229" s="193"/>
      <c r="S229" s="187"/>
      <c r="T229" s="187"/>
      <c r="U229" s="187"/>
      <c r="V229" s="187"/>
      <c r="W229" s="187"/>
      <c r="X229" s="187"/>
      <c r="Y229" s="187" t="s">
        <v>96</v>
      </c>
      <c r="Z229" s="193" t="str">
        <f t="shared" si="2"/>
        <v/>
      </c>
      <c r="AA229" s="383"/>
      <c r="AB229" s="384"/>
      <c r="AC229" s="385"/>
      <c r="AD229" s="383"/>
      <c r="AE229" s="384"/>
      <c r="AF229" s="385"/>
      <c r="AG229" s="383"/>
      <c r="AH229" s="384"/>
      <c r="AI229" s="385"/>
      <c r="AJ229" s="383"/>
      <c r="AK229" s="384"/>
      <c r="AL229" s="385"/>
      <c r="AM229" s="383"/>
      <c r="AN229" s="384"/>
      <c r="AO229" s="385"/>
      <c r="AP229" s="383"/>
      <c r="AQ229" s="384"/>
      <c r="AR229" s="385"/>
      <c r="AS229" s="383"/>
      <c r="AT229" s="384"/>
      <c r="AU229" s="385"/>
      <c r="AV229" s="383"/>
      <c r="AW229" s="384"/>
      <c r="AX229" s="385"/>
      <c r="AY229" s="383"/>
      <c r="AZ229" s="384"/>
      <c r="BA229" s="385"/>
      <c r="BB229" s="386"/>
      <c r="BC229" s="387"/>
      <c r="BD229" s="388"/>
      <c r="BE229" s="386"/>
      <c r="BF229" s="387"/>
      <c r="BG229" s="388"/>
      <c r="BH229" s="386"/>
      <c r="BI229" s="387"/>
      <c r="BJ229" s="388"/>
      <c r="BK229" s="386"/>
      <c r="BL229" s="387"/>
      <c r="BM229" s="388"/>
      <c r="BN229" s="386"/>
      <c r="BO229" s="387"/>
      <c r="BP229" s="388"/>
      <c r="BQ229" s="386"/>
      <c r="BR229" s="387"/>
      <c r="BS229" s="388"/>
      <c r="BT229" s="386"/>
      <c r="BU229" s="387"/>
      <c r="BV229" s="388"/>
      <c r="BW229" s="386"/>
      <c r="BX229" s="387"/>
      <c r="BY229" s="388"/>
      <c r="BZ229" s="386"/>
      <c r="CA229" s="387"/>
      <c r="CB229" s="388"/>
      <c r="CC229" s="386"/>
      <c r="CD229" s="387"/>
      <c r="CE229" s="388"/>
      <c r="CF229" s="386"/>
      <c r="CG229" s="387"/>
      <c r="CH229" s="388"/>
      <c r="CI229" s="386"/>
      <c r="CJ229" s="387"/>
      <c r="CK229" s="388"/>
      <c r="CL229" s="386"/>
      <c r="CM229" s="387"/>
      <c r="CN229" s="388"/>
      <c r="CO229" s="386"/>
      <c r="CP229" s="387"/>
      <c r="CQ229" s="388"/>
      <c r="CR229" s="386"/>
      <c r="CS229" s="387"/>
      <c r="CT229" s="388"/>
      <c r="CU229" s="386"/>
      <c r="CV229" s="387"/>
      <c r="CW229" s="388"/>
      <c r="CX229" s="386"/>
      <c r="CY229" s="387"/>
      <c r="CZ229" s="388"/>
    </row>
    <row r="230">
      <c r="A230" s="1"/>
      <c r="B230" s="402"/>
      <c r="C230" s="362" t="str">
        <f>'5-0 Товары'!C230</f>
        <v/>
      </c>
      <c r="D230" s="363" t="str">
        <f>'5-0 Товары'!D230</f>
        <v/>
      </c>
      <c r="E230" s="364" t="str">
        <f>'5-0 Товары'!E230</f>
        <v/>
      </c>
      <c r="F230" s="380"/>
      <c r="G230" s="380"/>
      <c r="H230" s="364" t="str">
        <f>'5-0 Товары'!F230</f>
        <v/>
      </c>
      <c r="I230" s="391"/>
      <c r="J230" s="364" t="str">
        <f>'5-0 Товары'!G230</f>
        <v/>
      </c>
      <c r="K230" s="366" t="str">
        <f>'5-0 Товары'!H230</f>
        <v/>
      </c>
      <c r="L230" s="382" t="str">
        <f t="shared" si="1"/>
        <v/>
      </c>
      <c r="M230" s="382"/>
      <c r="N230" s="380"/>
      <c r="O230" s="369" t="str">
        <f>'5-0 Товары'!I230</f>
        <v/>
      </c>
      <c r="P230" s="371" t="str">
        <f>'5-0 Товары'!N230</f>
        <v/>
      </c>
      <c r="Q230" s="197"/>
      <c r="R230" s="193"/>
      <c r="S230" s="187"/>
      <c r="T230" s="187"/>
      <c r="U230" s="187"/>
      <c r="V230" s="187"/>
      <c r="W230" s="187"/>
      <c r="X230" s="187"/>
      <c r="Y230" s="187" t="s">
        <v>96</v>
      </c>
      <c r="Z230" s="193" t="str">
        <f t="shared" si="2"/>
        <v/>
      </c>
      <c r="AA230" s="383"/>
      <c r="AB230" s="384"/>
      <c r="AC230" s="385"/>
      <c r="AD230" s="383"/>
      <c r="AE230" s="384"/>
      <c r="AF230" s="385"/>
      <c r="AG230" s="383"/>
      <c r="AH230" s="384"/>
      <c r="AI230" s="385"/>
      <c r="AJ230" s="383"/>
      <c r="AK230" s="384"/>
      <c r="AL230" s="385"/>
      <c r="AM230" s="383"/>
      <c r="AN230" s="384"/>
      <c r="AO230" s="385"/>
      <c r="AP230" s="383"/>
      <c r="AQ230" s="384"/>
      <c r="AR230" s="385"/>
      <c r="AS230" s="383"/>
      <c r="AT230" s="384"/>
      <c r="AU230" s="385"/>
      <c r="AV230" s="383"/>
      <c r="AW230" s="384"/>
      <c r="AX230" s="385"/>
      <c r="AY230" s="383"/>
      <c r="AZ230" s="384"/>
      <c r="BA230" s="385"/>
      <c r="BB230" s="386"/>
      <c r="BC230" s="387"/>
      <c r="BD230" s="388"/>
      <c r="BE230" s="386"/>
      <c r="BF230" s="387"/>
      <c r="BG230" s="388"/>
      <c r="BH230" s="386"/>
      <c r="BI230" s="387"/>
      <c r="BJ230" s="388"/>
      <c r="BK230" s="386"/>
      <c r="BL230" s="387"/>
      <c r="BM230" s="388"/>
      <c r="BN230" s="386"/>
      <c r="BO230" s="387"/>
      <c r="BP230" s="388"/>
      <c r="BQ230" s="386"/>
      <c r="BR230" s="387"/>
      <c r="BS230" s="388"/>
      <c r="BT230" s="386"/>
      <c r="BU230" s="387"/>
      <c r="BV230" s="388"/>
      <c r="BW230" s="386"/>
      <c r="BX230" s="387"/>
      <c r="BY230" s="388"/>
      <c r="BZ230" s="386"/>
      <c r="CA230" s="387"/>
      <c r="CB230" s="388"/>
      <c r="CC230" s="386"/>
      <c r="CD230" s="387"/>
      <c r="CE230" s="388"/>
      <c r="CF230" s="386"/>
      <c r="CG230" s="387"/>
      <c r="CH230" s="388"/>
      <c r="CI230" s="386"/>
      <c r="CJ230" s="387"/>
      <c r="CK230" s="388"/>
      <c r="CL230" s="386"/>
      <c r="CM230" s="387"/>
      <c r="CN230" s="388"/>
      <c r="CO230" s="386"/>
      <c r="CP230" s="387"/>
      <c r="CQ230" s="388"/>
      <c r="CR230" s="386"/>
      <c r="CS230" s="387"/>
      <c r="CT230" s="388"/>
      <c r="CU230" s="386"/>
      <c r="CV230" s="387"/>
      <c r="CW230" s="388"/>
      <c r="CX230" s="386"/>
      <c r="CY230" s="387"/>
      <c r="CZ230" s="388"/>
    </row>
    <row r="231">
      <c r="A231" s="1"/>
      <c r="B231" s="402"/>
      <c r="C231" s="362" t="str">
        <f>'5-0 Товары'!C231</f>
        <v/>
      </c>
      <c r="D231" s="363" t="str">
        <f>'5-0 Товары'!D231</f>
        <v/>
      </c>
      <c r="E231" s="364" t="str">
        <f>'5-0 Товары'!E231</f>
        <v/>
      </c>
      <c r="F231" s="380"/>
      <c r="G231" s="380"/>
      <c r="H231" s="364" t="str">
        <f>'5-0 Товары'!F231</f>
        <v/>
      </c>
      <c r="I231" s="391"/>
      <c r="J231" s="364" t="str">
        <f>'5-0 Товары'!G231</f>
        <v/>
      </c>
      <c r="K231" s="366" t="str">
        <f>'5-0 Товары'!H231</f>
        <v/>
      </c>
      <c r="L231" s="382" t="str">
        <f t="shared" si="1"/>
        <v/>
      </c>
      <c r="M231" s="382"/>
      <c r="N231" s="380"/>
      <c r="O231" s="369" t="str">
        <f>'5-0 Товары'!I231</f>
        <v/>
      </c>
      <c r="P231" s="371" t="str">
        <f>'5-0 Товары'!N231</f>
        <v/>
      </c>
      <c r="Q231" s="197"/>
      <c r="R231" s="193"/>
      <c r="S231" s="187"/>
      <c r="T231" s="187"/>
      <c r="U231" s="187"/>
      <c r="V231" s="187"/>
      <c r="W231" s="187"/>
      <c r="X231" s="187"/>
      <c r="Y231" s="187" t="s">
        <v>96</v>
      </c>
      <c r="Z231" s="193" t="str">
        <f t="shared" si="2"/>
        <v/>
      </c>
      <c r="AA231" s="383"/>
      <c r="AB231" s="384"/>
      <c r="AC231" s="385"/>
      <c r="AD231" s="383"/>
      <c r="AE231" s="384"/>
      <c r="AF231" s="385"/>
      <c r="AG231" s="383"/>
      <c r="AH231" s="384"/>
      <c r="AI231" s="385"/>
      <c r="AJ231" s="383"/>
      <c r="AK231" s="384"/>
      <c r="AL231" s="385"/>
      <c r="AM231" s="383"/>
      <c r="AN231" s="384"/>
      <c r="AO231" s="385"/>
      <c r="AP231" s="383"/>
      <c r="AQ231" s="384"/>
      <c r="AR231" s="385"/>
      <c r="AS231" s="383"/>
      <c r="AT231" s="384"/>
      <c r="AU231" s="385"/>
      <c r="AV231" s="383"/>
      <c r="AW231" s="384"/>
      <c r="AX231" s="385"/>
      <c r="AY231" s="383"/>
      <c r="AZ231" s="384"/>
      <c r="BA231" s="385"/>
      <c r="BB231" s="386"/>
      <c r="BC231" s="387"/>
      <c r="BD231" s="388"/>
      <c r="BE231" s="386"/>
      <c r="BF231" s="387"/>
      <c r="BG231" s="388"/>
      <c r="BH231" s="386"/>
      <c r="BI231" s="387"/>
      <c r="BJ231" s="388"/>
      <c r="BK231" s="386"/>
      <c r="BL231" s="387"/>
      <c r="BM231" s="388"/>
      <c r="BN231" s="386"/>
      <c r="BO231" s="387"/>
      <c r="BP231" s="388"/>
      <c r="BQ231" s="386"/>
      <c r="BR231" s="387"/>
      <c r="BS231" s="388"/>
      <c r="BT231" s="386"/>
      <c r="BU231" s="387"/>
      <c r="BV231" s="388"/>
      <c r="BW231" s="386"/>
      <c r="BX231" s="387"/>
      <c r="BY231" s="388"/>
      <c r="BZ231" s="386"/>
      <c r="CA231" s="387"/>
      <c r="CB231" s="388"/>
      <c r="CC231" s="386"/>
      <c r="CD231" s="387"/>
      <c r="CE231" s="388"/>
      <c r="CF231" s="386"/>
      <c r="CG231" s="387"/>
      <c r="CH231" s="388"/>
      <c r="CI231" s="386"/>
      <c r="CJ231" s="387"/>
      <c r="CK231" s="388"/>
      <c r="CL231" s="386"/>
      <c r="CM231" s="387"/>
      <c r="CN231" s="388"/>
      <c r="CO231" s="386"/>
      <c r="CP231" s="387"/>
      <c r="CQ231" s="388"/>
      <c r="CR231" s="386"/>
      <c r="CS231" s="387"/>
      <c r="CT231" s="388"/>
      <c r="CU231" s="386"/>
      <c r="CV231" s="387"/>
      <c r="CW231" s="388"/>
      <c r="CX231" s="386"/>
      <c r="CY231" s="387"/>
      <c r="CZ231" s="388"/>
    </row>
    <row r="232">
      <c r="A232" s="1"/>
      <c r="B232" s="402"/>
      <c r="C232" s="362" t="str">
        <f>'5-0 Товары'!C232</f>
        <v/>
      </c>
      <c r="D232" s="363" t="str">
        <f>'5-0 Товары'!D232</f>
        <v/>
      </c>
      <c r="E232" s="364" t="str">
        <f>'5-0 Товары'!E232</f>
        <v/>
      </c>
      <c r="F232" s="380"/>
      <c r="G232" s="380"/>
      <c r="H232" s="364" t="str">
        <f>'5-0 Товары'!F232</f>
        <v/>
      </c>
      <c r="I232" s="391"/>
      <c r="J232" s="364" t="str">
        <f>'5-0 Товары'!G232</f>
        <v/>
      </c>
      <c r="K232" s="366" t="str">
        <f>'5-0 Товары'!H232</f>
        <v/>
      </c>
      <c r="L232" s="382" t="str">
        <f t="shared" si="1"/>
        <v/>
      </c>
      <c r="M232" s="382"/>
      <c r="N232" s="380"/>
      <c r="O232" s="369" t="str">
        <f>'5-0 Товары'!I232</f>
        <v/>
      </c>
      <c r="P232" s="371" t="str">
        <f>'5-0 Товары'!N232</f>
        <v/>
      </c>
      <c r="Q232" s="197"/>
      <c r="R232" s="193"/>
      <c r="S232" s="187"/>
      <c r="T232" s="187"/>
      <c r="U232" s="187"/>
      <c r="V232" s="187"/>
      <c r="W232" s="187"/>
      <c r="X232" s="187"/>
      <c r="Y232" s="187" t="s">
        <v>96</v>
      </c>
      <c r="Z232" s="193" t="str">
        <f t="shared" si="2"/>
        <v/>
      </c>
      <c r="AA232" s="383"/>
      <c r="AB232" s="384"/>
      <c r="AC232" s="385"/>
      <c r="AD232" s="383"/>
      <c r="AE232" s="384"/>
      <c r="AF232" s="385"/>
      <c r="AG232" s="383"/>
      <c r="AH232" s="384"/>
      <c r="AI232" s="385"/>
      <c r="AJ232" s="383"/>
      <c r="AK232" s="384"/>
      <c r="AL232" s="385"/>
      <c r="AM232" s="383"/>
      <c r="AN232" s="384"/>
      <c r="AO232" s="385"/>
      <c r="AP232" s="383"/>
      <c r="AQ232" s="384"/>
      <c r="AR232" s="385"/>
      <c r="AS232" s="383"/>
      <c r="AT232" s="384"/>
      <c r="AU232" s="385"/>
      <c r="AV232" s="383"/>
      <c r="AW232" s="384"/>
      <c r="AX232" s="385"/>
      <c r="AY232" s="383"/>
      <c r="AZ232" s="384"/>
      <c r="BA232" s="385"/>
      <c r="BB232" s="386"/>
      <c r="BC232" s="387"/>
      <c r="BD232" s="388"/>
      <c r="BE232" s="386"/>
      <c r="BF232" s="387"/>
      <c r="BG232" s="388"/>
      <c r="BH232" s="386"/>
      <c r="BI232" s="387"/>
      <c r="BJ232" s="388"/>
      <c r="BK232" s="386"/>
      <c r="BL232" s="387"/>
      <c r="BM232" s="388"/>
      <c r="BN232" s="386"/>
      <c r="BO232" s="387"/>
      <c r="BP232" s="388"/>
      <c r="BQ232" s="386"/>
      <c r="BR232" s="387"/>
      <c r="BS232" s="388"/>
      <c r="BT232" s="386"/>
      <c r="BU232" s="387"/>
      <c r="BV232" s="388"/>
      <c r="BW232" s="386"/>
      <c r="BX232" s="387"/>
      <c r="BY232" s="388"/>
      <c r="BZ232" s="386"/>
      <c r="CA232" s="387"/>
      <c r="CB232" s="388"/>
      <c r="CC232" s="386"/>
      <c r="CD232" s="387"/>
      <c r="CE232" s="388"/>
      <c r="CF232" s="386"/>
      <c r="CG232" s="387"/>
      <c r="CH232" s="388"/>
      <c r="CI232" s="386"/>
      <c r="CJ232" s="387"/>
      <c r="CK232" s="388"/>
      <c r="CL232" s="386"/>
      <c r="CM232" s="387"/>
      <c r="CN232" s="388"/>
      <c r="CO232" s="386"/>
      <c r="CP232" s="387"/>
      <c r="CQ232" s="388"/>
      <c r="CR232" s="386"/>
      <c r="CS232" s="387"/>
      <c r="CT232" s="388"/>
      <c r="CU232" s="386"/>
      <c r="CV232" s="387"/>
      <c r="CW232" s="388"/>
      <c r="CX232" s="386"/>
      <c r="CY232" s="387"/>
      <c r="CZ232" s="388"/>
    </row>
    <row r="233">
      <c r="A233" s="1"/>
      <c r="B233" s="402"/>
      <c r="C233" s="362" t="str">
        <f>'5-0 Товары'!C233</f>
        <v/>
      </c>
      <c r="D233" s="363" t="str">
        <f>'5-0 Товары'!D233</f>
        <v/>
      </c>
      <c r="E233" s="364" t="str">
        <f>'5-0 Товары'!E233</f>
        <v/>
      </c>
      <c r="F233" s="380"/>
      <c r="G233" s="380"/>
      <c r="H233" s="364" t="str">
        <f>'5-0 Товары'!F233</f>
        <v/>
      </c>
      <c r="I233" s="391"/>
      <c r="J233" s="364" t="str">
        <f>'5-0 Товары'!G233</f>
        <v/>
      </c>
      <c r="K233" s="366" t="str">
        <f>'5-0 Товары'!H233</f>
        <v/>
      </c>
      <c r="L233" s="382" t="str">
        <f t="shared" si="1"/>
        <v/>
      </c>
      <c r="M233" s="382"/>
      <c r="N233" s="380"/>
      <c r="O233" s="369" t="str">
        <f>'5-0 Товары'!I233</f>
        <v/>
      </c>
      <c r="P233" s="371" t="str">
        <f>'5-0 Товары'!N233</f>
        <v/>
      </c>
      <c r="Q233" s="197"/>
      <c r="R233" s="193"/>
      <c r="S233" s="187"/>
      <c r="T233" s="187"/>
      <c r="U233" s="187"/>
      <c r="V233" s="187"/>
      <c r="W233" s="187"/>
      <c r="X233" s="187"/>
      <c r="Y233" s="187" t="s">
        <v>96</v>
      </c>
      <c r="Z233" s="193" t="str">
        <f t="shared" si="2"/>
        <v/>
      </c>
      <c r="AA233" s="383"/>
      <c r="AB233" s="384"/>
      <c r="AC233" s="385"/>
      <c r="AD233" s="383"/>
      <c r="AE233" s="384"/>
      <c r="AF233" s="385"/>
      <c r="AG233" s="383"/>
      <c r="AH233" s="384"/>
      <c r="AI233" s="385"/>
      <c r="AJ233" s="383"/>
      <c r="AK233" s="384"/>
      <c r="AL233" s="385"/>
      <c r="AM233" s="383"/>
      <c r="AN233" s="384"/>
      <c r="AO233" s="385"/>
      <c r="AP233" s="383"/>
      <c r="AQ233" s="384"/>
      <c r="AR233" s="385"/>
      <c r="AS233" s="383"/>
      <c r="AT233" s="384"/>
      <c r="AU233" s="385"/>
      <c r="AV233" s="383"/>
      <c r="AW233" s="384"/>
      <c r="AX233" s="385"/>
      <c r="AY233" s="383"/>
      <c r="AZ233" s="384"/>
      <c r="BA233" s="385"/>
      <c r="BB233" s="386"/>
      <c r="BC233" s="387"/>
      <c r="BD233" s="388"/>
      <c r="BE233" s="386"/>
      <c r="BF233" s="387"/>
      <c r="BG233" s="388"/>
      <c r="BH233" s="386"/>
      <c r="BI233" s="387"/>
      <c r="BJ233" s="388"/>
      <c r="BK233" s="386"/>
      <c r="BL233" s="387"/>
      <c r="BM233" s="388"/>
      <c r="BN233" s="386"/>
      <c r="BO233" s="387"/>
      <c r="BP233" s="388"/>
      <c r="BQ233" s="386"/>
      <c r="BR233" s="387"/>
      <c r="BS233" s="388"/>
      <c r="BT233" s="386"/>
      <c r="BU233" s="387"/>
      <c r="BV233" s="388"/>
      <c r="BW233" s="386"/>
      <c r="BX233" s="387"/>
      <c r="BY233" s="388"/>
      <c r="BZ233" s="386"/>
      <c r="CA233" s="387"/>
      <c r="CB233" s="388"/>
      <c r="CC233" s="386"/>
      <c r="CD233" s="387"/>
      <c r="CE233" s="388"/>
      <c r="CF233" s="386"/>
      <c r="CG233" s="387"/>
      <c r="CH233" s="388"/>
      <c r="CI233" s="386"/>
      <c r="CJ233" s="387"/>
      <c r="CK233" s="388"/>
      <c r="CL233" s="386"/>
      <c r="CM233" s="387"/>
      <c r="CN233" s="388"/>
      <c r="CO233" s="386"/>
      <c r="CP233" s="387"/>
      <c r="CQ233" s="388"/>
      <c r="CR233" s="386"/>
      <c r="CS233" s="387"/>
      <c r="CT233" s="388"/>
      <c r="CU233" s="386"/>
      <c r="CV233" s="387"/>
      <c r="CW233" s="388"/>
      <c r="CX233" s="386"/>
      <c r="CY233" s="387"/>
      <c r="CZ233" s="388"/>
    </row>
    <row r="234">
      <c r="A234" s="1"/>
      <c r="B234" s="402"/>
      <c r="C234" s="362" t="str">
        <f>'5-0 Товары'!C234</f>
        <v/>
      </c>
      <c r="D234" s="363" t="str">
        <f>'5-0 Товары'!D234</f>
        <v/>
      </c>
      <c r="E234" s="364" t="str">
        <f>'5-0 Товары'!E234</f>
        <v/>
      </c>
      <c r="F234" s="380"/>
      <c r="G234" s="380"/>
      <c r="H234" s="364" t="str">
        <f>'5-0 Товары'!F234</f>
        <v/>
      </c>
      <c r="I234" s="391"/>
      <c r="J234" s="364" t="str">
        <f>'5-0 Товары'!G234</f>
        <v/>
      </c>
      <c r="K234" s="366" t="str">
        <f>'5-0 Товары'!H234</f>
        <v/>
      </c>
      <c r="L234" s="382" t="str">
        <f t="shared" si="1"/>
        <v/>
      </c>
      <c r="M234" s="382"/>
      <c r="N234" s="380"/>
      <c r="O234" s="369" t="str">
        <f>'5-0 Товары'!I234</f>
        <v/>
      </c>
      <c r="P234" s="371" t="str">
        <f>'5-0 Товары'!N234</f>
        <v/>
      </c>
      <c r="Q234" s="197"/>
      <c r="R234" s="193"/>
      <c r="S234" s="187"/>
      <c r="T234" s="187"/>
      <c r="U234" s="187"/>
      <c r="V234" s="187"/>
      <c r="W234" s="187"/>
      <c r="X234" s="187"/>
      <c r="Y234" s="187" t="s">
        <v>96</v>
      </c>
      <c r="Z234" s="193" t="str">
        <f t="shared" si="2"/>
        <v/>
      </c>
      <c r="AA234" s="383"/>
      <c r="AB234" s="384"/>
      <c r="AC234" s="385"/>
      <c r="AD234" s="383"/>
      <c r="AE234" s="384"/>
      <c r="AF234" s="385"/>
      <c r="AG234" s="383"/>
      <c r="AH234" s="384"/>
      <c r="AI234" s="385"/>
      <c r="AJ234" s="383"/>
      <c r="AK234" s="384"/>
      <c r="AL234" s="385"/>
      <c r="AM234" s="383"/>
      <c r="AN234" s="384"/>
      <c r="AO234" s="385"/>
      <c r="AP234" s="383"/>
      <c r="AQ234" s="384"/>
      <c r="AR234" s="385"/>
      <c r="AS234" s="383"/>
      <c r="AT234" s="384"/>
      <c r="AU234" s="385"/>
      <c r="AV234" s="383"/>
      <c r="AW234" s="384"/>
      <c r="AX234" s="385"/>
      <c r="AY234" s="383"/>
      <c r="AZ234" s="384"/>
      <c r="BA234" s="385"/>
      <c r="BB234" s="386"/>
      <c r="BC234" s="387"/>
      <c r="BD234" s="388"/>
      <c r="BE234" s="386"/>
      <c r="BF234" s="387"/>
      <c r="BG234" s="388"/>
      <c r="BH234" s="386"/>
      <c r="BI234" s="387"/>
      <c r="BJ234" s="388"/>
      <c r="BK234" s="386"/>
      <c r="BL234" s="387"/>
      <c r="BM234" s="388"/>
      <c r="BN234" s="386"/>
      <c r="BO234" s="387"/>
      <c r="BP234" s="388"/>
      <c r="BQ234" s="386"/>
      <c r="BR234" s="387"/>
      <c r="BS234" s="388"/>
      <c r="BT234" s="386"/>
      <c r="BU234" s="387"/>
      <c r="BV234" s="388"/>
      <c r="BW234" s="386"/>
      <c r="BX234" s="387"/>
      <c r="BY234" s="388"/>
      <c r="BZ234" s="386"/>
      <c r="CA234" s="387"/>
      <c r="CB234" s="388"/>
      <c r="CC234" s="386"/>
      <c r="CD234" s="387"/>
      <c r="CE234" s="388"/>
      <c r="CF234" s="386"/>
      <c r="CG234" s="387"/>
      <c r="CH234" s="388"/>
      <c r="CI234" s="386"/>
      <c r="CJ234" s="387"/>
      <c r="CK234" s="388"/>
      <c r="CL234" s="386"/>
      <c r="CM234" s="387"/>
      <c r="CN234" s="388"/>
      <c r="CO234" s="386"/>
      <c r="CP234" s="387"/>
      <c r="CQ234" s="388"/>
      <c r="CR234" s="386"/>
      <c r="CS234" s="387"/>
      <c r="CT234" s="388"/>
      <c r="CU234" s="386"/>
      <c r="CV234" s="387"/>
      <c r="CW234" s="388"/>
      <c r="CX234" s="386"/>
      <c r="CY234" s="387"/>
      <c r="CZ234" s="388"/>
    </row>
    <row r="235">
      <c r="A235" s="1"/>
      <c r="B235" s="402"/>
      <c r="C235" s="362" t="str">
        <f>'5-0 Товары'!C235</f>
        <v/>
      </c>
      <c r="D235" s="363" t="str">
        <f>'5-0 Товары'!D235</f>
        <v/>
      </c>
      <c r="E235" s="364" t="str">
        <f>'5-0 Товары'!E235</f>
        <v/>
      </c>
      <c r="F235" s="380"/>
      <c r="G235" s="380"/>
      <c r="H235" s="364" t="str">
        <f>'5-0 Товары'!F235</f>
        <v/>
      </c>
      <c r="I235" s="391"/>
      <c r="J235" s="364" t="str">
        <f>'5-0 Товары'!G235</f>
        <v/>
      </c>
      <c r="K235" s="366" t="str">
        <f>'5-0 Товары'!H235</f>
        <v/>
      </c>
      <c r="L235" s="382" t="str">
        <f t="shared" si="1"/>
        <v/>
      </c>
      <c r="M235" s="382"/>
      <c r="N235" s="380"/>
      <c r="O235" s="369" t="str">
        <f>'5-0 Товары'!I235</f>
        <v/>
      </c>
      <c r="P235" s="371" t="str">
        <f>'5-0 Товары'!N235</f>
        <v/>
      </c>
      <c r="Q235" s="197"/>
      <c r="R235" s="193"/>
      <c r="S235" s="187"/>
      <c r="T235" s="187"/>
      <c r="U235" s="187"/>
      <c r="V235" s="187"/>
      <c r="W235" s="187"/>
      <c r="X235" s="187"/>
      <c r="Y235" s="187" t="s">
        <v>96</v>
      </c>
      <c r="Z235" s="193" t="str">
        <f t="shared" si="2"/>
        <v/>
      </c>
      <c r="AA235" s="383"/>
      <c r="AB235" s="384"/>
      <c r="AC235" s="385"/>
      <c r="AD235" s="383"/>
      <c r="AE235" s="384"/>
      <c r="AF235" s="385"/>
      <c r="AG235" s="383"/>
      <c r="AH235" s="384"/>
      <c r="AI235" s="385"/>
      <c r="AJ235" s="383"/>
      <c r="AK235" s="384"/>
      <c r="AL235" s="385"/>
      <c r="AM235" s="383"/>
      <c r="AN235" s="384"/>
      <c r="AO235" s="385"/>
      <c r="AP235" s="383"/>
      <c r="AQ235" s="384"/>
      <c r="AR235" s="385"/>
      <c r="AS235" s="383"/>
      <c r="AT235" s="384"/>
      <c r="AU235" s="385"/>
      <c r="AV235" s="383"/>
      <c r="AW235" s="384"/>
      <c r="AX235" s="385"/>
      <c r="AY235" s="383"/>
      <c r="AZ235" s="384"/>
      <c r="BA235" s="385"/>
      <c r="BB235" s="386"/>
      <c r="BC235" s="387"/>
      <c r="BD235" s="388"/>
      <c r="BE235" s="386"/>
      <c r="BF235" s="387"/>
      <c r="BG235" s="388"/>
      <c r="BH235" s="386"/>
      <c r="BI235" s="387"/>
      <c r="BJ235" s="388"/>
      <c r="BK235" s="386"/>
      <c r="BL235" s="387"/>
      <c r="BM235" s="388"/>
      <c r="BN235" s="386"/>
      <c r="BO235" s="387"/>
      <c r="BP235" s="388"/>
      <c r="BQ235" s="386"/>
      <c r="BR235" s="387"/>
      <c r="BS235" s="388"/>
      <c r="BT235" s="386"/>
      <c r="BU235" s="387"/>
      <c r="BV235" s="388"/>
      <c r="BW235" s="386"/>
      <c r="BX235" s="387"/>
      <c r="BY235" s="388"/>
      <c r="BZ235" s="386"/>
      <c r="CA235" s="387"/>
      <c r="CB235" s="388"/>
      <c r="CC235" s="386"/>
      <c r="CD235" s="387"/>
      <c r="CE235" s="388"/>
      <c r="CF235" s="386"/>
      <c r="CG235" s="387"/>
      <c r="CH235" s="388"/>
      <c r="CI235" s="386"/>
      <c r="CJ235" s="387"/>
      <c r="CK235" s="388"/>
      <c r="CL235" s="386"/>
      <c r="CM235" s="387"/>
      <c r="CN235" s="388"/>
      <c r="CO235" s="386"/>
      <c r="CP235" s="387"/>
      <c r="CQ235" s="388"/>
      <c r="CR235" s="386"/>
      <c r="CS235" s="387"/>
      <c r="CT235" s="388"/>
      <c r="CU235" s="386"/>
      <c r="CV235" s="387"/>
      <c r="CW235" s="388"/>
      <c r="CX235" s="386"/>
      <c r="CY235" s="387"/>
      <c r="CZ235" s="388"/>
    </row>
    <row r="236">
      <c r="A236" s="1"/>
      <c r="B236" s="402"/>
      <c r="C236" s="362" t="str">
        <f>'5-0 Товары'!C236</f>
        <v/>
      </c>
      <c r="D236" s="363" t="str">
        <f>'5-0 Товары'!D236</f>
        <v/>
      </c>
      <c r="E236" s="364" t="str">
        <f>'5-0 Товары'!E236</f>
        <v/>
      </c>
      <c r="F236" s="380"/>
      <c r="G236" s="380"/>
      <c r="H236" s="364" t="str">
        <f>'5-0 Товары'!F236</f>
        <v/>
      </c>
      <c r="I236" s="391"/>
      <c r="J236" s="364" t="str">
        <f>'5-0 Товары'!G236</f>
        <v/>
      </c>
      <c r="K236" s="366" t="str">
        <f>'5-0 Товары'!H236</f>
        <v/>
      </c>
      <c r="L236" s="382" t="str">
        <f t="shared" si="1"/>
        <v/>
      </c>
      <c r="M236" s="382"/>
      <c r="N236" s="380"/>
      <c r="O236" s="369" t="str">
        <f>'5-0 Товары'!I236</f>
        <v/>
      </c>
      <c r="P236" s="371" t="str">
        <f>'5-0 Товары'!N236</f>
        <v/>
      </c>
      <c r="Q236" s="197"/>
      <c r="R236" s="193"/>
      <c r="S236" s="187"/>
      <c r="T236" s="187"/>
      <c r="U236" s="187"/>
      <c r="V236" s="187"/>
      <c r="W236" s="187"/>
      <c r="X236" s="187"/>
      <c r="Y236" s="187" t="s">
        <v>96</v>
      </c>
      <c r="Z236" s="193" t="str">
        <f t="shared" si="2"/>
        <v/>
      </c>
      <c r="AA236" s="383"/>
      <c r="AB236" s="384"/>
      <c r="AC236" s="385"/>
      <c r="AD236" s="383"/>
      <c r="AE236" s="384"/>
      <c r="AF236" s="385"/>
      <c r="AG236" s="383"/>
      <c r="AH236" s="384"/>
      <c r="AI236" s="385"/>
      <c r="AJ236" s="383"/>
      <c r="AK236" s="384"/>
      <c r="AL236" s="385"/>
      <c r="AM236" s="383"/>
      <c r="AN236" s="384"/>
      <c r="AO236" s="385"/>
      <c r="AP236" s="383"/>
      <c r="AQ236" s="384"/>
      <c r="AR236" s="385"/>
      <c r="AS236" s="383"/>
      <c r="AT236" s="384"/>
      <c r="AU236" s="385"/>
      <c r="AV236" s="383"/>
      <c r="AW236" s="384"/>
      <c r="AX236" s="385"/>
      <c r="AY236" s="383"/>
      <c r="AZ236" s="384"/>
      <c r="BA236" s="385"/>
      <c r="BB236" s="386"/>
      <c r="BC236" s="387"/>
      <c r="BD236" s="388"/>
      <c r="BE236" s="386"/>
      <c r="BF236" s="387"/>
      <c r="BG236" s="388"/>
      <c r="BH236" s="386"/>
      <c r="BI236" s="387"/>
      <c r="BJ236" s="388"/>
      <c r="BK236" s="386"/>
      <c r="BL236" s="387"/>
      <c r="BM236" s="388"/>
      <c r="BN236" s="386"/>
      <c r="BO236" s="387"/>
      <c r="BP236" s="388"/>
      <c r="BQ236" s="386"/>
      <c r="BR236" s="387"/>
      <c r="BS236" s="388"/>
      <c r="BT236" s="386"/>
      <c r="BU236" s="387"/>
      <c r="BV236" s="388"/>
      <c r="BW236" s="386"/>
      <c r="BX236" s="387"/>
      <c r="BY236" s="388"/>
      <c r="BZ236" s="386"/>
      <c r="CA236" s="387"/>
      <c r="CB236" s="388"/>
      <c r="CC236" s="386"/>
      <c r="CD236" s="387"/>
      <c r="CE236" s="388"/>
      <c r="CF236" s="386"/>
      <c r="CG236" s="387"/>
      <c r="CH236" s="388"/>
      <c r="CI236" s="386"/>
      <c r="CJ236" s="387"/>
      <c r="CK236" s="388"/>
      <c r="CL236" s="386"/>
      <c r="CM236" s="387"/>
      <c r="CN236" s="388"/>
      <c r="CO236" s="386"/>
      <c r="CP236" s="387"/>
      <c r="CQ236" s="388"/>
      <c r="CR236" s="386"/>
      <c r="CS236" s="387"/>
      <c r="CT236" s="388"/>
      <c r="CU236" s="386"/>
      <c r="CV236" s="387"/>
      <c r="CW236" s="388"/>
      <c r="CX236" s="386"/>
      <c r="CY236" s="387"/>
      <c r="CZ236" s="388"/>
    </row>
    <row r="237">
      <c r="A237" s="1"/>
      <c r="B237" s="402"/>
      <c r="C237" s="362" t="str">
        <f>'5-0 Товары'!C237</f>
        <v/>
      </c>
      <c r="D237" s="363" t="str">
        <f>'5-0 Товары'!D237</f>
        <v/>
      </c>
      <c r="E237" s="364" t="str">
        <f>'5-0 Товары'!E237</f>
        <v/>
      </c>
      <c r="F237" s="380"/>
      <c r="G237" s="380"/>
      <c r="H237" s="364" t="str">
        <f>'5-0 Товары'!F237</f>
        <v/>
      </c>
      <c r="I237" s="391"/>
      <c r="J237" s="364" t="str">
        <f>'5-0 Товары'!G237</f>
        <v/>
      </c>
      <c r="K237" s="366" t="str">
        <f>'5-0 Товары'!H237</f>
        <v/>
      </c>
      <c r="L237" s="382" t="str">
        <f t="shared" si="1"/>
        <v/>
      </c>
      <c r="M237" s="382"/>
      <c r="N237" s="380"/>
      <c r="O237" s="369" t="str">
        <f>'5-0 Товары'!I237</f>
        <v/>
      </c>
      <c r="P237" s="371" t="str">
        <f>'5-0 Товары'!N237</f>
        <v/>
      </c>
      <c r="Q237" s="197"/>
      <c r="R237" s="193"/>
      <c r="S237" s="187"/>
      <c r="T237" s="187"/>
      <c r="U237" s="187"/>
      <c r="V237" s="187"/>
      <c r="W237" s="187"/>
      <c r="X237" s="187"/>
      <c r="Y237" s="187" t="s">
        <v>96</v>
      </c>
      <c r="Z237" s="193" t="str">
        <f t="shared" si="2"/>
        <v/>
      </c>
      <c r="AA237" s="383"/>
      <c r="AB237" s="384"/>
      <c r="AC237" s="385"/>
      <c r="AD237" s="383"/>
      <c r="AE237" s="384"/>
      <c r="AF237" s="385"/>
      <c r="AG237" s="383"/>
      <c r="AH237" s="384"/>
      <c r="AI237" s="385"/>
      <c r="AJ237" s="383"/>
      <c r="AK237" s="384"/>
      <c r="AL237" s="385"/>
      <c r="AM237" s="383"/>
      <c r="AN237" s="384"/>
      <c r="AO237" s="385"/>
      <c r="AP237" s="383"/>
      <c r="AQ237" s="384"/>
      <c r="AR237" s="385"/>
      <c r="AS237" s="383"/>
      <c r="AT237" s="384"/>
      <c r="AU237" s="385"/>
      <c r="AV237" s="383"/>
      <c r="AW237" s="384"/>
      <c r="AX237" s="385"/>
      <c r="AY237" s="383"/>
      <c r="AZ237" s="384"/>
      <c r="BA237" s="385"/>
      <c r="BB237" s="386"/>
      <c r="BC237" s="387"/>
      <c r="BD237" s="388"/>
      <c r="BE237" s="386"/>
      <c r="BF237" s="387"/>
      <c r="BG237" s="388"/>
      <c r="BH237" s="386"/>
      <c r="BI237" s="387"/>
      <c r="BJ237" s="388"/>
      <c r="BK237" s="386"/>
      <c r="BL237" s="387"/>
      <c r="BM237" s="388"/>
      <c r="BN237" s="386"/>
      <c r="BO237" s="387"/>
      <c r="BP237" s="388"/>
      <c r="BQ237" s="386"/>
      <c r="BR237" s="387"/>
      <c r="BS237" s="388"/>
      <c r="BT237" s="386"/>
      <c r="BU237" s="387"/>
      <c r="BV237" s="388"/>
      <c r="BW237" s="386"/>
      <c r="BX237" s="387"/>
      <c r="BY237" s="388"/>
      <c r="BZ237" s="386"/>
      <c r="CA237" s="387"/>
      <c r="CB237" s="388"/>
      <c r="CC237" s="386"/>
      <c r="CD237" s="387"/>
      <c r="CE237" s="388"/>
      <c r="CF237" s="386"/>
      <c r="CG237" s="387"/>
      <c r="CH237" s="388"/>
      <c r="CI237" s="386"/>
      <c r="CJ237" s="387"/>
      <c r="CK237" s="388"/>
      <c r="CL237" s="386"/>
      <c r="CM237" s="387"/>
      <c r="CN237" s="388"/>
      <c r="CO237" s="386"/>
      <c r="CP237" s="387"/>
      <c r="CQ237" s="388"/>
      <c r="CR237" s="386"/>
      <c r="CS237" s="387"/>
      <c r="CT237" s="388"/>
      <c r="CU237" s="386"/>
      <c r="CV237" s="387"/>
      <c r="CW237" s="388"/>
      <c r="CX237" s="386"/>
      <c r="CY237" s="387"/>
      <c r="CZ237" s="388"/>
    </row>
    <row r="238">
      <c r="A238" s="1"/>
      <c r="B238" s="402"/>
      <c r="C238" s="362" t="str">
        <f>'5-0 Товары'!C238</f>
        <v/>
      </c>
      <c r="D238" s="363" t="str">
        <f>'5-0 Товары'!D238</f>
        <v/>
      </c>
      <c r="E238" s="364" t="str">
        <f>'5-0 Товары'!E238</f>
        <v/>
      </c>
      <c r="F238" s="380"/>
      <c r="G238" s="380"/>
      <c r="H238" s="364" t="str">
        <f>'5-0 Товары'!F238</f>
        <v/>
      </c>
      <c r="I238" s="391"/>
      <c r="J238" s="364" t="str">
        <f>'5-0 Товары'!G238</f>
        <v/>
      </c>
      <c r="K238" s="366" t="str">
        <f>'5-0 Товары'!H238</f>
        <v/>
      </c>
      <c r="L238" s="382" t="str">
        <f t="shared" si="1"/>
        <v/>
      </c>
      <c r="M238" s="382"/>
      <c r="N238" s="380"/>
      <c r="O238" s="369" t="str">
        <f>'5-0 Товары'!I238</f>
        <v/>
      </c>
      <c r="P238" s="371" t="str">
        <f>'5-0 Товары'!N238</f>
        <v/>
      </c>
      <c r="Q238" s="197"/>
      <c r="R238" s="193"/>
      <c r="S238" s="187"/>
      <c r="T238" s="187"/>
      <c r="U238" s="187"/>
      <c r="V238" s="187"/>
      <c r="W238" s="187"/>
      <c r="X238" s="187"/>
      <c r="Y238" s="187" t="s">
        <v>96</v>
      </c>
      <c r="Z238" s="193" t="str">
        <f t="shared" si="2"/>
        <v/>
      </c>
      <c r="AA238" s="383"/>
      <c r="AB238" s="384"/>
      <c r="AC238" s="385"/>
      <c r="AD238" s="383"/>
      <c r="AE238" s="384"/>
      <c r="AF238" s="385"/>
      <c r="AG238" s="383"/>
      <c r="AH238" s="384"/>
      <c r="AI238" s="385"/>
      <c r="AJ238" s="383"/>
      <c r="AK238" s="384"/>
      <c r="AL238" s="385"/>
      <c r="AM238" s="383"/>
      <c r="AN238" s="384"/>
      <c r="AO238" s="385"/>
      <c r="AP238" s="383"/>
      <c r="AQ238" s="384"/>
      <c r="AR238" s="385"/>
      <c r="AS238" s="383"/>
      <c r="AT238" s="384"/>
      <c r="AU238" s="385"/>
      <c r="AV238" s="383"/>
      <c r="AW238" s="384"/>
      <c r="AX238" s="385"/>
      <c r="AY238" s="383"/>
      <c r="AZ238" s="384"/>
      <c r="BA238" s="385"/>
      <c r="BB238" s="386"/>
      <c r="BC238" s="387"/>
      <c r="BD238" s="388"/>
      <c r="BE238" s="386"/>
      <c r="BF238" s="387"/>
      <c r="BG238" s="388"/>
      <c r="BH238" s="386"/>
      <c r="BI238" s="387"/>
      <c r="BJ238" s="388"/>
      <c r="BK238" s="386"/>
      <c r="BL238" s="387"/>
      <c r="BM238" s="388"/>
      <c r="BN238" s="386"/>
      <c r="BO238" s="387"/>
      <c r="BP238" s="388"/>
      <c r="BQ238" s="386"/>
      <c r="BR238" s="387"/>
      <c r="BS238" s="388"/>
      <c r="BT238" s="386"/>
      <c r="BU238" s="387"/>
      <c r="BV238" s="388"/>
      <c r="BW238" s="386"/>
      <c r="BX238" s="387"/>
      <c r="BY238" s="388"/>
      <c r="BZ238" s="386"/>
      <c r="CA238" s="387"/>
      <c r="CB238" s="388"/>
      <c r="CC238" s="386"/>
      <c r="CD238" s="387"/>
      <c r="CE238" s="388"/>
      <c r="CF238" s="386"/>
      <c r="CG238" s="387"/>
      <c r="CH238" s="388"/>
      <c r="CI238" s="386"/>
      <c r="CJ238" s="387"/>
      <c r="CK238" s="388"/>
      <c r="CL238" s="386"/>
      <c r="CM238" s="387"/>
      <c r="CN238" s="388"/>
      <c r="CO238" s="386"/>
      <c r="CP238" s="387"/>
      <c r="CQ238" s="388"/>
      <c r="CR238" s="386"/>
      <c r="CS238" s="387"/>
      <c r="CT238" s="388"/>
      <c r="CU238" s="386"/>
      <c r="CV238" s="387"/>
      <c r="CW238" s="388"/>
      <c r="CX238" s="386"/>
      <c r="CY238" s="387"/>
      <c r="CZ238" s="388"/>
    </row>
    <row r="239">
      <c r="A239" s="1"/>
      <c r="B239" s="402"/>
      <c r="C239" s="362" t="str">
        <f>'5-0 Товары'!C239</f>
        <v/>
      </c>
      <c r="D239" s="363" t="str">
        <f>'5-0 Товары'!D239</f>
        <v/>
      </c>
      <c r="E239" s="364" t="str">
        <f>'5-0 Товары'!E239</f>
        <v/>
      </c>
      <c r="F239" s="380"/>
      <c r="G239" s="380"/>
      <c r="H239" s="364" t="str">
        <f>'5-0 Товары'!F239</f>
        <v/>
      </c>
      <c r="I239" s="391"/>
      <c r="J239" s="364" t="str">
        <f>'5-0 Товары'!G239</f>
        <v/>
      </c>
      <c r="K239" s="366" t="str">
        <f>'5-0 Товары'!H239</f>
        <v/>
      </c>
      <c r="L239" s="382" t="str">
        <f t="shared" si="1"/>
        <v/>
      </c>
      <c r="M239" s="382"/>
      <c r="N239" s="380"/>
      <c r="O239" s="369" t="str">
        <f>'5-0 Товары'!I239</f>
        <v/>
      </c>
      <c r="P239" s="371" t="str">
        <f>'5-0 Товары'!N239</f>
        <v/>
      </c>
      <c r="Q239" s="197"/>
      <c r="R239" s="193"/>
      <c r="S239" s="187"/>
      <c r="T239" s="187"/>
      <c r="U239" s="187"/>
      <c r="V239" s="187"/>
      <c r="W239" s="187"/>
      <c r="X239" s="187"/>
      <c r="Y239" s="187" t="s">
        <v>96</v>
      </c>
      <c r="Z239" s="193" t="str">
        <f t="shared" si="2"/>
        <v/>
      </c>
      <c r="AA239" s="383"/>
      <c r="AB239" s="384"/>
      <c r="AC239" s="385"/>
      <c r="AD239" s="383"/>
      <c r="AE239" s="384"/>
      <c r="AF239" s="385"/>
      <c r="AG239" s="383"/>
      <c r="AH239" s="384"/>
      <c r="AI239" s="385"/>
      <c r="AJ239" s="383"/>
      <c r="AK239" s="384"/>
      <c r="AL239" s="385"/>
      <c r="AM239" s="383"/>
      <c r="AN239" s="384"/>
      <c r="AO239" s="385"/>
      <c r="AP239" s="383"/>
      <c r="AQ239" s="384"/>
      <c r="AR239" s="385"/>
      <c r="AS239" s="383"/>
      <c r="AT239" s="384"/>
      <c r="AU239" s="385"/>
      <c r="AV239" s="383"/>
      <c r="AW239" s="384"/>
      <c r="AX239" s="385"/>
      <c r="AY239" s="383"/>
      <c r="AZ239" s="384"/>
      <c r="BA239" s="385"/>
      <c r="BB239" s="386"/>
      <c r="BC239" s="387"/>
      <c r="BD239" s="388"/>
      <c r="BE239" s="386"/>
      <c r="BF239" s="387"/>
      <c r="BG239" s="388"/>
      <c r="BH239" s="386"/>
      <c r="BI239" s="387"/>
      <c r="BJ239" s="388"/>
      <c r="BK239" s="386"/>
      <c r="BL239" s="387"/>
      <c r="BM239" s="388"/>
      <c r="BN239" s="386"/>
      <c r="BO239" s="387"/>
      <c r="BP239" s="388"/>
      <c r="BQ239" s="386"/>
      <c r="BR239" s="387"/>
      <c r="BS239" s="388"/>
      <c r="BT239" s="386"/>
      <c r="BU239" s="387"/>
      <c r="BV239" s="388"/>
      <c r="BW239" s="386"/>
      <c r="BX239" s="387"/>
      <c r="BY239" s="388"/>
      <c r="BZ239" s="386"/>
      <c r="CA239" s="387"/>
      <c r="CB239" s="388"/>
      <c r="CC239" s="386"/>
      <c r="CD239" s="387"/>
      <c r="CE239" s="388"/>
      <c r="CF239" s="386"/>
      <c r="CG239" s="387"/>
      <c r="CH239" s="388"/>
      <c r="CI239" s="386"/>
      <c r="CJ239" s="387"/>
      <c r="CK239" s="388"/>
      <c r="CL239" s="386"/>
      <c r="CM239" s="387"/>
      <c r="CN239" s="388"/>
      <c r="CO239" s="386"/>
      <c r="CP239" s="387"/>
      <c r="CQ239" s="388"/>
      <c r="CR239" s="386"/>
      <c r="CS239" s="387"/>
      <c r="CT239" s="388"/>
      <c r="CU239" s="386"/>
      <c r="CV239" s="387"/>
      <c r="CW239" s="388"/>
      <c r="CX239" s="386"/>
      <c r="CY239" s="387"/>
      <c r="CZ239" s="388"/>
    </row>
    <row r="240">
      <c r="A240" s="1"/>
      <c r="B240" s="402"/>
      <c r="C240" s="362" t="str">
        <f>'5-0 Товары'!C240</f>
        <v/>
      </c>
      <c r="D240" s="363" t="str">
        <f>'5-0 Товары'!D240</f>
        <v/>
      </c>
      <c r="E240" s="364" t="str">
        <f>'5-0 Товары'!E240</f>
        <v/>
      </c>
      <c r="F240" s="380"/>
      <c r="G240" s="380"/>
      <c r="H240" s="364" t="str">
        <f>'5-0 Товары'!F240</f>
        <v/>
      </c>
      <c r="I240" s="391"/>
      <c r="J240" s="364" t="str">
        <f>'5-0 Товары'!G240</f>
        <v/>
      </c>
      <c r="K240" s="366" t="str">
        <f>'5-0 Товары'!H240</f>
        <v/>
      </c>
      <c r="L240" s="382" t="str">
        <f t="shared" si="1"/>
        <v/>
      </c>
      <c r="M240" s="382"/>
      <c r="N240" s="380"/>
      <c r="O240" s="369" t="str">
        <f>'5-0 Товары'!I240</f>
        <v/>
      </c>
      <c r="P240" s="371" t="str">
        <f>'5-0 Товары'!N240</f>
        <v/>
      </c>
      <c r="Q240" s="197"/>
      <c r="R240" s="193"/>
      <c r="S240" s="187"/>
      <c r="T240" s="187"/>
      <c r="U240" s="187"/>
      <c r="V240" s="187"/>
      <c r="W240" s="187"/>
      <c r="X240" s="187"/>
      <c r="Y240" s="187" t="s">
        <v>96</v>
      </c>
      <c r="Z240" s="193" t="str">
        <f t="shared" si="2"/>
        <v/>
      </c>
      <c r="AA240" s="383"/>
      <c r="AB240" s="384"/>
      <c r="AC240" s="385"/>
      <c r="AD240" s="383"/>
      <c r="AE240" s="384"/>
      <c r="AF240" s="385"/>
      <c r="AG240" s="383"/>
      <c r="AH240" s="384"/>
      <c r="AI240" s="385"/>
      <c r="AJ240" s="383"/>
      <c r="AK240" s="384"/>
      <c r="AL240" s="385"/>
      <c r="AM240" s="383"/>
      <c r="AN240" s="384"/>
      <c r="AO240" s="385"/>
      <c r="AP240" s="383"/>
      <c r="AQ240" s="384"/>
      <c r="AR240" s="385"/>
      <c r="AS240" s="383"/>
      <c r="AT240" s="384"/>
      <c r="AU240" s="385"/>
      <c r="AV240" s="383"/>
      <c r="AW240" s="384"/>
      <c r="AX240" s="385"/>
      <c r="AY240" s="383"/>
      <c r="AZ240" s="384"/>
      <c r="BA240" s="385"/>
      <c r="BB240" s="386"/>
      <c r="BC240" s="387"/>
      <c r="BD240" s="388"/>
      <c r="BE240" s="386"/>
      <c r="BF240" s="387"/>
      <c r="BG240" s="388"/>
      <c r="BH240" s="386"/>
      <c r="BI240" s="387"/>
      <c r="BJ240" s="388"/>
      <c r="BK240" s="386"/>
      <c r="BL240" s="387"/>
      <c r="BM240" s="388"/>
      <c r="BN240" s="386"/>
      <c r="BO240" s="387"/>
      <c r="BP240" s="388"/>
      <c r="BQ240" s="386"/>
      <c r="BR240" s="387"/>
      <c r="BS240" s="388"/>
      <c r="BT240" s="386"/>
      <c r="BU240" s="387"/>
      <c r="BV240" s="388"/>
      <c r="BW240" s="386"/>
      <c r="BX240" s="387"/>
      <c r="BY240" s="388"/>
      <c r="BZ240" s="386"/>
      <c r="CA240" s="387"/>
      <c r="CB240" s="388"/>
      <c r="CC240" s="386"/>
      <c r="CD240" s="387"/>
      <c r="CE240" s="388"/>
      <c r="CF240" s="386"/>
      <c r="CG240" s="387"/>
      <c r="CH240" s="388"/>
      <c r="CI240" s="386"/>
      <c r="CJ240" s="387"/>
      <c r="CK240" s="388"/>
      <c r="CL240" s="386"/>
      <c r="CM240" s="387"/>
      <c r="CN240" s="388"/>
      <c r="CO240" s="386"/>
      <c r="CP240" s="387"/>
      <c r="CQ240" s="388"/>
      <c r="CR240" s="386"/>
      <c r="CS240" s="387"/>
      <c r="CT240" s="388"/>
      <c r="CU240" s="386"/>
      <c r="CV240" s="387"/>
      <c r="CW240" s="388"/>
      <c r="CX240" s="386"/>
      <c r="CY240" s="387"/>
      <c r="CZ240" s="388"/>
    </row>
    <row r="241">
      <c r="A241" s="1"/>
      <c r="B241" s="402"/>
      <c r="C241" s="362" t="str">
        <f>'5-0 Товары'!C241</f>
        <v/>
      </c>
      <c r="D241" s="363" t="str">
        <f>'5-0 Товары'!D241</f>
        <v/>
      </c>
      <c r="E241" s="364" t="str">
        <f>'5-0 Товары'!E241</f>
        <v/>
      </c>
      <c r="F241" s="380"/>
      <c r="G241" s="380"/>
      <c r="H241" s="364" t="str">
        <f>'5-0 Товары'!F241</f>
        <v/>
      </c>
      <c r="I241" s="391"/>
      <c r="J241" s="364" t="str">
        <f>'5-0 Товары'!G241</f>
        <v/>
      </c>
      <c r="K241" s="366" t="str">
        <f>'5-0 Товары'!H241</f>
        <v/>
      </c>
      <c r="L241" s="382" t="str">
        <f t="shared" si="1"/>
        <v/>
      </c>
      <c r="M241" s="382"/>
      <c r="N241" s="380"/>
      <c r="O241" s="369" t="str">
        <f>'5-0 Товары'!I241</f>
        <v/>
      </c>
      <c r="P241" s="371" t="str">
        <f>'5-0 Товары'!N241</f>
        <v/>
      </c>
      <c r="Q241" s="197"/>
      <c r="R241" s="193"/>
      <c r="S241" s="187"/>
      <c r="T241" s="187"/>
      <c r="U241" s="187"/>
      <c r="V241" s="187"/>
      <c r="W241" s="187"/>
      <c r="X241" s="187"/>
      <c r="Y241" s="187" t="s">
        <v>96</v>
      </c>
      <c r="Z241" s="193" t="str">
        <f t="shared" si="2"/>
        <v/>
      </c>
      <c r="AA241" s="383"/>
      <c r="AB241" s="384"/>
      <c r="AC241" s="385"/>
      <c r="AD241" s="383"/>
      <c r="AE241" s="384"/>
      <c r="AF241" s="385"/>
      <c r="AG241" s="383"/>
      <c r="AH241" s="384"/>
      <c r="AI241" s="385"/>
      <c r="AJ241" s="383"/>
      <c r="AK241" s="384"/>
      <c r="AL241" s="385"/>
      <c r="AM241" s="383"/>
      <c r="AN241" s="384"/>
      <c r="AO241" s="385"/>
      <c r="AP241" s="383"/>
      <c r="AQ241" s="384"/>
      <c r="AR241" s="385"/>
      <c r="AS241" s="383"/>
      <c r="AT241" s="384"/>
      <c r="AU241" s="385"/>
      <c r="AV241" s="383"/>
      <c r="AW241" s="384"/>
      <c r="AX241" s="385"/>
      <c r="AY241" s="383"/>
      <c r="AZ241" s="384"/>
      <c r="BA241" s="385"/>
      <c r="BB241" s="386"/>
      <c r="BC241" s="387"/>
      <c r="BD241" s="388"/>
      <c r="BE241" s="386"/>
      <c r="BF241" s="387"/>
      <c r="BG241" s="388"/>
      <c r="BH241" s="386"/>
      <c r="BI241" s="387"/>
      <c r="BJ241" s="388"/>
      <c r="BK241" s="386"/>
      <c r="BL241" s="387"/>
      <c r="BM241" s="388"/>
      <c r="BN241" s="386"/>
      <c r="BO241" s="387"/>
      <c r="BP241" s="388"/>
      <c r="BQ241" s="386"/>
      <c r="BR241" s="387"/>
      <c r="BS241" s="388"/>
      <c r="BT241" s="386"/>
      <c r="BU241" s="387"/>
      <c r="BV241" s="388"/>
      <c r="BW241" s="386"/>
      <c r="BX241" s="387"/>
      <c r="BY241" s="388"/>
      <c r="BZ241" s="386"/>
      <c r="CA241" s="387"/>
      <c r="CB241" s="388"/>
      <c r="CC241" s="386"/>
      <c r="CD241" s="387"/>
      <c r="CE241" s="388"/>
      <c r="CF241" s="386"/>
      <c r="CG241" s="387"/>
      <c r="CH241" s="388"/>
      <c r="CI241" s="386"/>
      <c r="CJ241" s="387"/>
      <c r="CK241" s="388"/>
      <c r="CL241" s="386"/>
      <c r="CM241" s="387"/>
      <c r="CN241" s="388"/>
      <c r="CO241" s="386"/>
      <c r="CP241" s="387"/>
      <c r="CQ241" s="388"/>
      <c r="CR241" s="386"/>
      <c r="CS241" s="387"/>
      <c r="CT241" s="388"/>
      <c r="CU241" s="386"/>
      <c r="CV241" s="387"/>
      <c r="CW241" s="388"/>
      <c r="CX241" s="386"/>
      <c r="CY241" s="387"/>
      <c r="CZ241" s="388"/>
    </row>
    <row r="242">
      <c r="A242" s="1"/>
      <c r="B242" s="402"/>
      <c r="C242" s="362" t="str">
        <f>'5-0 Товары'!C242</f>
        <v/>
      </c>
      <c r="D242" s="363" t="str">
        <f>'5-0 Товары'!D242</f>
        <v/>
      </c>
      <c r="E242" s="364" t="str">
        <f>'5-0 Товары'!E242</f>
        <v/>
      </c>
      <c r="F242" s="380"/>
      <c r="G242" s="380"/>
      <c r="H242" s="364" t="str">
        <f>'5-0 Товары'!F242</f>
        <v/>
      </c>
      <c r="I242" s="391"/>
      <c r="J242" s="364" t="str">
        <f>'5-0 Товары'!G242</f>
        <v/>
      </c>
      <c r="K242" s="366" t="str">
        <f>'5-0 Товары'!H242</f>
        <v/>
      </c>
      <c r="L242" s="382" t="str">
        <f t="shared" si="1"/>
        <v/>
      </c>
      <c r="M242" s="382"/>
      <c r="N242" s="380"/>
      <c r="O242" s="369" t="str">
        <f>'5-0 Товары'!I242</f>
        <v/>
      </c>
      <c r="P242" s="371" t="str">
        <f>'5-0 Товары'!N242</f>
        <v/>
      </c>
      <c r="Q242" s="197"/>
      <c r="R242" s="193"/>
      <c r="S242" s="187"/>
      <c r="T242" s="187"/>
      <c r="U242" s="187"/>
      <c r="V242" s="187"/>
      <c r="W242" s="187"/>
      <c r="X242" s="187"/>
      <c r="Y242" s="187" t="s">
        <v>96</v>
      </c>
      <c r="Z242" s="193" t="str">
        <f t="shared" si="2"/>
        <v/>
      </c>
      <c r="AA242" s="383"/>
      <c r="AB242" s="384"/>
      <c r="AC242" s="385"/>
      <c r="AD242" s="383"/>
      <c r="AE242" s="384"/>
      <c r="AF242" s="385"/>
      <c r="AG242" s="383"/>
      <c r="AH242" s="384"/>
      <c r="AI242" s="385"/>
      <c r="AJ242" s="383"/>
      <c r="AK242" s="384"/>
      <c r="AL242" s="385"/>
      <c r="AM242" s="383"/>
      <c r="AN242" s="384"/>
      <c r="AO242" s="385"/>
      <c r="AP242" s="383"/>
      <c r="AQ242" s="384"/>
      <c r="AR242" s="385"/>
      <c r="AS242" s="383"/>
      <c r="AT242" s="384"/>
      <c r="AU242" s="385"/>
      <c r="AV242" s="383"/>
      <c r="AW242" s="384"/>
      <c r="AX242" s="385"/>
      <c r="AY242" s="383"/>
      <c r="AZ242" s="384"/>
      <c r="BA242" s="385"/>
      <c r="BB242" s="386"/>
      <c r="BC242" s="387"/>
      <c r="BD242" s="388"/>
      <c r="BE242" s="386"/>
      <c r="BF242" s="387"/>
      <c r="BG242" s="388"/>
      <c r="BH242" s="386"/>
      <c r="BI242" s="387"/>
      <c r="BJ242" s="388"/>
      <c r="BK242" s="386"/>
      <c r="BL242" s="387"/>
      <c r="BM242" s="388"/>
      <c r="BN242" s="386"/>
      <c r="BO242" s="387"/>
      <c r="BP242" s="388"/>
      <c r="BQ242" s="386"/>
      <c r="BR242" s="387"/>
      <c r="BS242" s="388"/>
      <c r="BT242" s="386"/>
      <c r="BU242" s="387"/>
      <c r="BV242" s="388"/>
      <c r="BW242" s="386"/>
      <c r="BX242" s="387"/>
      <c r="BY242" s="388"/>
      <c r="BZ242" s="386"/>
      <c r="CA242" s="387"/>
      <c r="CB242" s="388"/>
      <c r="CC242" s="386"/>
      <c r="CD242" s="387"/>
      <c r="CE242" s="388"/>
      <c r="CF242" s="386"/>
      <c r="CG242" s="387"/>
      <c r="CH242" s="388"/>
      <c r="CI242" s="386"/>
      <c r="CJ242" s="387"/>
      <c r="CK242" s="388"/>
      <c r="CL242" s="386"/>
      <c r="CM242" s="387"/>
      <c r="CN242" s="388"/>
      <c r="CO242" s="386"/>
      <c r="CP242" s="387"/>
      <c r="CQ242" s="388"/>
      <c r="CR242" s="386"/>
      <c r="CS242" s="387"/>
      <c r="CT242" s="388"/>
      <c r="CU242" s="386"/>
      <c r="CV242" s="387"/>
      <c r="CW242" s="388"/>
      <c r="CX242" s="386"/>
      <c r="CY242" s="387"/>
      <c r="CZ242" s="388"/>
    </row>
    <row r="243">
      <c r="A243" s="1"/>
      <c r="B243" s="402"/>
      <c r="C243" s="362" t="str">
        <f>'5-0 Товары'!C243</f>
        <v/>
      </c>
      <c r="D243" s="363" t="str">
        <f>'5-0 Товары'!D243</f>
        <v/>
      </c>
      <c r="E243" s="364" t="str">
        <f>'5-0 Товары'!E243</f>
        <v/>
      </c>
      <c r="F243" s="380"/>
      <c r="G243" s="380"/>
      <c r="H243" s="364" t="str">
        <f>'5-0 Товары'!F243</f>
        <v/>
      </c>
      <c r="I243" s="391"/>
      <c r="J243" s="364" t="str">
        <f>'5-0 Товары'!G243</f>
        <v/>
      </c>
      <c r="K243" s="366" t="str">
        <f>'5-0 Товары'!H243</f>
        <v/>
      </c>
      <c r="L243" s="382" t="str">
        <f t="shared" si="1"/>
        <v/>
      </c>
      <c r="M243" s="382"/>
      <c r="N243" s="380"/>
      <c r="O243" s="369" t="str">
        <f>'5-0 Товары'!I243</f>
        <v/>
      </c>
      <c r="P243" s="371" t="str">
        <f>'5-0 Товары'!N243</f>
        <v/>
      </c>
      <c r="Q243" s="197"/>
      <c r="R243" s="193"/>
      <c r="S243" s="187"/>
      <c r="T243" s="187"/>
      <c r="U243" s="187"/>
      <c r="V243" s="187"/>
      <c r="W243" s="187"/>
      <c r="X243" s="187"/>
      <c r="Y243" s="187" t="s">
        <v>96</v>
      </c>
      <c r="Z243" s="193" t="str">
        <f t="shared" si="2"/>
        <v/>
      </c>
      <c r="AA243" s="383"/>
      <c r="AB243" s="384"/>
      <c r="AC243" s="385"/>
      <c r="AD243" s="383"/>
      <c r="AE243" s="384"/>
      <c r="AF243" s="385"/>
      <c r="AG243" s="383"/>
      <c r="AH243" s="384"/>
      <c r="AI243" s="385"/>
      <c r="AJ243" s="383"/>
      <c r="AK243" s="384"/>
      <c r="AL243" s="385"/>
      <c r="AM243" s="383"/>
      <c r="AN243" s="384"/>
      <c r="AO243" s="385"/>
      <c r="AP243" s="383"/>
      <c r="AQ243" s="384"/>
      <c r="AR243" s="385"/>
      <c r="AS243" s="383"/>
      <c r="AT243" s="384"/>
      <c r="AU243" s="385"/>
      <c r="AV243" s="383"/>
      <c r="AW243" s="384"/>
      <c r="AX243" s="385"/>
      <c r="AY243" s="383"/>
      <c r="AZ243" s="384"/>
      <c r="BA243" s="385"/>
      <c r="BB243" s="386"/>
      <c r="BC243" s="387"/>
      <c r="BD243" s="388"/>
      <c r="BE243" s="386"/>
      <c r="BF243" s="387"/>
      <c r="BG243" s="388"/>
      <c r="BH243" s="386"/>
      <c r="BI243" s="387"/>
      <c r="BJ243" s="388"/>
      <c r="BK243" s="386"/>
      <c r="BL243" s="387"/>
      <c r="BM243" s="388"/>
      <c r="BN243" s="386"/>
      <c r="BO243" s="387"/>
      <c r="BP243" s="388"/>
      <c r="BQ243" s="386"/>
      <c r="BR243" s="387"/>
      <c r="BS243" s="388"/>
      <c r="BT243" s="386"/>
      <c r="BU243" s="387"/>
      <c r="BV243" s="388"/>
      <c r="BW243" s="386"/>
      <c r="BX243" s="387"/>
      <c r="BY243" s="388"/>
      <c r="BZ243" s="386"/>
      <c r="CA243" s="387"/>
      <c r="CB243" s="388"/>
      <c r="CC243" s="386"/>
      <c r="CD243" s="387"/>
      <c r="CE243" s="388"/>
      <c r="CF243" s="386"/>
      <c r="CG243" s="387"/>
      <c r="CH243" s="388"/>
      <c r="CI243" s="386"/>
      <c r="CJ243" s="387"/>
      <c r="CK243" s="388"/>
      <c r="CL243" s="386"/>
      <c r="CM243" s="387"/>
      <c r="CN243" s="388"/>
      <c r="CO243" s="386"/>
      <c r="CP243" s="387"/>
      <c r="CQ243" s="388"/>
      <c r="CR243" s="386"/>
      <c r="CS243" s="387"/>
      <c r="CT243" s="388"/>
      <c r="CU243" s="386"/>
      <c r="CV243" s="387"/>
      <c r="CW243" s="388"/>
      <c r="CX243" s="386"/>
      <c r="CY243" s="387"/>
      <c r="CZ243" s="388"/>
    </row>
    <row r="244">
      <c r="A244" s="1"/>
      <c r="B244" s="402"/>
      <c r="C244" s="362" t="str">
        <f>'5-0 Товары'!C244</f>
        <v/>
      </c>
      <c r="D244" s="363" t="str">
        <f>'5-0 Товары'!D244</f>
        <v/>
      </c>
      <c r="E244" s="364" t="str">
        <f>'5-0 Товары'!E244</f>
        <v/>
      </c>
      <c r="F244" s="380"/>
      <c r="G244" s="380"/>
      <c r="H244" s="364" t="str">
        <f>'5-0 Товары'!F244</f>
        <v/>
      </c>
      <c r="I244" s="391"/>
      <c r="J244" s="364" t="str">
        <f>'5-0 Товары'!G244</f>
        <v/>
      </c>
      <c r="K244" s="366" t="str">
        <f>'5-0 Товары'!H244</f>
        <v/>
      </c>
      <c r="L244" s="382" t="str">
        <f t="shared" si="1"/>
        <v/>
      </c>
      <c r="M244" s="382"/>
      <c r="N244" s="380"/>
      <c r="O244" s="369" t="str">
        <f>'5-0 Товары'!I244</f>
        <v/>
      </c>
      <c r="P244" s="371" t="str">
        <f>'5-0 Товары'!N244</f>
        <v/>
      </c>
      <c r="Q244" s="197"/>
      <c r="R244" s="193"/>
      <c r="S244" s="187"/>
      <c r="T244" s="187"/>
      <c r="U244" s="187"/>
      <c r="V244" s="187"/>
      <c r="W244" s="187"/>
      <c r="X244" s="187"/>
      <c r="Y244" s="187" t="s">
        <v>96</v>
      </c>
      <c r="Z244" s="193" t="str">
        <f t="shared" si="2"/>
        <v/>
      </c>
      <c r="AA244" s="383"/>
      <c r="AB244" s="384"/>
      <c r="AC244" s="385"/>
      <c r="AD244" s="383"/>
      <c r="AE244" s="384"/>
      <c r="AF244" s="385"/>
      <c r="AG244" s="383"/>
      <c r="AH244" s="384"/>
      <c r="AI244" s="385"/>
      <c r="AJ244" s="383"/>
      <c r="AK244" s="384"/>
      <c r="AL244" s="385"/>
      <c r="AM244" s="383"/>
      <c r="AN244" s="384"/>
      <c r="AO244" s="385"/>
      <c r="AP244" s="383"/>
      <c r="AQ244" s="384"/>
      <c r="AR244" s="385"/>
      <c r="AS244" s="383"/>
      <c r="AT244" s="384"/>
      <c r="AU244" s="385"/>
      <c r="AV244" s="383"/>
      <c r="AW244" s="384"/>
      <c r="AX244" s="385"/>
      <c r="AY244" s="383"/>
      <c r="AZ244" s="384"/>
      <c r="BA244" s="385"/>
      <c r="BB244" s="386"/>
      <c r="BC244" s="387"/>
      <c r="BD244" s="388"/>
      <c r="BE244" s="386"/>
      <c r="BF244" s="387"/>
      <c r="BG244" s="388"/>
      <c r="BH244" s="386"/>
      <c r="BI244" s="387"/>
      <c r="BJ244" s="388"/>
      <c r="BK244" s="386"/>
      <c r="BL244" s="387"/>
      <c r="BM244" s="388"/>
      <c r="BN244" s="386"/>
      <c r="BO244" s="387"/>
      <c r="BP244" s="388"/>
      <c r="BQ244" s="386"/>
      <c r="BR244" s="387"/>
      <c r="BS244" s="388"/>
      <c r="BT244" s="386"/>
      <c r="BU244" s="387"/>
      <c r="BV244" s="388"/>
      <c r="BW244" s="386"/>
      <c r="BX244" s="387"/>
      <c r="BY244" s="388"/>
      <c r="BZ244" s="386"/>
      <c r="CA244" s="387"/>
      <c r="CB244" s="388"/>
      <c r="CC244" s="386"/>
      <c r="CD244" s="387"/>
      <c r="CE244" s="388"/>
      <c r="CF244" s="386"/>
      <c r="CG244" s="387"/>
      <c r="CH244" s="388"/>
      <c r="CI244" s="386"/>
      <c r="CJ244" s="387"/>
      <c r="CK244" s="388"/>
      <c r="CL244" s="386"/>
      <c r="CM244" s="387"/>
      <c r="CN244" s="388"/>
      <c r="CO244" s="386"/>
      <c r="CP244" s="387"/>
      <c r="CQ244" s="388"/>
      <c r="CR244" s="386"/>
      <c r="CS244" s="387"/>
      <c r="CT244" s="388"/>
      <c r="CU244" s="386"/>
      <c r="CV244" s="387"/>
      <c r="CW244" s="388"/>
      <c r="CX244" s="386"/>
      <c r="CY244" s="387"/>
      <c r="CZ244" s="388"/>
    </row>
    <row r="245">
      <c r="A245" s="1"/>
      <c r="B245" s="402"/>
      <c r="C245" s="362" t="str">
        <f>'5-0 Товары'!C245</f>
        <v/>
      </c>
      <c r="D245" s="363" t="str">
        <f>'5-0 Товары'!D245</f>
        <v/>
      </c>
      <c r="E245" s="364" t="str">
        <f>'5-0 Товары'!E245</f>
        <v/>
      </c>
      <c r="F245" s="380"/>
      <c r="G245" s="380"/>
      <c r="H245" s="364" t="str">
        <f>'5-0 Товары'!F245</f>
        <v/>
      </c>
      <c r="I245" s="391"/>
      <c r="J245" s="364" t="str">
        <f>'5-0 Товары'!G245</f>
        <v/>
      </c>
      <c r="K245" s="366" t="str">
        <f>'5-0 Товары'!H245</f>
        <v/>
      </c>
      <c r="L245" s="382" t="str">
        <f t="shared" si="1"/>
        <v/>
      </c>
      <c r="M245" s="382"/>
      <c r="N245" s="380"/>
      <c r="O245" s="369" t="str">
        <f>'5-0 Товары'!I245</f>
        <v/>
      </c>
      <c r="P245" s="371" t="str">
        <f>'5-0 Товары'!N245</f>
        <v/>
      </c>
      <c r="Q245" s="197"/>
      <c r="R245" s="193"/>
      <c r="S245" s="187"/>
      <c r="T245" s="187"/>
      <c r="U245" s="187"/>
      <c r="V245" s="187"/>
      <c r="W245" s="187"/>
      <c r="X245" s="187"/>
      <c r="Y245" s="187" t="s">
        <v>96</v>
      </c>
      <c r="Z245" s="193" t="str">
        <f t="shared" si="2"/>
        <v/>
      </c>
      <c r="AA245" s="383"/>
      <c r="AB245" s="384"/>
      <c r="AC245" s="385"/>
      <c r="AD245" s="383"/>
      <c r="AE245" s="384"/>
      <c r="AF245" s="385"/>
      <c r="AG245" s="383"/>
      <c r="AH245" s="384"/>
      <c r="AI245" s="385"/>
      <c r="AJ245" s="383"/>
      <c r="AK245" s="384"/>
      <c r="AL245" s="385"/>
      <c r="AM245" s="383"/>
      <c r="AN245" s="384"/>
      <c r="AO245" s="385"/>
      <c r="AP245" s="383"/>
      <c r="AQ245" s="384"/>
      <c r="AR245" s="385"/>
      <c r="AS245" s="383"/>
      <c r="AT245" s="384"/>
      <c r="AU245" s="385"/>
      <c r="AV245" s="383"/>
      <c r="AW245" s="384"/>
      <c r="AX245" s="385"/>
      <c r="AY245" s="383"/>
      <c r="AZ245" s="384"/>
      <c r="BA245" s="385"/>
      <c r="BB245" s="386"/>
      <c r="BC245" s="387"/>
      <c r="BD245" s="388"/>
      <c r="BE245" s="386"/>
      <c r="BF245" s="387"/>
      <c r="BG245" s="388"/>
      <c r="BH245" s="386"/>
      <c r="BI245" s="387"/>
      <c r="BJ245" s="388"/>
      <c r="BK245" s="386"/>
      <c r="BL245" s="387"/>
      <c r="BM245" s="388"/>
      <c r="BN245" s="386"/>
      <c r="BO245" s="387"/>
      <c r="BP245" s="388"/>
      <c r="BQ245" s="386"/>
      <c r="BR245" s="387"/>
      <c r="BS245" s="388"/>
      <c r="BT245" s="386"/>
      <c r="BU245" s="387"/>
      <c r="BV245" s="388"/>
      <c r="BW245" s="386"/>
      <c r="BX245" s="387"/>
      <c r="BY245" s="388"/>
      <c r="BZ245" s="386"/>
      <c r="CA245" s="387"/>
      <c r="CB245" s="388"/>
      <c r="CC245" s="386"/>
      <c r="CD245" s="387"/>
      <c r="CE245" s="388"/>
      <c r="CF245" s="386"/>
      <c r="CG245" s="387"/>
      <c r="CH245" s="388"/>
      <c r="CI245" s="386"/>
      <c r="CJ245" s="387"/>
      <c r="CK245" s="388"/>
      <c r="CL245" s="386"/>
      <c r="CM245" s="387"/>
      <c r="CN245" s="388"/>
      <c r="CO245" s="386"/>
      <c r="CP245" s="387"/>
      <c r="CQ245" s="388"/>
      <c r="CR245" s="386"/>
      <c r="CS245" s="387"/>
      <c r="CT245" s="388"/>
      <c r="CU245" s="386"/>
      <c r="CV245" s="387"/>
      <c r="CW245" s="388"/>
      <c r="CX245" s="386"/>
      <c r="CY245" s="387"/>
      <c r="CZ245" s="388"/>
    </row>
    <row r="246">
      <c r="A246" s="1"/>
      <c r="B246" s="402"/>
      <c r="C246" s="362" t="str">
        <f>'5-0 Товары'!C246</f>
        <v/>
      </c>
      <c r="D246" s="363" t="str">
        <f>'5-0 Товары'!D246</f>
        <v/>
      </c>
      <c r="E246" s="364" t="str">
        <f>'5-0 Товары'!E246</f>
        <v/>
      </c>
      <c r="F246" s="380"/>
      <c r="G246" s="380"/>
      <c r="H246" s="364" t="str">
        <f>'5-0 Товары'!F246</f>
        <v/>
      </c>
      <c r="I246" s="391"/>
      <c r="J246" s="364" t="str">
        <f>'5-0 Товары'!G246</f>
        <v/>
      </c>
      <c r="K246" s="366" t="str">
        <f>'5-0 Товары'!H246</f>
        <v/>
      </c>
      <c r="L246" s="382" t="str">
        <f t="shared" si="1"/>
        <v/>
      </c>
      <c r="M246" s="382"/>
      <c r="N246" s="380"/>
      <c r="O246" s="369" t="str">
        <f>'5-0 Товары'!I246</f>
        <v/>
      </c>
      <c r="P246" s="371" t="str">
        <f>'5-0 Товары'!N246</f>
        <v/>
      </c>
      <c r="Q246" s="197"/>
      <c r="R246" s="193"/>
      <c r="S246" s="187"/>
      <c r="T246" s="187"/>
      <c r="U246" s="187"/>
      <c r="V246" s="187"/>
      <c r="W246" s="187"/>
      <c r="X246" s="187"/>
      <c r="Y246" s="187" t="s">
        <v>96</v>
      </c>
      <c r="Z246" s="193" t="str">
        <f t="shared" si="2"/>
        <v/>
      </c>
      <c r="AA246" s="383"/>
      <c r="AB246" s="384"/>
      <c r="AC246" s="385"/>
      <c r="AD246" s="383"/>
      <c r="AE246" s="384"/>
      <c r="AF246" s="385"/>
      <c r="AG246" s="383"/>
      <c r="AH246" s="384"/>
      <c r="AI246" s="385"/>
      <c r="AJ246" s="383"/>
      <c r="AK246" s="384"/>
      <c r="AL246" s="385"/>
      <c r="AM246" s="383"/>
      <c r="AN246" s="384"/>
      <c r="AO246" s="385"/>
      <c r="AP246" s="383"/>
      <c r="AQ246" s="384"/>
      <c r="AR246" s="385"/>
      <c r="AS246" s="383"/>
      <c r="AT246" s="384"/>
      <c r="AU246" s="385"/>
      <c r="AV246" s="383"/>
      <c r="AW246" s="384"/>
      <c r="AX246" s="385"/>
      <c r="AY246" s="383"/>
      <c r="AZ246" s="384"/>
      <c r="BA246" s="385"/>
      <c r="BB246" s="386"/>
      <c r="BC246" s="387"/>
      <c r="BD246" s="388"/>
      <c r="BE246" s="386"/>
      <c r="BF246" s="387"/>
      <c r="BG246" s="388"/>
      <c r="BH246" s="386"/>
      <c r="BI246" s="387"/>
      <c r="BJ246" s="388"/>
      <c r="BK246" s="386"/>
      <c r="BL246" s="387"/>
      <c r="BM246" s="388"/>
      <c r="BN246" s="386"/>
      <c r="BO246" s="387"/>
      <c r="BP246" s="388"/>
      <c r="BQ246" s="386"/>
      <c r="BR246" s="387"/>
      <c r="BS246" s="388"/>
      <c r="BT246" s="386"/>
      <c r="BU246" s="387"/>
      <c r="BV246" s="388"/>
      <c r="BW246" s="386"/>
      <c r="BX246" s="387"/>
      <c r="BY246" s="388"/>
      <c r="BZ246" s="386"/>
      <c r="CA246" s="387"/>
      <c r="CB246" s="388"/>
      <c r="CC246" s="386"/>
      <c r="CD246" s="387"/>
      <c r="CE246" s="388"/>
      <c r="CF246" s="386"/>
      <c r="CG246" s="387"/>
      <c r="CH246" s="388"/>
      <c r="CI246" s="386"/>
      <c r="CJ246" s="387"/>
      <c r="CK246" s="388"/>
      <c r="CL246" s="386"/>
      <c r="CM246" s="387"/>
      <c r="CN246" s="388"/>
      <c r="CO246" s="386"/>
      <c r="CP246" s="387"/>
      <c r="CQ246" s="388"/>
      <c r="CR246" s="386"/>
      <c r="CS246" s="387"/>
      <c r="CT246" s="388"/>
      <c r="CU246" s="386"/>
      <c r="CV246" s="387"/>
      <c r="CW246" s="388"/>
      <c r="CX246" s="386"/>
      <c r="CY246" s="387"/>
      <c r="CZ246" s="388"/>
    </row>
    <row r="247">
      <c r="A247" s="1"/>
      <c r="B247" s="402"/>
      <c r="C247" s="362" t="str">
        <f>'5-0 Товары'!C247</f>
        <v/>
      </c>
      <c r="D247" s="363" t="str">
        <f>'5-0 Товары'!D247</f>
        <v/>
      </c>
      <c r="E247" s="364" t="str">
        <f>'5-0 Товары'!E247</f>
        <v/>
      </c>
      <c r="F247" s="380"/>
      <c r="G247" s="380"/>
      <c r="H247" s="364" t="str">
        <f>'5-0 Товары'!F247</f>
        <v/>
      </c>
      <c r="I247" s="391"/>
      <c r="J247" s="364" t="str">
        <f>'5-0 Товары'!G247</f>
        <v/>
      </c>
      <c r="K247" s="366" t="str">
        <f>'5-0 Товары'!H247</f>
        <v/>
      </c>
      <c r="L247" s="382" t="str">
        <f t="shared" si="1"/>
        <v/>
      </c>
      <c r="M247" s="382"/>
      <c r="N247" s="380"/>
      <c r="O247" s="369" t="str">
        <f>'5-0 Товары'!I247</f>
        <v/>
      </c>
      <c r="P247" s="371" t="str">
        <f>'5-0 Товары'!N247</f>
        <v/>
      </c>
      <c r="Q247" s="197"/>
      <c r="R247" s="193"/>
      <c r="S247" s="187"/>
      <c r="T247" s="187"/>
      <c r="U247" s="187"/>
      <c r="V247" s="187"/>
      <c r="W247" s="187"/>
      <c r="X247" s="187"/>
      <c r="Y247" s="187" t="s">
        <v>96</v>
      </c>
      <c r="Z247" s="193" t="str">
        <f t="shared" si="2"/>
        <v/>
      </c>
      <c r="AA247" s="383"/>
      <c r="AB247" s="384"/>
      <c r="AC247" s="385"/>
      <c r="AD247" s="383"/>
      <c r="AE247" s="384"/>
      <c r="AF247" s="385"/>
      <c r="AG247" s="383"/>
      <c r="AH247" s="384"/>
      <c r="AI247" s="385"/>
      <c r="AJ247" s="383"/>
      <c r="AK247" s="384"/>
      <c r="AL247" s="385"/>
      <c r="AM247" s="383"/>
      <c r="AN247" s="384"/>
      <c r="AO247" s="385"/>
      <c r="AP247" s="383"/>
      <c r="AQ247" s="384"/>
      <c r="AR247" s="385"/>
      <c r="AS247" s="383"/>
      <c r="AT247" s="384"/>
      <c r="AU247" s="385"/>
      <c r="AV247" s="383"/>
      <c r="AW247" s="384"/>
      <c r="AX247" s="385"/>
      <c r="AY247" s="383"/>
      <c r="AZ247" s="384"/>
      <c r="BA247" s="385"/>
      <c r="BB247" s="386"/>
      <c r="BC247" s="387"/>
      <c r="BD247" s="388"/>
      <c r="BE247" s="386"/>
      <c r="BF247" s="387"/>
      <c r="BG247" s="388"/>
      <c r="BH247" s="386"/>
      <c r="BI247" s="387"/>
      <c r="BJ247" s="388"/>
      <c r="BK247" s="386"/>
      <c r="BL247" s="387"/>
      <c r="BM247" s="388"/>
      <c r="BN247" s="386"/>
      <c r="BO247" s="387"/>
      <c r="BP247" s="388"/>
      <c r="BQ247" s="386"/>
      <c r="BR247" s="387"/>
      <c r="BS247" s="388"/>
      <c r="BT247" s="386"/>
      <c r="BU247" s="387"/>
      <c r="BV247" s="388"/>
      <c r="BW247" s="386"/>
      <c r="BX247" s="387"/>
      <c r="BY247" s="388"/>
      <c r="BZ247" s="386"/>
      <c r="CA247" s="387"/>
      <c r="CB247" s="388"/>
      <c r="CC247" s="386"/>
      <c r="CD247" s="387"/>
      <c r="CE247" s="388"/>
      <c r="CF247" s="386"/>
      <c r="CG247" s="387"/>
      <c r="CH247" s="388"/>
      <c r="CI247" s="386"/>
      <c r="CJ247" s="387"/>
      <c r="CK247" s="388"/>
      <c r="CL247" s="386"/>
      <c r="CM247" s="387"/>
      <c r="CN247" s="388"/>
      <c r="CO247" s="386"/>
      <c r="CP247" s="387"/>
      <c r="CQ247" s="388"/>
      <c r="CR247" s="386"/>
      <c r="CS247" s="387"/>
      <c r="CT247" s="388"/>
      <c r="CU247" s="386"/>
      <c r="CV247" s="387"/>
      <c r="CW247" s="388"/>
      <c r="CX247" s="386"/>
      <c r="CY247" s="387"/>
      <c r="CZ247" s="388"/>
    </row>
    <row r="248">
      <c r="A248" s="1"/>
      <c r="B248" s="402"/>
      <c r="C248" s="362" t="str">
        <f>'5-0 Товары'!C248</f>
        <v/>
      </c>
      <c r="D248" s="363" t="str">
        <f>'5-0 Товары'!D248</f>
        <v/>
      </c>
      <c r="E248" s="364" t="str">
        <f>'5-0 Товары'!E248</f>
        <v/>
      </c>
      <c r="F248" s="380"/>
      <c r="G248" s="380"/>
      <c r="H248" s="364" t="str">
        <f>'5-0 Товары'!F248</f>
        <v/>
      </c>
      <c r="I248" s="391"/>
      <c r="J248" s="364" t="str">
        <f>'5-0 Товары'!G248</f>
        <v/>
      </c>
      <c r="K248" s="366" t="str">
        <f>'5-0 Товары'!H248</f>
        <v/>
      </c>
      <c r="L248" s="382" t="str">
        <f t="shared" si="1"/>
        <v/>
      </c>
      <c r="M248" s="382"/>
      <c r="N248" s="380"/>
      <c r="O248" s="369" t="str">
        <f>'5-0 Товары'!I248</f>
        <v/>
      </c>
      <c r="P248" s="371" t="str">
        <f>'5-0 Товары'!N248</f>
        <v/>
      </c>
      <c r="Q248" s="197"/>
      <c r="R248" s="193"/>
      <c r="S248" s="187"/>
      <c r="T248" s="187"/>
      <c r="U248" s="187"/>
      <c r="V248" s="187"/>
      <c r="W248" s="187"/>
      <c r="X248" s="187"/>
      <c r="Y248" s="187" t="s">
        <v>96</v>
      </c>
      <c r="Z248" s="193" t="str">
        <f t="shared" si="2"/>
        <v/>
      </c>
      <c r="AA248" s="383"/>
      <c r="AB248" s="384"/>
      <c r="AC248" s="385"/>
      <c r="AD248" s="383"/>
      <c r="AE248" s="384"/>
      <c r="AF248" s="385"/>
      <c r="AG248" s="383"/>
      <c r="AH248" s="384"/>
      <c r="AI248" s="385"/>
      <c r="AJ248" s="383"/>
      <c r="AK248" s="384"/>
      <c r="AL248" s="385"/>
      <c r="AM248" s="383"/>
      <c r="AN248" s="384"/>
      <c r="AO248" s="385"/>
      <c r="AP248" s="383"/>
      <c r="AQ248" s="384"/>
      <c r="AR248" s="385"/>
      <c r="AS248" s="383"/>
      <c r="AT248" s="384"/>
      <c r="AU248" s="385"/>
      <c r="AV248" s="383"/>
      <c r="AW248" s="384"/>
      <c r="AX248" s="385"/>
      <c r="AY248" s="383"/>
      <c r="AZ248" s="384"/>
      <c r="BA248" s="385"/>
      <c r="BB248" s="386"/>
      <c r="BC248" s="387"/>
      <c r="BD248" s="388"/>
      <c r="BE248" s="386"/>
      <c r="BF248" s="387"/>
      <c r="BG248" s="388"/>
      <c r="BH248" s="386"/>
      <c r="BI248" s="387"/>
      <c r="BJ248" s="388"/>
      <c r="BK248" s="386"/>
      <c r="BL248" s="387"/>
      <c r="BM248" s="388"/>
      <c r="BN248" s="386"/>
      <c r="BO248" s="387"/>
      <c r="BP248" s="388"/>
      <c r="BQ248" s="386"/>
      <c r="BR248" s="387"/>
      <c r="BS248" s="388"/>
      <c r="BT248" s="386"/>
      <c r="BU248" s="387"/>
      <c r="BV248" s="388"/>
      <c r="BW248" s="386"/>
      <c r="BX248" s="387"/>
      <c r="BY248" s="388"/>
      <c r="BZ248" s="386"/>
      <c r="CA248" s="387"/>
      <c r="CB248" s="388"/>
      <c r="CC248" s="386"/>
      <c r="CD248" s="387"/>
      <c r="CE248" s="388"/>
      <c r="CF248" s="386"/>
      <c r="CG248" s="387"/>
      <c r="CH248" s="388"/>
      <c r="CI248" s="386"/>
      <c r="CJ248" s="387"/>
      <c r="CK248" s="388"/>
      <c r="CL248" s="386"/>
      <c r="CM248" s="387"/>
      <c r="CN248" s="388"/>
      <c r="CO248" s="386"/>
      <c r="CP248" s="387"/>
      <c r="CQ248" s="388"/>
      <c r="CR248" s="386"/>
      <c r="CS248" s="387"/>
      <c r="CT248" s="388"/>
      <c r="CU248" s="386"/>
      <c r="CV248" s="387"/>
      <c r="CW248" s="388"/>
      <c r="CX248" s="386"/>
      <c r="CY248" s="387"/>
      <c r="CZ248" s="388"/>
    </row>
    <row r="249">
      <c r="A249" s="1"/>
      <c r="B249" s="402"/>
      <c r="C249" s="362" t="str">
        <f>'5-0 Товары'!C249</f>
        <v/>
      </c>
      <c r="D249" s="363" t="str">
        <f>'5-0 Товары'!D249</f>
        <v/>
      </c>
      <c r="E249" s="364" t="str">
        <f>'5-0 Товары'!E249</f>
        <v/>
      </c>
      <c r="F249" s="380"/>
      <c r="G249" s="380"/>
      <c r="H249" s="364" t="str">
        <f>'5-0 Товары'!F249</f>
        <v/>
      </c>
      <c r="I249" s="391"/>
      <c r="J249" s="364" t="str">
        <f>'5-0 Товары'!G249</f>
        <v/>
      </c>
      <c r="K249" s="366" t="str">
        <f>'5-0 Товары'!H249</f>
        <v/>
      </c>
      <c r="L249" s="382" t="str">
        <f t="shared" si="1"/>
        <v/>
      </c>
      <c r="M249" s="382"/>
      <c r="N249" s="380"/>
      <c r="O249" s="369" t="str">
        <f>'5-0 Товары'!I249</f>
        <v/>
      </c>
      <c r="P249" s="371" t="str">
        <f>'5-0 Товары'!N249</f>
        <v/>
      </c>
      <c r="Q249" s="197"/>
      <c r="R249" s="193"/>
      <c r="S249" s="187"/>
      <c r="T249" s="187"/>
      <c r="U249" s="187"/>
      <c r="V249" s="187"/>
      <c r="W249" s="187"/>
      <c r="X249" s="187"/>
      <c r="Y249" s="187" t="s">
        <v>96</v>
      </c>
      <c r="Z249" s="193" t="str">
        <f t="shared" si="2"/>
        <v/>
      </c>
      <c r="AA249" s="383"/>
      <c r="AB249" s="384"/>
      <c r="AC249" s="385"/>
      <c r="AD249" s="383"/>
      <c r="AE249" s="384"/>
      <c r="AF249" s="385"/>
      <c r="AG249" s="383"/>
      <c r="AH249" s="384"/>
      <c r="AI249" s="385"/>
      <c r="AJ249" s="383"/>
      <c r="AK249" s="384"/>
      <c r="AL249" s="385"/>
      <c r="AM249" s="383"/>
      <c r="AN249" s="384"/>
      <c r="AO249" s="385"/>
      <c r="AP249" s="383"/>
      <c r="AQ249" s="384"/>
      <c r="AR249" s="385"/>
      <c r="AS249" s="383"/>
      <c r="AT249" s="384"/>
      <c r="AU249" s="385"/>
      <c r="AV249" s="383"/>
      <c r="AW249" s="384"/>
      <c r="AX249" s="385"/>
      <c r="AY249" s="383"/>
      <c r="AZ249" s="384"/>
      <c r="BA249" s="385"/>
      <c r="BB249" s="386"/>
      <c r="BC249" s="387"/>
      <c r="BD249" s="388"/>
      <c r="BE249" s="386"/>
      <c r="BF249" s="387"/>
      <c r="BG249" s="388"/>
      <c r="BH249" s="386"/>
      <c r="BI249" s="387"/>
      <c r="BJ249" s="388"/>
      <c r="BK249" s="386"/>
      <c r="BL249" s="387"/>
      <c r="BM249" s="388"/>
      <c r="BN249" s="386"/>
      <c r="BO249" s="387"/>
      <c r="BP249" s="388"/>
      <c r="BQ249" s="386"/>
      <c r="BR249" s="387"/>
      <c r="BS249" s="388"/>
      <c r="BT249" s="386"/>
      <c r="BU249" s="387"/>
      <c r="BV249" s="388"/>
      <c r="BW249" s="386"/>
      <c r="BX249" s="387"/>
      <c r="BY249" s="388"/>
      <c r="BZ249" s="386"/>
      <c r="CA249" s="387"/>
      <c r="CB249" s="388"/>
      <c r="CC249" s="386"/>
      <c r="CD249" s="387"/>
      <c r="CE249" s="388"/>
      <c r="CF249" s="386"/>
      <c r="CG249" s="387"/>
      <c r="CH249" s="388"/>
      <c r="CI249" s="386"/>
      <c r="CJ249" s="387"/>
      <c r="CK249" s="388"/>
      <c r="CL249" s="386"/>
      <c r="CM249" s="387"/>
      <c r="CN249" s="388"/>
      <c r="CO249" s="386"/>
      <c r="CP249" s="387"/>
      <c r="CQ249" s="388"/>
      <c r="CR249" s="386"/>
      <c r="CS249" s="387"/>
      <c r="CT249" s="388"/>
      <c r="CU249" s="386"/>
      <c r="CV249" s="387"/>
      <c r="CW249" s="388"/>
      <c r="CX249" s="386"/>
      <c r="CY249" s="387"/>
      <c r="CZ249" s="388"/>
    </row>
    <row r="250">
      <c r="A250" s="1"/>
      <c r="B250" s="402"/>
      <c r="C250" s="362" t="str">
        <f>'5-0 Товары'!C250</f>
        <v/>
      </c>
      <c r="D250" s="363" t="str">
        <f>'5-0 Товары'!D250</f>
        <v/>
      </c>
      <c r="E250" s="364" t="str">
        <f>'5-0 Товары'!E250</f>
        <v/>
      </c>
      <c r="F250" s="380"/>
      <c r="G250" s="380"/>
      <c r="H250" s="364" t="str">
        <f>'5-0 Товары'!F250</f>
        <v/>
      </c>
      <c r="I250" s="391"/>
      <c r="J250" s="364" t="str">
        <f>'5-0 Товары'!G250</f>
        <v/>
      </c>
      <c r="K250" s="366" t="str">
        <f>'5-0 Товары'!H250</f>
        <v/>
      </c>
      <c r="L250" s="382" t="str">
        <f t="shared" si="1"/>
        <v/>
      </c>
      <c r="M250" s="382"/>
      <c r="N250" s="380"/>
      <c r="O250" s="369" t="str">
        <f>'5-0 Товары'!I250</f>
        <v/>
      </c>
      <c r="P250" s="371" t="str">
        <f>'5-0 Товары'!N250</f>
        <v/>
      </c>
      <c r="Q250" s="197"/>
      <c r="R250" s="193"/>
      <c r="S250" s="187"/>
      <c r="T250" s="187"/>
      <c r="U250" s="187"/>
      <c r="V250" s="187"/>
      <c r="W250" s="187"/>
      <c r="X250" s="187"/>
      <c r="Y250" s="187" t="s">
        <v>96</v>
      </c>
      <c r="Z250" s="193" t="str">
        <f t="shared" si="2"/>
        <v/>
      </c>
      <c r="AA250" s="383"/>
      <c r="AB250" s="384"/>
      <c r="AC250" s="385"/>
      <c r="AD250" s="383"/>
      <c r="AE250" s="384"/>
      <c r="AF250" s="385"/>
      <c r="AG250" s="383"/>
      <c r="AH250" s="384"/>
      <c r="AI250" s="385"/>
      <c r="AJ250" s="383"/>
      <c r="AK250" s="384"/>
      <c r="AL250" s="385"/>
      <c r="AM250" s="383"/>
      <c r="AN250" s="384"/>
      <c r="AO250" s="385"/>
      <c r="AP250" s="383"/>
      <c r="AQ250" s="384"/>
      <c r="AR250" s="385"/>
      <c r="AS250" s="383"/>
      <c r="AT250" s="384"/>
      <c r="AU250" s="385"/>
      <c r="AV250" s="383"/>
      <c r="AW250" s="384"/>
      <c r="AX250" s="385"/>
      <c r="AY250" s="383"/>
      <c r="AZ250" s="384"/>
      <c r="BA250" s="385"/>
      <c r="BB250" s="386"/>
      <c r="BC250" s="387"/>
      <c r="BD250" s="388"/>
      <c r="BE250" s="386"/>
      <c r="BF250" s="387"/>
      <c r="BG250" s="388"/>
      <c r="BH250" s="386"/>
      <c r="BI250" s="387"/>
      <c r="BJ250" s="388"/>
      <c r="BK250" s="386"/>
      <c r="BL250" s="387"/>
      <c r="BM250" s="388"/>
      <c r="BN250" s="386"/>
      <c r="BO250" s="387"/>
      <c r="BP250" s="388"/>
      <c r="BQ250" s="386"/>
      <c r="BR250" s="387"/>
      <c r="BS250" s="388"/>
      <c r="BT250" s="386"/>
      <c r="BU250" s="387"/>
      <c r="BV250" s="388"/>
      <c r="BW250" s="386"/>
      <c r="BX250" s="387"/>
      <c r="BY250" s="388"/>
      <c r="BZ250" s="386"/>
      <c r="CA250" s="387"/>
      <c r="CB250" s="388"/>
      <c r="CC250" s="386"/>
      <c r="CD250" s="387"/>
      <c r="CE250" s="388"/>
      <c r="CF250" s="386"/>
      <c r="CG250" s="387"/>
      <c r="CH250" s="388"/>
      <c r="CI250" s="386"/>
      <c r="CJ250" s="387"/>
      <c r="CK250" s="388"/>
      <c r="CL250" s="386"/>
      <c r="CM250" s="387"/>
      <c r="CN250" s="388"/>
      <c r="CO250" s="386"/>
      <c r="CP250" s="387"/>
      <c r="CQ250" s="388"/>
      <c r="CR250" s="386"/>
      <c r="CS250" s="387"/>
      <c r="CT250" s="388"/>
      <c r="CU250" s="386"/>
      <c r="CV250" s="387"/>
      <c r="CW250" s="388"/>
      <c r="CX250" s="386"/>
      <c r="CY250" s="387"/>
      <c r="CZ250" s="388"/>
    </row>
    <row r="251">
      <c r="A251" s="1"/>
      <c r="B251" s="402"/>
      <c r="C251" s="362" t="str">
        <f>'5-0 Товары'!C251</f>
        <v/>
      </c>
      <c r="D251" s="363" t="str">
        <f>'5-0 Товары'!D251</f>
        <v/>
      </c>
      <c r="E251" s="364" t="str">
        <f>'5-0 Товары'!E251</f>
        <v/>
      </c>
      <c r="F251" s="380"/>
      <c r="G251" s="380"/>
      <c r="H251" s="364" t="str">
        <f>'5-0 Товары'!F251</f>
        <v/>
      </c>
      <c r="I251" s="391"/>
      <c r="J251" s="364" t="str">
        <f>'5-0 Товары'!G251</f>
        <v/>
      </c>
      <c r="K251" s="366" t="str">
        <f>'5-0 Товары'!H251</f>
        <v/>
      </c>
      <c r="L251" s="382" t="str">
        <f t="shared" si="1"/>
        <v/>
      </c>
      <c r="M251" s="382"/>
      <c r="N251" s="380"/>
      <c r="O251" s="369" t="str">
        <f>'5-0 Товары'!I251</f>
        <v/>
      </c>
      <c r="P251" s="371" t="str">
        <f>'5-0 Товары'!N251</f>
        <v/>
      </c>
      <c r="Q251" s="197"/>
      <c r="R251" s="193"/>
      <c r="S251" s="187"/>
      <c r="T251" s="187"/>
      <c r="U251" s="187"/>
      <c r="V251" s="187"/>
      <c r="W251" s="187"/>
      <c r="X251" s="187"/>
      <c r="Y251" s="187" t="s">
        <v>96</v>
      </c>
      <c r="Z251" s="193" t="str">
        <f t="shared" si="2"/>
        <v/>
      </c>
      <c r="AA251" s="383"/>
      <c r="AB251" s="384"/>
      <c r="AC251" s="385"/>
      <c r="AD251" s="383"/>
      <c r="AE251" s="384"/>
      <c r="AF251" s="385"/>
      <c r="AG251" s="383"/>
      <c r="AH251" s="384"/>
      <c r="AI251" s="385"/>
      <c r="AJ251" s="383"/>
      <c r="AK251" s="384"/>
      <c r="AL251" s="385"/>
      <c r="AM251" s="383"/>
      <c r="AN251" s="384"/>
      <c r="AO251" s="385"/>
      <c r="AP251" s="383"/>
      <c r="AQ251" s="384"/>
      <c r="AR251" s="385"/>
      <c r="AS251" s="383"/>
      <c r="AT251" s="384"/>
      <c r="AU251" s="385"/>
      <c r="AV251" s="383"/>
      <c r="AW251" s="384"/>
      <c r="AX251" s="385"/>
      <c r="AY251" s="383"/>
      <c r="AZ251" s="384"/>
      <c r="BA251" s="385"/>
      <c r="BB251" s="386"/>
      <c r="BC251" s="387"/>
      <c r="BD251" s="388"/>
      <c r="BE251" s="386"/>
      <c r="BF251" s="387"/>
      <c r="BG251" s="388"/>
      <c r="BH251" s="386"/>
      <c r="BI251" s="387"/>
      <c r="BJ251" s="388"/>
      <c r="BK251" s="386"/>
      <c r="BL251" s="387"/>
      <c r="BM251" s="388"/>
      <c r="BN251" s="386"/>
      <c r="BO251" s="387"/>
      <c r="BP251" s="388"/>
      <c r="BQ251" s="386"/>
      <c r="BR251" s="387"/>
      <c r="BS251" s="388"/>
      <c r="BT251" s="386"/>
      <c r="BU251" s="387"/>
      <c r="BV251" s="388"/>
      <c r="BW251" s="386"/>
      <c r="BX251" s="387"/>
      <c r="BY251" s="388"/>
      <c r="BZ251" s="386"/>
      <c r="CA251" s="387"/>
      <c r="CB251" s="388"/>
      <c r="CC251" s="386"/>
      <c r="CD251" s="387"/>
      <c r="CE251" s="388"/>
      <c r="CF251" s="386"/>
      <c r="CG251" s="387"/>
      <c r="CH251" s="388"/>
      <c r="CI251" s="386"/>
      <c r="CJ251" s="387"/>
      <c r="CK251" s="388"/>
      <c r="CL251" s="386"/>
      <c r="CM251" s="387"/>
      <c r="CN251" s="388"/>
      <c r="CO251" s="386"/>
      <c r="CP251" s="387"/>
      <c r="CQ251" s="388"/>
      <c r="CR251" s="386"/>
      <c r="CS251" s="387"/>
      <c r="CT251" s="388"/>
      <c r="CU251" s="386"/>
      <c r="CV251" s="387"/>
      <c r="CW251" s="388"/>
      <c r="CX251" s="386"/>
      <c r="CY251" s="387"/>
      <c r="CZ251" s="388"/>
    </row>
    <row r="252">
      <c r="A252" s="1"/>
      <c r="B252" s="402"/>
      <c r="C252" s="362" t="str">
        <f>'5-0 Товары'!C252</f>
        <v/>
      </c>
      <c r="D252" s="363" t="str">
        <f>'5-0 Товары'!D252</f>
        <v/>
      </c>
      <c r="E252" s="364" t="str">
        <f>'5-0 Товары'!E252</f>
        <v/>
      </c>
      <c r="F252" s="380"/>
      <c r="G252" s="380"/>
      <c r="H252" s="364" t="str">
        <f>'5-0 Товары'!F252</f>
        <v/>
      </c>
      <c r="I252" s="391"/>
      <c r="J252" s="364" t="str">
        <f>'5-0 Товары'!G252</f>
        <v/>
      </c>
      <c r="K252" s="366" t="str">
        <f>'5-0 Товары'!H252</f>
        <v/>
      </c>
      <c r="L252" s="382" t="str">
        <f t="shared" si="1"/>
        <v/>
      </c>
      <c r="M252" s="382"/>
      <c r="N252" s="380"/>
      <c r="O252" s="369" t="str">
        <f>'5-0 Товары'!I252</f>
        <v/>
      </c>
      <c r="P252" s="371" t="str">
        <f>'5-0 Товары'!N252</f>
        <v/>
      </c>
      <c r="Q252" s="197"/>
      <c r="R252" s="193"/>
      <c r="S252" s="187"/>
      <c r="T252" s="187"/>
      <c r="U252" s="187"/>
      <c r="V252" s="187"/>
      <c r="W252" s="187"/>
      <c r="X252" s="187"/>
      <c r="Y252" s="187" t="s">
        <v>96</v>
      </c>
      <c r="Z252" s="193" t="str">
        <f t="shared" si="2"/>
        <v/>
      </c>
      <c r="AA252" s="383"/>
      <c r="AB252" s="384"/>
      <c r="AC252" s="385"/>
      <c r="AD252" s="383"/>
      <c r="AE252" s="384"/>
      <c r="AF252" s="385"/>
      <c r="AG252" s="383"/>
      <c r="AH252" s="384"/>
      <c r="AI252" s="385"/>
      <c r="AJ252" s="383"/>
      <c r="AK252" s="384"/>
      <c r="AL252" s="385"/>
      <c r="AM252" s="383"/>
      <c r="AN252" s="384"/>
      <c r="AO252" s="385"/>
      <c r="AP252" s="383"/>
      <c r="AQ252" s="384"/>
      <c r="AR252" s="385"/>
      <c r="AS252" s="383"/>
      <c r="AT252" s="384"/>
      <c r="AU252" s="385"/>
      <c r="AV252" s="383"/>
      <c r="AW252" s="384"/>
      <c r="AX252" s="385"/>
      <c r="AY252" s="383"/>
      <c r="AZ252" s="384"/>
      <c r="BA252" s="385"/>
      <c r="BB252" s="386"/>
      <c r="BC252" s="387"/>
      <c r="BD252" s="388"/>
      <c r="BE252" s="386"/>
      <c r="BF252" s="387"/>
      <c r="BG252" s="388"/>
      <c r="BH252" s="386"/>
      <c r="BI252" s="387"/>
      <c r="BJ252" s="388"/>
      <c r="BK252" s="386"/>
      <c r="BL252" s="387"/>
      <c r="BM252" s="388"/>
      <c r="BN252" s="386"/>
      <c r="BO252" s="387"/>
      <c r="BP252" s="388"/>
      <c r="BQ252" s="386"/>
      <c r="BR252" s="387"/>
      <c r="BS252" s="388"/>
      <c r="BT252" s="386"/>
      <c r="BU252" s="387"/>
      <c r="BV252" s="388"/>
      <c r="BW252" s="386"/>
      <c r="BX252" s="387"/>
      <c r="BY252" s="388"/>
      <c r="BZ252" s="386"/>
      <c r="CA252" s="387"/>
      <c r="CB252" s="388"/>
      <c r="CC252" s="386"/>
      <c r="CD252" s="387"/>
      <c r="CE252" s="388"/>
      <c r="CF252" s="386"/>
      <c r="CG252" s="387"/>
      <c r="CH252" s="388"/>
      <c r="CI252" s="386"/>
      <c r="CJ252" s="387"/>
      <c r="CK252" s="388"/>
      <c r="CL252" s="386"/>
      <c r="CM252" s="387"/>
      <c r="CN252" s="388"/>
      <c r="CO252" s="386"/>
      <c r="CP252" s="387"/>
      <c r="CQ252" s="388"/>
      <c r="CR252" s="386"/>
      <c r="CS252" s="387"/>
      <c r="CT252" s="388"/>
      <c r="CU252" s="386"/>
      <c r="CV252" s="387"/>
      <c r="CW252" s="388"/>
      <c r="CX252" s="386"/>
      <c r="CY252" s="387"/>
      <c r="CZ252" s="388"/>
    </row>
    <row r="253">
      <c r="A253" s="1"/>
      <c r="B253" s="402"/>
      <c r="C253" s="362" t="str">
        <f>'5-0 Товары'!C253</f>
        <v/>
      </c>
      <c r="D253" s="363" t="str">
        <f>'5-0 Товары'!D253</f>
        <v/>
      </c>
      <c r="E253" s="364" t="str">
        <f>'5-0 Товары'!E253</f>
        <v/>
      </c>
      <c r="F253" s="380"/>
      <c r="G253" s="380"/>
      <c r="H253" s="364" t="str">
        <f>'5-0 Товары'!F253</f>
        <v/>
      </c>
      <c r="I253" s="391"/>
      <c r="J253" s="364" t="str">
        <f>'5-0 Товары'!G253</f>
        <v/>
      </c>
      <c r="K253" s="366" t="str">
        <f>'5-0 Товары'!H253</f>
        <v/>
      </c>
      <c r="L253" s="382" t="str">
        <f t="shared" si="1"/>
        <v/>
      </c>
      <c r="M253" s="382"/>
      <c r="N253" s="380"/>
      <c r="O253" s="369" t="str">
        <f>'5-0 Товары'!I253</f>
        <v/>
      </c>
      <c r="P253" s="371" t="str">
        <f>'5-0 Товары'!N253</f>
        <v/>
      </c>
      <c r="Q253" s="197"/>
      <c r="R253" s="193"/>
      <c r="S253" s="187"/>
      <c r="T253" s="187"/>
      <c r="U253" s="187"/>
      <c r="V253" s="187"/>
      <c r="W253" s="187"/>
      <c r="X253" s="187"/>
      <c r="Y253" s="187" t="s">
        <v>96</v>
      </c>
      <c r="Z253" s="193" t="str">
        <f t="shared" si="2"/>
        <v/>
      </c>
      <c r="AA253" s="383"/>
      <c r="AB253" s="384"/>
      <c r="AC253" s="385"/>
      <c r="AD253" s="383"/>
      <c r="AE253" s="384"/>
      <c r="AF253" s="385"/>
      <c r="AG253" s="383"/>
      <c r="AH253" s="384"/>
      <c r="AI253" s="385"/>
      <c r="AJ253" s="383"/>
      <c r="AK253" s="384"/>
      <c r="AL253" s="385"/>
      <c r="AM253" s="383"/>
      <c r="AN253" s="384"/>
      <c r="AO253" s="385"/>
      <c r="AP253" s="383"/>
      <c r="AQ253" s="384"/>
      <c r="AR253" s="385"/>
      <c r="AS253" s="383"/>
      <c r="AT253" s="384"/>
      <c r="AU253" s="385"/>
      <c r="AV253" s="383"/>
      <c r="AW253" s="384"/>
      <c r="AX253" s="385"/>
      <c r="AY253" s="383"/>
      <c r="AZ253" s="384"/>
      <c r="BA253" s="385"/>
      <c r="BB253" s="386"/>
      <c r="BC253" s="387"/>
      <c r="BD253" s="388"/>
      <c r="BE253" s="386"/>
      <c r="BF253" s="387"/>
      <c r="BG253" s="388"/>
      <c r="BH253" s="386"/>
      <c r="BI253" s="387"/>
      <c r="BJ253" s="388"/>
      <c r="BK253" s="386"/>
      <c r="BL253" s="387"/>
      <c r="BM253" s="388"/>
      <c r="BN253" s="386"/>
      <c r="BO253" s="387"/>
      <c r="BP253" s="388"/>
      <c r="BQ253" s="386"/>
      <c r="BR253" s="387"/>
      <c r="BS253" s="388"/>
      <c r="BT253" s="386"/>
      <c r="BU253" s="387"/>
      <c r="BV253" s="388"/>
      <c r="BW253" s="386"/>
      <c r="BX253" s="387"/>
      <c r="BY253" s="388"/>
      <c r="BZ253" s="386"/>
      <c r="CA253" s="387"/>
      <c r="CB253" s="388"/>
      <c r="CC253" s="386"/>
      <c r="CD253" s="387"/>
      <c r="CE253" s="388"/>
      <c r="CF253" s="386"/>
      <c r="CG253" s="387"/>
      <c r="CH253" s="388"/>
      <c r="CI253" s="386"/>
      <c r="CJ253" s="387"/>
      <c r="CK253" s="388"/>
      <c r="CL253" s="386"/>
      <c r="CM253" s="387"/>
      <c r="CN253" s="388"/>
      <c r="CO253" s="386"/>
      <c r="CP253" s="387"/>
      <c r="CQ253" s="388"/>
      <c r="CR253" s="386"/>
      <c r="CS253" s="387"/>
      <c r="CT253" s="388"/>
      <c r="CU253" s="386"/>
      <c r="CV253" s="387"/>
      <c r="CW253" s="388"/>
      <c r="CX253" s="386"/>
      <c r="CY253" s="387"/>
      <c r="CZ253" s="388"/>
    </row>
    <row r="254">
      <c r="A254" s="1"/>
      <c r="B254" s="402"/>
      <c r="C254" s="362" t="str">
        <f>'5-0 Товары'!C254</f>
        <v/>
      </c>
      <c r="D254" s="363" t="str">
        <f>'5-0 Товары'!D254</f>
        <v/>
      </c>
      <c r="E254" s="364" t="str">
        <f>'5-0 Товары'!E254</f>
        <v/>
      </c>
      <c r="F254" s="380"/>
      <c r="G254" s="380"/>
      <c r="H254" s="364" t="str">
        <f>'5-0 Товары'!F254</f>
        <v/>
      </c>
      <c r="I254" s="391"/>
      <c r="J254" s="364" t="str">
        <f>'5-0 Товары'!G254</f>
        <v/>
      </c>
      <c r="K254" s="366" t="str">
        <f>'5-0 Товары'!H254</f>
        <v/>
      </c>
      <c r="L254" s="382" t="str">
        <f t="shared" si="1"/>
        <v/>
      </c>
      <c r="M254" s="382"/>
      <c r="N254" s="380"/>
      <c r="O254" s="369" t="str">
        <f>'5-0 Товары'!I254</f>
        <v/>
      </c>
      <c r="P254" s="371" t="str">
        <f>'5-0 Товары'!N254</f>
        <v/>
      </c>
      <c r="Q254" s="197"/>
      <c r="R254" s="193"/>
      <c r="S254" s="187"/>
      <c r="T254" s="187"/>
      <c r="U254" s="187"/>
      <c r="V254" s="187"/>
      <c r="W254" s="187"/>
      <c r="X254" s="187"/>
      <c r="Y254" s="187" t="s">
        <v>96</v>
      </c>
      <c r="Z254" s="193" t="str">
        <f t="shared" si="2"/>
        <v/>
      </c>
      <c r="AA254" s="383"/>
      <c r="AB254" s="384"/>
      <c r="AC254" s="385"/>
      <c r="AD254" s="383"/>
      <c r="AE254" s="384"/>
      <c r="AF254" s="385"/>
      <c r="AG254" s="383"/>
      <c r="AH254" s="384"/>
      <c r="AI254" s="385"/>
      <c r="AJ254" s="383"/>
      <c r="AK254" s="384"/>
      <c r="AL254" s="385"/>
      <c r="AM254" s="383"/>
      <c r="AN254" s="384"/>
      <c r="AO254" s="385"/>
      <c r="AP254" s="383"/>
      <c r="AQ254" s="384"/>
      <c r="AR254" s="385"/>
      <c r="AS254" s="383"/>
      <c r="AT254" s="384"/>
      <c r="AU254" s="385"/>
      <c r="AV254" s="383"/>
      <c r="AW254" s="384"/>
      <c r="AX254" s="385"/>
      <c r="AY254" s="383"/>
      <c r="AZ254" s="384"/>
      <c r="BA254" s="385"/>
      <c r="BB254" s="386"/>
      <c r="BC254" s="387"/>
      <c r="BD254" s="388"/>
      <c r="BE254" s="386"/>
      <c r="BF254" s="387"/>
      <c r="BG254" s="388"/>
      <c r="BH254" s="386"/>
      <c r="BI254" s="387"/>
      <c r="BJ254" s="388"/>
      <c r="BK254" s="386"/>
      <c r="BL254" s="387"/>
      <c r="BM254" s="388"/>
      <c r="BN254" s="386"/>
      <c r="BO254" s="387"/>
      <c r="BP254" s="388"/>
      <c r="BQ254" s="386"/>
      <c r="BR254" s="387"/>
      <c r="BS254" s="388"/>
      <c r="BT254" s="386"/>
      <c r="BU254" s="387"/>
      <c r="BV254" s="388"/>
      <c r="BW254" s="386"/>
      <c r="BX254" s="387"/>
      <c r="BY254" s="388"/>
      <c r="BZ254" s="386"/>
      <c r="CA254" s="387"/>
      <c r="CB254" s="388"/>
      <c r="CC254" s="386"/>
      <c r="CD254" s="387"/>
      <c r="CE254" s="388"/>
      <c r="CF254" s="386"/>
      <c r="CG254" s="387"/>
      <c r="CH254" s="388"/>
      <c r="CI254" s="386"/>
      <c r="CJ254" s="387"/>
      <c r="CK254" s="388"/>
      <c r="CL254" s="386"/>
      <c r="CM254" s="387"/>
      <c r="CN254" s="388"/>
      <c r="CO254" s="386"/>
      <c r="CP254" s="387"/>
      <c r="CQ254" s="388"/>
      <c r="CR254" s="386"/>
      <c r="CS254" s="387"/>
      <c r="CT254" s="388"/>
      <c r="CU254" s="386"/>
      <c r="CV254" s="387"/>
      <c r="CW254" s="388"/>
      <c r="CX254" s="386"/>
      <c r="CY254" s="387"/>
      <c r="CZ254" s="388"/>
    </row>
    <row r="255">
      <c r="A255" s="1"/>
      <c r="B255" s="402"/>
      <c r="C255" s="362" t="str">
        <f>'5-0 Товары'!C255</f>
        <v/>
      </c>
      <c r="D255" s="363" t="str">
        <f>'5-0 Товары'!D255</f>
        <v/>
      </c>
      <c r="E255" s="364" t="str">
        <f>'5-0 Товары'!E255</f>
        <v/>
      </c>
      <c r="F255" s="380"/>
      <c r="G255" s="380"/>
      <c r="H255" s="364" t="str">
        <f>'5-0 Товары'!F255</f>
        <v/>
      </c>
      <c r="I255" s="391"/>
      <c r="J255" s="364" t="str">
        <f>'5-0 Товары'!G255</f>
        <v/>
      </c>
      <c r="K255" s="366" t="str">
        <f>'5-0 Товары'!H255</f>
        <v/>
      </c>
      <c r="L255" s="382" t="str">
        <f t="shared" si="1"/>
        <v/>
      </c>
      <c r="M255" s="382"/>
      <c r="N255" s="380"/>
      <c r="O255" s="369" t="str">
        <f>'5-0 Товары'!I255</f>
        <v/>
      </c>
      <c r="P255" s="371" t="str">
        <f>'5-0 Товары'!N255</f>
        <v/>
      </c>
      <c r="Q255" s="197"/>
      <c r="R255" s="193"/>
      <c r="S255" s="187"/>
      <c r="T255" s="187"/>
      <c r="U255" s="187"/>
      <c r="V255" s="187"/>
      <c r="W255" s="187"/>
      <c r="X255" s="187"/>
      <c r="Y255" s="187" t="s">
        <v>96</v>
      </c>
      <c r="Z255" s="193" t="str">
        <f t="shared" si="2"/>
        <v/>
      </c>
      <c r="AA255" s="383"/>
      <c r="AB255" s="384"/>
      <c r="AC255" s="385"/>
      <c r="AD255" s="383"/>
      <c r="AE255" s="384"/>
      <c r="AF255" s="385"/>
      <c r="AG255" s="383"/>
      <c r="AH255" s="384"/>
      <c r="AI255" s="385"/>
      <c r="AJ255" s="383"/>
      <c r="AK255" s="384"/>
      <c r="AL255" s="385"/>
      <c r="AM255" s="383"/>
      <c r="AN255" s="384"/>
      <c r="AO255" s="385"/>
      <c r="AP255" s="383"/>
      <c r="AQ255" s="384"/>
      <c r="AR255" s="385"/>
      <c r="AS255" s="383"/>
      <c r="AT255" s="384"/>
      <c r="AU255" s="385"/>
      <c r="AV255" s="383"/>
      <c r="AW255" s="384"/>
      <c r="AX255" s="385"/>
      <c r="AY255" s="383"/>
      <c r="AZ255" s="384"/>
      <c r="BA255" s="385"/>
      <c r="BB255" s="386"/>
      <c r="BC255" s="387"/>
      <c r="BD255" s="388"/>
      <c r="BE255" s="386"/>
      <c r="BF255" s="387"/>
      <c r="BG255" s="388"/>
      <c r="BH255" s="386"/>
      <c r="BI255" s="387"/>
      <c r="BJ255" s="388"/>
      <c r="BK255" s="386"/>
      <c r="BL255" s="387"/>
      <c r="BM255" s="388"/>
      <c r="BN255" s="386"/>
      <c r="BO255" s="387"/>
      <c r="BP255" s="388"/>
      <c r="BQ255" s="386"/>
      <c r="BR255" s="387"/>
      <c r="BS255" s="388"/>
      <c r="BT255" s="386"/>
      <c r="BU255" s="387"/>
      <c r="BV255" s="388"/>
      <c r="BW255" s="386"/>
      <c r="BX255" s="387"/>
      <c r="BY255" s="388"/>
      <c r="BZ255" s="386"/>
      <c r="CA255" s="387"/>
      <c r="CB255" s="388"/>
      <c r="CC255" s="386"/>
      <c r="CD255" s="387"/>
      <c r="CE255" s="388"/>
      <c r="CF255" s="386"/>
      <c r="CG255" s="387"/>
      <c r="CH255" s="388"/>
      <c r="CI255" s="386"/>
      <c r="CJ255" s="387"/>
      <c r="CK255" s="388"/>
      <c r="CL255" s="386"/>
      <c r="CM255" s="387"/>
      <c r="CN255" s="388"/>
      <c r="CO255" s="386"/>
      <c r="CP255" s="387"/>
      <c r="CQ255" s="388"/>
      <c r="CR255" s="386"/>
      <c r="CS255" s="387"/>
      <c r="CT255" s="388"/>
      <c r="CU255" s="386"/>
      <c r="CV255" s="387"/>
      <c r="CW255" s="388"/>
      <c r="CX255" s="386"/>
      <c r="CY255" s="387"/>
      <c r="CZ255" s="388"/>
    </row>
    <row r="256">
      <c r="A256" s="1"/>
      <c r="B256" s="402"/>
      <c r="C256" s="362" t="str">
        <f>'5-0 Товары'!C256</f>
        <v/>
      </c>
      <c r="D256" s="363" t="str">
        <f>'5-0 Товары'!D256</f>
        <v/>
      </c>
      <c r="E256" s="364" t="str">
        <f>'5-0 Товары'!E256</f>
        <v/>
      </c>
      <c r="F256" s="380"/>
      <c r="G256" s="380"/>
      <c r="H256" s="364" t="str">
        <f>'5-0 Товары'!F256</f>
        <v/>
      </c>
      <c r="I256" s="391"/>
      <c r="J256" s="364" t="str">
        <f>'5-0 Товары'!G256</f>
        <v/>
      </c>
      <c r="K256" s="366" t="str">
        <f>'5-0 Товары'!H256</f>
        <v/>
      </c>
      <c r="L256" s="382" t="str">
        <f t="shared" si="1"/>
        <v/>
      </c>
      <c r="M256" s="382"/>
      <c r="N256" s="380"/>
      <c r="O256" s="369" t="str">
        <f>'5-0 Товары'!I256</f>
        <v/>
      </c>
      <c r="P256" s="371" t="str">
        <f>'5-0 Товары'!N256</f>
        <v/>
      </c>
      <c r="Q256" s="197"/>
      <c r="R256" s="193"/>
      <c r="S256" s="187"/>
      <c r="T256" s="187"/>
      <c r="U256" s="187"/>
      <c r="V256" s="187"/>
      <c r="W256" s="187"/>
      <c r="X256" s="187"/>
      <c r="Y256" s="187" t="s">
        <v>96</v>
      </c>
      <c r="Z256" s="193" t="str">
        <f t="shared" si="2"/>
        <v/>
      </c>
      <c r="AA256" s="383"/>
      <c r="AB256" s="384"/>
      <c r="AC256" s="385"/>
      <c r="AD256" s="383"/>
      <c r="AE256" s="384"/>
      <c r="AF256" s="385"/>
      <c r="AG256" s="383"/>
      <c r="AH256" s="384"/>
      <c r="AI256" s="385"/>
      <c r="AJ256" s="383"/>
      <c r="AK256" s="384"/>
      <c r="AL256" s="385"/>
      <c r="AM256" s="383"/>
      <c r="AN256" s="384"/>
      <c r="AO256" s="385"/>
      <c r="AP256" s="383"/>
      <c r="AQ256" s="384"/>
      <c r="AR256" s="385"/>
      <c r="AS256" s="383"/>
      <c r="AT256" s="384"/>
      <c r="AU256" s="385"/>
      <c r="AV256" s="383"/>
      <c r="AW256" s="384"/>
      <c r="AX256" s="385"/>
      <c r="AY256" s="383"/>
      <c r="AZ256" s="384"/>
      <c r="BA256" s="385"/>
      <c r="BB256" s="386"/>
      <c r="BC256" s="387"/>
      <c r="BD256" s="388"/>
      <c r="BE256" s="386"/>
      <c r="BF256" s="387"/>
      <c r="BG256" s="388"/>
      <c r="BH256" s="386"/>
      <c r="BI256" s="387"/>
      <c r="BJ256" s="388"/>
      <c r="BK256" s="386"/>
      <c r="BL256" s="387"/>
      <c r="BM256" s="388"/>
      <c r="BN256" s="386"/>
      <c r="BO256" s="387"/>
      <c r="BP256" s="388"/>
      <c r="BQ256" s="386"/>
      <c r="BR256" s="387"/>
      <c r="BS256" s="388"/>
      <c r="BT256" s="386"/>
      <c r="BU256" s="387"/>
      <c r="BV256" s="388"/>
      <c r="BW256" s="386"/>
      <c r="BX256" s="387"/>
      <c r="BY256" s="388"/>
      <c r="BZ256" s="386"/>
      <c r="CA256" s="387"/>
      <c r="CB256" s="388"/>
      <c r="CC256" s="386"/>
      <c r="CD256" s="387"/>
      <c r="CE256" s="388"/>
      <c r="CF256" s="386"/>
      <c r="CG256" s="387"/>
      <c r="CH256" s="388"/>
      <c r="CI256" s="386"/>
      <c r="CJ256" s="387"/>
      <c r="CK256" s="388"/>
      <c r="CL256" s="386"/>
      <c r="CM256" s="387"/>
      <c r="CN256" s="388"/>
      <c r="CO256" s="386"/>
      <c r="CP256" s="387"/>
      <c r="CQ256" s="388"/>
      <c r="CR256" s="386"/>
      <c r="CS256" s="387"/>
      <c r="CT256" s="388"/>
      <c r="CU256" s="386"/>
      <c r="CV256" s="387"/>
      <c r="CW256" s="388"/>
      <c r="CX256" s="386"/>
      <c r="CY256" s="387"/>
      <c r="CZ256" s="388"/>
    </row>
    <row r="257">
      <c r="A257" s="1"/>
      <c r="B257" s="402"/>
      <c r="C257" s="362" t="str">
        <f>'5-0 Товары'!C257</f>
        <v/>
      </c>
      <c r="D257" s="363" t="str">
        <f>'5-0 Товары'!D257</f>
        <v/>
      </c>
      <c r="E257" s="364" t="str">
        <f>'5-0 Товары'!E257</f>
        <v/>
      </c>
      <c r="F257" s="380"/>
      <c r="G257" s="380"/>
      <c r="H257" s="364" t="str">
        <f>'5-0 Товары'!F257</f>
        <v/>
      </c>
      <c r="I257" s="391"/>
      <c r="J257" s="364" t="str">
        <f>'5-0 Товары'!G257</f>
        <v/>
      </c>
      <c r="K257" s="366" t="str">
        <f>'5-0 Товары'!H257</f>
        <v/>
      </c>
      <c r="L257" s="382" t="str">
        <f t="shared" si="1"/>
        <v/>
      </c>
      <c r="M257" s="382"/>
      <c r="N257" s="380"/>
      <c r="O257" s="369" t="str">
        <f>'5-0 Товары'!I257</f>
        <v/>
      </c>
      <c r="P257" s="371" t="str">
        <f>'5-0 Товары'!N257</f>
        <v/>
      </c>
      <c r="Q257" s="197"/>
      <c r="R257" s="193"/>
      <c r="S257" s="187"/>
      <c r="T257" s="187"/>
      <c r="U257" s="187"/>
      <c r="V257" s="187"/>
      <c r="W257" s="187"/>
      <c r="X257" s="187"/>
      <c r="Y257" s="187" t="s">
        <v>96</v>
      </c>
      <c r="Z257" s="193" t="str">
        <f t="shared" si="2"/>
        <v/>
      </c>
      <c r="AA257" s="383"/>
      <c r="AB257" s="384"/>
      <c r="AC257" s="385"/>
      <c r="AD257" s="383"/>
      <c r="AE257" s="384"/>
      <c r="AF257" s="385"/>
      <c r="AG257" s="383"/>
      <c r="AH257" s="384"/>
      <c r="AI257" s="385"/>
      <c r="AJ257" s="383"/>
      <c r="AK257" s="384"/>
      <c r="AL257" s="385"/>
      <c r="AM257" s="383"/>
      <c r="AN257" s="384"/>
      <c r="AO257" s="385"/>
      <c r="AP257" s="383"/>
      <c r="AQ257" s="384"/>
      <c r="AR257" s="385"/>
      <c r="AS257" s="383"/>
      <c r="AT257" s="384"/>
      <c r="AU257" s="385"/>
      <c r="AV257" s="383"/>
      <c r="AW257" s="384"/>
      <c r="AX257" s="385"/>
      <c r="AY257" s="383"/>
      <c r="AZ257" s="384"/>
      <c r="BA257" s="385"/>
      <c r="BB257" s="386"/>
      <c r="BC257" s="387"/>
      <c r="BD257" s="388"/>
      <c r="BE257" s="386"/>
      <c r="BF257" s="387"/>
      <c r="BG257" s="388"/>
      <c r="BH257" s="386"/>
      <c r="BI257" s="387"/>
      <c r="BJ257" s="388"/>
      <c r="BK257" s="386"/>
      <c r="BL257" s="387"/>
      <c r="BM257" s="388"/>
      <c r="BN257" s="386"/>
      <c r="BO257" s="387"/>
      <c r="BP257" s="388"/>
      <c r="BQ257" s="386"/>
      <c r="BR257" s="387"/>
      <c r="BS257" s="388"/>
      <c r="BT257" s="386"/>
      <c r="BU257" s="387"/>
      <c r="BV257" s="388"/>
      <c r="BW257" s="386"/>
      <c r="BX257" s="387"/>
      <c r="BY257" s="388"/>
      <c r="BZ257" s="386"/>
      <c r="CA257" s="387"/>
      <c r="CB257" s="388"/>
      <c r="CC257" s="386"/>
      <c r="CD257" s="387"/>
      <c r="CE257" s="388"/>
      <c r="CF257" s="386"/>
      <c r="CG257" s="387"/>
      <c r="CH257" s="388"/>
      <c r="CI257" s="386"/>
      <c r="CJ257" s="387"/>
      <c r="CK257" s="388"/>
      <c r="CL257" s="386"/>
      <c r="CM257" s="387"/>
      <c r="CN257" s="388"/>
      <c r="CO257" s="386"/>
      <c r="CP257" s="387"/>
      <c r="CQ257" s="388"/>
      <c r="CR257" s="386"/>
      <c r="CS257" s="387"/>
      <c r="CT257" s="388"/>
      <c r="CU257" s="386"/>
      <c r="CV257" s="387"/>
      <c r="CW257" s="388"/>
      <c r="CX257" s="386"/>
      <c r="CY257" s="387"/>
      <c r="CZ257" s="388"/>
    </row>
    <row r="258">
      <c r="A258" s="1"/>
      <c r="B258" s="402"/>
      <c r="C258" s="362" t="str">
        <f>'5-0 Товары'!C258</f>
        <v/>
      </c>
      <c r="D258" s="363" t="str">
        <f>'5-0 Товары'!D258</f>
        <v/>
      </c>
      <c r="E258" s="364" t="str">
        <f>'5-0 Товары'!E258</f>
        <v/>
      </c>
      <c r="F258" s="380"/>
      <c r="G258" s="380"/>
      <c r="H258" s="364" t="str">
        <f>'5-0 Товары'!F258</f>
        <v/>
      </c>
      <c r="I258" s="391"/>
      <c r="J258" s="364" t="str">
        <f>'5-0 Товары'!G258</f>
        <v/>
      </c>
      <c r="K258" s="366" t="str">
        <f>'5-0 Товары'!H258</f>
        <v/>
      </c>
      <c r="L258" s="382" t="str">
        <f t="shared" si="1"/>
        <v/>
      </c>
      <c r="M258" s="382"/>
      <c r="N258" s="380"/>
      <c r="O258" s="369" t="str">
        <f>'5-0 Товары'!I258</f>
        <v/>
      </c>
      <c r="P258" s="371" t="str">
        <f>'5-0 Товары'!N258</f>
        <v/>
      </c>
      <c r="Q258" s="197"/>
      <c r="R258" s="193"/>
      <c r="S258" s="187"/>
      <c r="T258" s="187"/>
      <c r="U258" s="187"/>
      <c r="V258" s="187"/>
      <c r="W258" s="187"/>
      <c r="X258" s="187"/>
      <c r="Y258" s="187" t="s">
        <v>96</v>
      </c>
      <c r="Z258" s="193" t="str">
        <f t="shared" si="2"/>
        <v/>
      </c>
      <c r="AA258" s="383"/>
      <c r="AB258" s="384"/>
      <c r="AC258" s="385"/>
      <c r="AD258" s="383"/>
      <c r="AE258" s="384"/>
      <c r="AF258" s="385"/>
      <c r="AG258" s="383"/>
      <c r="AH258" s="384"/>
      <c r="AI258" s="385"/>
      <c r="AJ258" s="383"/>
      <c r="AK258" s="384"/>
      <c r="AL258" s="385"/>
      <c r="AM258" s="383"/>
      <c r="AN258" s="384"/>
      <c r="AO258" s="385"/>
      <c r="AP258" s="383"/>
      <c r="AQ258" s="384"/>
      <c r="AR258" s="385"/>
      <c r="AS258" s="383"/>
      <c r="AT258" s="384"/>
      <c r="AU258" s="385"/>
      <c r="AV258" s="383"/>
      <c r="AW258" s="384"/>
      <c r="AX258" s="385"/>
      <c r="AY258" s="383"/>
      <c r="AZ258" s="384"/>
      <c r="BA258" s="385"/>
      <c r="BB258" s="386"/>
      <c r="BC258" s="387"/>
      <c r="BD258" s="388"/>
      <c r="BE258" s="386"/>
      <c r="BF258" s="387"/>
      <c r="BG258" s="388"/>
      <c r="BH258" s="386"/>
      <c r="BI258" s="387"/>
      <c r="BJ258" s="388"/>
      <c r="BK258" s="386"/>
      <c r="BL258" s="387"/>
      <c r="BM258" s="388"/>
      <c r="BN258" s="386"/>
      <c r="BO258" s="387"/>
      <c r="BP258" s="388"/>
      <c r="BQ258" s="386"/>
      <c r="BR258" s="387"/>
      <c r="BS258" s="388"/>
      <c r="BT258" s="386"/>
      <c r="BU258" s="387"/>
      <c r="BV258" s="388"/>
      <c r="BW258" s="386"/>
      <c r="BX258" s="387"/>
      <c r="BY258" s="388"/>
      <c r="BZ258" s="386"/>
      <c r="CA258" s="387"/>
      <c r="CB258" s="388"/>
      <c r="CC258" s="386"/>
      <c r="CD258" s="387"/>
      <c r="CE258" s="388"/>
      <c r="CF258" s="386"/>
      <c r="CG258" s="387"/>
      <c r="CH258" s="388"/>
      <c r="CI258" s="386"/>
      <c r="CJ258" s="387"/>
      <c r="CK258" s="388"/>
      <c r="CL258" s="386"/>
      <c r="CM258" s="387"/>
      <c r="CN258" s="388"/>
      <c r="CO258" s="386"/>
      <c r="CP258" s="387"/>
      <c r="CQ258" s="388"/>
      <c r="CR258" s="386"/>
      <c r="CS258" s="387"/>
      <c r="CT258" s="388"/>
      <c r="CU258" s="386"/>
      <c r="CV258" s="387"/>
      <c r="CW258" s="388"/>
      <c r="CX258" s="386"/>
      <c r="CY258" s="387"/>
      <c r="CZ258" s="388"/>
    </row>
    <row r="259">
      <c r="A259" s="1"/>
      <c r="B259" s="402"/>
      <c r="C259" s="362" t="str">
        <f>'5-0 Товары'!C259</f>
        <v/>
      </c>
      <c r="D259" s="363" t="str">
        <f>'5-0 Товары'!D259</f>
        <v/>
      </c>
      <c r="E259" s="364" t="str">
        <f>'5-0 Товары'!E259</f>
        <v/>
      </c>
      <c r="F259" s="380"/>
      <c r="G259" s="380"/>
      <c r="H259" s="364" t="str">
        <f>'5-0 Товары'!F259</f>
        <v/>
      </c>
      <c r="I259" s="391"/>
      <c r="J259" s="364" t="str">
        <f>'5-0 Товары'!G259</f>
        <v/>
      </c>
      <c r="K259" s="366" t="str">
        <f>'5-0 Товары'!H259</f>
        <v/>
      </c>
      <c r="L259" s="382" t="str">
        <f t="shared" si="1"/>
        <v/>
      </c>
      <c r="M259" s="382"/>
      <c r="N259" s="380"/>
      <c r="O259" s="369" t="str">
        <f>'5-0 Товары'!I259</f>
        <v/>
      </c>
      <c r="P259" s="371" t="str">
        <f>'5-0 Товары'!N259</f>
        <v/>
      </c>
      <c r="Q259" s="197"/>
      <c r="R259" s="193"/>
      <c r="S259" s="187"/>
      <c r="T259" s="187"/>
      <c r="U259" s="187"/>
      <c r="V259" s="187"/>
      <c r="W259" s="187"/>
      <c r="X259" s="187"/>
      <c r="Y259" s="187" t="s">
        <v>96</v>
      </c>
      <c r="Z259" s="193" t="str">
        <f t="shared" si="2"/>
        <v/>
      </c>
      <c r="AA259" s="383"/>
      <c r="AB259" s="384"/>
      <c r="AC259" s="385"/>
      <c r="AD259" s="383"/>
      <c r="AE259" s="384"/>
      <c r="AF259" s="385"/>
      <c r="AG259" s="383"/>
      <c r="AH259" s="384"/>
      <c r="AI259" s="385"/>
      <c r="AJ259" s="383"/>
      <c r="AK259" s="384"/>
      <c r="AL259" s="385"/>
      <c r="AM259" s="383"/>
      <c r="AN259" s="384"/>
      <c r="AO259" s="385"/>
      <c r="AP259" s="383"/>
      <c r="AQ259" s="384"/>
      <c r="AR259" s="385"/>
      <c r="AS259" s="383"/>
      <c r="AT259" s="384"/>
      <c r="AU259" s="385"/>
      <c r="AV259" s="383"/>
      <c r="AW259" s="384"/>
      <c r="AX259" s="385"/>
      <c r="AY259" s="383"/>
      <c r="AZ259" s="384"/>
      <c r="BA259" s="385"/>
      <c r="BB259" s="386"/>
      <c r="BC259" s="387"/>
      <c r="BD259" s="388"/>
      <c r="BE259" s="386"/>
      <c r="BF259" s="387"/>
      <c r="BG259" s="388"/>
      <c r="BH259" s="386"/>
      <c r="BI259" s="387"/>
      <c r="BJ259" s="388"/>
      <c r="BK259" s="386"/>
      <c r="BL259" s="387"/>
      <c r="BM259" s="388"/>
      <c r="BN259" s="386"/>
      <c r="BO259" s="387"/>
      <c r="BP259" s="388"/>
      <c r="BQ259" s="386"/>
      <c r="BR259" s="387"/>
      <c r="BS259" s="388"/>
      <c r="BT259" s="386"/>
      <c r="BU259" s="387"/>
      <c r="BV259" s="388"/>
      <c r="BW259" s="386"/>
      <c r="BX259" s="387"/>
      <c r="BY259" s="388"/>
      <c r="BZ259" s="386"/>
      <c r="CA259" s="387"/>
      <c r="CB259" s="388"/>
      <c r="CC259" s="386"/>
      <c r="CD259" s="387"/>
      <c r="CE259" s="388"/>
      <c r="CF259" s="386"/>
      <c r="CG259" s="387"/>
      <c r="CH259" s="388"/>
      <c r="CI259" s="386"/>
      <c r="CJ259" s="387"/>
      <c r="CK259" s="388"/>
      <c r="CL259" s="386"/>
      <c r="CM259" s="387"/>
      <c r="CN259" s="388"/>
      <c r="CO259" s="386"/>
      <c r="CP259" s="387"/>
      <c r="CQ259" s="388"/>
      <c r="CR259" s="386"/>
      <c r="CS259" s="387"/>
      <c r="CT259" s="388"/>
      <c r="CU259" s="386"/>
      <c r="CV259" s="387"/>
      <c r="CW259" s="388"/>
      <c r="CX259" s="386"/>
      <c r="CY259" s="387"/>
      <c r="CZ259" s="388"/>
    </row>
    <row r="260">
      <c r="A260" s="1"/>
      <c r="B260" s="402"/>
      <c r="C260" s="362" t="str">
        <f>'5-0 Товары'!C260</f>
        <v/>
      </c>
      <c r="D260" s="363" t="str">
        <f>'5-0 Товары'!D260</f>
        <v/>
      </c>
      <c r="E260" s="364" t="str">
        <f>'5-0 Товары'!E260</f>
        <v/>
      </c>
      <c r="F260" s="380"/>
      <c r="G260" s="380"/>
      <c r="H260" s="364" t="str">
        <f>'5-0 Товары'!F260</f>
        <v/>
      </c>
      <c r="I260" s="391"/>
      <c r="J260" s="364" t="str">
        <f>'5-0 Товары'!G260</f>
        <v/>
      </c>
      <c r="K260" s="366" t="str">
        <f>'5-0 Товары'!H260</f>
        <v/>
      </c>
      <c r="L260" s="382" t="str">
        <f t="shared" si="1"/>
        <v/>
      </c>
      <c r="M260" s="382"/>
      <c r="N260" s="380"/>
      <c r="O260" s="369" t="str">
        <f>'5-0 Товары'!I260</f>
        <v/>
      </c>
      <c r="P260" s="371" t="str">
        <f>'5-0 Товары'!N260</f>
        <v/>
      </c>
      <c r="Q260" s="197"/>
      <c r="R260" s="193"/>
      <c r="S260" s="187"/>
      <c r="T260" s="187"/>
      <c r="U260" s="187"/>
      <c r="V260" s="187"/>
      <c r="W260" s="187"/>
      <c r="X260" s="187"/>
      <c r="Y260" s="187" t="s">
        <v>96</v>
      </c>
      <c r="Z260" s="193" t="str">
        <f t="shared" si="2"/>
        <v/>
      </c>
      <c r="AA260" s="383"/>
      <c r="AB260" s="384"/>
      <c r="AC260" s="385"/>
      <c r="AD260" s="383"/>
      <c r="AE260" s="384"/>
      <c r="AF260" s="385"/>
      <c r="AG260" s="383"/>
      <c r="AH260" s="384"/>
      <c r="AI260" s="385"/>
      <c r="AJ260" s="383"/>
      <c r="AK260" s="384"/>
      <c r="AL260" s="385"/>
      <c r="AM260" s="383"/>
      <c r="AN260" s="384"/>
      <c r="AO260" s="385"/>
      <c r="AP260" s="383"/>
      <c r="AQ260" s="384"/>
      <c r="AR260" s="385"/>
      <c r="AS260" s="383"/>
      <c r="AT260" s="384"/>
      <c r="AU260" s="385"/>
      <c r="AV260" s="383"/>
      <c r="AW260" s="384"/>
      <c r="AX260" s="385"/>
      <c r="AY260" s="383"/>
      <c r="AZ260" s="384"/>
      <c r="BA260" s="385"/>
      <c r="BB260" s="386"/>
      <c r="BC260" s="387"/>
      <c r="BD260" s="388"/>
      <c r="BE260" s="386"/>
      <c r="BF260" s="387"/>
      <c r="BG260" s="388"/>
      <c r="BH260" s="386"/>
      <c r="BI260" s="387"/>
      <c r="BJ260" s="388"/>
      <c r="BK260" s="386"/>
      <c r="BL260" s="387"/>
      <c r="BM260" s="388"/>
      <c r="BN260" s="386"/>
      <c r="BO260" s="387"/>
      <c r="BP260" s="388"/>
      <c r="BQ260" s="386"/>
      <c r="BR260" s="387"/>
      <c r="BS260" s="388"/>
      <c r="BT260" s="386"/>
      <c r="BU260" s="387"/>
      <c r="BV260" s="388"/>
      <c r="BW260" s="386"/>
      <c r="BX260" s="387"/>
      <c r="BY260" s="388"/>
      <c r="BZ260" s="386"/>
      <c r="CA260" s="387"/>
      <c r="CB260" s="388"/>
      <c r="CC260" s="386"/>
      <c r="CD260" s="387"/>
      <c r="CE260" s="388"/>
      <c r="CF260" s="386"/>
      <c r="CG260" s="387"/>
      <c r="CH260" s="388"/>
      <c r="CI260" s="386"/>
      <c r="CJ260" s="387"/>
      <c r="CK260" s="388"/>
      <c r="CL260" s="386"/>
      <c r="CM260" s="387"/>
      <c r="CN260" s="388"/>
      <c r="CO260" s="386"/>
      <c r="CP260" s="387"/>
      <c r="CQ260" s="388"/>
      <c r="CR260" s="386"/>
      <c r="CS260" s="387"/>
      <c r="CT260" s="388"/>
      <c r="CU260" s="386"/>
      <c r="CV260" s="387"/>
      <c r="CW260" s="388"/>
      <c r="CX260" s="386"/>
      <c r="CY260" s="387"/>
      <c r="CZ260" s="388"/>
    </row>
    <row r="261">
      <c r="A261" s="1"/>
      <c r="B261" s="402"/>
      <c r="C261" s="362" t="str">
        <f>'5-0 Товары'!C261</f>
        <v/>
      </c>
      <c r="D261" s="363" t="str">
        <f>'5-0 Товары'!D261</f>
        <v/>
      </c>
      <c r="E261" s="364" t="str">
        <f>'5-0 Товары'!E261</f>
        <v/>
      </c>
      <c r="F261" s="380"/>
      <c r="G261" s="380"/>
      <c r="H261" s="364" t="str">
        <f>'5-0 Товары'!F261</f>
        <v/>
      </c>
      <c r="I261" s="391"/>
      <c r="J261" s="364" t="str">
        <f>'5-0 Товары'!G261</f>
        <v/>
      </c>
      <c r="K261" s="366" t="str">
        <f>'5-0 Товары'!H261</f>
        <v/>
      </c>
      <c r="L261" s="382" t="str">
        <f t="shared" si="1"/>
        <v/>
      </c>
      <c r="M261" s="382"/>
      <c r="N261" s="380"/>
      <c r="O261" s="369" t="str">
        <f>'5-0 Товары'!I261</f>
        <v/>
      </c>
      <c r="P261" s="371" t="str">
        <f>'5-0 Товары'!N261</f>
        <v/>
      </c>
      <c r="Q261" s="197"/>
      <c r="R261" s="193"/>
      <c r="S261" s="187"/>
      <c r="T261" s="187"/>
      <c r="U261" s="187"/>
      <c r="V261" s="187"/>
      <c r="W261" s="187"/>
      <c r="X261" s="187"/>
      <c r="Y261" s="187" t="s">
        <v>96</v>
      </c>
      <c r="Z261" s="193" t="str">
        <f t="shared" si="2"/>
        <v/>
      </c>
      <c r="AA261" s="383"/>
      <c r="AB261" s="384"/>
      <c r="AC261" s="385"/>
      <c r="AD261" s="383"/>
      <c r="AE261" s="384"/>
      <c r="AF261" s="385"/>
      <c r="AG261" s="383"/>
      <c r="AH261" s="384"/>
      <c r="AI261" s="385"/>
      <c r="AJ261" s="383"/>
      <c r="AK261" s="384"/>
      <c r="AL261" s="385"/>
      <c r="AM261" s="383"/>
      <c r="AN261" s="384"/>
      <c r="AO261" s="385"/>
      <c r="AP261" s="383"/>
      <c r="AQ261" s="384"/>
      <c r="AR261" s="385"/>
      <c r="AS261" s="383"/>
      <c r="AT261" s="384"/>
      <c r="AU261" s="385"/>
      <c r="AV261" s="383"/>
      <c r="AW261" s="384"/>
      <c r="AX261" s="385"/>
      <c r="AY261" s="383"/>
      <c r="AZ261" s="384"/>
      <c r="BA261" s="385"/>
      <c r="BB261" s="386"/>
      <c r="BC261" s="387"/>
      <c r="BD261" s="388"/>
      <c r="BE261" s="386"/>
      <c r="BF261" s="387"/>
      <c r="BG261" s="388"/>
      <c r="BH261" s="386"/>
      <c r="BI261" s="387"/>
      <c r="BJ261" s="388"/>
      <c r="BK261" s="386"/>
      <c r="BL261" s="387"/>
      <c r="BM261" s="388"/>
      <c r="BN261" s="386"/>
      <c r="BO261" s="387"/>
      <c r="BP261" s="388"/>
      <c r="BQ261" s="386"/>
      <c r="BR261" s="387"/>
      <c r="BS261" s="388"/>
      <c r="BT261" s="386"/>
      <c r="BU261" s="387"/>
      <c r="BV261" s="388"/>
      <c r="BW261" s="386"/>
      <c r="BX261" s="387"/>
      <c r="BY261" s="388"/>
      <c r="BZ261" s="386"/>
      <c r="CA261" s="387"/>
      <c r="CB261" s="388"/>
      <c r="CC261" s="386"/>
      <c r="CD261" s="387"/>
      <c r="CE261" s="388"/>
      <c r="CF261" s="386"/>
      <c r="CG261" s="387"/>
      <c r="CH261" s="388"/>
      <c r="CI261" s="386"/>
      <c r="CJ261" s="387"/>
      <c r="CK261" s="388"/>
      <c r="CL261" s="386"/>
      <c r="CM261" s="387"/>
      <c r="CN261" s="388"/>
      <c r="CO261" s="386"/>
      <c r="CP261" s="387"/>
      <c r="CQ261" s="388"/>
      <c r="CR261" s="386"/>
      <c r="CS261" s="387"/>
      <c r="CT261" s="388"/>
      <c r="CU261" s="386"/>
      <c r="CV261" s="387"/>
      <c r="CW261" s="388"/>
      <c r="CX261" s="386"/>
      <c r="CY261" s="387"/>
      <c r="CZ261" s="388"/>
    </row>
    <row r="262">
      <c r="A262" s="1"/>
      <c r="B262" s="402"/>
      <c r="C262" s="362" t="str">
        <f>'5-0 Товары'!C262</f>
        <v/>
      </c>
      <c r="D262" s="363" t="str">
        <f>'5-0 Товары'!D262</f>
        <v/>
      </c>
      <c r="E262" s="364" t="str">
        <f>'5-0 Товары'!E262</f>
        <v/>
      </c>
      <c r="F262" s="380"/>
      <c r="G262" s="380"/>
      <c r="H262" s="364" t="str">
        <f>'5-0 Товары'!F262</f>
        <v/>
      </c>
      <c r="I262" s="391"/>
      <c r="J262" s="364" t="str">
        <f>'5-0 Товары'!G262</f>
        <v/>
      </c>
      <c r="K262" s="366" t="str">
        <f>'5-0 Товары'!H262</f>
        <v/>
      </c>
      <c r="L262" s="382" t="str">
        <f t="shared" si="1"/>
        <v/>
      </c>
      <c r="M262" s="382"/>
      <c r="N262" s="380"/>
      <c r="O262" s="369" t="str">
        <f>'5-0 Товары'!I262</f>
        <v/>
      </c>
      <c r="P262" s="371" t="str">
        <f>'5-0 Товары'!N262</f>
        <v/>
      </c>
      <c r="Q262" s="197"/>
      <c r="R262" s="193"/>
      <c r="S262" s="187"/>
      <c r="T262" s="187"/>
      <c r="U262" s="187"/>
      <c r="V262" s="187"/>
      <c r="W262" s="187"/>
      <c r="X262" s="187"/>
      <c r="Y262" s="187" t="s">
        <v>96</v>
      </c>
      <c r="Z262" s="193" t="str">
        <f t="shared" si="2"/>
        <v/>
      </c>
      <c r="AA262" s="383"/>
      <c r="AB262" s="384"/>
      <c r="AC262" s="385"/>
      <c r="AD262" s="383"/>
      <c r="AE262" s="384"/>
      <c r="AF262" s="385"/>
      <c r="AG262" s="383"/>
      <c r="AH262" s="384"/>
      <c r="AI262" s="385"/>
      <c r="AJ262" s="383"/>
      <c r="AK262" s="384"/>
      <c r="AL262" s="385"/>
      <c r="AM262" s="383"/>
      <c r="AN262" s="384"/>
      <c r="AO262" s="385"/>
      <c r="AP262" s="383"/>
      <c r="AQ262" s="384"/>
      <c r="AR262" s="385"/>
      <c r="AS262" s="383"/>
      <c r="AT262" s="384"/>
      <c r="AU262" s="385"/>
      <c r="AV262" s="383"/>
      <c r="AW262" s="384"/>
      <c r="AX262" s="385"/>
      <c r="AY262" s="383"/>
      <c r="AZ262" s="384"/>
      <c r="BA262" s="385"/>
      <c r="BB262" s="386"/>
      <c r="BC262" s="387"/>
      <c r="BD262" s="388"/>
      <c r="BE262" s="386"/>
      <c r="BF262" s="387"/>
      <c r="BG262" s="388"/>
      <c r="BH262" s="386"/>
      <c r="BI262" s="387"/>
      <c r="BJ262" s="388"/>
      <c r="BK262" s="386"/>
      <c r="BL262" s="387"/>
      <c r="BM262" s="388"/>
      <c r="BN262" s="386"/>
      <c r="BO262" s="387"/>
      <c r="BP262" s="388"/>
      <c r="BQ262" s="386"/>
      <c r="BR262" s="387"/>
      <c r="BS262" s="388"/>
      <c r="BT262" s="386"/>
      <c r="BU262" s="387"/>
      <c r="BV262" s="388"/>
      <c r="BW262" s="386"/>
      <c r="BX262" s="387"/>
      <c r="BY262" s="388"/>
      <c r="BZ262" s="386"/>
      <c r="CA262" s="387"/>
      <c r="CB262" s="388"/>
      <c r="CC262" s="386"/>
      <c r="CD262" s="387"/>
      <c r="CE262" s="388"/>
      <c r="CF262" s="386"/>
      <c r="CG262" s="387"/>
      <c r="CH262" s="388"/>
      <c r="CI262" s="386"/>
      <c r="CJ262" s="387"/>
      <c r="CK262" s="388"/>
      <c r="CL262" s="386"/>
      <c r="CM262" s="387"/>
      <c r="CN262" s="388"/>
      <c r="CO262" s="386"/>
      <c r="CP262" s="387"/>
      <c r="CQ262" s="388"/>
      <c r="CR262" s="386"/>
      <c r="CS262" s="387"/>
      <c r="CT262" s="388"/>
      <c r="CU262" s="386"/>
      <c r="CV262" s="387"/>
      <c r="CW262" s="388"/>
      <c r="CX262" s="386"/>
      <c r="CY262" s="387"/>
      <c r="CZ262" s="388"/>
    </row>
    <row r="263">
      <c r="A263" s="1"/>
      <c r="B263" s="402"/>
      <c r="C263" s="362" t="str">
        <f>'5-0 Товары'!C263</f>
        <v/>
      </c>
      <c r="D263" s="363" t="str">
        <f>'5-0 Товары'!D263</f>
        <v/>
      </c>
      <c r="E263" s="364" t="str">
        <f>'5-0 Товары'!E263</f>
        <v/>
      </c>
      <c r="F263" s="380"/>
      <c r="G263" s="380"/>
      <c r="H263" s="364" t="str">
        <f>'5-0 Товары'!F263</f>
        <v/>
      </c>
      <c r="I263" s="391"/>
      <c r="J263" s="364" t="str">
        <f>'5-0 Товары'!G263</f>
        <v/>
      </c>
      <c r="K263" s="366" t="str">
        <f>'5-0 Товары'!H263</f>
        <v/>
      </c>
      <c r="L263" s="382" t="str">
        <f t="shared" si="1"/>
        <v/>
      </c>
      <c r="M263" s="382"/>
      <c r="N263" s="380"/>
      <c r="O263" s="369" t="str">
        <f>'5-0 Товары'!I263</f>
        <v/>
      </c>
      <c r="P263" s="371" t="str">
        <f>'5-0 Товары'!N263</f>
        <v/>
      </c>
      <c r="Q263" s="197"/>
      <c r="R263" s="193"/>
      <c r="S263" s="187"/>
      <c r="T263" s="187"/>
      <c r="U263" s="187"/>
      <c r="V263" s="187"/>
      <c r="W263" s="187"/>
      <c r="X263" s="187"/>
      <c r="Y263" s="187" t="s">
        <v>96</v>
      </c>
      <c r="Z263" s="193" t="str">
        <f t="shared" si="2"/>
        <v/>
      </c>
      <c r="AA263" s="383"/>
      <c r="AB263" s="384"/>
      <c r="AC263" s="385"/>
      <c r="AD263" s="383"/>
      <c r="AE263" s="384"/>
      <c r="AF263" s="385"/>
      <c r="AG263" s="383"/>
      <c r="AH263" s="384"/>
      <c r="AI263" s="385"/>
      <c r="AJ263" s="383"/>
      <c r="AK263" s="384"/>
      <c r="AL263" s="385"/>
      <c r="AM263" s="383"/>
      <c r="AN263" s="384"/>
      <c r="AO263" s="385"/>
      <c r="AP263" s="383"/>
      <c r="AQ263" s="384"/>
      <c r="AR263" s="385"/>
      <c r="AS263" s="383"/>
      <c r="AT263" s="384"/>
      <c r="AU263" s="385"/>
      <c r="AV263" s="383"/>
      <c r="AW263" s="384"/>
      <c r="AX263" s="385"/>
      <c r="AY263" s="383"/>
      <c r="AZ263" s="384"/>
      <c r="BA263" s="385"/>
      <c r="BB263" s="386"/>
      <c r="BC263" s="387"/>
      <c r="BD263" s="388"/>
      <c r="BE263" s="386"/>
      <c r="BF263" s="387"/>
      <c r="BG263" s="388"/>
      <c r="BH263" s="386"/>
      <c r="BI263" s="387"/>
      <c r="BJ263" s="388"/>
      <c r="BK263" s="386"/>
      <c r="BL263" s="387"/>
      <c r="BM263" s="388"/>
      <c r="BN263" s="386"/>
      <c r="BO263" s="387"/>
      <c r="BP263" s="388"/>
      <c r="BQ263" s="386"/>
      <c r="BR263" s="387"/>
      <c r="BS263" s="388"/>
      <c r="BT263" s="386"/>
      <c r="BU263" s="387"/>
      <c r="BV263" s="388"/>
      <c r="BW263" s="386"/>
      <c r="BX263" s="387"/>
      <c r="BY263" s="388"/>
      <c r="BZ263" s="386"/>
      <c r="CA263" s="387"/>
      <c r="CB263" s="388"/>
      <c r="CC263" s="386"/>
      <c r="CD263" s="387"/>
      <c r="CE263" s="388"/>
      <c r="CF263" s="386"/>
      <c r="CG263" s="387"/>
      <c r="CH263" s="388"/>
      <c r="CI263" s="386"/>
      <c r="CJ263" s="387"/>
      <c r="CK263" s="388"/>
      <c r="CL263" s="386"/>
      <c r="CM263" s="387"/>
      <c r="CN263" s="388"/>
      <c r="CO263" s="386"/>
      <c r="CP263" s="387"/>
      <c r="CQ263" s="388"/>
      <c r="CR263" s="386"/>
      <c r="CS263" s="387"/>
      <c r="CT263" s="388"/>
      <c r="CU263" s="386"/>
      <c r="CV263" s="387"/>
      <c r="CW263" s="388"/>
      <c r="CX263" s="386"/>
      <c r="CY263" s="387"/>
      <c r="CZ263" s="388"/>
    </row>
    <row r="264">
      <c r="A264" s="1"/>
      <c r="B264" s="402"/>
      <c r="C264" s="362" t="str">
        <f>'5-0 Товары'!C264</f>
        <v/>
      </c>
      <c r="D264" s="363" t="str">
        <f>'5-0 Товары'!D264</f>
        <v/>
      </c>
      <c r="E264" s="364" t="str">
        <f>'5-0 Товары'!E264</f>
        <v/>
      </c>
      <c r="F264" s="380"/>
      <c r="G264" s="380"/>
      <c r="H264" s="364" t="str">
        <f>'5-0 Товары'!F264</f>
        <v/>
      </c>
      <c r="I264" s="391"/>
      <c r="J264" s="364" t="str">
        <f>'5-0 Товары'!G264</f>
        <v/>
      </c>
      <c r="K264" s="366" t="str">
        <f>'5-0 Товары'!H264</f>
        <v/>
      </c>
      <c r="L264" s="382" t="str">
        <f t="shared" si="1"/>
        <v/>
      </c>
      <c r="M264" s="382"/>
      <c r="N264" s="380"/>
      <c r="O264" s="369" t="str">
        <f>'5-0 Товары'!I264</f>
        <v/>
      </c>
      <c r="P264" s="371" t="str">
        <f>'5-0 Товары'!N264</f>
        <v/>
      </c>
      <c r="Q264" s="197"/>
      <c r="R264" s="193"/>
      <c r="S264" s="187"/>
      <c r="T264" s="187"/>
      <c r="U264" s="187"/>
      <c r="V264" s="187"/>
      <c r="W264" s="187"/>
      <c r="X264" s="187"/>
      <c r="Y264" s="187" t="s">
        <v>96</v>
      </c>
      <c r="Z264" s="193" t="str">
        <f t="shared" si="2"/>
        <v/>
      </c>
      <c r="AA264" s="383"/>
      <c r="AB264" s="384"/>
      <c r="AC264" s="385"/>
      <c r="AD264" s="383"/>
      <c r="AE264" s="384"/>
      <c r="AF264" s="385"/>
      <c r="AG264" s="383"/>
      <c r="AH264" s="384"/>
      <c r="AI264" s="385"/>
      <c r="AJ264" s="383"/>
      <c r="AK264" s="384"/>
      <c r="AL264" s="385"/>
      <c r="AM264" s="383"/>
      <c r="AN264" s="384"/>
      <c r="AO264" s="385"/>
      <c r="AP264" s="383"/>
      <c r="AQ264" s="384"/>
      <c r="AR264" s="385"/>
      <c r="AS264" s="383"/>
      <c r="AT264" s="384"/>
      <c r="AU264" s="385"/>
      <c r="AV264" s="383"/>
      <c r="AW264" s="384"/>
      <c r="AX264" s="385"/>
      <c r="AY264" s="383"/>
      <c r="AZ264" s="384"/>
      <c r="BA264" s="385"/>
      <c r="BB264" s="386"/>
      <c r="BC264" s="387"/>
      <c r="BD264" s="388"/>
      <c r="BE264" s="386"/>
      <c r="BF264" s="387"/>
      <c r="BG264" s="388"/>
      <c r="BH264" s="386"/>
      <c r="BI264" s="387"/>
      <c r="BJ264" s="388"/>
      <c r="BK264" s="386"/>
      <c r="BL264" s="387"/>
      <c r="BM264" s="388"/>
      <c r="BN264" s="386"/>
      <c r="BO264" s="387"/>
      <c r="BP264" s="388"/>
      <c r="BQ264" s="386"/>
      <c r="BR264" s="387"/>
      <c r="BS264" s="388"/>
      <c r="BT264" s="386"/>
      <c r="BU264" s="387"/>
      <c r="BV264" s="388"/>
      <c r="BW264" s="386"/>
      <c r="BX264" s="387"/>
      <c r="BY264" s="388"/>
      <c r="BZ264" s="386"/>
      <c r="CA264" s="387"/>
      <c r="CB264" s="388"/>
      <c r="CC264" s="386"/>
      <c r="CD264" s="387"/>
      <c r="CE264" s="388"/>
      <c r="CF264" s="386"/>
      <c r="CG264" s="387"/>
      <c r="CH264" s="388"/>
      <c r="CI264" s="386"/>
      <c r="CJ264" s="387"/>
      <c r="CK264" s="388"/>
      <c r="CL264" s="386"/>
      <c r="CM264" s="387"/>
      <c r="CN264" s="388"/>
      <c r="CO264" s="386"/>
      <c r="CP264" s="387"/>
      <c r="CQ264" s="388"/>
      <c r="CR264" s="386"/>
      <c r="CS264" s="387"/>
      <c r="CT264" s="388"/>
      <c r="CU264" s="386"/>
      <c r="CV264" s="387"/>
      <c r="CW264" s="388"/>
      <c r="CX264" s="386"/>
      <c r="CY264" s="387"/>
      <c r="CZ264" s="388"/>
    </row>
    <row r="265">
      <c r="A265" s="1"/>
      <c r="B265" s="402"/>
      <c r="C265" s="362" t="str">
        <f>'5-0 Товары'!C265</f>
        <v/>
      </c>
      <c r="D265" s="363" t="str">
        <f>'5-0 Товары'!D265</f>
        <v/>
      </c>
      <c r="E265" s="364" t="str">
        <f>'5-0 Товары'!E265</f>
        <v/>
      </c>
      <c r="F265" s="380"/>
      <c r="G265" s="380"/>
      <c r="H265" s="364" t="str">
        <f>'5-0 Товары'!F265</f>
        <v/>
      </c>
      <c r="I265" s="391"/>
      <c r="J265" s="364" t="str">
        <f>'5-0 Товары'!G265</f>
        <v/>
      </c>
      <c r="K265" s="366" t="str">
        <f>'5-0 Товары'!H265</f>
        <v/>
      </c>
      <c r="L265" s="382" t="str">
        <f t="shared" si="1"/>
        <v/>
      </c>
      <c r="M265" s="382"/>
      <c r="N265" s="380"/>
      <c r="O265" s="369" t="str">
        <f>'5-0 Товары'!I265</f>
        <v/>
      </c>
      <c r="P265" s="371" t="str">
        <f>'5-0 Товары'!N265</f>
        <v/>
      </c>
      <c r="Q265" s="197"/>
      <c r="R265" s="193"/>
      <c r="S265" s="187"/>
      <c r="T265" s="187"/>
      <c r="U265" s="187"/>
      <c r="V265" s="187"/>
      <c r="W265" s="187"/>
      <c r="X265" s="187"/>
      <c r="Y265" s="187" t="s">
        <v>96</v>
      </c>
      <c r="Z265" s="193" t="str">
        <f t="shared" si="2"/>
        <v/>
      </c>
      <c r="AA265" s="383"/>
      <c r="AB265" s="384"/>
      <c r="AC265" s="385"/>
      <c r="AD265" s="383"/>
      <c r="AE265" s="384"/>
      <c r="AF265" s="385"/>
      <c r="AG265" s="383"/>
      <c r="AH265" s="384"/>
      <c r="AI265" s="385"/>
      <c r="AJ265" s="383"/>
      <c r="AK265" s="384"/>
      <c r="AL265" s="385"/>
      <c r="AM265" s="383"/>
      <c r="AN265" s="384"/>
      <c r="AO265" s="385"/>
      <c r="AP265" s="383"/>
      <c r="AQ265" s="384"/>
      <c r="AR265" s="385"/>
      <c r="AS265" s="383"/>
      <c r="AT265" s="384"/>
      <c r="AU265" s="385"/>
      <c r="AV265" s="383"/>
      <c r="AW265" s="384"/>
      <c r="AX265" s="385"/>
      <c r="AY265" s="383"/>
      <c r="AZ265" s="384"/>
      <c r="BA265" s="385"/>
      <c r="BB265" s="386"/>
      <c r="BC265" s="387"/>
      <c r="BD265" s="388"/>
      <c r="BE265" s="386"/>
      <c r="BF265" s="387"/>
      <c r="BG265" s="388"/>
      <c r="BH265" s="386"/>
      <c r="BI265" s="387"/>
      <c r="BJ265" s="388"/>
      <c r="BK265" s="386"/>
      <c r="BL265" s="387"/>
      <c r="BM265" s="388"/>
      <c r="BN265" s="386"/>
      <c r="BO265" s="387"/>
      <c r="BP265" s="388"/>
      <c r="BQ265" s="386"/>
      <c r="BR265" s="387"/>
      <c r="BS265" s="388"/>
      <c r="BT265" s="386"/>
      <c r="BU265" s="387"/>
      <c r="BV265" s="388"/>
      <c r="BW265" s="386"/>
      <c r="BX265" s="387"/>
      <c r="BY265" s="388"/>
      <c r="BZ265" s="386"/>
      <c r="CA265" s="387"/>
      <c r="CB265" s="388"/>
      <c r="CC265" s="386"/>
      <c r="CD265" s="387"/>
      <c r="CE265" s="388"/>
      <c r="CF265" s="386"/>
      <c r="CG265" s="387"/>
      <c r="CH265" s="388"/>
      <c r="CI265" s="386"/>
      <c r="CJ265" s="387"/>
      <c r="CK265" s="388"/>
      <c r="CL265" s="386"/>
      <c r="CM265" s="387"/>
      <c r="CN265" s="388"/>
      <c r="CO265" s="386"/>
      <c r="CP265" s="387"/>
      <c r="CQ265" s="388"/>
      <c r="CR265" s="386"/>
      <c r="CS265" s="387"/>
      <c r="CT265" s="388"/>
      <c r="CU265" s="386"/>
      <c r="CV265" s="387"/>
      <c r="CW265" s="388"/>
      <c r="CX265" s="386"/>
      <c r="CY265" s="387"/>
      <c r="CZ265" s="388"/>
    </row>
    <row r="266">
      <c r="A266" s="1"/>
      <c r="B266" s="402"/>
      <c r="C266" s="362" t="str">
        <f>'5-0 Товары'!C266</f>
        <v/>
      </c>
      <c r="D266" s="363" t="str">
        <f>'5-0 Товары'!D266</f>
        <v/>
      </c>
      <c r="E266" s="364" t="str">
        <f>'5-0 Товары'!E266</f>
        <v/>
      </c>
      <c r="F266" s="380"/>
      <c r="G266" s="380"/>
      <c r="H266" s="364" t="str">
        <f>'5-0 Товары'!F266</f>
        <v/>
      </c>
      <c r="I266" s="391"/>
      <c r="J266" s="364" t="str">
        <f>'5-0 Товары'!G266</f>
        <v/>
      </c>
      <c r="K266" s="366" t="str">
        <f>'5-0 Товары'!H266</f>
        <v/>
      </c>
      <c r="L266" s="382" t="str">
        <f t="shared" si="1"/>
        <v/>
      </c>
      <c r="M266" s="382"/>
      <c r="N266" s="380"/>
      <c r="O266" s="369" t="str">
        <f>'5-0 Товары'!I266</f>
        <v/>
      </c>
      <c r="P266" s="371" t="str">
        <f>'5-0 Товары'!N266</f>
        <v/>
      </c>
      <c r="Q266" s="197"/>
      <c r="R266" s="193"/>
      <c r="S266" s="187"/>
      <c r="T266" s="187"/>
      <c r="U266" s="187"/>
      <c r="V266" s="187"/>
      <c r="W266" s="187"/>
      <c r="X266" s="187"/>
      <c r="Y266" s="187" t="s">
        <v>96</v>
      </c>
      <c r="Z266" s="193" t="str">
        <f t="shared" si="2"/>
        <v/>
      </c>
      <c r="AA266" s="383"/>
      <c r="AB266" s="384"/>
      <c r="AC266" s="385"/>
      <c r="AD266" s="383"/>
      <c r="AE266" s="384"/>
      <c r="AF266" s="385"/>
      <c r="AG266" s="383"/>
      <c r="AH266" s="384"/>
      <c r="AI266" s="385"/>
      <c r="AJ266" s="383"/>
      <c r="AK266" s="384"/>
      <c r="AL266" s="385"/>
      <c r="AM266" s="383"/>
      <c r="AN266" s="384"/>
      <c r="AO266" s="385"/>
      <c r="AP266" s="383"/>
      <c r="AQ266" s="384"/>
      <c r="AR266" s="385"/>
      <c r="AS266" s="383"/>
      <c r="AT266" s="384"/>
      <c r="AU266" s="385"/>
      <c r="AV266" s="383"/>
      <c r="AW266" s="384"/>
      <c r="AX266" s="385"/>
      <c r="AY266" s="383"/>
      <c r="AZ266" s="384"/>
      <c r="BA266" s="385"/>
      <c r="BB266" s="386"/>
      <c r="BC266" s="387"/>
      <c r="BD266" s="388"/>
      <c r="BE266" s="386"/>
      <c r="BF266" s="387"/>
      <c r="BG266" s="388"/>
      <c r="BH266" s="386"/>
      <c r="BI266" s="387"/>
      <c r="BJ266" s="388"/>
      <c r="BK266" s="386"/>
      <c r="BL266" s="387"/>
      <c r="BM266" s="388"/>
      <c r="BN266" s="386"/>
      <c r="BO266" s="387"/>
      <c r="BP266" s="388"/>
      <c r="BQ266" s="386"/>
      <c r="BR266" s="387"/>
      <c r="BS266" s="388"/>
      <c r="BT266" s="386"/>
      <c r="BU266" s="387"/>
      <c r="BV266" s="388"/>
      <c r="BW266" s="386"/>
      <c r="BX266" s="387"/>
      <c r="BY266" s="388"/>
      <c r="BZ266" s="386"/>
      <c r="CA266" s="387"/>
      <c r="CB266" s="388"/>
      <c r="CC266" s="386"/>
      <c r="CD266" s="387"/>
      <c r="CE266" s="388"/>
      <c r="CF266" s="386"/>
      <c r="CG266" s="387"/>
      <c r="CH266" s="388"/>
      <c r="CI266" s="386"/>
      <c r="CJ266" s="387"/>
      <c r="CK266" s="388"/>
      <c r="CL266" s="386"/>
      <c r="CM266" s="387"/>
      <c r="CN266" s="388"/>
      <c r="CO266" s="386"/>
      <c r="CP266" s="387"/>
      <c r="CQ266" s="388"/>
      <c r="CR266" s="386"/>
      <c r="CS266" s="387"/>
      <c r="CT266" s="388"/>
      <c r="CU266" s="386"/>
      <c r="CV266" s="387"/>
      <c r="CW266" s="388"/>
      <c r="CX266" s="386"/>
      <c r="CY266" s="387"/>
      <c r="CZ266" s="388"/>
    </row>
    <row r="267">
      <c r="A267" s="1"/>
      <c r="B267" s="402"/>
      <c r="C267" s="362" t="str">
        <f>'5-0 Товары'!C267</f>
        <v/>
      </c>
      <c r="D267" s="363" t="str">
        <f>'5-0 Товары'!D267</f>
        <v/>
      </c>
      <c r="E267" s="364" t="str">
        <f>'5-0 Товары'!E267</f>
        <v/>
      </c>
      <c r="F267" s="380"/>
      <c r="G267" s="380"/>
      <c r="H267" s="364" t="str">
        <f>'5-0 Товары'!F267</f>
        <v/>
      </c>
      <c r="I267" s="391"/>
      <c r="J267" s="364" t="str">
        <f>'5-0 Товары'!G267</f>
        <v/>
      </c>
      <c r="K267" s="366" t="str">
        <f>'5-0 Товары'!H267</f>
        <v/>
      </c>
      <c r="L267" s="382" t="str">
        <f t="shared" si="1"/>
        <v/>
      </c>
      <c r="M267" s="382"/>
      <c r="N267" s="380"/>
      <c r="O267" s="369" t="str">
        <f>'5-0 Товары'!I267</f>
        <v/>
      </c>
      <c r="P267" s="371" t="str">
        <f>'5-0 Товары'!N267</f>
        <v/>
      </c>
      <c r="Q267" s="197"/>
      <c r="R267" s="193"/>
      <c r="S267" s="187"/>
      <c r="T267" s="187"/>
      <c r="U267" s="187"/>
      <c r="V267" s="187"/>
      <c r="W267" s="187"/>
      <c r="X267" s="187"/>
      <c r="Y267" s="187" t="s">
        <v>96</v>
      </c>
      <c r="Z267" s="193" t="str">
        <f t="shared" si="2"/>
        <v/>
      </c>
      <c r="AA267" s="383"/>
      <c r="AB267" s="384"/>
      <c r="AC267" s="385"/>
      <c r="AD267" s="383"/>
      <c r="AE267" s="384"/>
      <c r="AF267" s="385"/>
      <c r="AG267" s="383"/>
      <c r="AH267" s="384"/>
      <c r="AI267" s="385"/>
      <c r="AJ267" s="383"/>
      <c r="AK267" s="384"/>
      <c r="AL267" s="385"/>
      <c r="AM267" s="383"/>
      <c r="AN267" s="384"/>
      <c r="AO267" s="385"/>
      <c r="AP267" s="383"/>
      <c r="AQ267" s="384"/>
      <c r="AR267" s="385"/>
      <c r="AS267" s="383"/>
      <c r="AT267" s="384"/>
      <c r="AU267" s="385"/>
      <c r="AV267" s="383"/>
      <c r="AW267" s="384"/>
      <c r="AX267" s="385"/>
      <c r="AY267" s="383"/>
      <c r="AZ267" s="384"/>
      <c r="BA267" s="385"/>
      <c r="BB267" s="386"/>
      <c r="BC267" s="387"/>
      <c r="BD267" s="388"/>
      <c r="BE267" s="386"/>
      <c r="BF267" s="387"/>
      <c r="BG267" s="388"/>
      <c r="BH267" s="386"/>
      <c r="BI267" s="387"/>
      <c r="BJ267" s="388"/>
      <c r="BK267" s="386"/>
      <c r="BL267" s="387"/>
      <c r="BM267" s="388"/>
      <c r="BN267" s="386"/>
      <c r="BO267" s="387"/>
      <c r="BP267" s="388"/>
      <c r="BQ267" s="386"/>
      <c r="BR267" s="387"/>
      <c r="BS267" s="388"/>
      <c r="BT267" s="386"/>
      <c r="BU267" s="387"/>
      <c r="BV267" s="388"/>
      <c r="BW267" s="386"/>
      <c r="BX267" s="387"/>
      <c r="BY267" s="388"/>
      <c r="BZ267" s="386"/>
      <c r="CA267" s="387"/>
      <c r="CB267" s="388"/>
      <c r="CC267" s="386"/>
      <c r="CD267" s="387"/>
      <c r="CE267" s="388"/>
      <c r="CF267" s="386"/>
      <c r="CG267" s="387"/>
      <c r="CH267" s="388"/>
      <c r="CI267" s="386"/>
      <c r="CJ267" s="387"/>
      <c r="CK267" s="388"/>
      <c r="CL267" s="386"/>
      <c r="CM267" s="387"/>
      <c r="CN267" s="388"/>
      <c r="CO267" s="386"/>
      <c r="CP267" s="387"/>
      <c r="CQ267" s="388"/>
      <c r="CR267" s="386"/>
      <c r="CS267" s="387"/>
      <c r="CT267" s="388"/>
      <c r="CU267" s="386"/>
      <c r="CV267" s="387"/>
      <c r="CW267" s="388"/>
      <c r="CX267" s="386"/>
      <c r="CY267" s="387"/>
      <c r="CZ267" s="388"/>
    </row>
    <row r="268">
      <c r="A268" s="1"/>
      <c r="B268" s="402"/>
      <c r="C268" s="362" t="str">
        <f>'5-0 Товары'!C268</f>
        <v/>
      </c>
      <c r="D268" s="363" t="str">
        <f>'5-0 Товары'!D268</f>
        <v/>
      </c>
      <c r="E268" s="364" t="str">
        <f>'5-0 Товары'!E268</f>
        <v/>
      </c>
      <c r="F268" s="380"/>
      <c r="G268" s="380"/>
      <c r="H268" s="364" t="str">
        <f>'5-0 Товары'!F268</f>
        <v/>
      </c>
      <c r="I268" s="391"/>
      <c r="J268" s="364" t="str">
        <f>'5-0 Товары'!G268</f>
        <v/>
      </c>
      <c r="K268" s="366" t="str">
        <f>'5-0 Товары'!H268</f>
        <v/>
      </c>
      <c r="L268" s="382" t="str">
        <f t="shared" si="1"/>
        <v/>
      </c>
      <c r="M268" s="382"/>
      <c r="N268" s="380"/>
      <c r="O268" s="369" t="str">
        <f>'5-0 Товары'!I268</f>
        <v/>
      </c>
      <c r="P268" s="371" t="str">
        <f>'5-0 Товары'!N268</f>
        <v/>
      </c>
      <c r="Q268" s="197"/>
      <c r="R268" s="193"/>
      <c r="S268" s="187"/>
      <c r="T268" s="187"/>
      <c r="U268" s="187"/>
      <c r="V268" s="187"/>
      <c r="W268" s="187"/>
      <c r="X268" s="187"/>
      <c r="Y268" s="187" t="s">
        <v>96</v>
      </c>
      <c r="Z268" s="193" t="str">
        <f t="shared" si="2"/>
        <v/>
      </c>
      <c r="AA268" s="383"/>
      <c r="AB268" s="384"/>
      <c r="AC268" s="385"/>
      <c r="AD268" s="383"/>
      <c r="AE268" s="384"/>
      <c r="AF268" s="385"/>
      <c r="AG268" s="383"/>
      <c r="AH268" s="384"/>
      <c r="AI268" s="385"/>
      <c r="AJ268" s="383"/>
      <c r="AK268" s="384"/>
      <c r="AL268" s="385"/>
      <c r="AM268" s="383"/>
      <c r="AN268" s="384"/>
      <c r="AO268" s="385"/>
      <c r="AP268" s="383"/>
      <c r="AQ268" s="384"/>
      <c r="AR268" s="385"/>
      <c r="AS268" s="383"/>
      <c r="AT268" s="384"/>
      <c r="AU268" s="385"/>
      <c r="AV268" s="383"/>
      <c r="AW268" s="384"/>
      <c r="AX268" s="385"/>
      <c r="AY268" s="383"/>
      <c r="AZ268" s="384"/>
      <c r="BA268" s="385"/>
      <c r="BB268" s="386"/>
      <c r="BC268" s="387"/>
      <c r="BD268" s="388"/>
      <c r="BE268" s="386"/>
      <c r="BF268" s="387"/>
      <c r="BG268" s="388"/>
      <c r="BH268" s="386"/>
      <c r="BI268" s="387"/>
      <c r="BJ268" s="388"/>
      <c r="BK268" s="386"/>
      <c r="BL268" s="387"/>
      <c r="BM268" s="388"/>
      <c r="BN268" s="386"/>
      <c r="BO268" s="387"/>
      <c r="BP268" s="388"/>
      <c r="BQ268" s="386"/>
      <c r="BR268" s="387"/>
      <c r="BS268" s="388"/>
      <c r="BT268" s="386"/>
      <c r="BU268" s="387"/>
      <c r="BV268" s="388"/>
      <c r="BW268" s="386"/>
      <c r="BX268" s="387"/>
      <c r="BY268" s="388"/>
      <c r="BZ268" s="386"/>
      <c r="CA268" s="387"/>
      <c r="CB268" s="388"/>
      <c r="CC268" s="386"/>
      <c r="CD268" s="387"/>
      <c r="CE268" s="388"/>
      <c r="CF268" s="386"/>
      <c r="CG268" s="387"/>
      <c r="CH268" s="388"/>
      <c r="CI268" s="386"/>
      <c r="CJ268" s="387"/>
      <c r="CK268" s="388"/>
      <c r="CL268" s="386"/>
      <c r="CM268" s="387"/>
      <c r="CN268" s="388"/>
      <c r="CO268" s="386"/>
      <c r="CP268" s="387"/>
      <c r="CQ268" s="388"/>
      <c r="CR268" s="386"/>
      <c r="CS268" s="387"/>
      <c r="CT268" s="388"/>
      <c r="CU268" s="386"/>
      <c r="CV268" s="387"/>
      <c r="CW268" s="388"/>
      <c r="CX268" s="386"/>
      <c r="CY268" s="387"/>
      <c r="CZ268" s="388"/>
    </row>
    <row r="269">
      <c r="A269" s="1"/>
      <c r="B269" s="402"/>
      <c r="C269" s="362" t="str">
        <f>'5-0 Товары'!C269</f>
        <v/>
      </c>
      <c r="D269" s="363" t="str">
        <f>'5-0 Товары'!D269</f>
        <v/>
      </c>
      <c r="E269" s="364" t="str">
        <f>'5-0 Товары'!E269</f>
        <v/>
      </c>
      <c r="F269" s="380"/>
      <c r="G269" s="380"/>
      <c r="H269" s="364" t="str">
        <f>'5-0 Товары'!F269</f>
        <v/>
      </c>
      <c r="I269" s="391"/>
      <c r="J269" s="364" t="str">
        <f>'5-0 Товары'!G269</f>
        <v/>
      </c>
      <c r="K269" s="366" t="str">
        <f>'5-0 Товары'!H269</f>
        <v/>
      </c>
      <c r="L269" s="382" t="str">
        <f t="shared" si="1"/>
        <v/>
      </c>
      <c r="M269" s="382"/>
      <c r="N269" s="380"/>
      <c r="O269" s="369" t="str">
        <f>'5-0 Товары'!I269</f>
        <v/>
      </c>
      <c r="P269" s="371" t="str">
        <f>'5-0 Товары'!N269</f>
        <v/>
      </c>
      <c r="Q269" s="197"/>
      <c r="R269" s="193"/>
      <c r="S269" s="187"/>
      <c r="T269" s="187"/>
      <c r="U269" s="187"/>
      <c r="V269" s="187"/>
      <c r="W269" s="187"/>
      <c r="X269" s="187"/>
      <c r="Y269" s="187" t="s">
        <v>96</v>
      </c>
      <c r="Z269" s="193" t="str">
        <f t="shared" si="2"/>
        <v/>
      </c>
      <c r="AA269" s="383"/>
      <c r="AB269" s="384"/>
      <c r="AC269" s="385"/>
      <c r="AD269" s="383"/>
      <c r="AE269" s="384"/>
      <c r="AF269" s="385"/>
      <c r="AG269" s="383"/>
      <c r="AH269" s="384"/>
      <c r="AI269" s="385"/>
      <c r="AJ269" s="383"/>
      <c r="AK269" s="384"/>
      <c r="AL269" s="385"/>
      <c r="AM269" s="383"/>
      <c r="AN269" s="384"/>
      <c r="AO269" s="385"/>
      <c r="AP269" s="383"/>
      <c r="AQ269" s="384"/>
      <c r="AR269" s="385"/>
      <c r="AS269" s="383"/>
      <c r="AT269" s="384"/>
      <c r="AU269" s="385"/>
      <c r="AV269" s="383"/>
      <c r="AW269" s="384"/>
      <c r="AX269" s="385"/>
      <c r="AY269" s="383"/>
      <c r="AZ269" s="384"/>
      <c r="BA269" s="385"/>
      <c r="BB269" s="386"/>
      <c r="BC269" s="387"/>
      <c r="BD269" s="388"/>
      <c r="BE269" s="386"/>
      <c r="BF269" s="387"/>
      <c r="BG269" s="388"/>
      <c r="BH269" s="386"/>
      <c r="BI269" s="387"/>
      <c r="BJ269" s="388"/>
      <c r="BK269" s="386"/>
      <c r="BL269" s="387"/>
      <c r="BM269" s="388"/>
      <c r="BN269" s="386"/>
      <c r="BO269" s="387"/>
      <c r="BP269" s="388"/>
      <c r="BQ269" s="386"/>
      <c r="BR269" s="387"/>
      <c r="BS269" s="388"/>
      <c r="BT269" s="386"/>
      <c r="BU269" s="387"/>
      <c r="BV269" s="388"/>
      <c r="BW269" s="386"/>
      <c r="BX269" s="387"/>
      <c r="BY269" s="388"/>
      <c r="BZ269" s="386"/>
      <c r="CA269" s="387"/>
      <c r="CB269" s="388"/>
      <c r="CC269" s="386"/>
      <c r="CD269" s="387"/>
      <c r="CE269" s="388"/>
      <c r="CF269" s="386"/>
      <c r="CG269" s="387"/>
      <c r="CH269" s="388"/>
      <c r="CI269" s="386"/>
      <c r="CJ269" s="387"/>
      <c r="CK269" s="388"/>
      <c r="CL269" s="386"/>
      <c r="CM269" s="387"/>
      <c r="CN269" s="388"/>
      <c r="CO269" s="386"/>
      <c r="CP269" s="387"/>
      <c r="CQ269" s="388"/>
      <c r="CR269" s="386"/>
      <c r="CS269" s="387"/>
      <c r="CT269" s="388"/>
      <c r="CU269" s="386"/>
      <c r="CV269" s="387"/>
      <c r="CW269" s="388"/>
      <c r="CX269" s="386"/>
      <c r="CY269" s="387"/>
      <c r="CZ269" s="388"/>
    </row>
    <row r="270">
      <c r="A270" s="1"/>
      <c r="B270" s="402"/>
      <c r="C270" s="362" t="str">
        <f>'5-0 Товары'!C270</f>
        <v/>
      </c>
      <c r="D270" s="363" t="str">
        <f>'5-0 Товары'!D270</f>
        <v/>
      </c>
      <c r="E270" s="364" t="str">
        <f>'5-0 Товары'!E270</f>
        <v/>
      </c>
      <c r="F270" s="380"/>
      <c r="G270" s="380"/>
      <c r="H270" s="364" t="str">
        <f>'5-0 Товары'!F270</f>
        <v/>
      </c>
      <c r="I270" s="391"/>
      <c r="J270" s="364" t="str">
        <f>'5-0 Товары'!G270</f>
        <v/>
      </c>
      <c r="K270" s="366" t="str">
        <f>'5-0 Товары'!H270</f>
        <v/>
      </c>
      <c r="L270" s="382" t="str">
        <f t="shared" si="1"/>
        <v/>
      </c>
      <c r="M270" s="382"/>
      <c r="N270" s="380"/>
      <c r="O270" s="369" t="str">
        <f>'5-0 Товары'!I270</f>
        <v/>
      </c>
      <c r="P270" s="371" t="str">
        <f>'5-0 Товары'!N270</f>
        <v/>
      </c>
      <c r="Q270" s="197"/>
      <c r="R270" s="193"/>
      <c r="S270" s="187"/>
      <c r="T270" s="187"/>
      <c r="U270" s="187"/>
      <c r="V270" s="187"/>
      <c r="W270" s="187"/>
      <c r="X270" s="187"/>
      <c r="Y270" s="187" t="s">
        <v>96</v>
      </c>
      <c r="Z270" s="193" t="str">
        <f t="shared" si="2"/>
        <v/>
      </c>
      <c r="AA270" s="383"/>
      <c r="AB270" s="384"/>
      <c r="AC270" s="385"/>
      <c r="AD270" s="383"/>
      <c r="AE270" s="384"/>
      <c r="AF270" s="385"/>
      <c r="AG270" s="383"/>
      <c r="AH270" s="384"/>
      <c r="AI270" s="385"/>
      <c r="AJ270" s="383"/>
      <c r="AK270" s="384"/>
      <c r="AL270" s="385"/>
      <c r="AM270" s="383"/>
      <c r="AN270" s="384"/>
      <c r="AO270" s="385"/>
      <c r="AP270" s="383"/>
      <c r="AQ270" s="384"/>
      <c r="AR270" s="385"/>
      <c r="AS270" s="383"/>
      <c r="AT270" s="384"/>
      <c r="AU270" s="385"/>
      <c r="AV270" s="383"/>
      <c r="AW270" s="384"/>
      <c r="AX270" s="385"/>
      <c r="AY270" s="383"/>
      <c r="AZ270" s="384"/>
      <c r="BA270" s="385"/>
      <c r="BB270" s="386"/>
      <c r="BC270" s="387"/>
      <c r="BD270" s="388"/>
      <c r="BE270" s="386"/>
      <c r="BF270" s="387"/>
      <c r="BG270" s="388"/>
      <c r="BH270" s="386"/>
      <c r="BI270" s="387"/>
      <c r="BJ270" s="388"/>
      <c r="BK270" s="386"/>
      <c r="BL270" s="387"/>
      <c r="BM270" s="388"/>
      <c r="BN270" s="386"/>
      <c r="BO270" s="387"/>
      <c r="BP270" s="388"/>
      <c r="BQ270" s="386"/>
      <c r="BR270" s="387"/>
      <c r="BS270" s="388"/>
      <c r="BT270" s="386"/>
      <c r="BU270" s="387"/>
      <c r="BV270" s="388"/>
      <c r="BW270" s="386"/>
      <c r="BX270" s="387"/>
      <c r="BY270" s="388"/>
      <c r="BZ270" s="386"/>
      <c r="CA270" s="387"/>
      <c r="CB270" s="388"/>
      <c r="CC270" s="386"/>
      <c r="CD270" s="387"/>
      <c r="CE270" s="388"/>
      <c r="CF270" s="386"/>
      <c r="CG270" s="387"/>
      <c r="CH270" s="388"/>
      <c r="CI270" s="386"/>
      <c r="CJ270" s="387"/>
      <c r="CK270" s="388"/>
      <c r="CL270" s="386"/>
      <c r="CM270" s="387"/>
      <c r="CN270" s="388"/>
      <c r="CO270" s="386"/>
      <c r="CP270" s="387"/>
      <c r="CQ270" s="388"/>
      <c r="CR270" s="386"/>
      <c r="CS270" s="387"/>
      <c r="CT270" s="388"/>
      <c r="CU270" s="386"/>
      <c r="CV270" s="387"/>
      <c r="CW270" s="388"/>
      <c r="CX270" s="386"/>
      <c r="CY270" s="387"/>
      <c r="CZ270" s="388"/>
    </row>
    <row r="271">
      <c r="A271" s="1"/>
      <c r="B271" s="402"/>
      <c r="C271" s="362" t="str">
        <f>'5-0 Товары'!C271</f>
        <v/>
      </c>
      <c r="D271" s="363" t="str">
        <f>'5-0 Товары'!D271</f>
        <v/>
      </c>
      <c r="E271" s="364" t="str">
        <f>'5-0 Товары'!E271</f>
        <v/>
      </c>
      <c r="F271" s="380"/>
      <c r="G271" s="380"/>
      <c r="H271" s="364" t="str">
        <f>'5-0 Товары'!F271</f>
        <v/>
      </c>
      <c r="I271" s="391"/>
      <c r="J271" s="364" t="str">
        <f>'5-0 Товары'!G271</f>
        <v/>
      </c>
      <c r="K271" s="366" t="str">
        <f>'5-0 Товары'!H271</f>
        <v/>
      </c>
      <c r="L271" s="382" t="str">
        <f t="shared" si="1"/>
        <v/>
      </c>
      <c r="M271" s="382"/>
      <c r="N271" s="380"/>
      <c r="O271" s="369" t="str">
        <f>'5-0 Товары'!I271</f>
        <v/>
      </c>
      <c r="P271" s="371" t="str">
        <f>'5-0 Товары'!N271</f>
        <v/>
      </c>
      <c r="Q271" s="197"/>
      <c r="R271" s="193"/>
      <c r="S271" s="187"/>
      <c r="T271" s="187"/>
      <c r="U271" s="187"/>
      <c r="V271" s="187"/>
      <c r="W271" s="187"/>
      <c r="X271" s="187"/>
      <c r="Y271" s="187" t="s">
        <v>96</v>
      </c>
      <c r="Z271" s="193" t="str">
        <f t="shared" si="2"/>
        <v/>
      </c>
      <c r="AA271" s="383"/>
      <c r="AB271" s="384"/>
      <c r="AC271" s="385"/>
      <c r="AD271" s="383"/>
      <c r="AE271" s="384"/>
      <c r="AF271" s="385"/>
      <c r="AG271" s="383"/>
      <c r="AH271" s="384"/>
      <c r="AI271" s="385"/>
      <c r="AJ271" s="383"/>
      <c r="AK271" s="384"/>
      <c r="AL271" s="385"/>
      <c r="AM271" s="383"/>
      <c r="AN271" s="384"/>
      <c r="AO271" s="385"/>
      <c r="AP271" s="383"/>
      <c r="AQ271" s="384"/>
      <c r="AR271" s="385"/>
      <c r="AS271" s="383"/>
      <c r="AT271" s="384"/>
      <c r="AU271" s="385"/>
      <c r="AV271" s="383"/>
      <c r="AW271" s="384"/>
      <c r="AX271" s="385"/>
      <c r="AY271" s="383"/>
      <c r="AZ271" s="384"/>
      <c r="BA271" s="385"/>
      <c r="BB271" s="386"/>
      <c r="BC271" s="387"/>
      <c r="BD271" s="388"/>
      <c r="BE271" s="386"/>
      <c r="BF271" s="387"/>
      <c r="BG271" s="388"/>
      <c r="BH271" s="386"/>
      <c r="BI271" s="387"/>
      <c r="BJ271" s="388"/>
      <c r="BK271" s="386"/>
      <c r="BL271" s="387"/>
      <c r="BM271" s="388"/>
      <c r="BN271" s="386"/>
      <c r="BO271" s="387"/>
      <c r="BP271" s="388"/>
      <c r="BQ271" s="386"/>
      <c r="BR271" s="387"/>
      <c r="BS271" s="388"/>
      <c r="BT271" s="386"/>
      <c r="BU271" s="387"/>
      <c r="BV271" s="388"/>
      <c r="BW271" s="386"/>
      <c r="BX271" s="387"/>
      <c r="BY271" s="388"/>
      <c r="BZ271" s="386"/>
      <c r="CA271" s="387"/>
      <c r="CB271" s="388"/>
      <c r="CC271" s="386"/>
      <c r="CD271" s="387"/>
      <c r="CE271" s="388"/>
      <c r="CF271" s="386"/>
      <c r="CG271" s="387"/>
      <c r="CH271" s="388"/>
      <c r="CI271" s="386"/>
      <c r="CJ271" s="387"/>
      <c r="CK271" s="388"/>
      <c r="CL271" s="386"/>
      <c r="CM271" s="387"/>
      <c r="CN271" s="388"/>
      <c r="CO271" s="386"/>
      <c r="CP271" s="387"/>
      <c r="CQ271" s="388"/>
      <c r="CR271" s="386"/>
      <c r="CS271" s="387"/>
      <c r="CT271" s="388"/>
      <c r="CU271" s="386"/>
      <c r="CV271" s="387"/>
      <c r="CW271" s="388"/>
      <c r="CX271" s="386"/>
      <c r="CY271" s="387"/>
      <c r="CZ271" s="388"/>
    </row>
    <row r="272">
      <c r="A272" s="1"/>
      <c r="B272" s="402"/>
      <c r="C272" s="362" t="str">
        <f>'5-0 Товары'!C272</f>
        <v/>
      </c>
      <c r="D272" s="363" t="str">
        <f>'5-0 Товары'!D272</f>
        <v/>
      </c>
      <c r="E272" s="364" t="str">
        <f>'5-0 Товары'!E272</f>
        <v/>
      </c>
      <c r="F272" s="380"/>
      <c r="G272" s="380"/>
      <c r="H272" s="364" t="str">
        <f>'5-0 Товары'!F272</f>
        <v/>
      </c>
      <c r="I272" s="391"/>
      <c r="J272" s="364" t="str">
        <f>'5-0 Товары'!G272</f>
        <v/>
      </c>
      <c r="K272" s="366" t="str">
        <f>'5-0 Товары'!H272</f>
        <v/>
      </c>
      <c r="L272" s="382" t="str">
        <f t="shared" si="1"/>
        <v/>
      </c>
      <c r="M272" s="382"/>
      <c r="N272" s="380"/>
      <c r="O272" s="369" t="str">
        <f>'5-0 Товары'!I272</f>
        <v/>
      </c>
      <c r="P272" s="371" t="str">
        <f>'5-0 Товары'!N272</f>
        <v/>
      </c>
      <c r="Q272" s="197"/>
      <c r="R272" s="193"/>
      <c r="S272" s="187"/>
      <c r="T272" s="187"/>
      <c r="U272" s="187"/>
      <c r="V272" s="187"/>
      <c r="W272" s="187"/>
      <c r="X272" s="187"/>
      <c r="Y272" s="187" t="s">
        <v>96</v>
      </c>
      <c r="Z272" s="193" t="str">
        <f t="shared" si="2"/>
        <v/>
      </c>
      <c r="AA272" s="383"/>
      <c r="AB272" s="384"/>
      <c r="AC272" s="385"/>
      <c r="AD272" s="383"/>
      <c r="AE272" s="384"/>
      <c r="AF272" s="385"/>
      <c r="AG272" s="383"/>
      <c r="AH272" s="384"/>
      <c r="AI272" s="385"/>
      <c r="AJ272" s="383"/>
      <c r="AK272" s="384"/>
      <c r="AL272" s="385"/>
      <c r="AM272" s="383"/>
      <c r="AN272" s="384"/>
      <c r="AO272" s="385"/>
      <c r="AP272" s="383"/>
      <c r="AQ272" s="384"/>
      <c r="AR272" s="385"/>
      <c r="AS272" s="383"/>
      <c r="AT272" s="384"/>
      <c r="AU272" s="385"/>
      <c r="AV272" s="383"/>
      <c r="AW272" s="384"/>
      <c r="AX272" s="385"/>
      <c r="AY272" s="383"/>
      <c r="AZ272" s="384"/>
      <c r="BA272" s="385"/>
      <c r="BB272" s="386"/>
      <c r="BC272" s="387"/>
      <c r="BD272" s="388"/>
      <c r="BE272" s="386"/>
      <c r="BF272" s="387"/>
      <c r="BG272" s="388"/>
      <c r="BH272" s="386"/>
      <c r="BI272" s="387"/>
      <c r="BJ272" s="388"/>
      <c r="BK272" s="386"/>
      <c r="BL272" s="387"/>
      <c r="BM272" s="388"/>
      <c r="BN272" s="386"/>
      <c r="BO272" s="387"/>
      <c r="BP272" s="388"/>
      <c r="BQ272" s="386"/>
      <c r="BR272" s="387"/>
      <c r="BS272" s="388"/>
      <c r="BT272" s="386"/>
      <c r="BU272" s="387"/>
      <c r="BV272" s="388"/>
      <c r="BW272" s="386"/>
      <c r="BX272" s="387"/>
      <c r="BY272" s="388"/>
      <c r="BZ272" s="386"/>
      <c r="CA272" s="387"/>
      <c r="CB272" s="388"/>
      <c r="CC272" s="386"/>
      <c r="CD272" s="387"/>
      <c r="CE272" s="388"/>
      <c r="CF272" s="386"/>
      <c r="CG272" s="387"/>
      <c r="CH272" s="388"/>
      <c r="CI272" s="386"/>
      <c r="CJ272" s="387"/>
      <c r="CK272" s="388"/>
      <c r="CL272" s="386"/>
      <c r="CM272" s="387"/>
      <c r="CN272" s="388"/>
      <c r="CO272" s="386"/>
      <c r="CP272" s="387"/>
      <c r="CQ272" s="388"/>
      <c r="CR272" s="386"/>
      <c r="CS272" s="387"/>
      <c r="CT272" s="388"/>
      <c r="CU272" s="386"/>
      <c r="CV272" s="387"/>
      <c r="CW272" s="388"/>
      <c r="CX272" s="386"/>
      <c r="CY272" s="387"/>
      <c r="CZ272" s="388"/>
    </row>
    <row r="273">
      <c r="A273" s="1"/>
      <c r="B273" s="402"/>
      <c r="C273" s="362" t="str">
        <f>'5-0 Товары'!C273</f>
        <v/>
      </c>
      <c r="D273" s="363" t="str">
        <f>'5-0 Товары'!D273</f>
        <v/>
      </c>
      <c r="E273" s="364" t="str">
        <f>'5-0 Товары'!E273</f>
        <v/>
      </c>
      <c r="F273" s="380"/>
      <c r="G273" s="380"/>
      <c r="H273" s="364" t="str">
        <f>'5-0 Товары'!F273</f>
        <v/>
      </c>
      <c r="I273" s="391"/>
      <c r="J273" s="364" t="str">
        <f>'5-0 Товары'!G273</f>
        <v/>
      </c>
      <c r="K273" s="366" t="str">
        <f>'5-0 Товары'!H273</f>
        <v/>
      </c>
      <c r="L273" s="382" t="str">
        <f t="shared" si="1"/>
        <v/>
      </c>
      <c r="M273" s="382"/>
      <c r="N273" s="380"/>
      <c r="O273" s="369" t="str">
        <f>'5-0 Товары'!I273</f>
        <v/>
      </c>
      <c r="P273" s="371" t="str">
        <f>'5-0 Товары'!N273</f>
        <v/>
      </c>
      <c r="Q273" s="197"/>
      <c r="R273" s="193"/>
      <c r="S273" s="187"/>
      <c r="T273" s="187"/>
      <c r="U273" s="187"/>
      <c r="V273" s="187"/>
      <c r="W273" s="187"/>
      <c r="X273" s="187"/>
      <c r="Y273" s="187" t="s">
        <v>96</v>
      </c>
      <c r="Z273" s="193" t="str">
        <f t="shared" si="2"/>
        <v/>
      </c>
      <c r="AA273" s="383"/>
      <c r="AB273" s="384"/>
      <c r="AC273" s="385"/>
      <c r="AD273" s="383"/>
      <c r="AE273" s="384"/>
      <c r="AF273" s="385"/>
      <c r="AG273" s="383"/>
      <c r="AH273" s="384"/>
      <c r="AI273" s="385"/>
      <c r="AJ273" s="383"/>
      <c r="AK273" s="384"/>
      <c r="AL273" s="385"/>
      <c r="AM273" s="383"/>
      <c r="AN273" s="384"/>
      <c r="AO273" s="385"/>
      <c r="AP273" s="383"/>
      <c r="AQ273" s="384"/>
      <c r="AR273" s="385"/>
      <c r="AS273" s="383"/>
      <c r="AT273" s="384"/>
      <c r="AU273" s="385"/>
      <c r="AV273" s="383"/>
      <c r="AW273" s="384"/>
      <c r="AX273" s="385"/>
      <c r="AY273" s="383"/>
      <c r="AZ273" s="384"/>
      <c r="BA273" s="385"/>
      <c r="BB273" s="386"/>
      <c r="BC273" s="387"/>
      <c r="BD273" s="388"/>
      <c r="BE273" s="386"/>
      <c r="BF273" s="387"/>
      <c r="BG273" s="388"/>
      <c r="BH273" s="386"/>
      <c r="BI273" s="387"/>
      <c r="BJ273" s="388"/>
      <c r="BK273" s="386"/>
      <c r="BL273" s="387"/>
      <c r="BM273" s="388"/>
      <c r="BN273" s="386"/>
      <c r="BO273" s="387"/>
      <c r="BP273" s="388"/>
      <c r="BQ273" s="386"/>
      <c r="BR273" s="387"/>
      <c r="BS273" s="388"/>
      <c r="BT273" s="386"/>
      <c r="BU273" s="387"/>
      <c r="BV273" s="388"/>
      <c r="BW273" s="386"/>
      <c r="BX273" s="387"/>
      <c r="BY273" s="388"/>
      <c r="BZ273" s="386"/>
      <c r="CA273" s="387"/>
      <c r="CB273" s="388"/>
      <c r="CC273" s="386"/>
      <c r="CD273" s="387"/>
      <c r="CE273" s="388"/>
      <c r="CF273" s="386"/>
      <c r="CG273" s="387"/>
      <c r="CH273" s="388"/>
      <c r="CI273" s="386"/>
      <c r="CJ273" s="387"/>
      <c r="CK273" s="388"/>
      <c r="CL273" s="386"/>
      <c r="CM273" s="387"/>
      <c r="CN273" s="388"/>
      <c r="CO273" s="386"/>
      <c r="CP273" s="387"/>
      <c r="CQ273" s="388"/>
      <c r="CR273" s="386"/>
      <c r="CS273" s="387"/>
      <c r="CT273" s="388"/>
      <c r="CU273" s="386"/>
      <c r="CV273" s="387"/>
      <c r="CW273" s="388"/>
      <c r="CX273" s="386"/>
      <c r="CY273" s="387"/>
      <c r="CZ273" s="388"/>
    </row>
    <row r="274">
      <c r="A274" s="1"/>
      <c r="B274" s="402"/>
      <c r="C274" s="362" t="str">
        <f>'5-0 Товары'!C274</f>
        <v/>
      </c>
      <c r="D274" s="363" t="str">
        <f>'5-0 Товары'!D274</f>
        <v/>
      </c>
      <c r="E274" s="364" t="str">
        <f>'5-0 Товары'!E274</f>
        <v/>
      </c>
      <c r="F274" s="380"/>
      <c r="G274" s="380"/>
      <c r="H274" s="364" t="str">
        <f>'5-0 Товары'!F274</f>
        <v/>
      </c>
      <c r="I274" s="391"/>
      <c r="J274" s="364" t="str">
        <f>'5-0 Товары'!G274</f>
        <v/>
      </c>
      <c r="K274" s="366" t="str">
        <f>'5-0 Товары'!H274</f>
        <v/>
      </c>
      <c r="L274" s="382" t="str">
        <f t="shared" si="1"/>
        <v/>
      </c>
      <c r="M274" s="382"/>
      <c r="N274" s="380"/>
      <c r="O274" s="369" t="str">
        <f>'5-0 Товары'!I274</f>
        <v/>
      </c>
      <c r="P274" s="371" t="str">
        <f>'5-0 Товары'!N274</f>
        <v/>
      </c>
      <c r="Q274" s="197"/>
      <c r="R274" s="193"/>
      <c r="S274" s="187"/>
      <c r="T274" s="187"/>
      <c r="U274" s="187"/>
      <c r="V274" s="187"/>
      <c r="W274" s="187"/>
      <c r="X274" s="187"/>
      <c r="Y274" s="187" t="s">
        <v>96</v>
      </c>
      <c r="Z274" s="193" t="str">
        <f t="shared" si="2"/>
        <v/>
      </c>
      <c r="AA274" s="383"/>
      <c r="AB274" s="384"/>
      <c r="AC274" s="385"/>
      <c r="AD274" s="383"/>
      <c r="AE274" s="384"/>
      <c r="AF274" s="385"/>
      <c r="AG274" s="383"/>
      <c r="AH274" s="384"/>
      <c r="AI274" s="385"/>
      <c r="AJ274" s="383"/>
      <c r="AK274" s="384"/>
      <c r="AL274" s="385"/>
      <c r="AM274" s="383"/>
      <c r="AN274" s="384"/>
      <c r="AO274" s="385"/>
      <c r="AP274" s="383"/>
      <c r="AQ274" s="384"/>
      <c r="AR274" s="385"/>
      <c r="AS274" s="383"/>
      <c r="AT274" s="384"/>
      <c r="AU274" s="385"/>
      <c r="AV274" s="383"/>
      <c r="AW274" s="384"/>
      <c r="AX274" s="385"/>
      <c r="AY274" s="383"/>
      <c r="AZ274" s="384"/>
      <c r="BA274" s="385"/>
      <c r="BB274" s="386"/>
      <c r="BC274" s="387"/>
      <c r="BD274" s="388"/>
      <c r="BE274" s="386"/>
      <c r="BF274" s="387"/>
      <c r="BG274" s="388"/>
      <c r="BH274" s="386"/>
      <c r="BI274" s="387"/>
      <c r="BJ274" s="388"/>
      <c r="BK274" s="386"/>
      <c r="BL274" s="387"/>
      <c r="BM274" s="388"/>
      <c r="BN274" s="386"/>
      <c r="BO274" s="387"/>
      <c r="BP274" s="388"/>
      <c r="BQ274" s="386"/>
      <c r="BR274" s="387"/>
      <c r="BS274" s="388"/>
      <c r="BT274" s="386"/>
      <c r="BU274" s="387"/>
      <c r="BV274" s="388"/>
      <c r="BW274" s="386"/>
      <c r="BX274" s="387"/>
      <c r="BY274" s="388"/>
      <c r="BZ274" s="386"/>
      <c r="CA274" s="387"/>
      <c r="CB274" s="388"/>
      <c r="CC274" s="386"/>
      <c r="CD274" s="387"/>
      <c r="CE274" s="388"/>
      <c r="CF274" s="386"/>
      <c r="CG274" s="387"/>
      <c r="CH274" s="388"/>
      <c r="CI274" s="386"/>
      <c r="CJ274" s="387"/>
      <c r="CK274" s="388"/>
      <c r="CL274" s="386"/>
      <c r="CM274" s="387"/>
      <c r="CN274" s="388"/>
      <c r="CO274" s="386"/>
      <c r="CP274" s="387"/>
      <c r="CQ274" s="388"/>
      <c r="CR274" s="386"/>
      <c r="CS274" s="387"/>
      <c r="CT274" s="388"/>
      <c r="CU274" s="386"/>
      <c r="CV274" s="387"/>
      <c r="CW274" s="388"/>
      <c r="CX274" s="386"/>
      <c r="CY274" s="387"/>
      <c r="CZ274" s="388"/>
    </row>
    <row r="275">
      <c r="A275" s="1"/>
      <c r="B275" s="402"/>
      <c r="C275" s="362" t="str">
        <f>'5-0 Товары'!C275</f>
        <v/>
      </c>
      <c r="D275" s="363" t="str">
        <f>'5-0 Товары'!D275</f>
        <v/>
      </c>
      <c r="E275" s="364" t="str">
        <f>'5-0 Товары'!E275</f>
        <v/>
      </c>
      <c r="F275" s="380"/>
      <c r="G275" s="380"/>
      <c r="H275" s="364" t="str">
        <f>'5-0 Товары'!F275</f>
        <v/>
      </c>
      <c r="I275" s="391"/>
      <c r="J275" s="364" t="str">
        <f>'5-0 Товары'!G275</f>
        <v/>
      </c>
      <c r="K275" s="366" t="str">
        <f>'5-0 Товары'!H275</f>
        <v/>
      </c>
      <c r="L275" s="382" t="str">
        <f t="shared" si="1"/>
        <v/>
      </c>
      <c r="M275" s="382"/>
      <c r="N275" s="380"/>
      <c r="O275" s="369" t="str">
        <f>'5-0 Товары'!I275</f>
        <v/>
      </c>
      <c r="P275" s="371" t="str">
        <f>'5-0 Товары'!N275</f>
        <v/>
      </c>
      <c r="Q275" s="197"/>
      <c r="R275" s="193"/>
      <c r="S275" s="187"/>
      <c r="T275" s="187"/>
      <c r="U275" s="187"/>
      <c r="V275" s="187"/>
      <c r="W275" s="187"/>
      <c r="X275" s="187"/>
      <c r="Y275" s="187" t="s">
        <v>96</v>
      </c>
      <c r="Z275" s="193" t="str">
        <f t="shared" si="2"/>
        <v/>
      </c>
      <c r="AA275" s="383"/>
      <c r="AB275" s="384"/>
      <c r="AC275" s="385"/>
      <c r="AD275" s="383"/>
      <c r="AE275" s="384"/>
      <c r="AF275" s="385"/>
      <c r="AG275" s="383"/>
      <c r="AH275" s="384"/>
      <c r="AI275" s="385"/>
      <c r="AJ275" s="383"/>
      <c r="AK275" s="384"/>
      <c r="AL275" s="385"/>
      <c r="AM275" s="383"/>
      <c r="AN275" s="384"/>
      <c r="AO275" s="385"/>
      <c r="AP275" s="383"/>
      <c r="AQ275" s="384"/>
      <c r="AR275" s="385"/>
      <c r="AS275" s="383"/>
      <c r="AT275" s="384"/>
      <c r="AU275" s="385"/>
      <c r="AV275" s="383"/>
      <c r="AW275" s="384"/>
      <c r="AX275" s="385"/>
      <c r="AY275" s="383"/>
      <c r="AZ275" s="384"/>
      <c r="BA275" s="385"/>
      <c r="BB275" s="386"/>
      <c r="BC275" s="387"/>
      <c r="BD275" s="388"/>
      <c r="BE275" s="386"/>
      <c r="BF275" s="387"/>
      <c r="BG275" s="388"/>
      <c r="BH275" s="386"/>
      <c r="BI275" s="387"/>
      <c r="BJ275" s="388"/>
      <c r="BK275" s="386"/>
      <c r="BL275" s="387"/>
      <c r="BM275" s="388"/>
      <c r="BN275" s="386"/>
      <c r="BO275" s="387"/>
      <c r="BP275" s="388"/>
      <c r="BQ275" s="386"/>
      <c r="BR275" s="387"/>
      <c r="BS275" s="388"/>
      <c r="BT275" s="386"/>
      <c r="BU275" s="387"/>
      <c r="BV275" s="388"/>
      <c r="BW275" s="386"/>
      <c r="BX275" s="387"/>
      <c r="BY275" s="388"/>
      <c r="BZ275" s="386"/>
      <c r="CA275" s="387"/>
      <c r="CB275" s="388"/>
      <c r="CC275" s="386"/>
      <c r="CD275" s="387"/>
      <c r="CE275" s="388"/>
      <c r="CF275" s="386"/>
      <c r="CG275" s="387"/>
      <c r="CH275" s="388"/>
      <c r="CI275" s="386"/>
      <c r="CJ275" s="387"/>
      <c r="CK275" s="388"/>
      <c r="CL275" s="386"/>
      <c r="CM275" s="387"/>
      <c r="CN275" s="388"/>
      <c r="CO275" s="386"/>
      <c r="CP275" s="387"/>
      <c r="CQ275" s="388"/>
      <c r="CR275" s="386"/>
      <c r="CS275" s="387"/>
      <c r="CT275" s="388"/>
      <c r="CU275" s="386"/>
      <c r="CV275" s="387"/>
      <c r="CW275" s="388"/>
      <c r="CX275" s="386"/>
      <c r="CY275" s="387"/>
      <c r="CZ275" s="388"/>
    </row>
    <row r="276">
      <c r="A276" s="1"/>
      <c r="B276" s="402"/>
      <c r="C276" s="362" t="str">
        <f>'5-0 Товары'!C276</f>
        <v/>
      </c>
      <c r="D276" s="363" t="str">
        <f>'5-0 Товары'!D276</f>
        <v/>
      </c>
      <c r="E276" s="364" t="str">
        <f>'5-0 Товары'!E276</f>
        <v/>
      </c>
      <c r="F276" s="380"/>
      <c r="G276" s="380"/>
      <c r="H276" s="364" t="str">
        <f>'5-0 Товары'!F276</f>
        <v/>
      </c>
      <c r="I276" s="391"/>
      <c r="J276" s="364" t="str">
        <f>'5-0 Товары'!G276</f>
        <v/>
      </c>
      <c r="K276" s="366" t="str">
        <f>'5-0 Товары'!H276</f>
        <v/>
      </c>
      <c r="L276" s="382" t="str">
        <f t="shared" si="1"/>
        <v/>
      </c>
      <c r="M276" s="382"/>
      <c r="N276" s="380"/>
      <c r="O276" s="369" t="str">
        <f>'5-0 Товары'!I276</f>
        <v/>
      </c>
      <c r="P276" s="371" t="str">
        <f>'5-0 Товары'!N276</f>
        <v/>
      </c>
      <c r="Q276" s="197"/>
      <c r="R276" s="193"/>
      <c r="S276" s="187"/>
      <c r="T276" s="187"/>
      <c r="U276" s="187"/>
      <c r="V276" s="187"/>
      <c r="W276" s="187"/>
      <c r="X276" s="187"/>
      <c r="Y276" s="187" t="s">
        <v>96</v>
      </c>
      <c r="Z276" s="193" t="str">
        <f t="shared" si="2"/>
        <v/>
      </c>
      <c r="AA276" s="383"/>
      <c r="AB276" s="384"/>
      <c r="AC276" s="385"/>
      <c r="AD276" s="383"/>
      <c r="AE276" s="384"/>
      <c r="AF276" s="385"/>
      <c r="AG276" s="383"/>
      <c r="AH276" s="384"/>
      <c r="AI276" s="385"/>
      <c r="AJ276" s="383"/>
      <c r="AK276" s="384"/>
      <c r="AL276" s="385"/>
      <c r="AM276" s="383"/>
      <c r="AN276" s="384"/>
      <c r="AO276" s="385"/>
      <c r="AP276" s="383"/>
      <c r="AQ276" s="384"/>
      <c r="AR276" s="385"/>
      <c r="AS276" s="383"/>
      <c r="AT276" s="384"/>
      <c r="AU276" s="385"/>
      <c r="AV276" s="383"/>
      <c r="AW276" s="384"/>
      <c r="AX276" s="385"/>
      <c r="AY276" s="383"/>
      <c r="AZ276" s="384"/>
      <c r="BA276" s="385"/>
      <c r="BB276" s="386"/>
      <c r="BC276" s="387"/>
      <c r="BD276" s="388"/>
      <c r="BE276" s="386"/>
      <c r="BF276" s="387"/>
      <c r="BG276" s="388"/>
      <c r="BH276" s="386"/>
      <c r="BI276" s="387"/>
      <c r="BJ276" s="388"/>
      <c r="BK276" s="386"/>
      <c r="BL276" s="387"/>
      <c r="BM276" s="388"/>
      <c r="BN276" s="386"/>
      <c r="BO276" s="387"/>
      <c r="BP276" s="388"/>
      <c r="BQ276" s="386"/>
      <c r="BR276" s="387"/>
      <c r="BS276" s="388"/>
      <c r="BT276" s="386"/>
      <c r="BU276" s="387"/>
      <c r="BV276" s="388"/>
      <c r="BW276" s="386"/>
      <c r="BX276" s="387"/>
      <c r="BY276" s="388"/>
      <c r="BZ276" s="386"/>
      <c r="CA276" s="387"/>
      <c r="CB276" s="388"/>
      <c r="CC276" s="386"/>
      <c r="CD276" s="387"/>
      <c r="CE276" s="388"/>
      <c r="CF276" s="386"/>
      <c r="CG276" s="387"/>
      <c r="CH276" s="388"/>
      <c r="CI276" s="386"/>
      <c r="CJ276" s="387"/>
      <c r="CK276" s="388"/>
      <c r="CL276" s="386"/>
      <c r="CM276" s="387"/>
      <c r="CN276" s="388"/>
      <c r="CO276" s="386"/>
      <c r="CP276" s="387"/>
      <c r="CQ276" s="388"/>
      <c r="CR276" s="386"/>
      <c r="CS276" s="387"/>
      <c r="CT276" s="388"/>
      <c r="CU276" s="386"/>
      <c r="CV276" s="387"/>
      <c r="CW276" s="388"/>
      <c r="CX276" s="386"/>
      <c r="CY276" s="387"/>
      <c r="CZ276" s="388"/>
    </row>
    <row r="277">
      <c r="A277" s="1"/>
      <c r="B277" s="402"/>
      <c r="C277" s="362" t="str">
        <f>'5-0 Товары'!C277</f>
        <v/>
      </c>
      <c r="D277" s="363" t="str">
        <f>'5-0 Товары'!D277</f>
        <v/>
      </c>
      <c r="E277" s="364" t="str">
        <f>'5-0 Товары'!E277</f>
        <v/>
      </c>
      <c r="F277" s="380"/>
      <c r="G277" s="380"/>
      <c r="H277" s="364" t="str">
        <f>'5-0 Товары'!F277</f>
        <v/>
      </c>
      <c r="I277" s="391"/>
      <c r="J277" s="364" t="str">
        <f>'5-0 Товары'!G277</f>
        <v/>
      </c>
      <c r="K277" s="366" t="str">
        <f>'5-0 Товары'!H277</f>
        <v/>
      </c>
      <c r="L277" s="382" t="str">
        <f t="shared" si="1"/>
        <v/>
      </c>
      <c r="M277" s="382"/>
      <c r="N277" s="380"/>
      <c r="O277" s="369" t="str">
        <f>'5-0 Товары'!I277</f>
        <v/>
      </c>
      <c r="P277" s="371" t="str">
        <f>'5-0 Товары'!N277</f>
        <v/>
      </c>
      <c r="Q277" s="197"/>
      <c r="R277" s="193"/>
      <c r="S277" s="187"/>
      <c r="T277" s="187"/>
      <c r="U277" s="187"/>
      <c r="V277" s="187"/>
      <c r="W277" s="187"/>
      <c r="X277" s="187"/>
      <c r="Y277" s="187" t="s">
        <v>96</v>
      </c>
      <c r="Z277" s="193" t="str">
        <f t="shared" si="2"/>
        <v/>
      </c>
      <c r="AA277" s="383"/>
      <c r="AB277" s="384"/>
      <c r="AC277" s="385"/>
      <c r="AD277" s="383"/>
      <c r="AE277" s="384"/>
      <c r="AF277" s="385"/>
      <c r="AG277" s="383"/>
      <c r="AH277" s="384"/>
      <c r="AI277" s="385"/>
      <c r="AJ277" s="383"/>
      <c r="AK277" s="384"/>
      <c r="AL277" s="385"/>
      <c r="AM277" s="383"/>
      <c r="AN277" s="384"/>
      <c r="AO277" s="385"/>
      <c r="AP277" s="383"/>
      <c r="AQ277" s="384"/>
      <c r="AR277" s="385"/>
      <c r="AS277" s="383"/>
      <c r="AT277" s="384"/>
      <c r="AU277" s="385"/>
      <c r="AV277" s="383"/>
      <c r="AW277" s="384"/>
      <c r="AX277" s="385"/>
      <c r="AY277" s="383"/>
      <c r="AZ277" s="384"/>
      <c r="BA277" s="385"/>
      <c r="BB277" s="386"/>
      <c r="BC277" s="387"/>
      <c r="BD277" s="388"/>
      <c r="BE277" s="386"/>
      <c r="BF277" s="387"/>
      <c r="BG277" s="388"/>
      <c r="BH277" s="386"/>
      <c r="BI277" s="387"/>
      <c r="BJ277" s="388"/>
      <c r="BK277" s="386"/>
      <c r="BL277" s="387"/>
      <c r="BM277" s="388"/>
      <c r="BN277" s="386"/>
      <c r="BO277" s="387"/>
      <c r="BP277" s="388"/>
      <c r="BQ277" s="386"/>
      <c r="BR277" s="387"/>
      <c r="BS277" s="388"/>
      <c r="BT277" s="386"/>
      <c r="BU277" s="387"/>
      <c r="BV277" s="388"/>
      <c r="BW277" s="386"/>
      <c r="BX277" s="387"/>
      <c r="BY277" s="388"/>
      <c r="BZ277" s="386"/>
      <c r="CA277" s="387"/>
      <c r="CB277" s="388"/>
      <c r="CC277" s="386"/>
      <c r="CD277" s="387"/>
      <c r="CE277" s="388"/>
      <c r="CF277" s="386"/>
      <c r="CG277" s="387"/>
      <c r="CH277" s="388"/>
      <c r="CI277" s="386"/>
      <c r="CJ277" s="387"/>
      <c r="CK277" s="388"/>
      <c r="CL277" s="386"/>
      <c r="CM277" s="387"/>
      <c r="CN277" s="388"/>
      <c r="CO277" s="386"/>
      <c r="CP277" s="387"/>
      <c r="CQ277" s="388"/>
      <c r="CR277" s="386"/>
      <c r="CS277" s="387"/>
      <c r="CT277" s="388"/>
      <c r="CU277" s="386"/>
      <c r="CV277" s="387"/>
      <c r="CW277" s="388"/>
      <c r="CX277" s="386"/>
      <c r="CY277" s="387"/>
      <c r="CZ277" s="388"/>
    </row>
    <row r="278">
      <c r="A278" s="1"/>
      <c r="B278" s="402"/>
      <c r="C278" s="362" t="str">
        <f>'5-0 Товары'!C278</f>
        <v/>
      </c>
      <c r="D278" s="363" t="str">
        <f>'5-0 Товары'!D278</f>
        <v/>
      </c>
      <c r="E278" s="364" t="str">
        <f>'5-0 Товары'!E278</f>
        <v/>
      </c>
      <c r="F278" s="380"/>
      <c r="G278" s="380"/>
      <c r="H278" s="364" t="str">
        <f>'5-0 Товары'!F278</f>
        <v/>
      </c>
      <c r="I278" s="391"/>
      <c r="J278" s="364" t="str">
        <f>'5-0 Товары'!G278</f>
        <v/>
      </c>
      <c r="K278" s="366" t="str">
        <f>'5-0 Товары'!H278</f>
        <v/>
      </c>
      <c r="L278" s="382" t="str">
        <f t="shared" si="1"/>
        <v/>
      </c>
      <c r="M278" s="382"/>
      <c r="N278" s="380"/>
      <c r="O278" s="369" t="str">
        <f>'5-0 Товары'!I278</f>
        <v/>
      </c>
      <c r="P278" s="371" t="str">
        <f>'5-0 Товары'!N278</f>
        <v/>
      </c>
      <c r="Q278" s="197"/>
      <c r="R278" s="193"/>
      <c r="S278" s="187"/>
      <c r="T278" s="187"/>
      <c r="U278" s="187"/>
      <c r="V278" s="187"/>
      <c r="W278" s="187"/>
      <c r="X278" s="187"/>
      <c r="Y278" s="187" t="s">
        <v>96</v>
      </c>
      <c r="Z278" s="193" t="str">
        <f t="shared" si="2"/>
        <v/>
      </c>
      <c r="AA278" s="383"/>
      <c r="AB278" s="384"/>
      <c r="AC278" s="385"/>
      <c r="AD278" s="383"/>
      <c r="AE278" s="384"/>
      <c r="AF278" s="385"/>
      <c r="AG278" s="383"/>
      <c r="AH278" s="384"/>
      <c r="AI278" s="385"/>
      <c r="AJ278" s="383"/>
      <c r="AK278" s="384"/>
      <c r="AL278" s="385"/>
      <c r="AM278" s="383"/>
      <c r="AN278" s="384"/>
      <c r="AO278" s="385"/>
      <c r="AP278" s="383"/>
      <c r="AQ278" s="384"/>
      <c r="AR278" s="385"/>
      <c r="AS278" s="383"/>
      <c r="AT278" s="384"/>
      <c r="AU278" s="385"/>
      <c r="AV278" s="383"/>
      <c r="AW278" s="384"/>
      <c r="AX278" s="385"/>
      <c r="AY278" s="383"/>
      <c r="AZ278" s="384"/>
      <c r="BA278" s="385"/>
      <c r="BB278" s="386"/>
      <c r="BC278" s="387"/>
      <c r="BD278" s="388"/>
      <c r="BE278" s="386"/>
      <c r="BF278" s="387"/>
      <c r="BG278" s="388"/>
      <c r="BH278" s="386"/>
      <c r="BI278" s="387"/>
      <c r="BJ278" s="388"/>
      <c r="BK278" s="386"/>
      <c r="BL278" s="387"/>
      <c r="BM278" s="388"/>
      <c r="BN278" s="386"/>
      <c r="BO278" s="387"/>
      <c r="BP278" s="388"/>
      <c r="BQ278" s="386"/>
      <c r="BR278" s="387"/>
      <c r="BS278" s="388"/>
      <c r="BT278" s="386"/>
      <c r="BU278" s="387"/>
      <c r="BV278" s="388"/>
      <c r="BW278" s="386"/>
      <c r="BX278" s="387"/>
      <c r="BY278" s="388"/>
      <c r="BZ278" s="386"/>
      <c r="CA278" s="387"/>
      <c r="CB278" s="388"/>
      <c r="CC278" s="386"/>
      <c r="CD278" s="387"/>
      <c r="CE278" s="388"/>
      <c r="CF278" s="386"/>
      <c r="CG278" s="387"/>
      <c r="CH278" s="388"/>
      <c r="CI278" s="386"/>
      <c r="CJ278" s="387"/>
      <c r="CK278" s="388"/>
      <c r="CL278" s="386"/>
      <c r="CM278" s="387"/>
      <c r="CN278" s="388"/>
      <c r="CO278" s="386"/>
      <c r="CP278" s="387"/>
      <c r="CQ278" s="388"/>
      <c r="CR278" s="386"/>
      <c r="CS278" s="387"/>
      <c r="CT278" s="388"/>
      <c r="CU278" s="386"/>
      <c r="CV278" s="387"/>
      <c r="CW278" s="388"/>
      <c r="CX278" s="386"/>
      <c r="CY278" s="387"/>
      <c r="CZ278" s="388"/>
    </row>
    <row r="279">
      <c r="A279" s="1"/>
      <c r="B279" s="402"/>
      <c r="C279" s="362" t="str">
        <f>'5-0 Товары'!C279</f>
        <v/>
      </c>
      <c r="D279" s="363" t="str">
        <f>'5-0 Товары'!D279</f>
        <v/>
      </c>
      <c r="E279" s="364" t="str">
        <f>'5-0 Товары'!E279</f>
        <v/>
      </c>
      <c r="F279" s="380"/>
      <c r="G279" s="380"/>
      <c r="H279" s="364" t="str">
        <f>'5-0 Товары'!F279</f>
        <v/>
      </c>
      <c r="I279" s="391"/>
      <c r="J279" s="364" t="str">
        <f>'5-0 Товары'!G279</f>
        <v/>
      </c>
      <c r="K279" s="366" t="str">
        <f>'5-0 Товары'!H279</f>
        <v/>
      </c>
      <c r="L279" s="382" t="str">
        <f t="shared" si="1"/>
        <v/>
      </c>
      <c r="M279" s="382"/>
      <c r="N279" s="380"/>
      <c r="O279" s="369" t="str">
        <f>'5-0 Товары'!I279</f>
        <v/>
      </c>
      <c r="P279" s="371" t="str">
        <f>'5-0 Товары'!N279</f>
        <v/>
      </c>
      <c r="Q279" s="197"/>
      <c r="R279" s="193"/>
      <c r="S279" s="187"/>
      <c r="T279" s="187"/>
      <c r="U279" s="187"/>
      <c r="V279" s="187"/>
      <c r="W279" s="187"/>
      <c r="X279" s="187"/>
      <c r="Y279" s="187" t="s">
        <v>96</v>
      </c>
      <c r="Z279" s="193" t="str">
        <f t="shared" si="2"/>
        <v/>
      </c>
      <c r="AA279" s="383"/>
      <c r="AB279" s="384"/>
      <c r="AC279" s="385"/>
      <c r="AD279" s="383"/>
      <c r="AE279" s="384"/>
      <c r="AF279" s="385"/>
      <c r="AG279" s="383"/>
      <c r="AH279" s="384"/>
      <c r="AI279" s="385"/>
      <c r="AJ279" s="383"/>
      <c r="AK279" s="384"/>
      <c r="AL279" s="385"/>
      <c r="AM279" s="383"/>
      <c r="AN279" s="384"/>
      <c r="AO279" s="385"/>
      <c r="AP279" s="383"/>
      <c r="AQ279" s="384"/>
      <c r="AR279" s="385"/>
      <c r="AS279" s="383"/>
      <c r="AT279" s="384"/>
      <c r="AU279" s="385"/>
      <c r="AV279" s="383"/>
      <c r="AW279" s="384"/>
      <c r="AX279" s="385"/>
      <c r="AY279" s="383"/>
      <c r="AZ279" s="384"/>
      <c r="BA279" s="385"/>
      <c r="BB279" s="386"/>
      <c r="BC279" s="387"/>
      <c r="BD279" s="388"/>
      <c r="BE279" s="386"/>
      <c r="BF279" s="387"/>
      <c r="BG279" s="388"/>
      <c r="BH279" s="386"/>
      <c r="BI279" s="387"/>
      <c r="BJ279" s="388"/>
      <c r="BK279" s="386"/>
      <c r="BL279" s="387"/>
      <c r="BM279" s="388"/>
      <c r="BN279" s="386"/>
      <c r="BO279" s="387"/>
      <c r="BP279" s="388"/>
      <c r="BQ279" s="386"/>
      <c r="BR279" s="387"/>
      <c r="BS279" s="388"/>
      <c r="BT279" s="386"/>
      <c r="BU279" s="387"/>
      <c r="BV279" s="388"/>
      <c r="BW279" s="386"/>
      <c r="BX279" s="387"/>
      <c r="BY279" s="388"/>
      <c r="BZ279" s="386"/>
      <c r="CA279" s="387"/>
      <c r="CB279" s="388"/>
      <c r="CC279" s="386"/>
      <c r="CD279" s="387"/>
      <c r="CE279" s="388"/>
      <c r="CF279" s="386"/>
      <c r="CG279" s="387"/>
      <c r="CH279" s="388"/>
      <c r="CI279" s="386"/>
      <c r="CJ279" s="387"/>
      <c r="CK279" s="388"/>
      <c r="CL279" s="386"/>
      <c r="CM279" s="387"/>
      <c r="CN279" s="388"/>
      <c r="CO279" s="386"/>
      <c r="CP279" s="387"/>
      <c r="CQ279" s="388"/>
      <c r="CR279" s="386"/>
      <c r="CS279" s="387"/>
      <c r="CT279" s="388"/>
      <c r="CU279" s="386"/>
      <c r="CV279" s="387"/>
      <c r="CW279" s="388"/>
      <c r="CX279" s="386"/>
      <c r="CY279" s="387"/>
      <c r="CZ279" s="388"/>
    </row>
    <row r="280">
      <c r="A280" s="1"/>
      <c r="B280" s="402"/>
      <c r="C280" s="362" t="str">
        <f>'5-0 Товары'!C280</f>
        <v/>
      </c>
      <c r="D280" s="363" t="str">
        <f>'5-0 Товары'!D280</f>
        <v/>
      </c>
      <c r="E280" s="364" t="str">
        <f>'5-0 Товары'!E280</f>
        <v/>
      </c>
      <c r="F280" s="380"/>
      <c r="G280" s="380"/>
      <c r="H280" s="364" t="str">
        <f>'5-0 Товары'!F280</f>
        <v/>
      </c>
      <c r="I280" s="391"/>
      <c r="J280" s="364" t="str">
        <f>'5-0 Товары'!G280</f>
        <v/>
      </c>
      <c r="K280" s="366" t="str">
        <f>'5-0 Товары'!H280</f>
        <v/>
      </c>
      <c r="L280" s="382" t="str">
        <f t="shared" si="1"/>
        <v/>
      </c>
      <c r="M280" s="382"/>
      <c r="N280" s="380"/>
      <c r="O280" s="369" t="str">
        <f>'5-0 Товары'!I280</f>
        <v/>
      </c>
      <c r="P280" s="371" t="str">
        <f>'5-0 Товары'!N280</f>
        <v/>
      </c>
      <c r="Q280" s="197"/>
      <c r="R280" s="193"/>
      <c r="S280" s="187"/>
      <c r="T280" s="187"/>
      <c r="U280" s="187"/>
      <c r="V280" s="187"/>
      <c r="W280" s="187"/>
      <c r="X280" s="187"/>
      <c r="Y280" s="187" t="s">
        <v>96</v>
      </c>
      <c r="Z280" s="193" t="str">
        <f t="shared" si="2"/>
        <v/>
      </c>
      <c r="AA280" s="383"/>
      <c r="AB280" s="384"/>
      <c r="AC280" s="385"/>
      <c r="AD280" s="383"/>
      <c r="AE280" s="384"/>
      <c r="AF280" s="385"/>
      <c r="AG280" s="383"/>
      <c r="AH280" s="384"/>
      <c r="AI280" s="385"/>
      <c r="AJ280" s="383"/>
      <c r="AK280" s="384"/>
      <c r="AL280" s="385"/>
      <c r="AM280" s="383"/>
      <c r="AN280" s="384"/>
      <c r="AO280" s="385"/>
      <c r="AP280" s="383"/>
      <c r="AQ280" s="384"/>
      <c r="AR280" s="385"/>
      <c r="AS280" s="383"/>
      <c r="AT280" s="384"/>
      <c r="AU280" s="385"/>
      <c r="AV280" s="383"/>
      <c r="AW280" s="384"/>
      <c r="AX280" s="385"/>
      <c r="AY280" s="383"/>
      <c r="AZ280" s="384"/>
      <c r="BA280" s="385"/>
      <c r="BB280" s="386"/>
      <c r="BC280" s="387"/>
      <c r="BD280" s="388"/>
      <c r="BE280" s="386"/>
      <c r="BF280" s="387"/>
      <c r="BG280" s="388"/>
      <c r="BH280" s="386"/>
      <c r="BI280" s="387"/>
      <c r="BJ280" s="388"/>
      <c r="BK280" s="386"/>
      <c r="BL280" s="387"/>
      <c r="BM280" s="388"/>
      <c r="BN280" s="386"/>
      <c r="BO280" s="387"/>
      <c r="BP280" s="388"/>
      <c r="BQ280" s="386"/>
      <c r="BR280" s="387"/>
      <c r="BS280" s="388"/>
      <c r="BT280" s="386"/>
      <c r="BU280" s="387"/>
      <c r="BV280" s="388"/>
      <c r="BW280" s="386"/>
      <c r="BX280" s="387"/>
      <c r="BY280" s="388"/>
      <c r="BZ280" s="386"/>
      <c r="CA280" s="387"/>
      <c r="CB280" s="388"/>
      <c r="CC280" s="386"/>
      <c r="CD280" s="387"/>
      <c r="CE280" s="388"/>
      <c r="CF280" s="386"/>
      <c r="CG280" s="387"/>
      <c r="CH280" s="388"/>
      <c r="CI280" s="386"/>
      <c r="CJ280" s="387"/>
      <c r="CK280" s="388"/>
      <c r="CL280" s="386"/>
      <c r="CM280" s="387"/>
      <c r="CN280" s="388"/>
      <c r="CO280" s="386"/>
      <c r="CP280" s="387"/>
      <c r="CQ280" s="388"/>
      <c r="CR280" s="386"/>
      <c r="CS280" s="387"/>
      <c r="CT280" s="388"/>
      <c r="CU280" s="386"/>
      <c r="CV280" s="387"/>
      <c r="CW280" s="388"/>
      <c r="CX280" s="386"/>
      <c r="CY280" s="387"/>
      <c r="CZ280" s="388"/>
    </row>
    <row r="281">
      <c r="A281" s="1"/>
      <c r="B281" s="402"/>
      <c r="C281" s="362" t="str">
        <f>'5-0 Товары'!C281</f>
        <v/>
      </c>
      <c r="D281" s="363" t="str">
        <f>'5-0 Товары'!D281</f>
        <v/>
      </c>
      <c r="E281" s="364" t="str">
        <f>'5-0 Товары'!E281</f>
        <v/>
      </c>
      <c r="F281" s="380"/>
      <c r="G281" s="380"/>
      <c r="H281" s="364" t="str">
        <f>'5-0 Товары'!F281</f>
        <v/>
      </c>
      <c r="I281" s="391"/>
      <c r="J281" s="364" t="str">
        <f>'5-0 Товары'!G281</f>
        <v/>
      </c>
      <c r="K281" s="366" t="str">
        <f>'5-0 Товары'!H281</f>
        <v/>
      </c>
      <c r="L281" s="382" t="str">
        <f t="shared" si="1"/>
        <v/>
      </c>
      <c r="M281" s="382"/>
      <c r="N281" s="380"/>
      <c r="O281" s="369" t="str">
        <f>'5-0 Товары'!I281</f>
        <v/>
      </c>
      <c r="P281" s="371" t="str">
        <f>'5-0 Товары'!N281</f>
        <v/>
      </c>
      <c r="Q281" s="197"/>
      <c r="R281" s="193"/>
      <c r="S281" s="187"/>
      <c r="T281" s="187"/>
      <c r="U281" s="187"/>
      <c r="V281" s="187"/>
      <c r="W281" s="187"/>
      <c r="X281" s="187"/>
      <c r="Y281" s="187" t="s">
        <v>96</v>
      </c>
      <c r="Z281" s="193" t="str">
        <f t="shared" si="2"/>
        <v/>
      </c>
      <c r="AA281" s="383"/>
      <c r="AB281" s="384"/>
      <c r="AC281" s="385"/>
      <c r="AD281" s="383"/>
      <c r="AE281" s="384"/>
      <c r="AF281" s="385"/>
      <c r="AG281" s="383"/>
      <c r="AH281" s="384"/>
      <c r="AI281" s="385"/>
      <c r="AJ281" s="383"/>
      <c r="AK281" s="384"/>
      <c r="AL281" s="385"/>
      <c r="AM281" s="383"/>
      <c r="AN281" s="384"/>
      <c r="AO281" s="385"/>
      <c r="AP281" s="383"/>
      <c r="AQ281" s="384"/>
      <c r="AR281" s="385"/>
      <c r="AS281" s="383"/>
      <c r="AT281" s="384"/>
      <c r="AU281" s="385"/>
      <c r="AV281" s="383"/>
      <c r="AW281" s="384"/>
      <c r="AX281" s="385"/>
      <c r="AY281" s="383"/>
      <c r="AZ281" s="384"/>
      <c r="BA281" s="385"/>
      <c r="BB281" s="386"/>
      <c r="BC281" s="387"/>
      <c r="BD281" s="388"/>
      <c r="BE281" s="386"/>
      <c r="BF281" s="387"/>
      <c r="BG281" s="388"/>
      <c r="BH281" s="386"/>
      <c r="BI281" s="387"/>
      <c r="BJ281" s="388"/>
      <c r="BK281" s="386"/>
      <c r="BL281" s="387"/>
      <c r="BM281" s="388"/>
      <c r="BN281" s="386"/>
      <c r="BO281" s="387"/>
      <c r="BP281" s="388"/>
      <c r="BQ281" s="386"/>
      <c r="BR281" s="387"/>
      <c r="BS281" s="388"/>
      <c r="BT281" s="386"/>
      <c r="BU281" s="387"/>
      <c r="BV281" s="388"/>
      <c r="BW281" s="386"/>
      <c r="BX281" s="387"/>
      <c r="BY281" s="388"/>
      <c r="BZ281" s="386"/>
      <c r="CA281" s="387"/>
      <c r="CB281" s="388"/>
      <c r="CC281" s="386"/>
      <c r="CD281" s="387"/>
      <c r="CE281" s="388"/>
      <c r="CF281" s="386"/>
      <c r="CG281" s="387"/>
      <c r="CH281" s="388"/>
      <c r="CI281" s="386"/>
      <c r="CJ281" s="387"/>
      <c r="CK281" s="388"/>
      <c r="CL281" s="386"/>
      <c r="CM281" s="387"/>
      <c r="CN281" s="388"/>
      <c r="CO281" s="386"/>
      <c r="CP281" s="387"/>
      <c r="CQ281" s="388"/>
      <c r="CR281" s="386"/>
      <c r="CS281" s="387"/>
      <c r="CT281" s="388"/>
      <c r="CU281" s="386"/>
      <c r="CV281" s="387"/>
      <c r="CW281" s="388"/>
      <c r="CX281" s="386"/>
      <c r="CY281" s="387"/>
      <c r="CZ281" s="388"/>
    </row>
    <row r="282">
      <c r="A282" s="1"/>
      <c r="B282" s="402"/>
      <c r="C282" s="362" t="str">
        <f>'5-0 Товары'!C282</f>
        <v/>
      </c>
      <c r="D282" s="363" t="str">
        <f>'5-0 Товары'!D282</f>
        <v/>
      </c>
      <c r="E282" s="364" t="str">
        <f>'5-0 Товары'!E282</f>
        <v/>
      </c>
      <c r="F282" s="380"/>
      <c r="G282" s="380"/>
      <c r="H282" s="364" t="str">
        <f>'5-0 Товары'!F282</f>
        <v/>
      </c>
      <c r="I282" s="391"/>
      <c r="J282" s="364" t="str">
        <f>'5-0 Товары'!G282</f>
        <v/>
      </c>
      <c r="K282" s="366" t="str">
        <f>'5-0 Товары'!H282</f>
        <v/>
      </c>
      <c r="L282" s="382" t="str">
        <f t="shared" si="1"/>
        <v/>
      </c>
      <c r="M282" s="382"/>
      <c r="N282" s="380"/>
      <c r="O282" s="369" t="str">
        <f>'5-0 Товары'!I282</f>
        <v/>
      </c>
      <c r="P282" s="371" t="str">
        <f>'5-0 Товары'!N282</f>
        <v/>
      </c>
      <c r="Q282" s="197"/>
      <c r="R282" s="193"/>
      <c r="S282" s="187"/>
      <c r="T282" s="187"/>
      <c r="U282" s="187"/>
      <c r="V282" s="187"/>
      <c r="W282" s="187"/>
      <c r="X282" s="187"/>
      <c r="Y282" s="187" t="s">
        <v>96</v>
      </c>
      <c r="Z282" s="193" t="str">
        <f t="shared" si="2"/>
        <v/>
      </c>
      <c r="AA282" s="383"/>
      <c r="AB282" s="384"/>
      <c r="AC282" s="385"/>
      <c r="AD282" s="383"/>
      <c r="AE282" s="384"/>
      <c r="AF282" s="385"/>
      <c r="AG282" s="383"/>
      <c r="AH282" s="384"/>
      <c r="AI282" s="385"/>
      <c r="AJ282" s="383"/>
      <c r="AK282" s="384"/>
      <c r="AL282" s="385"/>
      <c r="AM282" s="383"/>
      <c r="AN282" s="384"/>
      <c r="AO282" s="385"/>
      <c r="AP282" s="383"/>
      <c r="AQ282" s="384"/>
      <c r="AR282" s="385"/>
      <c r="AS282" s="383"/>
      <c r="AT282" s="384"/>
      <c r="AU282" s="385"/>
      <c r="AV282" s="383"/>
      <c r="AW282" s="384"/>
      <c r="AX282" s="385"/>
      <c r="AY282" s="383"/>
      <c r="AZ282" s="384"/>
      <c r="BA282" s="385"/>
      <c r="BB282" s="386"/>
      <c r="BC282" s="387"/>
      <c r="BD282" s="388"/>
      <c r="BE282" s="386"/>
      <c r="BF282" s="387"/>
      <c r="BG282" s="388"/>
      <c r="BH282" s="386"/>
      <c r="BI282" s="387"/>
      <c r="BJ282" s="388"/>
      <c r="BK282" s="386"/>
      <c r="BL282" s="387"/>
      <c r="BM282" s="388"/>
      <c r="BN282" s="386"/>
      <c r="BO282" s="387"/>
      <c r="BP282" s="388"/>
      <c r="BQ282" s="386"/>
      <c r="BR282" s="387"/>
      <c r="BS282" s="388"/>
      <c r="BT282" s="386"/>
      <c r="BU282" s="387"/>
      <c r="BV282" s="388"/>
      <c r="BW282" s="386"/>
      <c r="BX282" s="387"/>
      <c r="BY282" s="388"/>
      <c r="BZ282" s="386"/>
      <c r="CA282" s="387"/>
      <c r="CB282" s="388"/>
      <c r="CC282" s="386"/>
      <c r="CD282" s="387"/>
      <c r="CE282" s="388"/>
      <c r="CF282" s="386"/>
      <c r="CG282" s="387"/>
      <c r="CH282" s="388"/>
      <c r="CI282" s="386"/>
      <c r="CJ282" s="387"/>
      <c r="CK282" s="388"/>
      <c r="CL282" s="386"/>
      <c r="CM282" s="387"/>
      <c r="CN282" s="388"/>
      <c r="CO282" s="386"/>
      <c r="CP282" s="387"/>
      <c r="CQ282" s="388"/>
      <c r="CR282" s="386"/>
      <c r="CS282" s="387"/>
      <c r="CT282" s="388"/>
      <c r="CU282" s="386"/>
      <c r="CV282" s="387"/>
      <c r="CW282" s="388"/>
      <c r="CX282" s="386"/>
      <c r="CY282" s="387"/>
      <c r="CZ282" s="388"/>
    </row>
    <row r="283">
      <c r="A283" s="1"/>
      <c r="B283" s="402"/>
      <c r="C283" s="362" t="str">
        <f>'5-0 Товары'!C283</f>
        <v/>
      </c>
      <c r="D283" s="363" t="str">
        <f>'5-0 Товары'!D283</f>
        <v/>
      </c>
      <c r="E283" s="364" t="str">
        <f>'5-0 Товары'!E283</f>
        <v/>
      </c>
      <c r="F283" s="380"/>
      <c r="G283" s="380"/>
      <c r="H283" s="364" t="str">
        <f>'5-0 Товары'!F283</f>
        <v/>
      </c>
      <c r="I283" s="391"/>
      <c r="J283" s="364" t="str">
        <f>'5-0 Товары'!G283</f>
        <v/>
      </c>
      <c r="K283" s="366" t="str">
        <f>'5-0 Товары'!H283</f>
        <v/>
      </c>
      <c r="L283" s="382" t="str">
        <f t="shared" si="1"/>
        <v/>
      </c>
      <c r="M283" s="382"/>
      <c r="N283" s="380"/>
      <c r="O283" s="369" t="str">
        <f>'5-0 Товары'!I283</f>
        <v/>
      </c>
      <c r="P283" s="371" t="str">
        <f>'5-0 Товары'!N283</f>
        <v/>
      </c>
      <c r="Q283" s="197"/>
      <c r="R283" s="193"/>
      <c r="S283" s="187"/>
      <c r="T283" s="187"/>
      <c r="U283" s="187"/>
      <c r="V283" s="187"/>
      <c r="W283" s="187"/>
      <c r="X283" s="187"/>
      <c r="Y283" s="187" t="s">
        <v>96</v>
      </c>
      <c r="Z283" s="193" t="str">
        <f t="shared" si="2"/>
        <v/>
      </c>
      <c r="AA283" s="383"/>
      <c r="AB283" s="384"/>
      <c r="AC283" s="385"/>
      <c r="AD283" s="383"/>
      <c r="AE283" s="384"/>
      <c r="AF283" s="385"/>
      <c r="AG283" s="383"/>
      <c r="AH283" s="384"/>
      <c r="AI283" s="385"/>
      <c r="AJ283" s="383"/>
      <c r="AK283" s="384"/>
      <c r="AL283" s="385"/>
      <c r="AM283" s="383"/>
      <c r="AN283" s="384"/>
      <c r="AO283" s="385"/>
      <c r="AP283" s="383"/>
      <c r="AQ283" s="384"/>
      <c r="AR283" s="385"/>
      <c r="AS283" s="383"/>
      <c r="AT283" s="384"/>
      <c r="AU283" s="385"/>
      <c r="AV283" s="383"/>
      <c r="AW283" s="384"/>
      <c r="AX283" s="385"/>
      <c r="AY283" s="383"/>
      <c r="AZ283" s="384"/>
      <c r="BA283" s="385"/>
      <c r="BB283" s="386"/>
      <c r="BC283" s="387"/>
      <c r="BD283" s="388"/>
      <c r="BE283" s="386"/>
      <c r="BF283" s="387"/>
      <c r="BG283" s="388"/>
      <c r="BH283" s="386"/>
      <c r="BI283" s="387"/>
      <c r="BJ283" s="388"/>
      <c r="BK283" s="386"/>
      <c r="BL283" s="387"/>
      <c r="BM283" s="388"/>
      <c r="BN283" s="386"/>
      <c r="BO283" s="387"/>
      <c r="BP283" s="388"/>
      <c r="BQ283" s="386"/>
      <c r="BR283" s="387"/>
      <c r="BS283" s="388"/>
      <c r="BT283" s="386"/>
      <c r="BU283" s="387"/>
      <c r="BV283" s="388"/>
      <c r="BW283" s="386"/>
      <c r="BX283" s="387"/>
      <c r="BY283" s="388"/>
      <c r="BZ283" s="386"/>
      <c r="CA283" s="387"/>
      <c r="CB283" s="388"/>
      <c r="CC283" s="386"/>
      <c r="CD283" s="387"/>
      <c r="CE283" s="388"/>
      <c r="CF283" s="386"/>
      <c r="CG283" s="387"/>
      <c r="CH283" s="388"/>
      <c r="CI283" s="386"/>
      <c r="CJ283" s="387"/>
      <c r="CK283" s="388"/>
      <c r="CL283" s="386"/>
      <c r="CM283" s="387"/>
      <c r="CN283" s="388"/>
      <c r="CO283" s="386"/>
      <c r="CP283" s="387"/>
      <c r="CQ283" s="388"/>
      <c r="CR283" s="386"/>
      <c r="CS283" s="387"/>
      <c r="CT283" s="388"/>
      <c r="CU283" s="386"/>
      <c r="CV283" s="387"/>
      <c r="CW283" s="388"/>
      <c r="CX283" s="386"/>
      <c r="CY283" s="387"/>
      <c r="CZ283" s="388"/>
    </row>
    <row r="284">
      <c r="A284" s="1"/>
      <c r="B284" s="402"/>
      <c r="C284" s="362" t="str">
        <f>'5-0 Товары'!C284</f>
        <v/>
      </c>
      <c r="D284" s="363" t="str">
        <f>'5-0 Товары'!D284</f>
        <v/>
      </c>
      <c r="E284" s="364" t="str">
        <f>'5-0 Товары'!E284</f>
        <v/>
      </c>
      <c r="F284" s="380"/>
      <c r="G284" s="380"/>
      <c r="H284" s="364" t="str">
        <f>'5-0 Товары'!F284</f>
        <v/>
      </c>
      <c r="I284" s="391"/>
      <c r="J284" s="364" t="str">
        <f>'5-0 Товары'!G284</f>
        <v/>
      </c>
      <c r="K284" s="366" t="str">
        <f>'5-0 Товары'!H284</f>
        <v/>
      </c>
      <c r="L284" s="382" t="str">
        <f t="shared" si="1"/>
        <v/>
      </c>
      <c r="M284" s="382"/>
      <c r="N284" s="380"/>
      <c r="O284" s="369" t="str">
        <f>'5-0 Товары'!I284</f>
        <v/>
      </c>
      <c r="P284" s="371" t="str">
        <f>'5-0 Товары'!N284</f>
        <v/>
      </c>
      <c r="Q284" s="197"/>
      <c r="R284" s="193"/>
      <c r="S284" s="187"/>
      <c r="T284" s="187"/>
      <c r="U284" s="187"/>
      <c r="V284" s="187"/>
      <c r="W284" s="187"/>
      <c r="X284" s="187"/>
      <c r="Y284" s="187" t="s">
        <v>96</v>
      </c>
      <c r="Z284" s="193" t="str">
        <f t="shared" si="2"/>
        <v/>
      </c>
      <c r="AA284" s="383"/>
      <c r="AB284" s="384"/>
      <c r="AC284" s="385"/>
      <c r="AD284" s="383"/>
      <c r="AE284" s="384"/>
      <c r="AF284" s="385"/>
      <c r="AG284" s="383"/>
      <c r="AH284" s="384"/>
      <c r="AI284" s="385"/>
      <c r="AJ284" s="383"/>
      <c r="AK284" s="384"/>
      <c r="AL284" s="385"/>
      <c r="AM284" s="383"/>
      <c r="AN284" s="384"/>
      <c r="AO284" s="385"/>
      <c r="AP284" s="383"/>
      <c r="AQ284" s="384"/>
      <c r="AR284" s="385"/>
      <c r="AS284" s="383"/>
      <c r="AT284" s="384"/>
      <c r="AU284" s="385"/>
      <c r="AV284" s="383"/>
      <c r="AW284" s="384"/>
      <c r="AX284" s="385"/>
      <c r="AY284" s="383"/>
      <c r="AZ284" s="384"/>
      <c r="BA284" s="385"/>
      <c r="BB284" s="386"/>
      <c r="BC284" s="387"/>
      <c r="BD284" s="388"/>
      <c r="BE284" s="386"/>
      <c r="BF284" s="387"/>
      <c r="BG284" s="388"/>
      <c r="BH284" s="386"/>
      <c r="BI284" s="387"/>
      <c r="BJ284" s="388"/>
      <c r="BK284" s="386"/>
      <c r="BL284" s="387"/>
      <c r="BM284" s="388"/>
      <c r="BN284" s="386"/>
      <c r="BO284" s="387"/>
      <c r="BP284" s="388"/>
      <c r="BQ284" s="386"/>
      <c r="BR284" s="387"/>
      <c r="BS284" s="388"/>
      <c r="BT284" s="386"/>
      <c r="BU284" s="387"/>
      <c r="BV284" s="388"/>
      <c r="BW284" s="386"/>
      <c r="BX284" s="387"/>
      <c r="BY284" s="388"/>
      <c r="BZ284" s="386"/>
      <c r="CA284" s="387"/>
      <c r="CB284" s="388"/>
      <c r="CC284" s="386"/>
      <c r="CD284" s="387"/>
      <c r="CE284" s="388"/>
      <c r="CF284" s="386"/>
      <c r="CG284" s="387"/>
      <c r="CH284" s="388"/>
      <c r="CI284" s="386"/>
      <c r="CJ284" s="387"/>
      <c r="CK284" s="388"/>
      <c r="CL284" s="386"/>
      <c r="CM284" s="387"/>
      <c r="CN284" s="388"/>
      <c r="CO284" s="386"/>
      <c r="CP284" s="387"/>
      <c r="CQ284" s="388"/>
      <c r="CR284" s="386"/>
      <c r="CS284" s="387"/>
      <c r="CT284" s="388"/>
      <c r="CU284" s="386"/>
      <c r="CV284" s="387"/>
      <c r="CW284" s="388"/>
      <c r="CX284" s="386"/>
      <c r="CY284" s="387"/>
      <c r="CZ284" s="388"/>
    </row>
    <row r="285">
      <c r="A285" s="1"/>
      <c r="B285" s="402"/>
      <c r="C285" s="362" t="str">
        <f>'5-0 Товары'!C285</f>
        <v/>
      </c>
      <c r="D285" s="363" t="str">
        <f>'5-0 Товары'!D285</f>
        <v/>
      </c>
      <c r="E285" s="364" t="str">
        <f>'5-0 Товары'!E285</f>
        <v/>
      </c>
      <c r="F285" s="380"/>
      <c r="G285" s="380"/>
      <c r="H285" s="364" t="str">
        <f>'5-0 Товары'!F285</f>
        <v/>
      </c>
      <c r="I285" s="391"/>
      <c r="J285" s="364" t="str">
        <f>'5-0 Товары'!G285</f>
        <v/>
      </c>
      <c r="K285" s="366" t="str">
        <f>'5-0 Товары'!H285</f>
        <v/>
      </c>
      <c r="L285" s="382" t="str">
        <f t="shared" si="1"/>
        <v/>
      </c>
      <c r="M285" s="382"/>
      <c r="N285" s="380"/>
      <c r="O285" s="369" t="str">
        <f>'5-0 Товары'!I285</f>
        <v/>
      </c>
      <c r="P285" s="371" t="str">
        <f>'5-0 Товары'!N285</f>
        <v/>
      </c>
      <c r="Q285" s="197"/>
      <c r="R285" s="193"/>
      <c r="S285" s="187"/>
      <c r="T285" s="187"/>
      <c r="U285" s="187"/>
      <c r="V285" s="187"/>
      <c r="W285" s="187"/>
      <c r="X285" s="187"/>
      <c r="Y285" s="187" t="s">
        <v>96</v>
      </c>
      <c r="Z285" s="193" t="str">
        <f t="shared" si="2"/>
        <v/>
      </c>
      <c r="AA285" s="383"/>
      <c r="AB285" s="384"/>
      <c r="AC285" s="385"/>
      <c r="AD285" s="383"/>
      <c r="AE285" s="384"/>
      <c r="AF285" s="385"/>
      <c r="AG285" s="383"/>
      <c r="AH285" s="384"/>
      <c r="AI285" s="385"/>
      <c r="AJ285" s="383"/>
      <c r="AK285" s="384"/>
      <c r="AL285" s="385"/>
      <c r="AM285" s="383"/>
      <c r="AN285" s="384"/>
      <c r="AO285" s="385"/>
      <c r="AP285" s="383"/>
      <c r="AQ285" s="384"/>
      <c r="AR285" s="385"/>
      <c r="AS285" s="383"/>
      <c r="AT285" s="384"/>
      <c r="AU285" s="385"/>
      <c r="AV285" s="383"/>
      <c r="AW285" s="384"/>
      <c r="AX285" s="385"/>
      <c r="AY285" s="383"/>
      <c r="AZ285" s="384"/>
      <c r="BA285" s="385"/>
      <c r="BB285" s="386"/>
      <c r="BC285" s="387"/>
      <c r="BD285" s="388"/>
      <c r="BE285" s="386"/>
      <c r="BF285" s="387"/>
      <c r="BG285" s="388"/>
      <c r="BH285" s="386"/>
      <c r="BI285" s="387"/>
      <c r="BJ285" s="388"/>
      <c r="BK285" s="386"/>
      <c r="BL285" s="387"/>
      <c r="BM285" s="388"/>
      <c r="BN285" s="386"/>
      <c r="BO285" s="387"/>
      <c r="BP285" s="388"/>
      <c r="BQ285" s="386"/>
      <c r="BR285" s="387"/>
      <c r="BS285" s="388"/>
      <c r="BT285" s="386"/>
      <c r="BU285" s="387"/>
      <c r="BV285" s="388"/>
      <c r="BW285" s="386"/>
      <c r="BX285" s="387"/>
      <c r="BY285" s="388"/>
      <c r="BZ285" s="386"/>
      <c r="CA285" s="387"/>
      <c r="CB285" s="388"/>
      <c r="CC285" s="386"/>
      <c r="CD285" s="387"/>
      <c r="CE285" s="388"/>
      <c r="CF285" s="386"/>
      <c r="CG285" s="387"/>
      <c r="CH285" s="388"/>
      <c r="CI285" s="386"/>
      <c r="CJ285" s="387"/>
      <c r="CK285" s="388"/>
      <c r="CL285" s="386"/>
      <c r="CM285" s="387"/>
      <c r="CN285" s="388"/>
      <c r="CO285" s="386"/>
      <c r="CP285" s="387"/>
      <c r="CQ285" s="388"/>
      <c r="CR285" s="386"/>
      <c r="CS285" s="387"/>
      <c r="CT285" s="388"/>
      <c r="CU285" s="386"/>
      <c r="CV285" s="387"/>
      <c r="CW285" s="388"/>
      <c r="CX285" s="386"/>
      <c r="CY285" s="387"/>
      <c r="CZ285" s="388"/>
    </row>
    <row r="286">
      <c r="A286" s="1"/>
      <c r="B286" s="402"/>
      <c r="C286" s="362" t="str">
        <f>'5-0 Товары'!C286</f>
        <v/>
      </c>
      <c r="D286" s="363" t="str">
        <f>'5-0 Товары'!D286</f>
        <v/>
      </c>
      <c r="E286" s="364" t="str">
        <f>'5-0 Товары'!E286</f>
        <v/>
      </c>
      <c r="F286" s="380"/>
      <c r="G286" s="380"/>
      <c r="H286" s="364" t="str">
        <f>'5-0 Товары'!F286</f>
        <v/>
      </c>
      <c r="I286" s="391"/>
      <c r="J286" s="364" t="str">
        <f>'5-0 Товары'!G286</f>
        <v/>
      </c>
      <c r="K286" s="366" t="str">
        <f>'5-0 Товары'!H286</f>
        <v/>
      </c>
      <c r="L286" s="382" t="str">
        <f t="shared" si="1"/>
        <v/>
      </c>
      <c r="M286" s="382"/>
      <c r="N286" s="380"/>
      <c r="O286" s="369" t="str">
        <f>'5-0 Товары'!I286</f>
        <v/>
      </c>
      <c r="P286" s="371" t="str">
        <f>'5-0 Товары'!N286</f>
        <v/>
      </c>
      <c r="Q286" s="197"/>
      <c r="R286" s="193"/>
      <c r="S286" s="187"/>
      <c r="T286" s="187"/>
      <c r="U286" s="187"/>
      <c r="V286" s="187"/>
      <c r="W286" s="187"/>
      <c r="X286" s="187"/>
      <c r="Y286" s="187" t="s">
        <v>96</v>
      </c>
      <c r="Z286" s="193" t="str">
        <f t="shared" si="2"/>
        <v/>
      </c>
      <c r="AA286" s="383"/>
      <c r="AB286" s="384"/>
      <c r="AC286" s="385"/>
      <c r="AD286" s="383"/>
      <c r="AE286" s="384"/>
      <c r="AF286" s="385"/>
      <c r="AG286" s="383"/>
      <c r="AH286" s="384"/>
      <c r="AI286" s="385"/>
      <c r="AJ286" s="383"/>
      <c r="AK286" s="384"/>
      <c r="AL286" s="385"/>
      <c r="AM286" s="383"/>
      <c r="AN286" s="384"/>
      <c r="AO286" s="385"/>
      <c r="AP286" s="383"/>
      <c r="AQ286" s="384"/>
      <c r="AR286" s="385"/>
      <c r="AS286" s="383"/>
      <c r="AT286" s="384"/>
      <c r="AU286" s="385"/>
      <c r="AV286" s="383"/>
      <c r="AW286" s="384"/>
      <c r="AX286" s="385"/>
      <c r="AY286" s="383"/>
      <c r="AZ286" s="384"/>
      <c r="BA286" s="385"/>
      <c r="BB286" s="386"/>
      <c r="BC286" s="387"/>
      <c r="BD286" s="388"/>
      <c r="BE286" s="386"/>
      <c r="BF286" s="387"/>
      <c r="BG286" s="388"/>
      <c r="BH286" s="386"/>
      <c r="BI286" s="387"/>
      <c r="BJ286" s="388"/>
      <c r="BK286" s="386"/>
      <c r="BL286" s="387"/>
      <c r="BM286" s="388"/>
      <c r="BN286" s="386"/>
      <c r="BO286" s="387"/>
      <c r="BP286" s="388"/>
      <c r="BQ286" s="386"/>
      <c r="BR286" s="387"/>
      <c r="BS286" s="388"/>
      <c r="BT286" s="386"/>
      <c r="BU286" s="387"/>
      <c r="BV286" s="388"/>
      <c r="BW286" s="386"/>
      <c r="BX286" s="387"/>
      <c r="BY286" s="388"/>
      <c r="BZ286" s="386"/>
      <c r="CA286" s="387"/>
      <c r="CB286" s="388"/>
      <c r="CC286" s="386"/>
      <c r="CD286" s="387"/>
      <c r="CE286" s="388"/>
      <c r="CF286" s="386"/>
      <c r="CG286" s="387"/>
      <c r="CH286" s="388"/>
      <c r="CI286" s="386"/>
      <c r="CJ286" s="387"/>
      <c r="CK286" s="388"/>
      <c r="CL286" s="386"/>
      <c r="CM286" s="387"/>
      <c r="CN286" s="388"/>
      <c r="CO286" s="386"/>
      <c r="CP286" s="387"/>
      <c r="CQ286" s="388"/>
      <c r="CR286" s="386"/>
      <c r="CS286" s="387"/>
      <c r="CT286" s="388"/>
      <c r="CU286" s="386"/>
      <c r="CV286" s="387"/>
      <c r="CW286" s="388"/>
      <c r="CX286" s="386"/>
      <c r="CY286" s="387"/>
      <c r="CZ286" s="388"/>
    </row>
    <row r="287">
      <c r="A287" s="1"/>
      <c r="B287" s="402"/>
      <c r="C287" s="362" t="str">
        <f>'5-0 Товары'!C287</f>
        <v/>
      </c>
      <c r="D287" s="363" t="str">
        <f>'5-0 Товары'!D287</f>
        <v/>
      </c>
      <c r="E287" s="364" t="str">
        <f>'5-0 Товары'!E287</f>
        <v/>
      </c>
      <c r="F287" s="380"/>
      <c r="G287" s="380"/>
      <c r="H287" s="364" t="str">
        <f>'5-0 Товары'!F287</f>
        <v/>
      </c>
      <c r="I287" s="391"/>
      <c r="J287" s="364" t="str">
        <f>'5-0 Товары'!G287</f>
        <v/>
      </c>
      <c r="K287" s="366" t="str">
        <f>'5-0 Товары'!H287</f>
        <v/>
      </c>
      <c r="L287" s="382" t="str">
        <f t="shared" si="1"/>
        <v/>
      </c>
      <c r="M287" s="382"/>
      <c r="N287" s="380"/>
      <c r="O287" s="369" t="str">
        <f>'5-0 Товары'!I287</f>
        <v/>
      </c>
      <c r="P287" s="371" t="str">
        <f>'5-0 Товары'!N287</f>
        <v/>
      </c>
      <c r="Q287" s="197"/>
      <c r="R287" s="193"/>
      <c r="S287" s="187"/>
      <c r="T287" s="187"/>
      <c r="U287" s="187"/>
      <c r="V287" s="187"/>
      <c r="W287" s="187"/>
      <c r="X287" s="187"/>
      <c r="Y287" s="187" t="s">
        <v>96</v>
      </c>
      <c r="Z287" s="193" t="str">
        <f t="shared" si="2"/>
        <v/>
      </c>
      <c r="AA287" s="383"/>
      <c r="AB287" s="384"/>
      <c r="AC287" s="385"/>
      <c r="AD287" s="383"/>
      <c r="AE287" s="384"/>
      <c r="AF287" s="385"/>
      <c r="AG287" s="383"/>
      <c r="AH287" s="384"/>
      <c r="AI287" s="385"/>
      <c r="AJ287" s="383"/>
      <c r="AK287" s="384"/>
      <c r="AL287" s="385"/>
      <c r="AM287" s="383"/>
      <c r="AN287" s="384"/>
      <c r="AO287" s="385"/>
      <c r="AP287" s="383"/>
      <c r="AQ287" s="384"/>
      <c r="AR287" s="385"/>
      <c r="AS287" s="383"/>
      <c r="AT287" s="384"/>
      <c r="AU287" s="385"/>
      <c r="AV287" s="383"/>
      <c r="AW287" s="384"/>
      <c r="AX287" s="385"/>
      <c r="AY287" s="383"/>
      <c r="AZ287" s="384"/>
      <c r="BA287" s="385"/>
      <c r="BB287" s="386"/>
      <c r="BC287" s="387"/>
      <c r="BD287" s="388"/>
      <c r="BE287" s="386"/>
      <c r="BF287" s="387"/>
      <c r="BG287" s="388"/>
      <c r="BH287" s="386"/>
      <c r="BI287" s="387"/>
      <c r="BJ287" s="388"/>
      <c r="BK287" s="386"/>
      <c r="BL287" s="387"/>
      <c r="BM287" s="388"/>
      <c r="BN287" s="386"/>
      <c r="BO287" s="387"/>
      <c r="BP287" s="388"/>
      <c r="BQ287" s="386"/>
      <c r="BR287" s="387"/>
      <c r="BS287" s="388"/>
      <c r="BT287" s="386"/>
      <c r="BU287" s="387"/>
      <c r="BV287" s="388"/>
      <c r="BW287" s="386"/>
      <c r="BX287" s="387"/>
      <c r="BY287" s="388"/>
      <c r="BZ287" s="386"/>
      <c r="CA287" s="387"/>
      <c r="CB287" s="388"/>
      <c r="CC287" s="386"/>
      <c r="CD287" s="387"/>
      <c r="CE287" s="388"/>
      <c r="CF287" s="386"/>
      <c r="CG287" s="387"/>
      <c r="CH287" s="388"/>
      <c r="CI287" s="386"/>
      <c r="CJ287" s="387"/>
      <c r="CK287" s="388"/>
      <c r="CL287" s="386"/>
      <c r="CM287" s="387"/>
      <c r="CN287" s="388"/>
      <c r="CO287" s="386"/>
      <c r="CP287" s="387"/>
      <c r="CQ287" s="388"/>
      <c r="CR287" s="386"/>
      <c r="CS287" s="387"/>
      <c r="CT287" s="388"/>
      <c r="CU287" s="386"/>
      <c r="CV287" s="387"/>
      <c r="CW287" s="388"/>
      <c r="CX287" s="386"/>
      <c r="CY287" s="387"/>
      <c r="CZ287" s="388"/>
    </row>
    <row r="288">
      <c r="A288" s="1"/>
      <c r="B288" s="402"/>
      <c r="C288" s="362" t="str">
        <f>'5-0 Товары'!C288</f>
        <v/>
      </c>
      <c r="D288" s="363" t="str">
        <f>'5-0 Товары'!D288</f>
        <v/>
      </c>
      <c r="E288" s="364" t="str">
        <f>'5-0 Товары'!E288</f>
        <v/>
      </c>
      <c r="F288" s="380"/>
      <c r="G288" s="380"/>
      <c r="H288" s="364" t="str">
        <f>'5-0 Товары'!F288</f>
        <v/>
      </c>
      <c r="I288" s="391"/>
      <c r="J288" s="364" t="str">
        <f>'5-0 Товары'!G288</f>
        <v/>
      </c>
      <c r="K288" s="366" t="str">
        <f>'5-0 Товары'!H288</f>
        <v/>
      </c>
      <c r="L288" s="382" t="str">
        <f t="shared" si="1"/>
        <v/>
      </c>
      <c r="M288" s="382"/>
      <c r="N288" s="380"/>
      <c r="O288" s="369" t="str">
        <f>'5-0 Товары'!I288</f>
        <v/>
      </c>
      <c r="P288" s="371" t="str">
        <f>'5-0 Товары'!N288</f>
        <v/>
      </c>
      <c r="Q288" s="197"/>
      <c r="R288" s="193"/>
      <c r="S288" s="187"/>
      <c r="T288" s="187"/>
      <c r="U288" s="187"/>
      <c r="V288" s="187"/>
      <c r="W288" s="187"/>
      <c r="X288" s="187"/>
      <c r="Y288" s="187" t="s">
        <v>96</v>
      </c>
      <c r="Z288" s="193" t="str">
        <f t="shared" si="2"/>
        <v/>
      </c>
      <c r="AA288" s="383"/>
      <c r="AB288" s="384"/>
      <c r="AC288" s="385"/>
      <c r="AD288" s="383"/>
      <c r="AE288" s="384"/>
      <c r="AF288" s="385"/>
      <c r="AG288" s="383"/>
      <c r="AH288" s="384"/>
      <c r="AI288" s="385"/>
      <c r="AJ288" s="383"/>
      <c r="AK288" s="384"/>
      <c r="AL288" s="385"/>
      <c r="AM288" s="383"/>
      <c r="AN288" s="384"/>
      <c r="AO288" s="385"/>
      <c r="AP288" s="383"/>
      <c r="AQ288" s="384"/>
      <c r="AR288" s="385"/>
      <c r="AS288" s="383"/>
      <c r="AT288" s="384"/>
      <c r="AU288" s="385"/>
      <c r="AV288" s="383"/>
      <c r="AW288" s="384"/>
      <c r="AX288" s="385"/>
      <c r="AY288" s="383"/>
      <c r="AZ288" s="384"/>
      <c r="BA288" s="385"/>
      <c r="BB288" s="386"/>
      <c r="BC288" s="387"/>
      <c r="BD288" s="388"/>
      <c r="BE288" s="386"/>
      <c r="BF288" s="387"/>
      <c r="BG288" s="388"/>
      <c r="BH288" s="386"/>
      <c r="BI288" s="387"/>
      <c r="BJ288" s="388"/>
      <c r="BK288" s="386"/>
      <c r="BL288" s="387"/>
      <c r="BM288" s="388"/>
      <c r="BN288" s="386"/>
      <c r="BO288" s="387"/>
      <c r="BP288" s="388"/>
      <c r="BQ288" s="386"/>
      <c r="BR288" s="387"/>
      <c r="BS288" s="388"/>
      <c r="BT288" s="386"/>
      <c r="BU288" s="387"/>
      <c r="BV288" s="388"/>
      <c r="BW288" s="386"/>
      <c r="BX288" s="387"/>
      <c r="BY288" s="388"/>
      <c r="BZ288" s="386"/>
      <c r="CA288" s="387"/>
      <c r="CB288" s="388"/>
      <c r="CC288" s="386"/>
      <c r="CD288" s="387"/>
      <c r="CE288" s="388"/>
      <c r="CF288" s="386"/>
      <c r="CG288" s="387"/>
      <c r="CH288" s="388"/>
      <c r="CI288" s="386"/>
      <c r="CJ288" s="387"/>
      <c r="CK288" s="388"/>
      <c r="CL288" s="386"/>
      <c r="CM288" s="387"/>
      <c r="CN288" s="388"/>
      <c r="CO288" s="386"/>
      <c r="CP288" s="387"/>
      <c r="CQ288" s="388"/>
      <c r="CR288" s="386"/>
      <c r="CS288" s="387"/>
      <c r="CT288" s="388"/>
      <c r="CU288" s="386"/>
      <c r="CV288" s="387"/>
      <c r="CW288" s="388"/>
      <c r="CX288" s="386"/>
      <c r="CY288" s="387"/>
      <c r="CZ288" s="388"/>
    </row>
    <row r="289">
      <c r="A289" s="1"/>
      <c r="B289" s="402"/>
      <c r="C289" s="362" t="str">
        <f>'5-0 Товары'!C289</f>
        <v/>
      </c>
      <c r="D289" s="363" t="str">
        <f>'5-0 Товары'!D289</f>
        <v/>
      </c>
      <c r="E289" s="364" t="str">
        <f>'5-0 Товары'!E289</f>
        <v/>
      </c>
      <c r="F289" s="380"/>
      <c r="G289" s="380"/>
      <c r="H289" s="364" t="str">
        <f>'5-0 Товары'!F289</f>
        <v/>
      </c>
      <c r="I289" s="391"/>
      <c r="J289" s="364" t="str">
        <f>'5-0 Товары'!G289</f>
        <v/>
      </c>
      <c r="K289" s="366" t="str">
        <f>'5-0 Товары'!H289</f>
        <v/>
      </c>
      <c r="L289" s="382" t="str">
        <f t="shared" si="1"/>
        <v/>
      </c>
      <c r="M289" s="382"/>
      <c r="N289" s="380"/>
      <c r="O289" s="369" t="str">
        <f>'5-0 Товары'!I289</f>
        <v/>
      </c>
      <c r="P289" s="371" t="str">
        <f>'5-0 Товары'!N289</f>
        <v/>
      </c>
      <c r="Q289" s="197"/>
      <c r="R289" s="193"/>
      <c r="S289" s="187"/>
      <c r="T289" s="187"/>
      <c r="U289" s="187"/>
      <c r="V289" s="187"/>
      <c r="W289" s="187"/>
      <c r="X289" s="187"/>
      <c r="Y289" s="187" t="s">
        <v>96</v>
      </c>
      <c r="Z289" s="193" t="str">
        <f t="shared" si="2"/>
        <v/>
      </c>
      <c r="AA289" s="383"/>
      <c r="AB289" s="384"/>
      <c r="AC289" s="385"/>
      <c r="AD289" s="383"/>
      <c r="AE289" s="384"/>
      <c r="AF289" s="385"/>
      <c r="AG289" s="383"/>
      <c r="AH289" s="384"/>
      <c r="AI289" s="385"/>
      <c r="AJ289" s="383"/>
      <c r="AK289" s="384"/>
      <c r="AL289" s="385"/>
      <c r="AM289" s="383"/>
      <c r="AN289" s="384"/>
      <c r="AO289" s="385"/>
      <c r="AP289" s="383"/>
      <c r="AQ289" s="384"/>
      <c r="AR289" s="385"/>
      <c r="AS289" s="383"/>
      <c r="AT289" s="384"/>
      <c r="AU289" s="385"/>
      <c r="AV289" s="383"/>
      <c r="AW289" s="384"/>
      <c r="AX289" s="385"/>
      <c r="AY289" s="383"/>
      <c r="AZ289" s="384"/>
      <c r="BA289" s="385"/>
      <c r="BB289" s="386"/>
      <c r="BC289" s="387"/>
      <c r="BD289" s="388"/>
      <c r="BE289" s="386"/>
      <c r="BF289" s="387"/>
      <c r="BG289" s="388"/>
      <c r="BH289" s="386"/>
      <c r="BI289" s="387"/>
      <c r="BJ289" s="388"/>
      <c r="BK289" s="386"/>
      <c r="BL289" s="387"/>
      <c r="BM289" s="388"/>
      <c r="BN289" s="386"/>
      <c r="BO289" s="387"/>
      <c r="BP289" s="388"/>
      <c r="BQ289" s="386"/>
      <c r="BR289" s="387"/>
      <c r="BS289" s="388"/>
      <c r="BT289" s="386"/>
      <c r="BU289" s="387"/>
      <c r="BV289" s="388"/>
      <c r="BW289" s="386"/>
      <c r="BX289" s="387"/>
      <c r="BY289" s="388"/>
      <c r="BZ289" s="386"/>
      <c r="CA289" s="387"/>
      <c r="CB289" s="388"/>
      <c r="CC289" s="386"/>
      <c r="CD289" s="387"/>
      <c r="CE289" s="388"/>
      <c r="CF289" s="386"/>
      <c r="CG289" s="387"/>
      <c r="CH289" s="388"/>
      <c r="CI289" s="386"/>
      <c r="CJ289" s="387"/>
      <c r="CK289" s="388"/>
      <c r="CL289" s="386"/>
      <c r="CM289" s="387"/>
      <c r="CN289" s="388"/>
      <c r="CO289" s="386"/>
      <c r="CP289" s="387"/>
      <c r="CQ289" s="388"/>
      <c r="CR289" s="386"/>
      <c r="CS289" s="387"/>
      <c r="CT289" s="388"/>
      <c r="CU289" s="386"/>
      <c r="CV289" s="387"/>
      <c r="CW289" s="388"/>
      <c r="CX289" s="386"/>
      <c r="CY289" s="387"/>
      <c r="CZ289" s="388"/>
    </row>
    <row r="290">
      <c r="A290" s="1"/>
      <c r="B290" s="402"/>
      <c r="C290" s="362" t="str">
        <f>'5-0 Товары'!C290</f>
        <v/>
      </c>
      <c r="D290" s="363" t="str">
        <f>'5-0 Товары'!D290</f>
        <v/>
      </c>
      <c r="E290" s="364" t="str">
        <f>'5-0 Товары'!E290</f>
        <v/>
      </c>
      <c r="F290" s="380"/>
      <c r="G290" s="380"/>
      <c r="H290" s="364" t="str">
        <f>'5-0 Товары'!F290</f>
        <v/>
      </c>
      <c r="I290" s="391"/>
      <c r="J290" s="364" t="str">
        <f>'5-0 Товары'!G290</f>
        <v/>
      </c>
      <c r="K290" s="366" t="str">
        <f>'5-0 Товары'!H290</f>
        <v/>
      </c>
      <c r="L290" s="382" t="str">
        <f t="shared" si="1"/>
        <v/>
      </c>
      <c r="M290" s="382"/>
      <c r="N290" s="380"/>
      <c r="O290" s="369" t="str">
        <f>'5-0 Товары'!I290</f>
        <v/>
      </c>
      <c r="P290" s="371" t="str">
        <f>'5-0 Товары'!N290</f>
        <v/>
      </c>
      <c r="Q290" s="197"/>
      <c r="R290" s="193"/>
      <c r="S290" s="187"/>
      <c r="T290" s="187"/>
      <c r="U290" s="187"/>
      <c r="V290" s="187"/>
      <c r="W290" s="187"/>
      <c r="X290" s="187"/>
      <c r="Y290" s="187" t="s">
        <v>96</v>
      </c>
      <c r="Z290" s="193" t="str">
        <f t="shared" si="2"/>
        <v/>
      </c>
      <c r="AA290" s="383"/>
      <c r="AB290" s="384"/>
      <c r="AC290" s="385"/>
      <c r="AD290" s="383"/>
      <c r="AE290" s="384"/>
      <c r="AF290" s="385"/>
      <c r="AG290" s="383"/>
      <c r="AH290" s="384"/>
      <c r="AI290" s="385"/>
      <c r="AJ290" s="383"/>
      <c r="AK290" s="384"/>
      <c r="AL290" s="385"/>
      <c r="AM290" s="383"/>
      <c r="AN290" s="384"/>
      <c r="AO290" s="385"/>
      <c r="AP290" s="383"/>
      <c r="AQ290" s="384"/>
      <c r="AR290" s="385"/>
      <c r="AS290" s="383"/>
      <c r="AT290" s="384"/>
      <c r="AU290" s="385"/>
      <c r="AV290" s="383"/>
      <c r="AW290" s="384"/>
      <c r="AX290" s="385"/>
      <c r="AY290" s="383"/>
      <c r="AZ290" s="384"/>
      <c r="BA290" s="385"/>
      <c r="BB290" s="386"/>
      <c r="BC290" s="387"/>
      <c r="BD290" s="388"/>
      <c r="BE290" s="386"/>
      <c r="BF290" s="387"/>
      <c r="BG290" s="388"/>
      <c r="BH290" s="386"/>
      <c r="BI290" s="387"/>
      <c r="BJ290" s="388"/>
      <c r="BK290" s="386"/>
      <c r="BL290" s="387"/>
      <c r="BM290" s="388"/>
      <c r="BN290" s="386"/>
      <c r="BO290" s="387"/>
      <c r="BP290" s="388"/>
      <c r="BQ290" s="386"/>
      <c r="BR290" s="387"/>
      <c r="BS290" s="388"/>
      <c r="BT290" s="386"/>
      <c r="BU290" s="387"/>
      <c r="BV290" s="388"/>
      <c r="BW290" s="386"/>
      <c r="BX290" s="387"/>
      <c r="BY290" s="388"/>
      <c r="BZ290" s="386"/>
      <c r="CA290" s="387"/>
      <c r="CB290" s="388"/>
      <c r="CC290" s="386"/>
      <c r="CD290" s="387"/>
      <c r="CE290" s="388"/>
      <c r="CF290" s="386"/>
      <c r="CG290" s="387"/>
      <c r="CH290" s="388"/>
      <c r="CI290" s="386"/>
      <c r="CJ290" s="387"/>
      <c r="CK290" s="388"/>
      <c r="CL290" s="386"/>
      <c r="CM290" s="387"/>
      <c r="CN290" s="388"/>
      <c r="CO290" s="386"/>
      <c r="CP290" s="387"/>
      <c r="CQ290" s="388"/>
      <c r="CR290" s="386"/>
      <c r="CS290" s="387"/>
      <c r="CT290" s="388"/>
      <c r="CU290" s="386"/>
      <c r="CV290" s="387"/>
      <c r="CW290" s="388"/>
      <c r="CX290" s="386"/>
      <c r="CY290" s="387"/>
      <c r="CZ290" s="388"/>
    </row>
    <row r="291">
      <c r="A291" s="1"/>
      <c r="B291" s="402"/>
      <c r="C291" s="362" t="str">
        <f>'5-0 Товары'!C291</f>
        <v/>
      </c>
      <c r="D291" s="363" t="str">
        <f>'5-0 Товары'!D291</f>
        <v/>
      </c>
      <c r="E291" s="364" t="str">
        <f>'5-0 Товары'!E291</f>
        <v/>
      </c>
      <c r="F291" s="380"/>
      <c r="G291" s="380"/>
      <c r="H291" s="364" t="str">
        <f>'5-0 Товары'!F291</f>
        <v/>
      </c>
      <c r="I291" s="391"/>
      <c r="J291" s="364" t="str">
        <f>'5-0 Товары'!G291</f>
        <v/>
      </c>
      <c r="K291" s="366" t="str">
        <f>'5-0 Товары'!H291</f>
        <v/>
      </c>
      <c r="L291" s="382" t="str">
        <f t="shared" si="1"/>
        <v/>
      </c>
      <c r="M291" s="382"/>
      <c r="N291" s="380"/>
      <c r="O291" s="369" t="str">
        <f>'5-0 Товары'!I291</f>
        <v/>
      </c>
      <c r="P291" s="371" t="str">
        <f>'5-0 Товары'!N291</f>
        <v/>
      </c>
      <c r="Q291" s="197"/>
      <c r="R291" s="193"/>
      <c r="S291" s="187"/>
      <c r="T291" s="187"/>
      <c r="U291" s="187"/>
      <c r="V291" s="187"/>
      <c r="W291" s="187"/>
      <c r="X291" s="187"/>
      <c r="Y291" s="187" t="s">
        <v>96</v>
      </c>
      <c r="Z291" s="193" t="str">
        <f t="shared" si="2"/>
        <v/>
      </c>
      <c r="AA291" s="383"/>
      <c r="AB291" s="384"/>
      <c r="AC291" s="385"/>
      <c r="AD291" s="383"/>
      <c r="AE291" s="384"/>
      <c r="AF291" s="385"/>
      <c r="AG291" s="383"/>
      <c r="AH291" s="384"/>
      <c r="AI291" s="385"/>
      <c r="AJ291" s="383"/>
      <c r="AK291" s="384"/>
      <c r="AL291" s="385"/>
      <c r="AM291" s="383"/>
      <c r="AN291" s="384"/>
      <c r="AO291" s="385"/>
      <c r="AP291" s="383"/>
      <c r="AQ291" s="384"/>
      <c r="AR291" s="385"/>
      <c r="AS291" s="383"/>
      <c r="AT291" s="384"/>
      <c r="AU291" s="385"/>
      <c r="AV291" s="383"/>
      <c r="AW291" s="384"/>
      <c r="AX291" s="385"/>
      <c r="AY291" s="383"/>
      <c r="AZ291" s="384"/>
      <c r="BA291" s="385"/>
      <c r="BB291" s="386"/>
      <c r="BC291" s="387"/>
      <c r="BD291" s="388"/>
      <c r="BE291" s="386"/>
      <c r="BF291" s="387"/>
      <c r="BG291" s="388"/>
      <c r="BH291" s="386"/>
      <c r="BI291" s="387"/>
      <c r="BJ291" s="388"/>
      <c r="BK291" s="386"/>
      <c r="BL291" s="387"/>
      <c r="BM291" s="388"/>
      <c r="BN291" s="386"/>
      <c r="BO291" s="387"/>
      <c r="BP291" s="388"/>
      <c r="BQ291" s="386"/>
      <c r="BR291" s="387"/>
      <c r="BS291" s="388"/>
      <c r="BT291" s="386"/>
      <c r="BU291" s="387"/>
      <c r="BV291" s="388"/>
      <c r="BW291" s="386"/>
      <c r="BX291" s="387"/>
      <c r="BY291" s="388"/>
      <c r="BZ291" s="386"/>
      <c r="CA291" s="387"/>
      <c r="CB291" s="388"/>
      <c r="CC291" s="386"/>
      <c r="CD291" s="387"/>
      <c r="CE291" s="388"/>
      <c r="CF291" s="386"/>
      <c r="CG291" s="387"/>
      <c r="CH291" s="388"/>
      <c r="CI291" s="386"/>
      <c r="CJ291" s="387"/>
      <c r="CK291" s="388"/>
      <c r="CL291" s="386"/>
      <c r="CM291" s="387"/>
      <c r="CN291" s="388"/>
      <c r="CO291" s="386"/>
      <c r="CP291" s="387"/>
      <c r="CQ291" s="388"/>
      <c r="CR291" s="386"/>
      <c r="CS291" s="387"/>
      <c r="CT291" s="388"/>
      <c r="CU291" s="386"/>
      <c r="CV291" s="387"/>
      <c r="CW291" s="388"/>
      <c r="CX291" s="386"/>
      <c r="CY291" s="387"/>
      <c r="CZ291" s="388"/>
    </row>
    <row r="292">
      <c r="A292" s="1"/>
      <c r="B292" s="402"/>
      <c r="C292" s="362" t="str">
        <f>'5-0 Товары'!C292</f>
        <v/>
      </c>
      <c r="D292" s="363" t="str">
        <f>'5-0 Товары'!D292</f>
        <v/>
      </c>
      <c r="E292" s="364" t="str">
        <f>'5-0 Товары'!E292</f>
        <v/>
      </c>
      <c r="F292" s="380"/>
      <c r="G292" s="380"/>
      <c r="H292" s="364" t="str">
        <f>'5-0 Товары'!F292</f>
        <v/>
      </c>
      <c r="I292" s="391"/>
      <c r="J292" s="364" t="str">
        <f>'5-0 Товары'!G292</f>
        <v/>
      </c>
      <c r="K292" s="366" t="str">
        <f>'5-0 Товары'!H292</f>
        <v/>
      </c>
      <c r="L292" s="382" t="str">
        <f t="shared" si="1"/>
        <v/>
      </c>
      <c r="M292" s="382"/>
      <c r="N292" s="380"/>
      <c r="O292" s="369" t="str">
        <f>'5-0 Товары'!I292</f>
        <v/>
      </c>
      <c r="P292" s="371" t="str">
        <f>'5-0 Товары'!N292</f>
        <v/>
      </c>
      <c r="Q292" s="197"/>
      <c r="R292" s="193"/>
      <c r="S292" s="187"/>
      <c r="T292" s="187"/>
      <c r="U292" s="187"/>
      <c r="V292" s="187"/>
      <c r="W292" s="187"/>
      <c r="X292" s="187"/>
      <c r="Y292" s="187" t="s">
        <v>96</v>
      </c>
      <c r="Z292" s="193" t="str">
        <f t="shared" si="2"/>
        <v/>
      </c>
      <c r="AA292" s="383"/>
      <c r="AB292" s="384"/>
      <c r="AC292" s="385"/>
      <c r="AD292" s="383"/>
      <c r="AE292" s="384"/>
      <c r="AF292" s="385"/>
      <c r="AG292" s="383"/>
      <c r="AH292" s="384"/>
      <c r="AI292" s="385"/>
      <c r="AJ292" s="383"/>
      <c r="AK292" s="384"/>
      <c r="AL292" s="385"/>
      <c r="AM292" s="383"/>
      <c r="AN292" s="384"/>
      <c r="AO292" s="385"/>
      <c r="AP292" s="383"/>
      <c r="AQ292" s="384"/>
      <c r="AR292" s="385"/>
      <c r="AS292" s="383"/>
      <c r="AT292" s="384"/>
      <c r="AU292" s="385"/>
      <c r="AV292" s="383"/>
      <c r="AW292" s="384"/>
      <c r="AX292" s="385"/>
      <c r="AY292" s="383"/>
      <c r="AZ292" s="384"/>
      <c r="BA292" s="385"/>
      <c r="BB292" s="386"/>
      <c r="BC292" s="387"/>
      <c r="BD292" s="388"/>
      <c r="BE292" s="386"/>
      <c r="BF292" s="387"/>
      <c r="BG292" s="388"/>
      <c r="BH292" s="386"/>
      <c r="BI292" s="387"/>
      <c r="BJ292" s="388"/>
      <c r="BK292" s="386"/>
      <c r="BL292" s="387"/>
      <c r="BM292" s="388"/>
      <c r="BN292" s="386"/>
      <c r="BO292" s="387"/>
      <c r="BP292" s="388"/>
      <c r="BQ292" s="386"/>
      <c r="BR292" s="387"/>
      <c r="BS292" s="388"/>
      <c r="BT292" s="386"/>
      <c r="BU292" s="387"/>
      <c r="BV292" s="388"/>
      <c r="BW292" s="386"/>
      <c r="BX292" s="387"/>
      <c r="BY292" s="388"/>
      <c r="BZ292" s="386"/>
      <c r="CA292" s="387"/>
      <c r="CB292" s="388"/>
      <c r="CC292" s="386"/>
      <c r="CD292" s="387"/>
      <c r="CE292" s="388"/>
      <c r="CF292" s="386"/>
      <c r="CG292" s="387"/>
      <c r="CH292" s="388"/>
      <c r="CI292" s="386"/>
      <c r="CJ292" s="387"/>
      <c r="CK292" s="388"/>
      <c r="CL292" s="386"/>
      <c r="CM292" s="387"/>
      <c r="CN292" s="388"/>
      <c r="CO292" s="386"/>
      <c r="CP292" s="387"/>
      <c r="CQ292" s="388"/>
      <c r="CR292" s="386"/>
      <c r="CS292" s="387"/>
      <c r="CT292" s="388"/>
      <c r="CU292" s="386"/>
      <c r="CV292" s="387"/>
      <c r="CW292" s="388"/>
      <c r="CX292" s="386"/>
      <c r="CY292" s="387"/>
      <c r="CZ292" s="388"/>
    </row>
    <row r="293">
      <c r="A293" s="1"/>
      <c r="B293" s="402"/>
      <c r="C293" s="362" t="str">
        <f>'5-0 Товары'!C293</f>
        <v/>
      </c>
      <c r="D293" s="363" t="str">
        <f>'5-0 Товары'!D293</f>
        <v/>
      </c>
      <c r="E293" s="364" t="str">
        <f>'5-0 Товары'!E293</f>
        <v/>
      </c>
      <c r="F293" s="380"/>
      <c r="G293" s="380"/>
      <c r="H293" s="364" t="str">
        <f>'5-0 Товары'!F293</f>
        <v/>
      </c>
      <c r="I293" s="391"/>
      <c r="J293" s="364" t="str">
        <f>'5-0 Товары'!G293</f>
        <v/>
      </c>
      <c r="K293" s="366" t="str">
        <f>'5-0 Товары'!H293</f>
        <v/>
      </c>
      <c r="L293" s="382" t="str">
        <f t="shared" si="1"/>
        <v/>
      </c>
      <c r="M293" s="382"/>
      <c r="N293" s="380"/>
      <c r="O293" s="369" t="str">
        <f>'5-0 Товары'!I293</f>
        <v/>
      </c>
      <c r="P293" s="371" t="str">
        <f>'5-0 Товары'!N293</f>
        <v/>
      </c>
      <c r="Q293" s="197"/>
      <c r="R293" s="193"/>
      <c r="S293" s="187"/>
      <c r="T293" s="187"/>
      <c r="U293" s="187"/>
      <c r="V293" s="187"/>
      <c r="W293" s="187"/>
      <c r="X293" s="187"/>
      <c r="Y293" s="187" t="s">
        <v>96</v>
      </c>
      <c r="Z293" s="193" t="str">
        <f t="shared" si="2"/>
        <v/>
      </c>
      <c r="AA293" s="383"/>
      <c r="AB293" s="384"/>
      <c r="AC293" s="385"/>
      <c r="AD293" s="383"/>
      <c r="AE293" s="384"/>
      <c r="AF293" s="385"/>
      <c r="AG293" s="383"/>
      <c r="AH293" s="384"/>
      <c r="AI293" s="385"/>
      <c r="AJ293" s="383"/>
      <c r="AK293" s="384"/>
      <c r="AL293" s="385"/>
      <c r="AM293" s="383"/>
      <c r="AN293" s="384"/>
      <c r="AO293" s="385"/>
      <c r="AP293" s="383"/>
      <c r="AQ293" s="384"/>
      <c r="AR293" s="385"/>
      <c r="AS293" s="383"/>
      <c r="AT293" s="384"/>
      <c r="AU293" s="385"/>
      <c r="AV293" s="383"/>
      <c r="AW293" s="384"/>
      <c r="AX293" s="385"/>
      <c r="AY293" s="383"/>
      <c r="AZ293" s="384"/>
      <c r="BA293" s="385"/>
      <c r="BB293" s="386"/>
      <c r="BC293" s="387"/>
      <c r="BD293" s="388"/>
      <c r="BE293" s="386"/>
      <c r="BF293" s="387"/>
      <c r="BG293" s="388"/>
      <c r="BH293" s="386"/>
      <c r="BI293" s="387"/>
      <c r="BJ293" s="388"/>
      <c r="BK293" s="386"/>
      <c r="BL293" s="387"/>
      <c r="BM293" s="388"/>
      <c r="BN293" s="386"/>
      <c r="BO293" s="387"/>
      <c r="BP293" s="388"/>
      <c r="BQ293" s="386"/>
      <c r="BR293" s="387"/>
      <c r="BS293" s="388"/>
      <c r="BT293" s="386"/>
      <c r="BU293" s="387"/>
      <c r="BV293" s="388"/>
      <c r="BW293" s="386"/>
      <c r="BX293" s="387"/>
      <c r="BY293" s="388"/>
      <c r="BZ293" s="386"/>
      <c r="CA293" s="387"/>
      <c r="CB293" s="388"/>
      <c r="CC293" s="386"/>
      <c r="CD293" s="387"/>
      <c r="CE293" s="388"/>
      <c r="CF293" s="386"/>
      <c r="CG293" s="387"/>
      <c r="CH293" s="388"/>
      <c r="CI293" s="386"/>
      <c r="CJ293" s="387"/>
      <c r="CK293" s="388"/>
      <c r="CL293" s="386"/>
      <c r="CM293" s="387"/>
      <c r="CN293" s="388"/>
      <c r="CO293" s="386"/>
      <c r="CP293" s="387"/>
      <c r="CQ293" s="388"/>
      <c r="CR293" s="386"/>
      <c r="CS293" s="387"/>
      <c r="CT293" s="388"/>
      <c r="CU293" s="386"/>
      <c r="CV293" s="387"/>
      <c r="CW293" s="388"/>
      <c r="CX293" s="386"/>
      <c r="CY293" s="387"/>
      <c r="CZ293" s="388"/>
    </row>
    <row r="294">
      <c r="A294" s="1"/>
      <c r="B294" s="402"/>
      <c r="C294" s="362" t="str">
        <f>'5-0 Товары'!C294</f>
        <v/>
      </c>
      <c r="D294" s="363" t="str">
        <f>'5-0 Товары'!D294</f>
        <v/>
      </c>
      <c r="E294" s="364" t="str">
        <f>'5-0 Товары'!E294</f>
        <v/>
      </c>
      <c r="F294" s="380"/>
      <c r="G294" s="380"/>
      <c r="H294" s="364" t="str">
        <f>'5-0 Товары'!F294</f>
        <v/>
      </c>
      <c r="I294" s="391"/>
      <c r="J294" s="364" t="str">
        <f>'5-0 Товары'!G294</f>
        <v/>
      </c>
      <c r="K294" s="366" t="str">
        <f>'5-0 Товары'!H294</f>
        <v/>
      </c>
      <c r="L294" s="382" t="str">
        <f t="shared" si="1"/>
        <v/>
      </c>
      <c r="M294" s="382"/>
      <c r="N294" s="380"/>
      <c r="O294" s="369" t="str">
        <f>'5-0 Товары'!I294</f>
        <v/>
      </c>
      <c r="P294" s="371" t="str">
        <f>'5-0 Товары'!N294</f>
        <v/>
      </c>
      <c r="Q294" s="197"/>
      <c r="R294" s="193"/>
      <c r="S294" s="187"/>
      <c r="T294" s="187"/>
      <c r="U294" s="187"/>
      <c r="V294" s="187"/>
      <c r="W294" s="187"/>
      <c r="X294" s="187"/>
      <c r="Y294" s="187" t="s">
        <v>96</v>
      </c>
      <c r="Z294" s="193" t="str">
        <f t="shared" si="2"/>
        <v/>
      </c>
      <c r="AA294" s="383"/>
      <c r="AB294" s="384"/>
      <c r="AC294" s="385"/>
      <c r="AD294" s="383"/>
      <c r="AE294" s="384"/>
      <c r="AF294" s="385"/>
      <c r="AG294" s="383"/>
      <c r="AH294" s="384"/>
      <c r="AI294" s="385"/>
      <c r="AJ294" s="383"/>
      <c r="AK294" s="384"/>
      <c r="AL294" s="385"/>
      <c r="AM294" s="383"/>
      <c r="AN294" s="384"/>
      <c r="AO294" s="385"/>
      <c r="AP294" s="383"/>
      <c r="AQ294" s="384"/>
      <c r="AR294" s="385"/>
      <c r="AS294" s="383"/>
      <c r="AT294" s="384"/>
      <c r="AU294" s="385"/>
      <c r="AV294" s="383"/>
      <c r="AW294" s="384"/>
      <c r="AX294" s="385"/>
      <c r="AY294" s="383"/>
      <c r="AZ294" s="384"/>
      <c r="BA294" s="385"/>
      <c r="BB294" s="386"/>
      <c r="BC294" s="387"/>
      <c r="BD294" s="388"/>
      <c r="BE294" s="386"/>
      <c r="BF294" s="387"/>
      <c r="BG294" s="388"/>
      <c r="BH294" s="386"/>
      <c r="BI294" s="387"/>
      <c r="BJ294" s="388"/>
      <c r="BK294" s="386"/>
      <c r="BL294" s="387"/>
      <c r="BM294" s="388"/>
      <c r="BN294" s="386"/>
      <c r="BO294" s="387"/>
      <c r="BP294" s="388"/>
      <c r="BQ294" s="386"/>
      <c r="BR294" s="387"/>
      <c r="BS294" s="388"/>
      <c r="BT294" s="386"/>
      <c r="BU294" s="387"/>
      <c r="BV294" s="388"/>
      <c r="BW294" s="386"/>
      <c r="BX294" s="387"/>
      <c r="BY294" s="388"/>
      <c r="BZ294" s="386"/>
      <c r="CA294" s="387"/>
      <c r="CB294" s="388"/>
      <c r="CC294" s="386"/>
      <c r="CD294" s="387"/>
      <c r="CE294" s="388"/>
      <c r="CF294" s="386"/>
      <c r="CG294" s="387"/>
      <c r="CH294" s="388"/>
      <c r="CI294" s="386"/>
      <c r="CJ294" s="387"/>
      <c r="CK294" s="388"/>
      <c r="CL294" s="386"/>
      <c r="CM294" s="387"/>
      <c r="CN294" s="388"/>
      <c r="CO294" s="386"/>
      <c r="CP294" s="387"/>
      <c r="CQ294" s="388"/>
      <c r="CR294" s="386"/>
      <c r="CS294" s="387"/>
      <c r="CT294" s="388"/>
      <c r="CU294" s="386"/>
      <c r="CV294" s="387"/>
      <c r="CW294" s="388"/>
      <c r="CX294" s="386"/>
      <c r="CY294" s="387"/>
      <c r="CZ294" s="388"/>
    </row>
    <row r="295">
      <c r="A295" s="1"/>
      <c r="B295" s="402"/>
      <c r="C295" s="362" t="str">
        <f>'5-0 Товары'!C295</f>
        <v/>
      </c>
      <c r="D295" s="363" t="str">
        <f>'5-0 Товары'!D295</f>
        <v/>
      </c>
      <c r="E295" s="364" t="str">
        <f>'5-0 Товары'!E295</f>
        <v/>
      </c>
      <c r="F295" s="380"/>
      <c r="G295" s="380"/>
      <c r="H295" s="364" t="str">
        <f>'5-0 Товары'!F295</f>
        <v/>
      </c>
      <c r="I295" s="391"/>
      <c r="J295" s="364" t="str">
        <f>'5-0 Товары'!G295</f>
        <v/>
      </c>
      <c r="K295" s="366" t="str">
        <f>'5-0 Товары'!H295</f>
        <v/>
      </c>
      <c r="L295" s="382" t="str">
        <f t="shared" si="1"/>
        <v/>
      </c>
      <c r="M295" s="382"/>
      <c r="N295" s="380"/>
      <c r="O295" s="369" t="str">
        <f>'5-0 Товары'!I295</f>
        <v/>
      </c>
      <c r="P295" s="371" t="str">
        <f>'5-0 Товары'!N295</f>
        <v/>
      </c>
      <c r="Q295" s="197"/>
      <c r="R295" s="193"/>
      <c r="S295" s="187"/>
      <c r="T295" s="187"/>
      <c r="U295" s="187"/>
      <c r="V295" s="187"/>
      <c r="W295" s="187"/>
      <c r="X295" s="187"/>
      <c r="Y295" s="187" t="s">
        <v>96</v>
      </c>
      <c r="Z295" s="193" t="str">
        <f t="shared" si="2"/>
        <v/>
      </c>
      <c r="AA295" s="383"/>
      <c r="AB295" s="384"/>
      <c r="AC295" s="385"/>
      <c r="AD295" s="383"/>
      <c r="AE295" s="384"/>
      <c r="AF295" s="385"/>
      <c r="AG295" s="383"/>
      <c r="AH295" s="384"/>
      <c r="AI295" s="385"/>
      <c r="AJ295" s="383"/>
      <c r="AK295" s="384"/>
      <c r="AL295" s="385"/>
      <c r="AM295" s="383"/>
      <c r="AN295" s="384"/>
      <c r="AO295" s="385"/>
      <c r="AP295" s="383"/>
      <c r="AQ295" s="384"/>
      <c r="AR295" s="385"/>
      <c r="AS295" s="383"/>
      <c r="AT295" s="384"/>
      <c r="AU295" s="385"/>
      <c r="AV295" s="383"/>
      <c r="AW295" s="384"/>
      <c r="AX295" s="385"/>
      <c r="AY295" s="383"/>
      <c r="AZ295" s="384"/>
      <c r="BA295" s="385"/>
      <c r="BB295" s="386"/>
      <c r="BC295" s="387"/>
      <c r="BD295" s="388"/>
      <c r="BE295" s="386"/>
      <c r="BF295" s="387"/>
      <c r="BG295" s="388"/>
      <c r="BH295" s="386"/>
      <c r="BI295" s="387"/>
      <c r="BJ295" s="388"/>
      <c r="BK295" s="386"/>
      <c r="BL295" s="387"/>
      <c r="BM295" s="388"/>
      <c r="BN295" s="386"/>
      <c r="BO295" s="387"/>
      <c r="BP295" s="388"/>
      <c r="BQ295" s="386"/>
      <c r="BR295" s="387"/>
      <c r="BS295" s="388"/>
      <c r="BT295" s="386"/>
      <c r="BU295" s="387"/>
      <c r="BV295" s="388"/>
      <c r="BW295" s="386"/>
      <c r="BX295" s="387"/>
      <c r="BY295" s="388"/>
      <c r="BZ295" s="386"/>
      <c r="CA295" s="387"/>
      <c r="CB295" s="388"/>
      <c r="CC295" s="386"/>
      <c r="CD295" s="387"/>
      <c r="CE295" s="388"/>
      <c r="CF295" s="386"/>
      <c r="CG295" s="387"/>
      <c r="CH295" s="388"/>
      <c r="CI295" s="386"/>
      <c r="CJ295" s="387"/>
      <c r="CK295" s="388"/>
      <c r="CL295" s="386"/>
      <c r="CM295" s="387"/>
      <c r="CN295" s="388"/>
      <c r="CO295" s="386"/>
      <c r="CP295" s="387"/>
      <c r="CQ295" s="388"/>
      <c r="CR295" s="386"/>
      <c r="CS295" s="387"/>
      <c r="CT295" s="388"/>
      <c r="CU295" s="386"/>
      <c r="CV295" s="387"/>
      <c r="CW295" s="388"/>
      <c r="CX295" s="386"/>
      <c r="CY295" s="387"/>
      <c r="CZ295" s="388"/>
    </row>
    <row r="296">
      <c r="A296" s="1"/>
      <c r="B296" s="402"/>
      <c r="C296" s="362" t="str">
        <f>'5-0 Товары'!C296</f>
        <v/>
      </c>
      <c r="D296" s="363" t="str">
        <f>'5-0 Товары'!D296</f>
        <v/>
      </c>
      <c r="E296" s="364" t="str">
        <f>'5-0 Товары'!E296</f>
        <v/>
      </c>
      <c r="F296" s="380"/>
      <c r="G296" s="380"/>
      <c r="H296" s="364" t="str">
        <f>'5-0 Товары'!F296</f>
        <v/>
      </c>
      <c r="I296" s="391"/>
      <c r="J296" s="364" t="str">
        <f>'5-0 Товары'!G296</f>
        <v/>
      </c>
      <c r="K296" s="366" t="str">
        <f>'5-0 Товары'!H296</f>
        <v/>
      </c>
      <c r="L296" s="382" t="str">
        <f t="shared" si="1"/>
        <v/>
      </c>
      <c r="M296" s="382"/>
      <c r="N296" s="380"/>
      <c r="O296" s="369" t="str">
        <f>'5-0 Товары'!I296</f>
        <v/>
      </c>
      <c r="P296" s="371" t="str">
        <f>'5-0 Товары'!N296</f>
        <v/>
      </c>
      <c r="Q296" s="197"/>
      <c r="R296" s="193"/>
      <c r="S296" s="187"/>
      <c r="T296" s="187"/>
      <c r="U296" s="187"/>
      <c r="V296" s="187"/>
      <c r="W296" s="187"/>
      <c r="X296" s="187"/>
      <c r="Y296" s="187" t="s">
        <v>96</v>
      </c>
      <c r="Z296" s="193" t="str">
        <f t="shared" si="2"/>
        <v/>
      </c>
      <c r="AA296" s="383"/>
      <c r="AB296" s="384"/>
      <c r="AC296" s="385"/>
      <c r="AD296" s="383"/>
      <c r="AE296" s="384"/>
      <c r="AF296" s="385"/>
      <c r="AG296" s="383"/>
      <c r="AH296" s="384"/>
      <c r="AI296" s="385"/>
      <c r="AJ296" s="383"/>
      <c r="AK296" s="384"/>
      <c r="AL296" s="385"/>
      <c r="AM296" s="383"/>
      <c r="AN296" s="384"/>
      <c r="AO296" s="385"/>
      <c r="AP296" s="383"/>
      <c r="AQ296" s="384"/>
      <c r="AR296" s="385"/>
      <c r="AS296" s="383"/>
      <c r="AT296" s="384"/>
      <c r="AU296" s="385"/>
      <c r="AV296" s="383"/>
      <c r="AW296" s="384"/>
      <c r="AX296" s="385"/>
      <c r="AY296" s="383"/>
      <c r="AZ296" s="384"/>
      <c r="BA296" s="385"/>
      <c r="BB296" s="386"/>
      <c r="BC296" s="387"/>
      <c r="BD296" s="388"/>
      <c r="BE296" s="386"/>
      <c r="BF296" s="387"/>
      <c r="BG296" s="388"/>
      <c r="BH296" s="386"/>
      <c r="BI296" s="387"/>
      <c r="BJ296" s="388"/>
      <c r="BK296" s="386"/>
      <c r="BL296" s="387"/>
      <c r="BM296" s="388"/>
      <c r="BN296" s="386"/>
      <c r="BO296" s="387"/>
      <c r="BP296" s="388"/>
      <c r="BQ296" s="386"/>
      <c r="BR296" s="387"/>
      <c r="BS296" s="388"/>
      <c r="BT296" s="386"/>
      <c r="BU296" s="387"/>
      <c r="BV296" s="388"/>
      <c r="BW296" s="386"/>
      <c r="BX296" s="387"/>
      <c r="BY296" s="388"/>
      <c r="BZ296" s="386"/>
      <c r="CA296" s="387"/>
      <c r="CB296" s="388"/>
      <c r="CC296" s="386"/>
      <c r="CD296" s="387"/>
      <c r="CE296" s="388"/>
      <c r="CF296" s="386"/>
      <c r="CG296" s="387"/>
      <c r="CH296" s="388"/>
      <c r="CI296" s="386"/>
      <c r="CJ296" s="387"/>
      <c r="CK296" s="388"/>
      <c r="CL296" s="386"/>
      <c r="CM296" s="387"/>
      <c r="CN296" s="388"/>
      <c r="CO296" s="386"/>
      <c r="CP296" s="387"/>
      <c r="CQ296" s="388"/>
      <c r="CR296" s="386"/>
      <c r="CS296" s="387"/>
      <c r="CT296" s="388"/>
      <c r="CU296" s="386"/>
      <c r="CV296" s="387"/>
      <c r="CW296" s="388"/>
      <c r="CX296" s="386"/>
      <c r="CY296" s="387"/>
      <c r="CZ296" s="388"/>
    </row>
    <row r="297">
      <c r="A297" s="1"/>
      <c r="B297" s="402"/>
      <c r="C297" s="362" t="str">
        <f>'5-0 Товары'!C297</f>
        <v/>
      </c>
      <c r="D297" s="363" t="str">
        <f>'5-0 Товары'!D297</f>
        <v/>
      </c>
      <c r="E297" s="364" t="str">
        <f>'5-0 Товары'!E297</f>
        <v/>
      </c>
      <c r="F297" s="380"/>
      <c r="G297" s="380"/>
      <c r="H297" s="364" t="str">
        <f>'5-0 Товары'!F297</f>
        <v/>
      </c>
      <c r="I297" s="391"/>
      <c r="J297" s="364" t="str">
        <f>'5-0 Товары'!G297</f>
        <v/>
      </c>
      <c r="K297" s="366" t="str">
        <f>'5-0 Товары'!H297</f>
        <v/>
      </c>
      <c r="L297" s="382" t="str">
        <f t="shared" si="1"/>
        <v/>
      </c>
      <c r="M297" s="382"/>
      <c r="N297" s="380"/>
      <c r="O297" s="369" t="str">
        <f>'5-0 Товары'!I297</f>
        <v/>
      </c>
      <c r="P297" s="371" t="str">
        <f>'5-0 Товары'!N297</f>
        <v/>
      </c>
      <c r="Q297" s="197"/>
      <c r="R297" s="193"/>
      <c r="S297" s="187"/>
      <c r="T297" s="187"/>
      <c r="U297" s="187"/>
      <c r="V297" s="187"/>
      <c r="W297" s="187"/>
      <c r="X297" s="187"/>
      <c r="Y297" s="187" t="s">
        <v>96</v>
      </c>
      <c r="Z297" s="193" t="str">
        <f t="shared" si="2"/>
        <v/>
      </c>
      <c r="AA297" s="383"/>
      <c r="AB297" s="384"/>
      <c r="AC297" s="385"/>
      <c r="AD297" s="383"/>
      <c r="AE297" s="384"/>
      <c r="AF297" s="385"/>
      <c r="AG297" s="383"/>
      <c r="AH297" s="384"/>
      <c r="AI297" s="385"/>
      <c r="AJ297" s="383"/>
      <c r="AK297" s="384"/>
      <c r="AL297" s="385"/>
      <c r="AM297" s="383"/>
      <c r="AN297" s="384"/>
      <c r="AO297" s="385"/>
      <c r="AP297" s="383"/>
      <c r="AQ297" s="384"/>
      <c r="AR297" s="385"/>
      <c r="AS297" s="383"/>
      <c r="AT297" s="384"/>
      <c r="AU297" s="385"/>
      <c r="AV297" s="383"/>
      <c r="AW297" s="384"/>
      <c r="AX297" s="385"/>
      <c r="AY297" s="383"/>
      <c r="AZ297" s="384"/>
      <c r="BA297" s="385"/>
      <c r="BB297" s="386"/>
      <c r="BC297" s="387"/>
      <c r="BD297" s="388"/>
      <c r="BE297" s="386"/>
      <c r="BF297" s="387"/>
      <c r="BG297" s="388"/>
      <c r="BH297" s="386"/>
      <c r="BI297" s="387"/>
      <c r="BJ297" s="388"/>
      <c r="BK297" s="386"/>
      <c r="BL297" s="387"/>
      <c r="BM297" s="388"/>
      <c r="BN297" s="386"/>
      <c r="BO297" s="387"/>
      <c r="BP297" s="388"/>
      <c r="BQ297" s="386"/>
      <c r="BR297" s="387"/>
      <c r="BS297" s="388"/>
      <c r="BT297" s="386"/>
      <c r="BU297" s="387"/>
      <c r="BV297" s="388"/>
      <c r="BW297" s="386"/>
      <c r="BX297" s="387"/>
      <c r="BY297" s="388"/>
      <c r="BZ297" s="386"/>
      <c r="CA297" s="387"/>
      <c r="CB297" s="388"/>
      <c r="CC297" s="386"/>
      <c r="CD297" s="387"/>
      <c r="CE297" s="388"/>
      <c r="CF297" s="386"/>
      <c r="CG297" s="387"/>
      <c r="CH297" s="388"/>
      <c r="CI297" s="386"/>
      <c r="CJ297" s="387"/>
      <c r="CK297" s="388"/>
      <c r="CL297" s="386"/>
      <c r="CM297" s="387"/>
      <c r="CN297" s="388"/>
      <c r="CO297" s="386"/>
      <c r="CP297" s="387"/>
      <c r="CQ297" s="388"/>
      <c r="CR297" s="386"/>
      <c r="CS297" s="387"/>
      <c r="CT297" s="388"/>
      <c r="CU297" s="386"/>
      <c r="CV297" s="387"/>
      <c r="CW297" s="388"/>
      <c r="CX297" s="386"/>
      <c r="CY297" s="387"/>
      <c r="CZ297" s="388"/>
    </row>
    <row r="298">
      <c r="A298" s="1"/>
      <c r="B298" s="402"/>
      <c r="C298" s="362" t="str">
        <f>'5-0 Товары'!C298</f>
        <v/>
      </c>
      <c r="D298" s="363" t="str">
        <f>'5-0 Товары'!D298</f>
        <v/>
      </c>
      <c r="E298" s="364" t="str">
        <f>'5-0 Товары'!E298</f>
        <v/>
      </c>
      <c r="F298" s="380"/>
      <c r="G298" s="380"/>
      <c r="H298" s="364" t="str">
        <f>'5-0 Товары'!F298</f>
        <v/>
      </c>
      <c r="I298" s="391"/>
      <c r="J298" s="364" t="str">
        <f>'5-0 Товары'!G298</f>
        <v/>
      </c>
      <c r="K298" s="366" t="str">
        <f>'5-0 Товары'!H298</f>
        <v/>
      </c>
      <c r="L298" s="382" t="str">
        <f t="shared" si="1"/>
        <v/>
      </c>
      <c r="M298" s="382"/>
      <c r="N298" s="380"/>
      <c r="O298" s="369" t="str">
        <f>'5-0 Товары'!I298</f>
        <v/>
      </c>
      <c r="P298" s="371" t="str">
        <f>'5-0 Товары'!N298</f>
        <v/>
      </c>
      <c r="Q298" s="197"/>
      <c r="R298" s="193"/>
      <c r="S298" s="187"/>
      <c r="T298" s="187"/>
      <c r="U298" s="187"/>
      <c r="V298" s="187"/>
      <c r="W298" s="187"/>
      <c r="X298" s="187"/>
      <c r="Y298" s="187" t="s">
        <v>96</v>
      </c>
      <c r="Z298" s="193" t="str">
        <f t="shared" si="2"/>
        <v/>
      </c>
      <c r="AA298" s="383"/>
      <c r="AB298" s="384"/>
      <c r="AC298" s="385"/>
      <c r="AD298" s="383"/>
      <c r="AE298" s="384"/>
      <c r="AF298" s="385"/>
      <c r="AG298" s="383"/>
      <c r="AH298" s="384"/>
      <c r="AI298" s="385"/>
      <c r="AJ298" s="383"/>
      <c r="AK298" s="384"/>
      <c r="AL298" s="385"/>
      <c r="AM298" s="383"/>
      <c r="AN298" s="384"/>
      <c r="AO298" s="385"/>
      <c r="AP298" s="383"/>
      <c r="AQ298" s="384"/>
      <c r="AR298" s="385"/>
      <c r="AS298" s="383"/>
      <c r="AT298" s="384"/>
      <c r="AU298" s="385"/>
      <c r="AV298" s="383"/>
      <c r="AW298" s="384"/>
      <c r="AX298" s="385"/>
      <c r="AY298" s="383"/>
      <c r="AZ298" s="384"/>
      <c r="BA298" s="385"/>
      <c r="BB298" s="386"/>
      <c r="BC298" s="387"/>
      <c r="BD298" s="388"/>
      <c r="BE298" s="386"/>
      <c r="BF298" s="387"/>
      <c r="BG298" s="388"/>
      <c r="BH298" s="386"/>
      <c r="BI298" s="387"/>
      <c r="BJ298" s="388"/>
      <c r="BK298" s="386"/>
      <c r="BL298" s="387"/>
      <c r="BM298" s="388"/>
      <c r="BN298" s="386"/>
      <c r="BO298" s="387"/>
      <c r="BP298" s="388"/>
      <c r="BQ298" s="386"/>
      <c r="BR298" s="387"/>
      <c r="BS298" s="388"/>
      <c r="BT298" s="386"/>
      <c r="BU298" s="387"/>
      <c r="BV298" s="388"/>
      <c r="BW298" s="386"/>
      <c r="BX298" s="387"/>
      <c r="BY298" s="388"/>
      <c r="BZ298" s="386"/>
      <c r="CA298" s="387"/>
      <c r="CB298" s="388"/>
      <c r="CC298" s="386"/>
      <c r="CD298" s="387"/>
      <c r="CE298" s="388"/>
      <c r="CF298" s="386"/>
      <c r="CG298" s="387"/>
      <c r="CH298" s="388"/>
      <c r="CI298" s="386"/>
      <c r="CJ298" s="387"/>
      <c r="CK298" s="388"/>
      <c r="CL298" s="386"/>
      <c r="CM298" s="387"/>
      <c r="CN298" s="388"/>
      <c r="CO298" s="386"/>
      <c r="CP298" s="387"/>
      <c r="CQ298" s="388"/>
      <c r="CR298" s="386"/>
      <c r="CS298" s="387"/>
      <c r="CT298" s="388"/>
      <c r="CU298" s="386"/>
      <c r="CV298" s="387"/>
      <c r="CW298" s="388"/>
      <c r="CX298" s="386"/>
      <c r="CY298" s="387"/>
      <c r="CZ298" s="388"/>
    </row>
    <row r="299">
      <c r="A299" s="1"/>
      <c r="B299" s="402"/>
      <c r="C299" s="362" t="str">
        <f>'5-0 Товары'!C299</f>
        <v/>
      </c>
      <c r="D299" s="363" t="str">
        <f>'5-0 Товары'!D299</f>
        <v/>
      </c>
      <c r="E299" s="364" t="str">
        <f>'5-0 Товары'!E299</f>
        <v/>
      </c>
      <c r="F299" s="380"/>
      <c r="G299" s="380"/>
      <c r="H299" s="364" t="str">
        <f>'5-0 Товары'!F299</f>
        <v/>
      </c>
      <c r="I299" s="391"/>
      <c r="J299" s="364" t="str">
        <f>'5-0 Товары'!G299</f>
        <v/>
      </c>
      <c r="K299" s="366" t="str">
        <f>'5-0 Товары'!H299</f>
        <v/>
      </c>
      <c r="L299" s="382" t="str">
        <f t="shared" si="1"/>
        <v/>
      </c>
      <c r="M299" s="382"/>
      <c r="N299" s="380"/>
      <c r="O299" s="369" t="str">
        <f>'5-0 Товары'!I299</f>
        <v/>
      </c>
      <c r="P299" s="371" t="str">
        <f>'5-0 Товары'!N299</f>
        <v/>
      </c>
      <c r="Q299" s="197"/>
      <c r="R299" s="193"/>
      <c r="S299" s="187"/>
      <c r="T299" s="187"/>
      <c r="U299" s="187"/>
      <c r="V299" s="187"/>
      <c r="W299" s="187"/>
      <c r="X299" s="187"/>
      <c r="Y299" s="187" t="s">
        <v>96</v>
      </c>
      <c r="Z299" s="193" t="str">
        <f t="shared" si="2"/>
        <v/>
      </c>
      <c r="AA299" s="383"/>
      <c r="AB299" s="384"/>
      <c r="AC299" s="385"/>
      <c r="AD299" s="383"/>
      <c r="AE299" s="384"/>
      <c r="AF299" s="385"/>
      <c r="AG299" s="383"/>
      <c r="AH299" s="384"/>
      <c r="AI299" s="385"/>
      <c r="AJ299" s="383"/>
      <c r="AK299" s="384"/>
      <c r="AL299" s="385"/>
      <c r="AM299" s="383"/>
      <c r="AN299" s="384"/>
      <c r="AO299" s="385"/>
      <c r="AP299" s="383"/>
      <c r="AQ299" s="384"/>
      <c r="AR299" s="385"/>
      <c r="AS299" s="383"/>
      <c r="AT299" s="384"/>
      <c r="AU299" s="385"/>
      <c r="AV299" s="383"/>
      <c r="AW299" s="384"/>
      <c r="AX299" s="385"/>
      <c r="AY299" s="383"/>
      <c r="AZ299" s="384"/>
      <c r="BA299" s="385"/>
      <c r="BB299" s="386"/>
      <c r="BC299" s="387"/>
      <c r="BD299" s="388"/>
      <c r="BE299" s="386"/>
      <c r="BF299" s="387"/>
      <c r="BG299" s="388"/>
      <c r="BH299" s="386"/>
      <c r="BI299" s="387"/>
      <c r="BJ299" s="388"/>
      <c r="BK299" s="386"/>
      <c r="BL299" s="387"/>
      <c r="BM299" s="388"/>
      <c r="BN299" s="386"/>
      <c r="BO299" s="387"/>
      <c r="BP299" s="388"/>
      <c r="BQ299" s="386"/>
      <c r="BR299" s="387"/>
      <c r="BS299" s="388"/>
      <c r="BT299" s="386"/>
      <c r="BU299" s="387"/>
      <c r="BV299" s="388"/>
      <c r="BW299" s="386"/>
      <c r="BX299" s="387"/>
      <c r="BY299" s="388"/>
      <c r="BZ299" s="386"/>
      <c r="CA299" s="387"/>
      <c r="CB299" s="388"/>
      <c r="CC299" s="386"/>
      <c r="CD299" s="387"/>
      <c r="CE299" s="388"/>
      <c r="CF299" s="386"/>
      <c r="CG299" s="387"/>
      <c r="CH299" s="388"/>
      <c r="CI299" s="386"/>
      <c r="CJ299" s="387"/>
      <c r="CK299" s="388"/>
      <c r="CL299" s="386"/>
      <c r="CM299" s="387"/>
      <c r="CN299" s="388"/>
      <c r="CO299" s="386"/>
      <c r="CP299" s="387"/>
      <c r="CQ299" s="388"/>
      <c r="CR299" s="386"/>
      <c r="CS299" s="387"/>
      <c r="CT299" s="388"/>
      <c r="CU299" s="386"/>
      <c r="CV299" s="387"/>
      <c r="CW299" s="388"/>
      <c r="CX299" s="386"/>
      <c r="CY299" s="387"/>
      <c r="CZ299" s="388"/>
    </row>
    <row r="300">
      <c r="A300" s="1"/>
      <c r="B300" s="402"/>
      <c r="C300" s="362" t="str">
        <f>'5-0 Товары'!C300</f>
        <v/>
      </c>
      <c r="D300" s="363" t="str">
        <f>'5-0 Товары'!D300</f>
        <v/>
      </c>
      <c r="E300" s="364" t="str">
        <f>'5-0 Товары'!E300</f>
        <v/>
      </c>
      <c r="F300" s="380"/>
      <c r="G300" s="380"/>
      <c r="H300" s="364" t="str">
        <f>'5-0 Товары'!F300</f>
        <v/>
      </c>
      <c r="I300" s="391"/>
      <c r="J300" s="364" t="str">
        <f>'5-0 Товары'!G300</f>
        <v/>
      </c>
      <c r="K300" s="366" t="str">
        <f>'5-0 Товары'!H300</f>
        <v/>
      </c>
      <c r="L300" s="382" t="str">
        <f t="shared" si="1"/>
        <v/>
      </c>
      <c r="M300" s="382"/>
      <c r="N300" s="380"/>
      <c r="O300" s="369" t="str">
        <f>'5-0 Товары'!I300</f>
        <v/>
      </c>
      <c r="P300" s="371" t="str">
        <f>'5-0 Товары'!N300</f>
        <v/>
      </c>
      <c r="Q300" s="197"/>
      <c r="R300" s="193"/>
      <c r="S300" s="187"/>
      <c r="T300" s="187"/>
      <c r="U300" s="187"/>
      <c r="V300" s="187"/>
      <c r="W300" s="187"/>
      <c r="X300" s="187"/>
      <c r="Y300" s="187" t="s">
        <v>96</v>
      </c>
      <c r="Z300" s="193" t="str">
        <f t="shared" si="2"/>
        <v/>
      </c>
      <c r="AA300" s="383"/>
      <c r="AB300" s="384"/>
      <c r="AC300" s="385"/>
      <c r="AD300" s="383"/>
      <c r="AE300" s="384"/>
      <c r="AF300" s="385"/>
      <c r="AG300" s="383"/>
      <c r="AH300" s="384"/>
      <c r="AI300" s="385"/>
      <c r="AJ300" s="383"/>
      <c r="AK300" s="384"/>
      <c r="AL300" s="385"/>
      <c r="AM300" s="383"/>
      <c r="AN300" s="384"/>
      <c r="AO300" s="385"/>
      <c r="AP300" s="383"/>
      <c r="AQ300" s="384"/>
      <c r="AR300" s="385"/>
      <c r="AS300" s="383"/>
      <c r="AT300" s="384"/>
      <c r="AU300" s="385"/>
      <c r="AV300" s="383"/>
      <c r="AW300" s="384"/>
      <c r="AX300" s="385"/>
      <c r="AY300" s="383"/>
      <c r="AZ300" s="384"/>
      <c r="BA300" s="385"/>
      <c r="BB300" s="386"/>
      <c r="BC300" s="387"/>
      <c r="BD300" s="388"/>
      <c r="BE300" s="386"/>
      <c r="BF300" s="387"/>
      <c r="BG300" s="388"/>
      <c r="BH300" s="386"/>
      <c r="BI300" s="387"/>
      <c r="BJ300" s="388"/>
      <c r="BK300" s="386"/>
      <c r="BL300" s="387"/>
      <c r="BM300" s="388"/>
      <c r="BN300" s="386"/>
      <c r="BO300" s="387"/>
      <c r="BP300" s="388"/>
      <c r="BQ300" s="386"/>
      <c r="BR300" s="387"/>
      <c r="BS300" s="388"/>
      <c r="BT300" s="386"/>
      <c r="BU300" s="387"/>
      <c r="BV300" s="388"/>
      <c r="BW300" s="386"/>
      <c r="BX300" s="387"/>
      <c r="BY300" s="388"/>
      <c r="BZ300" s="386"/>
      <c r="CA300" s="387"/>
      <c r="CB300" s="388"/>
      <c r="CC300" s="386"/>
      <c r="CD300" s="387"/>
      <c r="CE300" s="388"/>
      <c r="CF300" s="386"/>
      <c r="CG300" s="387"/>
      <c r="CH300" s="388"/>
      <c r="CI300" s="386"/>
      <c r="CJ300" s="387"/>
      <c r="CK300" s="388"/>
      <c r="CL300" s="386"/>
      <c r="CM300" s="387"/>
      <c r="CN300" s="388"/>
      <c r="CO300" s="386"/>
      <c r="CP300" s="387"/>
      <c r="CQ300" s="388"/>
      <c r="CR300" s="386"/>
      <c r="CS300" s="387"/>
      <c r="CT300" s="388"/>
      <c r="CU300" s="386"/>
      <c r="CV300" s="387"/>
      <c r="CW300" s="388"/>
      <c r="CX300" s="386"/>
      <c r="CY300" s="387"/>
      <c r="CZ300" s="388"/>
    </row>
    <row r="301">
      <c r="A301" s="1"/>
      <c r="B301" s="402"/>
      <c r="C301" s="362" t="str">
        <f>'5-0 Товары'!C301</f>
        <v/>
      </c>
      <c r="D301" s="363" t="str">
        <f>'5-0 Товары'!D301</f>
        <v/>
      </c>
      <c r="E301" s="364" t="str">
        <f>'5-0 Товары'!E301</f>
        <v/>
      </c>
      <c r="F301" s="380"/>
      <c r="G301" s="380"/>
      <c r="H301" s="364" t="str">
        <f>'5-0 Товары'!F301</f>
        <v/>
      </c>
      <c r="I301" s="391"/>
      <c r="J301" s="364" t="str">
        <f>'5-0 Товары'!G301</f>
        <v/>
      </c>
      <c r="K301" s="366" t="str">
        <f>'5-0 Товары'!H301</f>
        <v/>
      </c>
      <c r="L301" s="382" t="str">
        <f t="shared" si="1"/>
        <v/>
      </c>
      <c r="M301" s="382"/>
      <c r="N301" s="380"/>
      <c r="O301" s="369" t="str">
        <f>'5-0 Товары'!I301</f>
        <v/>
      </c>
      <c r="P301" s="371" t="str">
        <f>'5-0 Товары'!N301</f>
        <v/>
      </c>
      <c r="Q301" s="197"/>
      <c r="R301" s="193"/>
      <c r="S301" s="187"/>
      <c r="T301" s="187"/>
      <c r="U301" s="187"/>
      <c r="V301" s="187"/>
      <c r="W301" s="187"/>
      <c r="X301" s="187"/>
      <c r="Y301" s="187" t="s">
        <v>96</v>
      </c>
      <c r="Z301" s="193" t="str">
        <f t="shared" si="2"/>
        <v/>
      </c>
      <c r="AA301" s="383"/>
      <c r="AB301" s="384"/>
      <c r="AC301" s="385"/>
      <c r="AD301" s="383"/>
      <c r="AE301" s="384"/>
      <c r="AF301" s="385"/>
      <c r="AG301" s="383"/>
      <c r="AH301" s="384"/>
      <c r="AI301" s="385"/>
      <c r="AJ301" s="383"/>
      <c r="AK301" s="384"/>
      <c r="AL301" s="385"/>
      <c r="AM301" s="383"/>
      <c r="AN301" s="384"/>
      <c r="AO301" s="385"/>
      <c r="AP301" s="383"/>
      <c r="AQ301" s="384"/>
      <c r="AR301" s="385"/>
      <c r="AS301" s="383"/>
      <c r="AT301" s="384"/>
      <c r="AU301" s="385"/>
      <c r="AV301" s="383"/>
      <c r="AW301" s="384"/>
      <c r="AX301" s="385"/>
      <c r="AY301" s="383"/>
      <c r="AZ301" s="384"/>
      <c r="BA301" s="385"/>
      <c r="BB301" s="386"/>
      <c r="BC301" s="387"/>
      <c r="BD301" s="388"/>
      <c r="BE301" s="386"/>
      <c r="BF301" s="387"/>
      <c r="BG301" s="388"/>
      <c r="BH301" s="386"/>
      <c r="BI301" s="387"/>
      <c r="BJ301" s="388"/>
      <c r="BK301" s="386"/>
      <c r="BL301" s="387"/>
      <c r="BM301" s="388"/>
      <c r="BN301" s="386"/>
      <c r="BO301" s="387"/>
      <c r="BP301" s="388"/>
      <c r="BQ301" s="386"/>
      <c r="BR301" s="387"/>
      <c r="BS301" s="388"/>
      <c r="BT301" s="386"/>
      <c r="BU301" s="387"/>
      <c r="BV301" s="388"/>
      <c r="BW301" s="386"/>
      <c r="BX301" s="387"/>
      <c r="BY301" s="388"/>
      <c r="BZ301" s="386"/>
      <c r="CA301" s="387"/>
      <c r="CB301" s="388"/>
      <c r="CC301" s="386"/>
      <c r="CD301" s="387"/>
      <c r="CE301" s="388"/>
      <c r="CF301" s="386"/>
      <c r="CG301" s="387"/>
      <c r="CH301" s="388"/>
      <c r="CI301" s="386"/>
      <c r="CJ301" s="387"/>
      <c r="CK301" s="388"/>
      <c r="CL301" s="386"/>
      <c r="CM301" s="387"/>
      <c r="CN301" s="388"/>
      <c r="CO301" s="386"/>
      <c r="CP301" s="387"/>
      <c r="CQ301" s="388"/>
      <c r="CR301" s="386"/>
      <c r="CS301" s="387"/>
      <c r="CT301" s="388"/>
      <c r="CU301" s="386"/>
      <c r="CV301" s="387"/>
      <c r="CW301" s="388"/>
      <c r="CX301" s="386"/>
      <c r="CY301" s="387"/>
      <c r="CZ301" s="388"/>
    </row>
    <row r="302">
      <c r="A302" s="1"/>
      <c r="B302" s="402"/>
      <c r="C302" s="362" t="str">
        <f>'5-0 Товары'!C302</f>
        <v/>
      </c>
      <c r="D302" s="363" t="str">
        <f>'5-0 Товары'!D302</f>
        <v/>
      </c>
      <c r="E302" s="364" t="str">
        <f>'5-0 Товары'!E302</f>
        <v/>
      </c>
      <c r="F302" s="380"/>
      <c r="G302" s="380"/>
      <c r="H302" s="364" t="str">
        <f>'5-0 Товары'!F302</f>
        <v/>
      </c>
      <c r="I302" s="391"/>
      <c r="J302" s="364" t="str">
        <f>'5-0 Товары'!G302</f>
        <v/>
      </c>
      <c r="K302" s="366" t="str">
        <f>'5-0 Товары'!H302</f>
        <v/>
      </c>
      <c r="L302" s="382" t="str">
        <f t="shared" si="1"/>
        <v/>
      </c>
      <c r="M302" s="382"/>
      <c r="N302" s="380"/>
      <c r="O302" s="369" t="str">
        <f>'5-0 Товары'!I302</f>
        <v/>
      </c>
      <c r="P302" s="371" t="str">
        <f>'5-0 Товары'!N302</f>
        <v/>
      </c>
      <c r="Q302" s="197"/>
      <c r="R302" s="193"/>
      <c r="S302" s="187"/>
      <c r="T302" s="187"/>
      <c r="U302" s="187"/>
      <c r="V302" s="187"/>
      <c r="W302" s="187"/>
      <c r="X302" s="187"/>
      <c r="Y302" s="187" t="s">
        <v>96</v>
      </c>
      <c r="Z302" s="193" t="str">
        <f t="shared" si="2"/>
        <v/>
      </c>
      <c r="AA302" s="383"/>
      <c r="AB302" s="384"/>
      <c r="AC302" s="385"/>
      <c r="AD302" s="383"/>
      <c r="AE302" s="384"/>
      <c r="AF302" s="385"/>
      <c r="AG302" s="383"/>
      <c r="AH302" s="384"/>
      <c r="AI302" s="385"/>
      <c r="AJ302" s="383"/>
      <c r="AK302" s="384"/>
      <c r="AL302" s="385"/>
      <c r="AM302" s="383"/>
      <c r="AN302" s="384"/>
      <c r="AO302" s="385"/>
      <c r="AP302" s="383"/>
      <c r="AQ302" s="384"/>
      <c r="AR302" s="385"/>
      <c r="AS302" s="383"/>
      <c r="AT302" s="384"/>
      <c r="AU302" s="385"/>
      <c r="AV302" s="383"/>
      <c r="AW302" s="384"/>
      <c r="AX302" s="385"/>
      <c r="AY302" s="383"/>
      <c r="AZ302" s="384"/>
      <c r="BA302" s="385"/>
      <c r="BB302" s="386"/>
      <c r="BC302" s="387"/>
      <c r="BD302" s="388"/>
      <c r="BE302" s="386"/>
      <c r="BF302" s="387"/>
      <c r="BG302" s="388"/>
      <c r="BH302" s="386"/>
      <c r="BI302" s="387"/>
      <c r="BJ302" s="388"/>
      <c r="BK302" s="386"/>
      <c r="BL302" s="387"/>
      <c r="BM302" s="388"/>
      <c r="BN302" s="386"/>
      <c r="BO302" s="387"/>
      <c r="BP302" s="388"/>
      <c r="BQ302" s="386"/>
      <c r="BR302" s="387"/>
      <c r="BS302" s="388"/>
      <c r="BT302" s="386"/>
      <c r="BU302" s="387"/>
      <c r="BV302" s="388"/>
      <c r="BW302" s="386"/>
      <c r="BX302" s="387"/>
      <c r="BY302" s="388"/>
      <c r="BZ302" s="386"/>
      <c r="CA302" s="387"/>
      <c r="CB302" s="388"/>
      <c r="CC302" s="386"/>
      <c r="CD302" s="387"/>
      <c r="CE302" s="388"/>
      <c r="CF302" s="386"/>
      <c r="CG302" s="387"/>
      <c r="CH302" s="388"/>
      <c r="CI302" s="386"/>
      <c r="CJ302" s="387"/>
      <c r="CK302" s="388"/>
      <c r="CL302" s="386"/>
      <c r="CM302" s="387"/>
      <c r="CN302" s="388"/>
      <c r="CO302" s="386"/>
      <c r="CP302" s="387"/>
      <c r="CQ302" s="388"/>
      <c r="CR302" s="386"/>
      <c r="CS302" s="387"/>
      <c r="CT302" s="388"/>
      <c r="CU302" s="386"/>
      <c r="CV302" s="387"/>
      <c r="CW302" s="388"/>
      <c r="CX302" s="386"/>
      <c r="CY302" s="387"/>
      <c r="CZ302" s="388"/>
    </row>
    <row r="303">
      <c r="A303" s="1"/>
      <c r="B303" s="402"/>
      <c r="C303" s="362" t="str">
        <f>'5-0 Товары'!C303</f>
        <v/>
      </c>
      <c r="D303" s="363" t="str">
        <f>'5-0 Товары'!D303</f>
        <v/>
      </c>
      <c r="E303" s="364" t="str">
        <f>'5-0 Товары'!E303</f>
        <v/>
      </c>
      <c r="F303" s="380"/>
      <c r="G303" s="380"/>
      <c r="H303" s="364" t="str">
        <f>'5-0 Товары'!F303</f>
        <v/>
      </c>
      <c r="I303" s="391"/>
      <c r="J303" s="364" t="str">
        <f>'5-0 Товары'!G303</f>
        <v/>
      </c>
      <c r="K303" s="366" t="str">
        <f>'5-0 Товары'!H303</f>
        <v/>
      </c>
      <c r="L303" s="382" t="str">
        <f t="shared" si="1"/>
        <v/>
      </c>
      <c r="M303" s="382"/>
      <c r="N303" s="380"/>
      <c r="O303" s="369" t="str">
        <f>'5-0 Товары'!I303</f>
        <v/>
      </c>
      <c r="P303" s="371" t="str">
        <f>'5-0 Товары'!N303</f>
        <v/>
      </c>
      <c r="Q303" s="197"/>
      <c r="R303" s="193"/>
      <c r="S303" s="187"/>
      <c r="T303" s="187"/>
      <c r="U303" s="187"/>
      <c r="V303" s="187"/>
      <c r="W303" s="187"/>
      <c r="X303" s="187"/>
      <c r="Y303" s="187" t="s">
        <v>96</v>
      </c>
      <c r="Z303" s="193" t="str">
        <f t="shared" si="2"/>
        <v/>
      </c>
      <c r="AA303" s="383"/>
      <c r="AB303" s="384"/>
      <c r="AC303" s="385"/>
      <c r="AD303" s="383"/>
      <c r="AE303" s="384"/>
      <c r="AF303" s="385"/>
      <c r="AG303" s="383"/>
      <c r="AH303" s="384"/>
      <c r="AI303" s="385"/>
      <c r="AJ303" s="383"/>
      <c r="AK303" s="384"/>
      <c r="AL303" s="385"/>
      <c r="AM303" s="383"/>
      <c r="AN303" s="384"/>
      <c r="AO303" s="385"/>
      <c r="AP303" s="383"/>
      <c r="AQ303" s="384"/>
      <c r="AR303" s="385"/>
      <c r="AS303" s="383"/>
      <c r="AT303" s="384"/>
      <c r="AU303" s="385"/>
      <c r="AV303" s="383"/>
      <c r="AW303" s="384"/>
      <c r="AX303" s="385"/>
      <c r="AY303" s="383"/>
      <c r="AZ303" s="384"/>
      <c r="BA303" s="385"/>
      <c r="BB303" s="386"/>
      <c r="BC303" s="387"/>
      <c r="BD303" s="388"/>
      <c r="BE303" s="386"/>
      <c r="BF303" s="387"/>
      <c r="BG303" s="388"/>
      <c r="BH303" s="386"/>
      <c r="BI303" s="387"/>
      <c r="BJ303" s="388"/>
      <c r="BK303" s="386"/>
      <c r="BL303" s="387"/>
      <c r="BM303" s="388"/>
      <c r="BN303" s="386"/>
      <c r="BO303" s="387"/>
      <c r="BP303" s="388"/>
      <c r="BQ303" s="386"/>
      <c r="BR303" s="387"/>
      <c r="BS303" s="388"/>
      <c r="BT303" s="386"/>
      <c r="BU303" s="387"/>
      <c r="BV303" s="388"/>
      <c r="BW303" s="386"/>
      <c r="BX303" s="387"/>
      <c r="BY303" s="388"/>
      <c r="BZ303" s="386"/>
      <c r="CA303" s="387"/>
      <c r="CB303" s="388"/>
      <c r="CC303" s="386"/>
      <c r="CD303" s="387"/>
      <c r="CE303" s="388"/>
      <c r="CF303" s="386"/>
      <c r="CG303" s="387"/>
      <c r="CH303" s="388"/>
      <c r="CI303" s="386"/>
      <c r="CJ303" s="387"/>
      <c r="CK303" s="388"/>
      <c r="CL303" s="386"/>
      <c r="CM303" s="387"/>
      <c r="CN303" s="388"/>
      <c r="CO303" s="386"/>
      <c r="CP303" s="387"/>
      <c r="CQ303" s="388"/>
      <c r="CR303" s="386"/>
      <c r="CS303" s="387"/>
      <c r="CT303" s="388"/>
      <c r="CU303" s="386"/>
      <c r="CV303" s="387"/>
      <c r="CW303" s="388"/>
      <c r="CX303" s="386"/>
      <c r="CY303" s="387"/>
      <c r="CZ303" s="388"/>
    </row>
    <row r="304">
      <c r="A304" s="1"/>
      <c r="B304" s="402"/>
      <c r="C304" s="362" t="str">
        <f>'5-0 Товары'!C304</f>
        <v/>
      </c>
      <c r="D304" s="363" t="str">
        <f>'5-0 Товары'!D304</f>
        <v/>
      </c>
      <c r="E304" s="364" t="str">
        <f>'5-0 Товары'!E304</f>
        <v/>
      </c>
      <c r="F304" s="380"/>
      <c r="G304" s="380"/>
      <c r="H304" s="364" t="str">
        <f>'5-0 Товары'!F304</f>
        <v/>
      </c>
      <c r="I304" s="391"/>
      <c r="J304" s="364" t="str">
        <f>'5-0 Товары'!G304</f>
        <v/>
      </c>
      <c r="K304" s="366" t="str">
        <f>'5-0 Товары'!H304</f>
        <v/>
      </c>
      <c r="L304" s="382" t="str">
        <f t="shared" si="1"/>
        <v/>
      </c>
      <c r="M304" s="382"/>
      <c r="N304" s="380"/>
      <c r="O304" s="369" t="str">
        <f>'5-0 Товары'!I304</f>
        <v/>
      </c>
      <c r="P304" s="371" t="str">
        <f>'5-0 Товары'!N304</f>
        <v/>
      </c>
      <c r="Q304" s="197"/>
      <c r="R304" s="193"/>
      <c r="S304" s="187"/>
      <c r="T304" s="187"/>
      <c r="U304" s="187"/>
      <c r="V304" s="187"/>
      <c r="W304" s="187"/>
      <c r="X304" s="187"/>
      <c r="Y304" s="187" t="s">
        <v>96</v>
      </c>
      <c r="Z304" s="193" t="str">
        <f t="shared" si="2"/>
        <v/>
      </c>
      <c r="AA304" s="383"/>
      <c r="AB304" s="384"/>
      <c r="AC304" s="385"/>
      <c r="AD304" s="383"/>
      <c r="AE304" s="384"/>
      <c r="AF304" s="385"/>
      <c r="AG304" s="383"/>
      <c r="AH304" s="384"/>
      <c r="AI304" s="385"/>
      <c r="AJ304" s="383"/>
      <c r="AK304" s="384"/>
      <c r="AL304" s="385"/>
      <c r="AM304" s="383"/>
      <c r="AN304" s="384"/>
      <c r="AO304" s="385"/>
      <c r="AP304" s="383"/>
      <c r="AQ304" s="384"/>
      <c r="AR304" s="385"/>
      <c r="AS304" s="383"/>
      <c r="AT304" s="384"/>
      <c r="AU304" s="385"/>
      <c r="AV304" s="383"/>
      <c r="AW304" s="384"/>
      <c r="AX304" s="385"/>
      <c r="AY304" s="383"/>
      <c r="AZ304" s="384"/>
      <c r="BA304" s="385"/>
      <c r="BB304" s="386"/>
      <c r="BC304" s="387"/>
      <c r="BD304" s="388"/>
      <c r="BE304" s="386"/>
      <c r="BF304" s="387"/>
      <c r="BG304" s="388"/>
      <c r="BH304" s="386"/>
      <c r="BI304" s="387"/>
      <c r="BJ304" s="388"/>
      <c r="BK304" s="386"/>
      <c r="BL304" s="387"/>
      <c r="BM304" s="388"/>
      <c r="BN304" s="386"/>
      <c r="BO304" s="387"/>
      <c r="BP304" s="388"/>
      <c r="BQ304" s="386"/>
      <c r="BR304" s="387"/>
      <c r="BS304" s="388"/>
      <c r="BT304" s="386"/>
      <c r="BU304" s="387"/>
      <c r="BV304" s="388"/>
      <c r="BW304" s="386"/>
      <c r="BX304" s="387"/>
      <c r="BY304" s="388"/>
      <c r="BZ304" s="386"/>
      <c r="CA304" s="387"/>
      <c r="CB304" s="388"/>
      <c r="CC304" s="386"/>
      <c r="CD304" s="387"/>
      <c r="CE304" s="388"/>
      <c r="CF304" s="386"/>
      <c r="CG304" s="387"/>
      <c r="CH304" s="388"/>
      <c r="CI304" s="386"/>
      <c r="CJ304" s="387"/>
      <c r="CK304" s="388"/>
      <c r="CL304" s="386"/>
      <c r="CM304" s="387"/>
      <c r="CN304" s="388"/>
      <c r="CO304" s="386"/>
      <c r="CP304" s="387"/>
      <c r="CQ304" s="388"/>
      <c r="CR304" s="386"/>
      <c r="CS304" s="387"/>
      <c r="CT304" s="388"/>
      <c r="CU304" s="386"/>
      <c r="CV304" s="387"/>
      <c r="CW304" s="388"/>
      <c r="CX304" s="386"/>
      <c r="CY304" s="387"/>
      <c r="CZ304" s="388"/>
    </row>
    <row r="305">
      <c r="A305" s="1"/>
      <c r="B305" s="402"/>
      <c r="C305" s="362" t="str">
        <f>'5-0 Товары'!C305</f>
        <v/>
      </c>
      <c r="D305" s="363" t="str">
        <f>'5-0 Товары'!D305</f>
        <v/>
      </c>
      <c r="E305" s="364" t="str">
        <f>'5-0 Товары'!E305</f>
        <v/>
      </c>
      <c r="F305" s="380"/>
      <c r="G305" s="380"/>
      <c r="H305" s="364" t="str">
        <f>'5-0 Товары'!F305</f>
        <v/>
      </c>
      <c r="I305" s="391"/>
      <c r="J305" s="364" t="str">
        <f>'5-0 Товары'!G305</f>
        <v/>
      </c>
      <c r="K305" s="366" t="str">
        <f>'5-0 Товары'!H305</f>
        <v/>
      </c>
      <c r="L305" s="382" t="str">
        <f t="shared" si="1"/>
        <v/>
      </c>
      <c r="M305" s="382"/>
      <c r="N305" s="380"/>
      <c r="O305" s="369" t="str">
        <f>'5-0 Товары'!I305</f>
        <v/>
      </c>
      <c r="P305" s="371" t="str">
        <f>'5-0 Товары'!N305</f>
        <v/>
      </c>
      <c r="Q305" s="197"/>
      <c r="R305" s="193"/>
      <c r="S305" s="187"/>
      <c r="T305" s="187"/>
      <c r="U305" s="187"/>
      <c r="V305" s="187"/>
      <c r="W305" s="187"/>
      <c r="X305" s="187"/>
      <c r="Y305" s="187" t="s">
        <v>96</v>
      </c>
      <c r="Z305" s="193" t="str">
        <f t="shared" si="2"/>
        <v/>
      </c>
      <c r="AA305" s="383"/>
      <c r="AB305" s="384"/>
      <c r="AC305" s="385"/>
      <c r="AD305" s="383"/>
      <c r="AE305" s="384"/>
      <c r="AF305" s="385"/>
      <c r="AG305" s="383"/>
      <c r="AH305" s="384"/>
      <c r="AI305" s="385"/>
      <c r="AJ305" s="383"/>
      <c r="AK305" s="384"/>
      <c r="AL305" s="385"/>
      <c r="AM305" s="383"/>
      <c r="AN305" s="384"/>
      <c r="AO305" s="385"/>
      <c r="AP305" s="383"/>
      <c r="AQ305" s="384"/>
      <c r="AR305" s="385"/>
      <c r="AS305" s="383"/>
      <c r="AT305" s="384"/>
      <c r="AU305" s="385"/>
      <c r="AV305" s="383"/>
      <c r="AW305" s="384"/>
      <c r="AX305" s="385"/>
      <c r="AY305" s="383"/>
      <c r="AZ305" s="384"/>
      <c r="BA305" s="385"/>
      <c r="BB305" s="386"/>
      <c r="BC305" s="387"/>
      <c r="BD305" s="388"/>
      <c r="BE305" s="386"/>
      <c r="BF305" s="387"/>
      <c r="BG305" s="388"/>
      <c r="BH305" s="386"/>
      <c r="BI305" s="387"/>
      <c r="BJ305" s="388"/>
      <c r="BK305" s="386"/>
      <c r="BL305" s="387"/>
      <c r="BM305" s="388"/>
      <c r="BN305" s="386"/>
      <c r="BO305" s="387"/>
      <c r="BP305" s="388"/>
      <c r="BQ305" s="386"/>
      <c r="BR305" s="387"/>
      <c r="BS305" s="388"/>
      <c r="BT305" s="386"/>
      <c r="BU305" s="387"/>
      <c r="BV305" s="388"/>
      <c r="BW305" s="386"/>
      <c r="BX305" s="387"/>
      <c r="BY305" s="388"/>
      <c r="BZ305" s="386"/>
      <c r="CA305" s="387"/>
      <c r="CB305" s="388"/>
      <c r="CC305" s="386"/>
      <c r="CD305" s="387"/>
      <c r="CE305" s="388"/>
      <c r="CF305" s="386"/>
      <c r="CG305" s="387"/>
      <c r="CH305" s="388"/>
      <c r="CI305" s="386"/>
      <c r="CJ305" s="387"/>
      <c r="CK305" s="388"/>
      <c r="CL305" s="386"/>
      <c r="CM305" s="387"/>
      <c r="CN305" s="388"/>
      <c r="CO305" s="386"/>
      <c r="CP305" s="387"/>
      <c r="CQ305" s="388"/>
      <c r="CR305" s="386"/>
      <c r="CS305" s="387"/>
      <c r="CT305" s="388"/>
      <c r="CU305" s="386"/>
      <c r="CV305" s="387"/>
      <c r="CW305" s="388"/>
      <c r="CX305" s="386"/>
      <c r="CY305" s="387"/>
      <c r="CZ305" s="388"/>
    </row>
    <row r="306">
      <c r="A306" s="1"/>
      <c r="B306" s="402"/>
      <c r="C306" s="362" t="str">
        <f>'5-0 Товары'!C306</f>
        <v/>
      </c>
      <c r="D306" s="363" t="str">
        <f>'5-0 Товары'!D306</f>
        <v/>
      </c>
      <c r="E306" s="364" t="str">
        <f>'5-0 Товары'!E306</f>
        <v/>
      </c>
      <c r="F306" s="380"/>
      <c r="G306" s="380"/>
      <c r="H306" s="364" t="str">
        <f>'5-0 Товары'!F306</f>
        <v/>
      </c>
      <c r="I306" s="391"/>
      <c r="J306" s="364" t="str">
        <f>'5-0 Товары'!G306</f>
        <v/>
      </c>
      <c r="K306" s="366" t="str">
        <f>'5-0 Товары'!H306</f>
        <v/>
      </c>
      <c r="L306" s="382" t="str">
        <f t="shared" si="1"/>
        <v/>
      </c>
      <c r="M306" s="382"/>
      <c r="N306" s="380"/>
      <c r="O306" s="369" t="str">
        <f>'5-0 Товары'!I306</f>
        <v/>
      </c>
      <c r="P306" s="371" t="str">
        <f>'5-0 Товары'!N306</f>
        <v/>
      </c>
      <c r="Q306" s="197"/>
      <c r="R306" s="193"/>
      <c r="S306" s="187"/>
      <c r="T306" s="187"/>
      <c r="U306" s="187"/>
      <c r="V306" s="187"/>
      <c r="W306" s="187"/>
      <c r="X306" s="187"/>
      <c r="Y306" s="187" t="s">
        <v>96</v>
      </c>
      <c r="Z306" s="193" t="str">
        <f t="shared" si="2"/>
        <v/>
      </c>
      <c r="AA306" s="383"/>
      <c r="AB306" s="384"/>
      <c r="AC306" s="385"/>
      <c r="AD306" s="383"/>
      <c r="AE306" s="384"/>
      <c r="AF306" s="385"/>
      <c r="AG306" s="383"/>
      <c r="AH306" s="384"/>
      <c r="AI306" s="385"/>
      <c r="AJ306" s="383"/>
      <c r="AK306" s="384"/>
      <c r="AL306" s="385"/>
      <c r="AM306" s="383"/>
      <c r="AN306" s="384"/>
      <c r="AO306" s="385"/>
      <c r="AP306" s="383"/>
      <c r="AQ306" s="384"/>
      <c r="AR306" s="385"/>
      <c r="AS306" s="383"/>
      <c r="AT306" s="384"/>
      <c r="AU306" s="385"/>
      <c r="AV306" s="383"/>
      <c r="AW306" s="384"/>
      <c r="AX306" s="385"/>
      <c r="AY306" s="383"/>
      <c r="AZ306" s="384"/>
      <c r="BA306" s="385"/>
      <c r="BB306" s="386"/>
      <c r="BC306" s="387"/>
      <c r="BD306" s="388"/>
      <c r="BE306" s="386"/>
      <c r="BF306" s="387"/>
      <c r="BG306" s="388"/>
      <c r="BH306" s="386"/>
      <c r="BI306" s="387"/>
      <c r="BJ306" s="388"/>
      <c r="BK306" s="386"/>
      <c r="BL306" s="387"/>
      <c r="BM306" s="388"/>
      <c r="BN306" s="386"/>
      <c r="BO306" s="387"/>
      <c r="BP306" s="388"/>
      <c r="BQ306" s="386"/>
      <c r="BR306" s="387"/>
      <c r="BS306" s="388"/>
      <c r="BT306" s="386"/>
      <c r="BU306" s="387"/>
      <c r="BV306" s="388"/>
      <c r="BW306" s="386"/>
      <c r="BX306" s="387"/>
      <c r="BY306" s="388"/>
      <c r="BZ306" s="386"/>
      <c r="CA306" s="387"/>
      <c r="CB306" s="388"/>
      <c r="CC306" s="386"/>
      <c r="CD306" s="387"/>
      <c r="CE306" s="388"/>
      <c r="CF306" s="386"/>
      <c r="CG306" s="387"/>
      <c r="CH306" s="388"/>
      <c r="CI306" s="386"/>
      <c r="CJ306" s="387"/>
      <c r="CK306" s="388"/>
      <c r="CL306" s="386"/>
      <c r="CM306" s="387"/>
      <c r="CN306" s="388"/>
      <c r="CO306" s="386"/>
      <c r="CP306" s="387"/>
      <c r="CQ306" s="388"/>
      <c r="CR306" s="386"/>
      <c r="CS306" s="387"/>
      <c r="CT306" s="388"/>
      <c r="CU306" s="386"/>
      <c r="CV306" s="387"/>
      <c r="CW306" s="388"/>
      <c r="CX306" s="386"/>
      <c r="CY306" s="387"/>
      <c r="CZ306" s="388"/>
    </row>
    <row r="307">
      <c r="A307" s="1"/>
      <c r="B307" s="402"/>
      <c r="C307" s="362" t="str">
        <f>'5-0 Товары'!C307</f>
        <v/>
      </c>
      <c r="D307" s="363" t="str">
        <f>'5-0 Товары'!D307</f>
        <v/>
      </c>
      <c r="E307" s="364" t="str">
        <f>'5-0 Товары'!E307</f>
        <v/>
      </c>
      <c r="F307" s="380"/>
      <c r="G307" s="380"/>
      <c r="H307" s="364" t="str">
        <f>'5-0 Товары'!F307</f>
        <v/>
      </c>
      <c r="I307" s="391"/>
      <c r="J307" s="364" t="str">
        <f>'5-0 Товары'!G307</f>
        <v/>
      </c>
      <c r="K307" s="366" t="str">
        <f>'5-0 Товары'!H307</f>
        <v/>
      </c>
      <c r="L307" s="382" t="str">
        <f t="shared" si="1"/>
        <v/>
      </c>
      <c r="M307" s="382"/>
      <c r="N307" s="380"/>
      <c r="O307" s="369" t="str">
        <f>'5-0 Товары'!I307</f>
        <v/>
      </c>
      <c r="P307" s="371" t="str">
        <f>'5-0 Товары'!N307</f>
        <v/>
      </c>
      <c r="Q307" s="197"/>
      <c r="R307" s="193"/>
      <c r="S307" s="187"/>
      <c r="T307" s="187"/>
      <c r="U307" s="187"/>
      <c r="V307" s="187"/>
      <c r="W307" s="187"/>
      <c r="X307" s="187"/>
      <c r="Y307" s="187" t="s">
        <v>96</v>
      </c>
      <c r="Z307" s="193" t="str">
        <f t="shared" si="2"/>
        <v/>
      </c>
      <c r="AA307" s="383"/>
      <c r="AB307" s="384"/>
      <c r="AC307" s="385"/>
      <c r="AD307" s="383"/>
      <c r="AE307" s="384"/>
      <c r="AF307" s="385"/>
      <c r="AG307" s="383"/>
      <c r="AH307" s="384"/>
      <c r="AI307" s="385"/>
      <c r="AJ307" s="383"/>
      <c r="AK307" s="384"/>
      <c r="AL307" s="385"/>
      <c r="AM307" s="383"/>
      <c r="AN307" s="384"/>
      <c r="AO307" s="385"/>
      <c r="AP307" s="383"/>
      <c r="AQ307" s="384"/>
      <c r="AR307" s="385"/>
      <c r="AS307" s="383"/>
      <c r="AT307" s="384"/>
      <c r="AU307" s="385"/>
      <c r="AV307" s="383"/>
      <c r="AW307" s="384"/>
      <c r="AX307" s="385"/>
      <c r="AY307" s="383"/>
      <c r="AZ307" s="384"/>
      <c r="BA307" s="385"/>
      <c r="BB307" s="386"/>
      <c r="BC307" s="387"/>
      <c r="BD307" s="388"/>
      <c r="BE307" s="386"/>
      <c r="BF307" s="387"/>
      <c r="BG307" s="388"/>
      <c r="BH307" s="386"/>
      <c r="BI307" s="387"/>
      <c r="BJ307" s="388"/>
      <c r="BK307" s="386"/>
      <c r="BL307" s="387"/>
      <c r="BM307" s="388"/>
      <c r="BN307" s="386"/>
      <c r="BO307" s="387"/>
      <c r="BP307" s="388"/>
      <c r="BQ307" s="386"/>
      <c r="BR307" s="387"/>
      <c r="BS307" s="388"/>
      <c r="BT307" s="386"/>
      <c r="BU307" s="387"/>
      <c r="BV307" s="388"/>
      <c r="BW307" s="386"/>
      <c r="BX307" s="387"/>
      <c r="BY307" s="388"/>
      <c r="BZ307" s="386"/>
      <c r="CA307" s="387"/>
      <c r="CB307" s="388"/>
      <c r="CC307" s="386"/>
      <c r="CD307" s="387"/>
      <c r="CE307" s="388"/>
      <c r="CF307" s="386"/>
      <c r="CG307" s="387"/>
      <c r="CH307" s="388"/>
      <c r="CI307" s="386"/>
      <c r="CJ307" s="387"/>
      <c r="CK307" s="388"/>
      <c r="CL307" s="386"/>
      <c r="CM307" s="387"/>
      <c r="CN307" s="388"/>
      <c r="CO307" s="386"/>
      <c r="CP307" s="387"/>
      <c r="CQ307" s="388"/>
      <c r="CR307" s="386"/>
      <c r="CS307" s="387"/>
      <c r="CT307" s="388"/>
      <c r="CU307" s="386"/>
      <c r="CV307" s="387"/>
      <c r="CW307" s="388"/>
      <c r="CX307" s="386"/>
      <c r="CY307" s="387"/>
      <c r="CZ307" s="388"/>
    </row>
    <row r="308">
      <c r="A308" s="1"/>
      <c r="B308" s="402"/>
      <c r="C308" s="362" t="str">
        <f>'5-0 Товары'!C308</f>
        <v/>
      </c>
      <c r="D308" s="363" t="str">
        <f>'5-0 Товары'!D308</f>
        <v/>
      </c>
      <c r="E308" s="364" t="str">
        <f>'5-0 Товары'!E308</f>
        <v/>
      </c>
      <c r="F308" s="380"/>
      <c r="G308" s="380"/>
      <c r="H308" s="364" t="str">
        <f>'5-0 Товары'!F308</f>
        <v/>
      </c>
      <c r="I308" s="391"/>
      <c r="J308" s="364" t="str">
        <f>'5-0 Товары'!G308</f>
        <v/>
      </c>
      <c r="K308" s="366" t="str">
        <f>'5-0 Товары'!H308</f>
        <v/>
      </c>
      <c r="L308" s="382" t="str">
        <f t="shared" si="1"/>
        <v/>
      </c>
      <c r="M308" s="382"/>
      <c r="N308" s="380"/>
      <c r="O308" s="369" t="str">
        <f>'5-0 Товары'!I308</f>
        <v/>
      </c>
      <c r="P308" s="371" t="str">
        <f>'5-0 Товары'!N308</f>
        <v/>
      </c>
      <c r="Q308" s="197"/>
      <c r="R308" s="193"/>
      <c r="S308" s="187"/>
      <c r="T308" s="187"/>
      <c r="U308" s="187"/>
      <c r="V308" s="187"/>
      <c r="W308" s="187"/>
      <c r="X308" s="187"/>
      <c r="Y308" s="187" t="s">
        <v>96</v>
      </c>
      <c r="Z308" s="193" t="str">
        <f t="shared" si="2"/>
        <v/>
      </c>
      <c r="AA308" s="383"/>
      <c r="AB308" s="384"/>
      <c r="AC308" s="385"/>
      <c r="AD308" s="383"/>
      <c r="AE308" s="384"/>
      <c r="AF308" s="385"/>
      <c r="AG308" s="383"/>
      <c r="AH308" s="384"/>
      <c r="AI308" s="385"/>
      <c r="AJ308" s="383"/>
      <c r="AK308" s="384"/>
      <c r="AL308" s="385"/>
      <c r="AM308" s="383"/>
      <c r="AN308" s="384"/>
      <c r="AO308" s="385"/>
      <c r="AP308" s="383"/>
      <c r="AQ308" s="384"/>
      <c r="AR308" s="385"/>
      <c r="AS308" s="383"/>
      <c r="AT308" s="384"/>
      <c r="AU308" s="385"/>
      <c r="AV308" s="383"/>
      <c r="AW308" s="384"/>
      <c r="AX308" s="385"/>
      <c r="AY308" s="383"/>
      <c r="AZ308" s="384"/>
      <c r="BA308" s="385"/>
      <c r="BB308" s="386"/>
      <c r="BC308" s="387"/>
      <c r="BD308" s="388"/>
      <c r="BE308" s="386"/>
      <c r="BF308" s="387"/>
      <c r="BG308" s="388"/>
      <c r="BH308" s="386"/>
      <c r="BI308" s="387"/>
      <c r="BJ308" s="388"/>
      <c r="BK308" s="386"/>
      <c r="BL308" s="387"/>
      <c r="BM308" s="388"/>
      <c r="BN308" s="386"/>
      <c r="BO308" s="387"/>
      <c r="BP308" s="388"/>
      <c r="BQ308" s="386"/>
      <c r="BR308" s="387"/>
      <c r="BS308" s="388"/>
      <c r="BT308" s="386"/>
      <c r="BU308" s="387"/>
      <c r="BV308" s="388"/>
      <c r="BW308" s="386"/>
      <c r="BX308" s="387"/>
      <c r="BY308" s="388"/>
      <c r="BZ308" s="386"/>
      <c r="CA308" s="387"/>
      <c r="CB308" s="388"/>
      <c r="CC308" s="386"/>
      <c r="CD308" s="387"/>
      <c r="CE308" s="388"/>
      <c r="CF308" s="386"/>
      <c r="CG308" s="387"/>
      <c r="CH308" s="388"/>
      <c r="CI308" s="386"/>
      <c r="CJ308" s="387"/>
      <c r="CK308" s="388"/>
      <c r="CL308" s="386"/>
      <c r="CM308" s="387"/>
      <c r="CN308" s="388"/>
      <c r="CO308" s="386"/>
      <c r="CP308" s="387"/>
      <c r="CQ308" s="388"/>
      <c r="CR308" s="386"/>
      <c r="CS308" s="387"/>
      <c r="CT308" s="388"/>
      <c r="CU308" s="386"/>
      <c r="CV308" s="387"/>
      <c r="CW308" s="388"/>
      <c r="CX308" s="386"/>
      <c r="CY308" s="387"/>
      <c r="CZ308" s="388"/>
    </row>
    <row r="309">
      <c r="A309" s="1"/>
      <c r="B309" s="402"/>
      <c r="C309" s="362" t="str">
        <f>'5-0 Товары'!C309</f>
        <v/>
      </c>
      <c r="D309" s="363" t="str">
        <f>'5-0 Товары'!D309</f>
        <v/>
      </c>
      <c r="E309" s="364" t="str">
        <f>'5-0 Товары'!E309</f>
        <v/>
      </c>
      <c r="F309" s="380"/>
      <c r="G309" s="380"/>
      <c r="H309" s="364" t="str">
        <f>'5-0 Товары'!F309</f>
        <v/>
      </c>
      <c r="I309" s="391"/>
      <c r="J309" s="364" t="str">
        <f>'5-0 Товары'!G309</f>
        <v/>
      </c>
      <c r="K309" s="366" t="str">
        <f>'5-0 Товары'!H309</f>
        <v/>
      </c>
      <c r="L309" s="382" t="str">
        <f t="shared" si="1"/>
        <v/>
      </c>
      <c r="M309" s="382"/>
      <c r="N309" s="380"/>
      <c r="O309" s="369" t="str">
        <f>'5-0 Товары'!I309</f>
        <v/>
      </c>
      <c r="P309" s="371" t="str">
        <f>'5-0 Товары'!N309</f>
        <v/>
      </c>
      <c r="Q309" s="197"/>
      <c r="R309" s="193"/>
      <c r="S309" s="187"/>
      <c r="T309" s="187"/>
      <c r="U309" s="187"/>
      <c r="V309" s="187"/>
      <c r="W309" s="187"/>
      <c r="X309" s="187"/>
      <c r="Y309" s="187" t="s">
        <v>96</v>
      </c>
      <c r="Z309" s="193" t="str">
        <f t="shared" si="2"/>
        <v/>
      </c>
      <c r="AA309" s="383"/>
      <c r="AB309" s="809"/>
      <c r="AC309" s="810"/>
      <c r="AD309" s="383"/>
      <c r="AE309" s="384"/>
      <c r="AF309" s="385"/>
      <c r="AG309" s="383"/>
      <c r="AH309" s="384"/>
      <c r="AI309" s="385"/>
      <c r="AJ309" s="383"/>
      <c r="AK309" s="384"/>
      <c r="AL309" s="385"/>
      <c r="AM309" s="383"/>
      <c r="AN309" s="384"/>
      <c r="AO309" s="385"/>
      <c r="AP309" s="383"/>
      <c r="AQ309" s="384"/>
      <c r="AR309" s="385"/>
      <c r="AS309" s="383"/>
      <c r="AT309" s="384"/>
      <c r="AU309" s="385"/>
      <c r="AV309" s="383"/>
      <c r="AW309" s="384"/>
      <c r="AX309" s="385"/>
      <c r="AY309" s="383"/>
      <c r="AZ309" s="384"/>
      <c r="BA309" s="385"/>
      <c r="BB309" s="386"/>
      <c r="BC309" s="387"/>
      <c r="BD309" s="388"/>
      <c r="BE309" s="386"/>
      <c r="BF309" s="387"/>
      <c r="BG309" s="388"/>
      <c r="BH309" s="386"/>
      <c r="BI309" s="387"/>
      <c r="BJ309" s="388"/>
      <c r="BK309" s="386"/>
      <c r="BL309" s="387"/>
      <c r="BM309" s="388"/>
      <c r="BN309" s="386"/>
      <c r="BO309" s="387"/>
      <c r="BP309" s="388"/>
      <c r="BQ309" s="386"/>
      <c r="BR309" s="387"/>
      <c r="BS309" s="388"/>
      <c r="BT309" s="386"/>
      <c r="BU309" s="387"/>
      <c r="BV309" s="388"/>
      <c r="BW309" s="386"/>
      <c r="BX309" s="387"/>
      <c r="BY309" s="388"/>
      <c r="BZ309" s="386"/>
      <c r="CA309" s="387"/>
      <c r="CB309" s="388"/>
      <c r="CC309" s="386"/>
      <c r="CD309" s="387"/>
      <c r="CE309" s="388"/>
      <c r="CF309" s="386"/>
      <c r="CG309" s="387"/>
      <c r="CH309" s="388"/>
      <c r="CI309" s="386"/>
      <c r="CJ309" s="387"/>
      <c r="CK309" s="388"/>
      <c r="CL309" s="386"/>
      <c r="CM309" s="387"/>
      <c r="CN309" s="388"/>
      <c r="CO309" s="386"/>
      <c r="CP309" s="387"/>
      <c r="CQ309" s="388"/>
      <c r="CR309" s="386"/>
      <c r="CS309" s="387"/>
      <c r="CT309" s="388"/>
      <c r="CU309" s="386"/>
      <c r="CV309" s="387"/>
      <c r="CW309" s="388"/>
      <c r="CX309" s="386"/>
      <c r="CY309" s="387"/>
      <c r="CZ309" s="388"/>
    </row>
    <row r="310">
      <c r="A310" s="1"/>
      <c r="B310" s="402"/>
      <c r="C310" s="362" t="str">
        <f>'5-0 Товары'!C310</f>
        <v/>
      </c>
      <c r="D310" s="363" t="str">
        <f>'5-0 Товары'!D310</f>
        <v/>
      </c>
      <c r="E310" s="364" t="str">
        <f>'5-0 Товары'!E310</f>
        <v/>
      </c>
      <c r="F310" s="380"/>
      <c r="G310" s="380"/>
      <c r="H310" s="364" t="str">
        <f>'5-0 Товары'!F310</f>
        <v/>
      </c>
      <c r="I310" s="391"/>
      <c r="J310" s="364" t="str">
        <f>'5-0 Товары'!G310</f>
        <v/>
      </c>
      <c r="K310" s="366" t="str">
        <f>'5-0 Товары'!H310</f>
        <v/>
      </c>
      <c r="L310" s="382" t="str">
        <f t="shared" si="1"/>
        <v/>
      </c>
      <c r="M310" s="382"/>
      <c r="N310" s="811"/>
      <c r="O310" s="369" t="str">
        <f>'5-0 Товары'!I310</f>
        <v/>
      </c>
      <c r="P310" s="371" t="str">
        <f>'5-0 Товары'!N310</f>
        <v/>
      </c>
      <c r="Q310" s="197"/>
      <c r="R310" s="193"/>
      <c r="S310" s="187"/>
      <c r="T310" s="187"/>
      <c r="U310" s="187"/>
      <c r="V310" s="187"/>
      <c r="W310" s="187"/>
      <c r="X310" s="187"/>
      <c r="Y310" s="187" t="s">
        <v>96</v>
      </c>
      <c r="Z310" s="193" t="str">
        <f t="shared" si="2"/>
        <v/>
      </c>
      <c r="AA310" s="439"/>
      <c r="AB310" s="809"/>
      <c r="AC310" s="810"/>
      <c r="AD310" s="383"/>
      <c r="AE310" s="384"/>
      <c r="AF310" s="385"/>
      <c r="AG310" s="383"/>
      <c r="AH310" s="384"/>
      <c r="AI310" s="385"/>
      <c r="AJ310" s="383"/>
      <c r="AK310" s="384"/>
      <c r="AL310" s="385"/>
      <c r="AM310" s="383"/>
      <c r="AN310" s="384"/>
      <c r="AO310" s="385"/>
      <c r="AP310" s="383"/>
      <c r="AQ310" s="384"/>
      <c r="AR310" s="385"/>
      <c r="AS310" s="383"/>
      <c r="AT310" s="384"/>
      <c r="AU310" s="385"/>
      <c r="AV310" s="383"/>
      <c r="AW310" s="384"/>
      <c r="AX310" s="385"/>
      <c r="AY310" s="383"/>
      <c r="AZ310" s="384"/>
      <c r="BA310" s="385"/>
      <c r="BB310" s="386"/>
      <c r="BC310" s="387"/>
      <c r="BD310" s="388"/>
      <c r="BE310" s="386"/>
      <c r="BF310" s="387"/>
      <c r="BG310" s="388"/>
      <c r="BH310" s="386"/>
      <c r="BI310" s="387"/>
      <c r="BJ310" s="388"/>
      <c r="BK310" s="386"/>
      <c r="BL310" s="387"/>
      <c r="BM310" s="388"/>
      <c r="BN310" s="386"/>
      <c r="BO310" s="387"/>
      <c r="BP310" s="388"/>
      <c r="BQ310" s="386"/>
      <c r="BR310" s="387"/>
      <c r="BS310" s="388"/>
      <c r="BT310" s="386"/>
      <c r="BU310" s="387"/>
      <c r="BV310" s="388"/>
      <c r="BW310" s="386"/>
      <c r="BX310" s="387"/>
      <c r="BY310" s="388"/>
      <c r="BZ310" s="386"/>
      <c r="CA310" s="387"/>
      <c r="CB310" s="388"/>
      <c r="CC310" s="386"/>
      <c r="CD310" s="387"/>
      <c r="CE310" s="388"/>
      <c r="CF310" s="386"/>
      <c r="CG310" s="387"/>
      <c r="CH310" s="388"/>
      <c r="CI310" s="386"/>
      <c r="CJ310" s="387"/>
      <c r="CK310" s="388"/>
      <c r="CL310" s="386"/>
      <c r="CM310" s="387"/>
      <c r="CN310" s="388"/>
      <c r="CO310" s="386"/>
      <c r="CP310" s="387"/>
      <c r="CQ310" s="388"/>
      <c r="CR310" s="386"/>
      <c r="CS310" s="387"/>
      <c r="CT310" s="388"/>
      <c r="CU310" s="386"/>
      <c r="CV310" s="387"/>
      <c r="CW310" s="388"/>
      <c r="CX310" s="386"/>
      <c r="CY310" s="387"/>
      <c r="CZ310" s="388"/>
    </row>
    <row r="311">
      <c r="A311" s="812"/>
      <c r="B311" s="813"/>
      <c r="C311" s="814" t="s">
        <v>607</v>
      </c>
      <c r="D311" s="815"/>
      <c r="E311" s="816"/>
      <c r="F311" s="816"/>
      <c r="G311" s="816"/>
      <c r="H311" s="816"/>
      <c r="I311" s="816"/>
      <c r="J311" s="817"/>
      <c r="K311" s="817"/>
      <c r="L311" s="818" t="str">
        <f>"Итог"</f>
        <v>Итог</v>
      </c>
      <c r="M311" s="819">
        <v>0.0</v>
      </c>
      <c r="N311" s="816"/>
      <c r="O311" s="816"/>
      <c r="P311" s="820"/>
      <c r="Q311" s="816"/>
      <c r="R311" s="817"/>
      <c r="S311" s="817">
        <f>IFERROR(__xludf.DUMMYFUNCTION("""COMPUTED_VALUE"""),0.0)</f>
        <v>0</v>
      </c>
      <c r="T311" s="817">
        <f>IFERROR(__xludf.DUMMYFUNCTION("""COMPUTED_VALUE"""),0.0)</f>
        <v>0</v>
      </c>
      <c r="U311" s="817" t="str">
        <f>IFERROR(__xludf.DUMMYFUNCTION("""COMPUTED_VALUE""")," ")</f>
        <v> </v>
      </c>
      <c r="V311" s="816"/>
      <c r="W311" s="816"/>
      <c r="X311" s="816"/>
      <c r="Y311" s="816"/>
      <c r="Z311" s="825" t="str">
        <f t="array" ref="Z311:CZ311">{"Проверка",LAMBDA(vls,pr,fc,  BYCOL(vls,LAMBDA(cl,
 ifs(
    MOD( COLUMN(cl)-COLUMN(fc),3)=0,IF((COUNTA(cl)-COUNT(IF(cl="",,cl*1) ))  =0,LAMBDA(ss,IF(ss&lt;&gt;0,ss,) )(SUMPRODUCT(cl,pr)),"Ошибка: Цена должна быть числом"),
    MOD( COLUMN(cl)-COLUMN(fc),3)=1,IF(SUM(cl)&gt;0,"Ошибка: Срок должен быть текстом или пусто",),
    MOD( COLUMN(cl)-COLUMN(fc),3)=2,IF(SUM(cl)&gt;0,"Ошибка: Модель должена быть текстом или пусто",),
    TRUE,
  )
)))
(AA11:CZ310,K11:K310,AA2)}</f>
        <v>Проверка</v>
      </c>
      <c r="AA311" s="828"/>
      <c r="AB311" s="830"/>
      <c r="AC311" s="832"/>
      <c r="AD311" s="828"/>
      <c r="AE311" s="830"/>
      <c r="AF311" s="832"/>
      <c r="AG311" s="828"/>
      <c r="AH311" s="830"/>
      <c r="AI311" s="832"/>
      <c r="AJ311" s="828"/>
      <c r="AK311" s="830"/>
      <c r="AL311" s="832"/>
      <c r="AM311" s="828"/>
      <c r="AN311" s="830"/>
      <c r="AO311" s="832"/>
      <c r="AP311" s="828"/>
      <c r="AQ311" s="830"/>
      <c r="AR311" s="832"/>
      <c r="AS311" s="828"/>
      <c r="AT311" s="830"/>
      <c r="AU311" s="832"/>
      <c r="AV311" s="828"/>
      <c r="AW311" s="830"/>
      <c r="AX311" s="832"/>
      <c r="AY311" s="828"/>
      <c r="AZ311" s="830"/>
      <c r="BA311" s="832"/>
      <c r="BB311" s="828"/>
      <c r="BC311" s="830"/>
      <c r="BD311" s="832"/>
      <c r="BE311" s="828"/>
      <c r="BF311" s="830"/>
      <c r="BG311" s="832"/>
      <c r="BH311" s="828"/>
      <c r="BI311" s="830"/>
      <c r="BJ311" s="832"/>
      <c r="BK311" s="828"/>
      <c r="BL311" s="830"/>
      <c r="BM311" s="832"/>
      <c r="BN311" s="828"/>
      <c r="BO311" s="830"/>
      <c r="BP311" s="832"/>
      <c r="BQ311" s="828"/>
      <c r="BR311" s="830"/>
      <c r="BS311" s="832"/>
      <c r="BT311" s="828"/>
      <c r="BU311" s="830"/>
      <c r="BV311" s="832"/>
      <c r="BW311" s="828"/>
      <c r="BX311" s="830"/>
      <c r="BY311" s="832"/>
      <c r="BZ311" s="828"/>
      <c r="CA311" s="830"/>
      <c r="CB311" s="832"/>
      <c r="CC311" s="828"/>
      <c r="CD311" s="830"/>
      <c r="CE311" s="832"/>
      <c r="CF311" s="828"/>
      <c r="CG311" s="830"/>
      <c r="CH311" s="832"/>
      <c r="CI311" s="828"/>
      <c r="CJ311" s="830"/>
      <c r="CK311" s="832"/>
      <c r="CL311" s="828"/>
      <c r="CM311" s="830"/>
      <c r="CN311" s="832"/>
      <c r="CO311" s="828"/>
      <c r="CP311" s="830"/>
      <c r="CQ311" s="832"/>
      <c r="CR311" s="828"/>
      <c r="CS311" s="830"/>
      <c r="CT311" s="832"/>
      <c r="CU311" s="828"/>
      <c r="CV311" s="830"/>
      <c r="CW311" s="832"/>
      <c r="CX311" s="828"/>
      <c r="CY311" s="830"/>
      <c r="CZ311" s="832"/>
    </row>
    <row r="312">
      <c r="A312" s="839"/>
      <c r="B312" s="839"/>
      <c r="C312" s="842" t="s">
        <v>608</v>
      </c>
      <c r="D312" s="839"/>
      <c r="E312" s="839"/>
      <c r="F312" s="839"/>
      <c r="G312" s="839"/>
      <c r="H312" s="839"/>
      <c r="I312" s="839"/>
      <c r="J312" s="839"/>
      <c r="K312" s="844"/>
      <c r="L312" s="812"/>
      <c r="M312" s="812"/>
      <c r="N312" s="839"/>
      <c r="O312" s="445" t="str">
        <f>if(O311&lt;&gt;0, IF(O311&lt;&gt;'0-Паспорт проекта'!C40,"Ошибка проверить попозиционное НМЦ","ok"),)</f>
        <v/>
      </c>
      <c r="P312" s="856"/>
      <c r="Q312" s="839"/>
      <c r="R312" s="839"/>
      <c r="S312" s="839"/>
      <c r="T312" s="839"/>
      <c r="U312" s="839"/>
      <c r="V312" s="839"/>
      <c r="W312" s="839"/>
      <c r="X312" s="839"/>
      <c r="Y312" s="839"/>
      <c r="Z312" s="858"/>
      <c r="AA312" s="860"/>
      <c r="AB312" s="862"/>
      <c r="AC312" s="864"/>
      <c r="AD312" s="860"/>
      <c r="AE312" s="862"/>
      <c r="AF312" s="864"/>
      <c r="AG312" s="860"/>
      <c r="AH312" s="862"/>
      <c r="AI312" s="864"/>
      <c r="AJ312" s="860"/>
      <c r="AK312" s="862"/>
      <c r="AL312" s="864"/>
      <c r="AM312" s="860"/>
      <c r="AN312" s="862"/>
      <c r="AO312" s="864"/>
      <c r="AP312" s="860"/>
      <c r="AQ312" s="862"/>
      <c r="AR312" s="864"/>
      <c r="AS312" s="860"/>
      <c r="AT312" s="862"/>
      <c r="AU312" s="864"/>
      <c r="AV312" s="860"/>
      <c r="AW312" s="862"/>
      <c r="AX312" s="864"/>
      <c r="AY312" s="860"/>
      <c r="AZ312" s="862"/>
      <c r="BA312" s="864"/>
      <c r="BB312" s="860"/>
      <c r="BC312" s="862"/>
      <c r="BD312" s="864"/>
      <c r="BE312" s="860"/>
      <c r="BF312" s="862"/>
      <c r="BG312" s="864"/>
      <c r="BH312" s="860"/>
      <c r="BI312" s="862"/>
      <c r="BJ312" s="864"/>
      <c r="BK312" s="860"/>
      <c r="BL312" s="862"/>
      <c r="BM312" s="864"/>
      <c r="BN312" s="860"/>
      <c r="BO312" s="862"/>
      <c r="BP312" s="864"/>
      <c r="BQ312" s="860"/>
      <c r="BR312" s="862"/>
      <c r="BS312" s="864"/>
      <c r="BT312" s="860"/>
      <c r="BU312" s="862"/>
      <c r="BV312" s="864"/>
      <c r="BW312" s="860"/>
      <c r="BX312" s="862"/>
      <c r="BY312" s="864"/>
      <c r="BZ312" s="860"/>
      <c r="CA312" s="862"/>
      <c r="CB312" s="864"/>
      <c r="CC312" s="860"/>
      <c r="CD312" s="862"/>
      <c r="CE312" s="864"/>
      <c r="CF312" s="860"/>
      <c r="CG312" s="862"/>
      <c r="CH312" s="864"/>
      <c r="CI312" s="860"/>
      <c r="CJ312" s="862"/>
      <c r="CK312" s="864"/>
      <c r="CL312" s="860"/>
      <c r="CM312" s="862"/>
      <c r="CN312" s="864"/>
      <c r="CO312" s="860"/>
      <c r="CP312" s="862"/>
      <c r="CQ312" s="864"/>
      <c r="CR312" s="860"/>
      <c r="CS312" s="862"/>
      <c r="CT312" s="864"/>
      <c r="CU312" s="860"/>
      <c r="CV312" s="862"/>
      <c r="CW312" s="864"/>
      <c r="CX312" s="860"/>
      <c r="CY312" s="862"/>
      <c r="CZ312" s="864"/>
    </row>
    <row r="313">
      <c r="A313" s="839"/>
      <c r="B313" s="867"/>
      <c r="C313" s="842" t="s">
        <v>609</v>
      </c>
      <c r="D313" s="839"/>
      <c r="E313" s="839"/>
      <c r="F313" s="869"/>
      <c r="G313" s="839"/>
      <c r="H313" s="839"/>
      <c r="I313" s="839"/>
      <c r="J313" s="839"/>
      <c r="K313" s="844"/>
      <c r="L313" s="812"/>
      <c r="M313" s="812"/>
      <c r="N313" s="839"/>
      <c r="O313" s="872"/>
      <c r="P313" s="873"/>
      <c r="Q313" s="839"/>
      <c r="R313" s="839"/>
      <c r="S313" s="839"/>
      <c r="T313" s="839"/>
      <c r="U313" s="839"/>
      <c r="V313" s="839"/>
      <c r="W313" s="839"/>
      <c r="X313" s="839"/>
      <c r="Y313" s="839"/>
      <c r="Z313" s="858"/>
      <c r="AA313" s="860"/>
      <c r="AB313" s="862"/>
      <c r="AC313" s="864"/>
      <c r="AD313" s="860"/>
      <c r="AE313" s="862"/>
      <c r="AF313" s="864"/>
      <c r="AG313" s="860"/>
      <c r="AH313" s="862"/>
      <c r="AI313" s="864"/>
      <c r="AJ313" s="860"/>
      <c r="AK313" s="862"/>
      <c r="AL313" s="864"/>
      <c r="AM313" s="860"/>
      <c r="AN313" s="862"/>
      <c r="AO313" s="864"/>
      <c r="AP313" s="860"/>
      <c r="AQ313" s="862"/>
      <c r="AR313" s="864"/>
      <c r="AS313" s="860"/>
      <c r="AT313" s="862"/>
      <c r="AU313" s="864"/>
      <c r="AV313" s="860"/>
      <c r="AW313" s="862"/>
      <c r="AX313" s="864"/>
      <c r="AY313" s="860"/>
      <c r="AZ313" s="862"/>
      <c r="BA313" s="864"/>
      <c r="BB313" s="860"/>
      <c r="BC313" s="862"/>
      <c r="BD313" s="864"/>
      <c r="BE313" s="860"/>
      <c r="BF313" s="862"/>
      <c r="BG313" s="864"/>
      <c r="BH313" s="860"/>
      <c r="BI313" s="862"/>
      <c r="BJ313" s="864"/>
      <c r="BK313" s="860"/>
      <c r="BL313" s="862"/>
      <c r="BM313" s="864"/>
      <c r="BN313" s="860"/>
      <c r="BO313" s="862"/>
      <c r="BP313" s="864"/>
      <c r="BQ313" s="860"/>
      <c r="BR313" s="862"/>
      <c r="BS313" s="864"/>
      <c r="BT313" s="860"/>
      <c r="BU313" s="862"/>
      <c r="BV313" s="864"/>
      <c r="BW313" s="860"/>
      <c r="BX313" s="862"/>
      <c r="BY313" s="864"/>
      <c r="BZ313" s="860"/>
      <c r="CA313" s="862"/>
      <c r="CB313" s="864"/>
      <c r="CC313" s="860"/>
      <c r="CD313" s="862"/>
      <c r="CE313" s="864"/>
      <c r="CF313" s="860"/>
      <c r="CG313" s="862"/>
      <c r="CH313" s="864"/>
      <c r="CI313" s="860"/>
      <c r="CJ313" s="862"/>
      <c r="CK313" s="864"/>
      <c r="CL313" s="860"/>
      <c r="CM313" s="862"/>
      <c r="CN313" s="864"/>
      <c r="CO313" s="860"/>
      <c r="CP313" s="862"/>
      <c r="CQ313" s="864"/>
      <c r="CR313" s="860"/>
      <c r="CS313" s="862"/>
      <c r="CT313" s="864"/>
      <c r="CU313" s="860"/>
      <c r="CV313" s="862"/>
      <c r="CW313" s="864"/>
      <c r="CX313" s="860"/>
      <c r="CY313" s="862"/>
      <c r="CZ313" s="864"/>
    </row>
    <row r="314">
      <c r="A314" s="839"/>
      <c r="B314" s="867"/>
      <c r="C314" s="842" t="s">
        <v>610</v>
      </c>
      <c r="D314" s="839"/>
      <c r="E314" s="839"/>
      <c r="F314" s="839"/>
      <c r="G314" s="839"/>
      <c r="H314" s="839"/>
      <c r="I314" s="839"/>
      <c r="J314" s="839"/>
      <c r="K314" s="844"/>
      <c r="L314" s="812"/>
      <c r="M314" s="812"/>
      <c r="N314" s="874"/>
      <c r="O314" s="812"/>
      <c r="P314" s="856"/>
      <c r="Q314" s="839"/>
      <c r="R314" s="839"/>
      <c r="S314" s="839"/>
      <c r="T314" s="839"/>
      <c r="U314" s="839"/>
      <c r="V314" s="839"/>
      <c r="W314" s="839"/>
      <c r="X314" s="839"/>
      <c r="Y314" s="839"/>
      <c r="Z314" s="858"/>
      <c r="AA314" s="860"/>
      <c r="AB314" s="862"/>
      <c r="AC314" s="864"/>
      <c r="AD314" s="860"/>
      <c r="AE314" s="862"/>
      <c r="AF314" s="864"/>
      <c r="AG314" s="860"/>
      <c r="AH314" s="862"/>
      <c r="AI314" s="864"/>
      <c r="AJ314" s="860"/>
      <c r="AK314" s="862"/>
      <c r="AL314" s="864"/>
      <c r="AM314" s="860"/>
      <c r="AN314" s="862"/>
      <c r="AO314" s="864"/>
      <c r="AP314" s="860"/>
      <c r="AQ314" s="862"/>
      <c r="AR314" s="864"/>
      <c r="AS314" s="860"/>
      <c r="AT314" s="862"/>
      <c r="AU314" s="864"/>
      <c r="AV314" s="860"/>
      <c r="AW314" s="862"/>
      <c r="AX314" s="864"/>
      <c r="AY314" s="860"/>
      <c r="AZ314" s="862"/>
      <c r="BA314" s="864"/>
      <c r="BB314" s="860"/>
      <c r="BC314" s="862"/>
      <c r="BD314" s="864"/>
      <c r="BE314" s="860"/>
      <c r="BF314" s="862"/>
      <c r="BG314" s="864"/>
      <c r="BH314" s="860"/>
      <c r="BI314" s="862"/>
      <c r="BJ314" s="864"/>
      <c r="BK314" s="860"/>
      <c r="BL314" s="862"/>
      <c r="BM314" s="864"/>
      <c r="BN314" s="860"/>
      <c r="BO314" s="862"/>
      <c r="BP314" s="864"/>
      <c r="BQ314" s="860"/>
      <c r="BR314" s="862"/>
      <c r="BS314" s="864"/>
      <c r="BT314" s="860"/>
      <c r="BU314" s="862"/>
      <c r="BV314" s="864"/>
      <c r="BW314" s="860"/>
      <c r="BX314" s="862"/>
      <c r="BY314" s="864"/>
      <c r="BZ314" s="860"/>
      <c r="CA314" s="862"/>
      <c r="CB314" s="864"/>
      <c r="CC314" s="860"/>
      <c r="CD314" s="862"/>
      <c r="CE314" s="864"/>
      <c r="CF314" s="860"/>
      <c r="CG314" s="862"/>
      <c r="CH314" s="864"/>
      <c r="CI314" s="860"/>
      <c r="CJ314" s="862"/>
      <c r="CK314" s="864"/>
      <c r="CL314" s="860"/>
      <c r="CM314" s="862"/>
      <c r="CN314" s="864"/>
      <c r="CO314" s="860"/>
      <c r="CP314" s="862"/>
      <c r="CQ314" s="864"/>
      <c r="CR314" s="860"/>
      <c r="CS314" s="862"/>
      <c r="CT314" s="864"/>
      <c r="CU314" s="860"/>
      <c r="CV314" s="862"/>
      <c r="CW314" s="864"/>
      <c r="CX314" s="860"/>
      <c r="CY314" s="862"/>
      <c r="CZ314" s="864"/>
    </row>
    <row r="315">
      <c r="A315" s="839"/>
      <c r="B315" s="867"/>
      <c r="C315" s="842" t="s">
        <v>611</v>
      </c>
      <c r="D315" s="839"/>
      <c r="E315" s="869"/>
      <c r="F315" s="839"/>
      <c r="G315" s="839"/>
      <c r="H315" s="869"/>
      <c r="I315" s="869"/>
      <c r="J315" s="869"/>
      <c r="K315" s="844"/>
      <c r="L315" s="812"/>
      <c r="M315" s="812"/>
      <c r="N315" s="839"/>
      <c r="O315" s="812"/>
      <c r="P315" s="856"/>
      <c r="Q315" s="839"/>
      <c r="R315" s="839"/>
      <c r="S315" s="839"/>
      <c r="T315" s="839"/>
      <c r="U315" s="839"/>
      <c r="V315" s="839"/>
      <c r="W315" s="839"/>
      <c r="X315" s="839"/>
      <c r="Y315" s="839"/>
      <c r="Z315" s="858"/>
      <c r="AA315" s="860"/>
      <c r="AB315" s="862"/>
      <c r="AC315" s="864"/>
      <c r="AD315" s="860"/>
      <c r="AE315" s="862"/>
      <c r="AF315" s="864"/>
      <c r="AG315" s="860"/>
      <c r="AH315" s="862"/>
      <c r="AI315" s="864"/>
      <c r="AJ315" s="860"/>
      <c r="AK315" s="862"/>
      <c r="AL315" s="864"/>
      <c r="AM315" s="860"/>
      <c r="AN315" s="862"/>
      <c r="AO315" s="864"/>
      <c r="AP315" s="860"/>
      <c r="AQ315" s="862"/>
      <c r="AR315" s="864"/>
      <c r="AS315" s="860"/>
      <c r="AT315" s="862"/>
      <c r="AU315" s="864"/>
      <c r="AV315" s="860"/>
      <c r="AW315" s="862"/>
      <c r="AX315" s="864"/>
      <c r="AY315" s="860"/>
      <c r="AZ315" s="862"/>
      <c r="BA315" s="864"/>
      <c r="BB315" s="860"/>
      <c r="BC315" s="862"/>
      <c r="BD315" s="864"/>
      <c r="BE315" s="860"/>
      <c r="BF315" s="862"/>
      <c r="BG315" s="864"/>
      <c r="BH315" s="860"/>
      <c r="BI315" s="862"/>
      <c r="BJ315" s="864"/>
      <c r="BK315" s="860"/>
      <c r="BL315" s="862"/>
      <c r="BM315" s="864"/>
      <c r="BN315" s="860"/>
      <c r="BO315" s="862"/>
      <c r="BP315" s="864"/>
      <c r="BQ315" s="860"/>
      <c r="BR315" s="862"/>
      <c r="BS315" s="864"/>
      <c r="BT315" s="860"/>
      <c r="BU315" s="862"/>
      <c r="BV315" s="864"/>
      <c r="BW315" s="860"/>
      <c r="BX315" s="862"/>
      <c r="BY315" s="864"/>
      <c r="BZ315" s="860"/>
      <c r="CA315" s="862"/>
      <c r="CB315" s="864"/>
      <c r="CC315" s="860"/>
      <c r="CD315" s="862"/>
      <c r="CE315" s="864"/>
      <c r="CF315" s="860"/>
      <c r="CG315" s="862"/>
      <c r="CH315" s="864"/>
      <c r="CI315" s="860"/>
      <c r="CJ315" s="862"/>
      <c r="CK315" s="864"/>
      <c r="CL315" s="860"/>
      <c r="CM315" s="862"/>
      <c r="CN315" s="864"/>
      <c r="CO315" s="860"/>
      <c r="CP315" s="862"/>
      <c r="CQ315" s="864"/>
      <c r="CR315" s="860"/>
      <c r="CS315" s="862"/>
      <c r="CT315" s="864"/>
      <c r="CU315" s="860"/>
      <c r="CV315" s="862"/>
      <c r="CW315" s="864"/>
      <c r="CX315" s="860"/>
      <c r="CY315" s="862"/>
      <c r="CZ315" s="864"/>
    </row>
    <row r="316">
      <c r="A316" s="839"/>
      <c r="B316" s="867"/>
      <c r="C316" s="842" t="s">
        <v>612</v>
      </c>
      <c r="D316" s="839"/>
      <c r="E316" s="839"/>
      <c r="F316" s="839"/>
      <c r="G316" s="839"/>
      <c r="H316" s="869"/>
      <c r="I316" s="869"/>
      <c r="J316" s="869"/>
      <c r="K316" s="844"/>
      <c r="L316" s="812"/>
      <c r="M316" s="812"/>
      <c r="N316" s="874"/>
      <c r="O316" s="812"/>
      <c r="P316" s="856"/>
      <c r="Q316" s="839"/>
      <c r="R316" s="839"/>
      <c r="S316" s="839"/>
      <c r="T316" s="839"/>
      <c r="U316" s="839"/>
      <c r="V316" s="839"/>
      <c r="W316" s="839"/>
      <c r="X316" s="839"/>
      <c r="Y316" s="839"/>
      <c r="Z316" s="858"/>
      <c r="AA316" s="860"/>
      <c r="AB316" s="862"/>
      <c r="AC316" s="864"/>
      <c r="AD316" s="860"/>
      <c r="AE316" s="862"/>
      <c r="AF316" s="864"/>
      <c r="AG316" s="860"/>
      <c r="AH316" s="862"/>
      <c r="AI316" s="864"/>
      <c r="AJ316" s="860"/>
      <c r="AK316" s="862"/>
      <c r="AL316" s="864"/>
      <c r="AM316" s="860"/>
      <c r="AN316" s="862"/>
      <c r="AO316" s="864"/>
      <c r="AP316" s="860"/>
      <c r="AQ316" s="862"/>
      <c r="AR316" s="864"/>
      <c r="AS316" s="860"/>
      <c r="AT316" s="862"/>
      <c r="AU316" s="864"/>
      <c r="AV316" s="860"/>
      <c r="AW316" s="862"/>
      <c r="AX316" s="864"/>
      <c r="AY316" s="860"/>
      <c r="AZ316" s="862"/>
      <c r="BA316" s="864"/>
      <c r="BB316" s="860"/>
      <c r="BC316" s="862"/>
      <c r="BD316" s="864"/>
      <c r="BE316" s="860"/>
      <c r="BF316" s="862"/>
      <c r="BG316" s="864"/>
      <c r="BH316" s="860"/>
      <c r="BI316" s="862"/>
      <c r="BJ316" s="864"/>
      <c r="BK316" s="860"/>
      <c r="BL316" s="862"/>
      <c r="BM316" s="864"/>
      <c r="BN316" s="860"/>
      <c r="BO316" s="862"/>
      <c r="BP316" s="864"/>
      <c r="BQ316" s="860"/>
      <c r="BR316" s="862"/>
      <c r="BS316" s="864"/>
      <c r="BT316" s="860"/>
      <c r="BU316" s="862"/>
      <c r="BV316" s="864"/>
      <c r="BW316" s="860"/>
      <c r="BX316" s="862"/>
      <c r="BY316" s="864"/>
      <c r="BZ316" s="860"/>
      <c r="CA316" s="862"/>
      <c r="CB316" s="864"/>
      <c r="CC316" s="860"/>
      <c r="CD316" s="862"/>
      <c r="CE316" s="864"/>
      <c r="CF316" s="860"/>
      <c r="CG316" s="862"/>
      <c r="CH316" s="864"/>
      <c r="CI316" s="860"/>
      <c r="CJ316" s="862"/>
      <c r="CK316" s="864"/>
      <c r="CL316" s="860"/>
      <c r="CM316" s="862"/>
      <c r="CN316" s="864"/>
      <c r="CO316" s="860"/>
      <c r="CP316" s="862"/>
      <c r="CQ316" s="864"/>
      <c r="CR316" s="860"/>
      <c r="CS316" s="862"/>
      <c r="CT316" s="864"/>
      <c r="CU316" s="860"/>
      <c r="CV316" s="862"/>
      <c r="CW316" s="864"/>
      <c r="CX316" s="860"/>
      <c r="CY316" s="862"/>
      <c r="CZ316" s="864"/>
    </row>
    <row r="317">
      <c r="A317" s="839"/>
      <c r="B317" s="867"/>
      <c r="C317" s="842" t="s">
        <v>613</v>
      </c>
      <c r="D317" s="839"/>
      <c r="E317" s="839"/>
      <c r="F317" s="839"/>
      <c r="G317" s="839"/>
      <c r="H317" s="839"/>
      <c r="I317" s="839"/>
      <c r="J317" s="839"/>
      <c r="K317" s="844"/>
      <c r="L317" s="812"/>
      <c r="M317" s="812"/>
      <c r="N317" s="839"/>
      <c r="O317" s="812"/>
      <c r="P317" s="856"/>
      <c r="Q317" s="839"/>
      <c r="R317" s="839"/>
      <c r="S317" s="839"/>
      <c r="T317" s="839"/>
      <c r="U317" s="839"/>
      <c r="V317" s="839"/>
      <c r="W317" s="839"/>
      <c r="X317" s="839"/>
      <c r="Y317" s="839"/>
      <c r="Z317" s="858"/>
      <c r="AA317" s="860"/>
      <c r="AB317" s="862"/>
      <c r="AC317" s="864"/>
      <c r="AD317" s="860"/>
      <c r="AE317" s="862"/>
      <c r="AF317" s="864"/>
      <c r="AG317" s="860"/>
      <c r="AH317" s="862"/>
      <c r="AI317" s="864"/>
      <c r="AJ317" s="860"/>
      <c r="AK317" s="862"/>
      <c r="AL317" s="864"/>
      <c r="AM317" s="860"/>
      <c r="AN317" s="862"/>
      <c r="AO317" s="864"/>
      <c r="AP317" s="860"/>
      <c r="AQ317" s="862"/>
      <c r="AR317" s="864"/>
      <c r="AS317" s="860"/>
      <c r="AT317" s="862"/>
      <c r="AU317" s="864"/>
      <c r="AV317" s="860"/>
      <c r="AW317" s="862"/>
      <c r="AX317" s="864"/>
      <c r="AY317" s="860"/>
      <c r="AZ317" s="862"/>
      <c r="BA317" s="864"/>
      <c r="BB317" s="860"/>
      <c r="BC317" s="862"/>
      <c r="BD317" s="864"/>
      <c r="BE317" s="860"/>
      <c r="BF317" s="862"/>
      <c r="BG317" s="864"/>
      <c r="BH317" s="860"/>
      <c r="BI317" s="862"/>
      <c r="BJ317" s="864"/>
      <c r="BK317" s="860"/>
      <c r="BL317" s="862"/>
      <c r="BM317" s="864"/>
      <c r="BN317" s="860"/>
      <c r="BO317" s="862"/>
      <c r="BP317" s="864"/>
      <c r="BQ317" s="860"/>
      <c r="BR317" s="862"/>
      <c r="BS317" s="864"/>
      <c r="BT317" s="860"/>
      <c r="BU317" s="862"/>
      <c r="BV317" s="864"/>
      <c r="BW317" s="860"/>
      <c r="BX317" s="862"/>
      <c r="BY317" s="864"/>
      <c r="BZ317" s="860"/>
      <c r="CA317" s="862"/>
      <c r="CB317" s="864"/>
      <c r="CC317" s="860"/>
      <c r="CD317" s="862"/>
      <c r="CE317" s="864"/>
      <c r="CF317" s="860"/>
      <c r="CG317" s="862"/>
      <c r="CH317" s="864"/>
      <c r="CI317" s="860"/>
      <c r="CJ317" s="862"/>
      <c r="CK317" s="864"/>
      <c r="CL317" s="860"/>
      <c r="CM317" s="862"/>
      <c r="CN317" s="864"/>
      <c r="CO317" s="860"/>
      <c r="CP317" s="862"/>
      <c r="CQ317" s="864"/>
      <c r="CR317" s="860"/>
      <c r="CS317" s="862"/>
      <c r="CT317" s="864"/>
      <c r="CU317" s="860"/>
      <c r="CV317" s="862"/>
      <c r="CW317" s="864"/>
      <c r="CX317" s="860"/>
      <c r="CY317" s="862"/>
      <c r="CZ317" s="864"/>
    </row>
    <row r="318">
      <c r="A318" s="839"/>
      <c r="B318" s="867"/>
      <c r="C318" s="842" t="s">
        <v>614</v>
      </c>
      <c r="D318" s="839"/>
      <c r="E318" s="839"/>
      <c r="F318" s="839"/>
      <c r="G318" s="839"/>
      <c r="H318" s="839"/>
      <c r="I318" s="839"/>
      <c r="J318" s="839"/>
      <c r="K318" s="844"/>
      <c r="L318" s="812"/>
      <c r="M318" s="812"/>
      <c r="N318" s="839"/>
      <c r="O318" s="812"/>
      <c r="P318" s="856"/>
      <c r="Q318" s="839"/>
      <c r="R318" s="839"/>
      <c r="S318" s="839"/>
      <c r="T318" s="839"/>
      <c r="U318" s="839"/>
      <c r="V318" s="839"/>
      <c r="W318" s="839"/>
      <c r="X318" s="839"/>
      <c r="Y318" s="839"/>
      <c r="Z318" s="858"/>
      <c r="AA318" s="860"/>
      <c r="AB318" s="862"/>
      <c r="AC318" s="864"/>
      <c r="AD318" s="860"/>
      <c r="AE318" s="862"/>
      <c r="AF318" s="864"/>
      <c r="AG318" s="860"/>
      <c r="AH318" s="862"/>
      <c r="AI318" s="864"/>
      <c r="AJ318" s="860"/>
      <c r="AK318" s="862"/>
      <c r="AL318" s="864"/>
      <c r="AM318" s="860"/>
      <c r="AN318" s="862"/>
      <c r="AO318" s="864"/>
      <c r="AP318" s="860"/>
      <c r="AQ318" s="862"/>
      <c r="AR318" s="864"/>
      <c r="AS318" s="860"/>
      <c r="AT318" s="862"/>
      <c r="AU318" s="864"/>
      <c r="AV318" s="860"/>
      <c r="AW318" s="862"/>
      <c r="AX318" s="864"/>
      <c r="AY318" s="860"/>
      <c r="AZ318" s="862"/>
      <c r="BA318" s="864"/>
      <c r="BB318" s="860"/>
      <c r="BC318" s="862"/>
      <c r="BD318" s="864"/>
      <c r="BE318" s="860"/>
      <c r="BF318" s="862"/>
      <c r="BG318" s="864"/>
      <c r="BH318" s="860"/>
      <c r="BI318" s="862"/>
      <c r="BJ318" s="864"/>
      <c r="BK318" s="860"/>
      <c r="BL318" s="862"/>
      <c r="BM318" s="864"/>
      <c r="BN318" s="860"/>
      <c r="BO318" s="862"/>
      <c r="BP318" s="864"/>
      <c r="BQ318" s="860"/>
      <c r="BR318" s="862"/>
      <c r="BS318" s="864"/>
      <c r="BT318" s="860"/>
      <c r="BU318" s="862"/>
      <c r="BV318" s="864"/>
      <c r="BW318" s="860"/>
      <c r="BX318" s="862"/>
      <c r="BY318" s="864"/>
      <c r="BZ318" s="860"/>
      <c r="CA318" s="862"/>
      <c r="CB318" s="864"/>
      <c r="CC318" s="860"/>
      <c r="CD318" s="862"/>
      <c r="CE318" s="864"/>
      <c r="CF318" s="860"/>
      <c r="CG318" s="862"/>
      <c r="CH318" s="864"/>
      <c r="CI318" s="860"/>
      <c r="CJ318" s="862"/>
      <c r="CK318" s="864"/>
      <c r="CL318" s="860"/>
      <c r="CM318" s="862"/>
      <c r="CN318" s="864"/>
      <c r="CO318" s="860"/>
      <c r="CP318" s="862"/>
      <c r="CQ318" s="864"/>
      <c r="CR318" s="860"/>
      <c r="CS318" s="862"/>
      <c r="CT318" s="864"/>
      <c r="CU318" s="860"/>
      <c r="CV318" s="862"/>
      <c r="CW318" s="864"/>
      <c r="CX318" s="860"/>
      <c r="CY318" s="862"/>
      <c r="CZ318" s="864"/>
    </row>
    <row r="319">
      <c r="A319" s="839"/>
      <c r="B319" s="839"/>
      <c r="C319" s="883" t="s">
        <v>615</v>
      </c>
      <c r="D319" s="839"/>
      <c r="E319" s="839"/>
      <c r="F319" s="839"/>
      <c r="G319" s="839"/>
      <c r="H319" s="839"/>
      <c r="I319" s="839"/>
      <c r="J319" s="839"/>
      <c r="K319" s="844"/>
      <c r="L319" s="812"/>
      <c r="M319" s="812"/>
      <c r="N319" s="839"/>
      <c r="O319" s="812"/>
      <c r="P319" s="856"/>
      <c r="Q319" s="839"/>
      <c r="R319" s="839"/>
      <c r="S319" s="839"/>
      <c r="T319" s="839"/>
      <c r="U319" s="839"/>
      <c r="V319" s="839"/>
      <c r="W319" s="839"/>
      <c r="X319" s="839"/>
      <c r="Y319" s="839"/>
      <c r="Z319" s="858"/>
      <c r="AA319" s="888"/>
      <c r="AB319" s="890"/>
      <c r="AC319" s="892"/>
      <c r="AD319" s="888"/>
      <c r="AE319" s="890"/>
      <c r="AF319" s="892"/>
      <c r="AG319" s="888"/>
      <c r="AH319" s="890"/>
      <c r="AI319" s="892"/>
      <c r="AJ319" s="888"/>
      <c r="AK319" s="890"/>
      <c r="AL319" s="892"/>
      <c r="AM319" s="888"/>
      <c r="AN319" s="890"/>
      <c r="AO319" s="892"/>
      <c r="AP319" s="888"/>
      <c r="AQ319" s="890"/>
      <c r="AR319" s="892"/>
      <c r="AS319" s="888"/>
      <c r="AT319" s="890"/>
      <c r="AU319" s="892"/>
      <c r="AV319" s="888"/>
      <c r="AW319" s="890"/>
      <c r="AX319" s="892"/>
      <c r="AY319" s="888"/>
      <c r="AZ319" s="890"/>
      <c r="BA319" s="892"/>
      <c r="BB319" s="888"/>
      <c r="BC319" s="890"/>
      <c r="BD319" s="892"/>
      <c r="BE319" s="888"/>
      <c r="BF319" s="890"/>
      <c r="BG319" s="892"/>
      <c r="BH319" s="888"/>
      <c r="BI319" s="890"/>
      <c r="BJ319" s="892"/>
      <c r="BK319" s="888"/>
      <c r="BL319" s="890"/>
      <c r="BM319" s="892"/>
      <c r="BN319" s="888"/>
      <c r="BO319" s="890"/>
      <c r="BP319" s="892"/>
      <c r="BQ319" s="888"/>
      <c r="BR319" s="890"/>
      <c r="BS319" s="892"/>
      <c r="BT319" s="888"/>
      <c r="BU319" s="890"/>
      <c r="BV319" s="892"/>
      <c r="BW319" s="888"/>
      <c r="BX319" s="890"/>
      <c r="BY319" s="892"/>
      <c r="BZ319" s="888"/>
      <c r="CA319" s="890"/>
      <c r="CB319" s="892"/>
      <c r="CC319" s="888"/>
      <c r="CD319" s="890"/>
      <c r="CE319" s="892"/>
      <c r="CF319" s="888"/>
      <c r="CG319" s="890"/>
      <c r="CH319" s="892"/>
      <c r="CI319" s="888"/>
      <c r="CJ319" s="890"/>
      <c r="CK319" s="892"/>
      <c r="CL319" s="888"/>
      <c r="CM319" s="890"/>
      <c r="CN319" s="892"/>
      <c r="CO319" s="888"/>
      <c r="CP319" s="890"/>
      <c r="CQ319" s="892"/>
      <c r="CR319" s="888"/>
      <c r="CS319" s="890"/>
      <c r="CT319" s="892"/>
      <c r="CU319" s="888"/>
      <c r="CV319" s="890"/>
      <c r="CW319" s="892"/>
      <c r="CX319" s="888"/>
      <c r="CY319" s="890"/>
      <c r="CZ319" s="892"/>
    </row>
  </sheetData>
  <conditionalFormatting sqref="I9">
    <cfRule type="expression" dxfId="10" priority="1">
      <formula>$N$9="&lt;&lt; Откройте доступ ошибка"</formula>
    </cfRule>
  </conditionalFormatting>
  <conditionalFormatting sqref="O311:O312">
    <cfRule type="expression" dxfId="0" priority="2">
      <formula>$O$312="ok"</formula>
    </cfRule>
  </conditionalFormatting>
  <conditionalFormatting sqref="O311:O312">
    <cfRule type="expression" dxfId="1" priority="3">
      <formula>and($O$312&lt;&gt;"", $O$312&lt;&gt;"ok")</formula>
    </cfRule>
  </conditionalFormatting>
  <conditionalFormatting sqref="AA11:CZ310">
    <cfRule type="expression" dxfId="1" priority="4">
      <formula>AND(AA11/1&gt;0,$B$15&lt;ABS(AA11-AVERAGE($AA11:$CZ11))/AVERAGE($AA11:$CZ11))</formula>
    </cfRule>
  </conditionalFormatting>
  <conditionalFormatting sqref="AA11:CZ310">
    <cfRule type="expression" dxfId="3" priority="5">
      <formula>FIND("Ошибка",AA$311,1)&gt;0</formula>
    </cfRule>
  </conditionalFormatting>
  <conditionalFormatting sqref="AA11:CZ310">
    <cfRule type="expression" dxfId="0" priority="6">
      <formula>AND(RANK(AA11,$AA11:$CZ11,1)&lt;=$B$16)</formula>
    </cfRule>
  </conditionalFormatting>
  <conditionalFormatting sqref="F11:I310">
    <cfRule type="expression" dxfId="11" priority="7">
      <formula>LAMBDA(theHader,theMs,ifs(theMs="",FALSE,theHader="",FALSE,IFERROR(FIND(theHader,theMs,1),0)=0,FALSE,TRUE,TRUE))(F$10,$Y11)</formula>
    </cfRule>
  </conditionalFormatting>
  <conditionalFormatting sqref="D11:N310">
    <cfRule type="expression" dxfId="2" priority="8">
      <formula>FIND("Мало",$N11,1)&gt;0</formula>
    </cfRule>
  </conditionalFormatting>
  <conditionalFormatting sqref="D11:O310 Q11:R310 AA11:CZ310">
    <cfRule type="expression" dxfId="4" priority="9">
      <formula>$Q11="Характеристики"</formula>
    </cfRule>
  </conditionalFormatting>
  <conditionalFormatting sqref="D11:O310 Q11:R310 AA11:CZ310">
    <cfRule type="expression" dxfId="5" priority="10">
      <formula>$Q11="Паспорт"</formula>
    </cfRule>
  </conditionalFormatting>
  <conditionalFormatting sqref="D11:O310 Q11:R310 AA11:CZ310">
    <cfRule type="expression" dxfId="6" priority="11">
      <formula>$Q11="Изготовителя и год выпуска"</formula>
    </cfRule>
  </conditionalFormatting>
  <conditionalFormatting sqref="D11:O310 Q11:R310 AA11:CZ310">
    <cfRule type="expression" dxfId="7" priority="12">
      <formula>$Q11="Сертификаты"</formula>
    </cfRule>
  </conditionalFormatting>
  <conditionalFormatting sqref="D11:O310 Q11:R310 AA11:CZ310">
    <cfRule type="expression" dxfId="8" priority="13">
      <formula>$Q11="Паспорт и сертификаты"</formula>
    </cfRule>
  </conditionalFormatting>
  <conditionalFormatting sqref="D11:O310 Q11:R310 AA11:CZ310">
    <cfRule type="expression" dxfId="9" priority="14">
      <formula>$Q11="Поверка"</formula>
    </cfRule>
  </conditionalFormatting>
  <dataValidations>
    <dataValidation type="list" allowBlank="1" showErrorMessage="1" sqref="Q11:Q310">
      <formula1>'Настройки писем'!$AL$1:$AL$8</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Right="0"/>
  </sheetPr>
  <sheetViews>
    <sheetView workbookViewId="0">
      <pane xSplit="5.0" ySplit="10.0" topLeftCell="F11" activePane="bottomRight" state="frozen"/>
      <selection activeCell="F1" sqref="F1" pane="topRight"/>
      <selection activeCell="A11" sqref="A11" pane="bottomLeft"/>
      <selection activeCell="F11" sqref="F11" pane="bottomRight"/>
    </sheetView>
  </sheetViews>
  <sheetFormatPr customHeight="1" defaultColWidth="12.63" defaultRowHeight="15.75" outlineLevelRow="1"/>
  <cols>
    <col customWidth="1" hidden="1" min="1" max="1" width="3.75"/>
    <col customWidth="1" hidden="1" min="2" max="2" width="5.0"/>
    <col customWidth="1" hidden="1" min="3" max="3" width="9.63"/>
    <col customWidth="1" min="4" max="4" width="4.63"/>
    <col customWidth="1" min="5" max="5" width="23.0"/>
    <col customWidth="1" min="6" max="9" width="23.0" outlineLevel="1"/>
    <col customWidth="1" min="10" max="10" width="5.5" outlineLevel="1"/>
    <col customWidth="1" min="11" max="11" width="5.75" outlineLevel="1"/>
    <col customWidth="1" min="12" max="12" width="23.0"/>
    <col customWidth="1" min="13" max="13" width="11.5" outlineLevel="1"/>
    <col customWidth="1" min="14" max="14" width="8.0"/>
    <col customWidth="1" min="15" max="15" width="7.75" outlineLevel="1"/>
    <col customWidth="1" min="16" max="18" width="9.75" outlineLevel="1"/>
    <col customWidth="1" hidden="1" min="19" max="27" width="4.0"/>
    <col customWidth="1" min="28" max="53" width="12.63"/>
  </cols>
  <sheetData>
    <row r="1" ht="12.75" hidden="1" customHeight="1" outlineLevel="1">
      <c r="A1" s="144"/>
      <c r="B1" s="144"/>
      <c r="C1" s="279" t="s">
        <v>0</v>
      </c>
      <c r="D1" s="333"/>
      <c r="E1" s="153"/>
      <c r="F1" s="153"/>
      <c r="G1" s="153"/>
      <c r="H1" s="153"/>
      <c r="I1" s="281"/>
      <c r="J1" s="153"/>
      <c r="K1" s="242"/>
      <c r="L1" s="153"/>
      <c r="M1" s="153"/>
      <c r="N1" s="334"/>
      <c r="O1" s="335"/>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53"/>
      <c r="AQ1" s="153"/>
      <c r="AR1" s="153"/>
      <c r="AS1" s="153"/>
      <c r="AT1" s="153"/>
      <c r="AU1" s="153"/>
      <c r="AV1" s="153"/>
      <c r="AW1" s="153"/>
      <c r="AX1" s="153"/>
      <c r="AY1" s="153"/>
      <c r="AZ1" s="153"/>
      <c r="BA1" s="153"/>
    </row>
    <row r="2" ht="12.75" hidden="1" customHeight="1" outlineLevel="1">
      <c r="A2" s="154" t="s">
        <v>5</v>
      </c>
      <c r="B2" s="154" t="s">
        <v>6</v>
      </c>
      <c r="C2" s="336" t="s">
        <v>7</v>
      </c>
      <c r="D2" s="333" t="s">
        <v>2</v>
      </c>
      <c r="E2" s="242" t="s">
        <v>8</v>
      </c>
      <c r="F2" s="246" t="s">
        <v>17</v>
      </c>
      <c r="G2" s="246" t="s">
        <v>20</v>
      </c>
      <c r="H2" s="242" t="s">
        <v>10</v>
      </c>
      <c r="I2" s="297" t="s">
        <v>235</v>
      </c>
      <c r="J2" s="242" t="s">
        <v>12</v>
      </c>
      <c r="K2" s="242" t="s">
        <v>13</v>
      </c>
      <c r="L2" s="337" t="s">
        <v>473</v>
      </c>
      <c r="M2" s="306" t="s">
        <v>474</v>
      </c>
      <c r="N2" s="338" t="s">
        <v>436</v>
      </c>
      <c r="O2" s="339" t="s">
        <v>475</v>
      </c>
      <c r="P2" s="306" t="s">
        <v>476</v>
      </c>
      <c r="Q2" s="306" t="s">
        <v>477</v>
      </c>
      <c r="R2" s="306" t="s">
        <v>478</v>
      </c>
      <c r="S2" s="153" t="s">
        <v>479</v>
      </c>
      <c r="T2" s="153" t="s">
        <v>480</v>
      </c>
      <c r="U2" s="153" t="s">
        <v>481</v>
      </c>
      <c r="V2" s="153" t="s">
        <v>482</v>
      </c>
      <c r="W2" s="153" t="s">
        <v>483</v>
      </c>
      <c r="X2" s="153" t="s">
        <v>484</v>
      </c>
      <c r="Y2" s="153" t="s">
        <v>485</v>
      </c>
      <c r="Z2" s="153" t="s">
        <v>486</v>
      </c>
      <c r="AA2" s="340" t="str">
        <f>IFERROR(__xludf.DUMMYFUNCTION("{""ПочтыНачало"" , LAMBDA(нач,ячейки,la, ByCol(ячейки,la) )($AA$1,$AB$1:BA$1,Lambda(ст,""Почта.""&amp; REGEXEXTRACT( CELL(""address"",ст),""[A-Z]+"")))}"),"ПочтыНачало")</f>
        <v>ПочтыНачало</v>
      </c>
      <c r="AB2" s="341" t="str">
        <f>IFERROR(__xludf.DUMMYFUNCTION("""COMPUTED_VALUE"""),"Почта.AB")</f>
        <v>Почта.AB</v>
      </c>
      <c r="AC2" s="342" t="str">
        <f>IFERROR(__xludf.DUMMYFUNCTION("""COMPUTED_VALUE"""),"Почта.AC")</f>
        <v>Почта.AC</v>
      </c>
      <c r="AD2" s="342" t="str">
        <f>IFERROR(__xludf.DUMMYFUNCTION("""COMPUTED_VALUE"""),"Почта.AD")</f>
        <v>Почта.AD</v>
      </c>
      <c r="AE2" s="342" t="str">
        <f>IFERROR(__xludf.DUMMYFUNCTION("""COMPUTED_VALUE"""),"Почта.AE")</f>
        <v>Почта.AE</v>
      </c>
      <c r="AF2" s="342" t="str">
        <f>IFERROR(__xludf.DUMMYFUNCTION("""COMPUTED_VALUE"""),"Почта.AF")</f>
        <v>Почта.AF</v>
      </c>
      <c r="AG2" s="342" t="str">
        <f>IFERROR(__xludf.DUMMYFUNCTION("""COMPUTED_VALUE"""),"Почта.AG")</f>
        <v>Почта.AG</v>
      </c>
      <c r="AH2" s="342" t="str">
        <f>IFERROR(__xludf.DUMMYFUNCTION("""COMPUTED_VALUE"""),"Почта.AH")</f>
        <v>Почта.AH</v>
      </c>
      <c r="AI2" s="342" t="str">
        <f>IFERROR(__xludf.DUMMYFUNCTION("""COMPUTED_VALUE"""),"Почта.AI")</f>
        <v>Почта.AI</v>
      </c>
      <c r="AJ2" s="342" t="str">
        <f>IFERROR(__xludf.DUMMYFUNCTION("""COMPUTED_VALUE"""),"Почта.AJ")</f>
        <v>Почта.AJ</v>
      </c>
      <c r="AK2" s="342" t="str">
        <f>IFERROR(__xludf.DUMMYFUNCTION("""COMPUTED_VALUE"""),"Почта.AK")</f>
        <v>Почта.AK</v>
      </c>
      <c r="AL2" s="342" t="str">
        <f>IFERROR(__xludf.DUMMYFUNCTION("""COMPUTED_VALUE"""),"Почта.AL")</f>
        <v>Почта.AL</v>
      </c>
      <c r="AM2" s="342" t="str">
        <f>IFERROR(__xludf.DUMMYFUNCTION("""COMPUTED_VALUE"""),"Почта.AM")</f>
        <v>Почта.AM</v>
      </c>
      <c r="AN2" s="342" t="str">
        <f>IFERROR(__xludf.DUMMYFUNCTION("""COMPUTED_VALUE"""),"Почта.AN")</f>
        <v>Почта.AN</v>
      </c>
      <c r="AO2" s="342" t="str">
        <f>IFERROR(__xludf.DUMMYFUNCTION("""COMPUTED_VALUE"""),"Почта.AO")</f>
        <v>Почта.AO</v>
      </c>
      <c r="AP2" s="342" t="str">
        <f>IFERROR(__xludf.DUMMYFUNCTION("""COMPUTED_VALUE"""),"Почта.AP")</f>
        <v>Почта.AP</v>
      </c>
      <c r="AQ2" s="342" t="str">
        <f>IFERROR(__xludf.DUMMYFUNCTION("""COMPUTED_VALUE"""),"Почта.AQ")</f>
        <v>Почта.AQ</v>
      </c>
      <c r="AR2" s="342" t="str">
        <f>IFERROR(__xludf.DUMMYFUNCTION("""COMPUTED_VALUE"""),"Почта.AR")</f>
        <v>Почта.AR</v>
      </c>
      <c r="AS2" s="342" t="str">
        <f>IFERROR(__xludf.DUMMYFUNCTION("""COMPUTED_VALUE"""),"Почта.AS")</f>
        <v>Почта.AS</v>
      </c>
      <c r="AT2" s="342" t="str">
        <f>IFERROR(__xludf.DUMMYFUNCTION("""COMPUTED_VALUE"""),"Почта.AT")</f>
        <v>Почта.AT</v>
      </c>
      <c r="AU2" s="342" t="str">
        <f>IFERROR(__xludf.DUMMYFUNCTION("""COMPUTED_VALUE"""),"Почта.AU")</f>
        <v>Почта.AU</v>
      </c>
      <c r="AV2" s="342" t="str">
        <f>IFERROR(__xludf.DUMMYFUNCTION("""COMPUTED_VALUE"""),"Почта.AV")</f>
        <v>Почта.AV</v>
      </c>
      <c r="AW2" s="342" t="str">
        <f>IFERROR(__xludf.DUMMYFUNCTION("""COMPUTED_VALUE"""),"Почта.AW")</f>
        <v>Почта.AW</v>
      </c>
      <c r="AX2" s="342" t="str">
        <f>IFERROR(__xludf.DUMMYFUNCTION("""COMPUTED_VALUE"""),"Почта.AX")</f>
        <v>Почта.AX</v>
      </c>
      <c r="AY2" s="342" t="str">
        <f>IFERROR(__xludf.DUMMYFUNCTION("""COMPUTED_VALUE"""),"Почта.AY")</f>
        <v>Почта.AY</v>
      </c>
      <c r="AZ2" s="342" t="str">
        <f>IFERROR(__xludf.DUMMYFUNCTION("""COMPUTED_VALUE"""),"Почта.AZ")</f>
        <v>Почта.AZ</v>
      </c>
      <c r="BA2" s="342" t="str">
        <f>IFERROR(__xludf.DUMMYFUNCTION("""COMPUTED_VALUE"""),"Почта.BA")</f>
        <v>Почта.BA</v>
      </c>
    </row>
    <row r="3" ht="12.75" hidden="1" customHeight="1" outlineLevel="1">
      <c r="A3" s="144"/>
      <c r="B3" s="144"/>
      <c r="C3" s="144" t="s">
        <v>25</v>
      </c>
      <c r="D3" s="333"/>
      <c r="E3" s="153"/>
      <c r="F3" s="153" t="s">
        <v>25</v>
      </c>
      <c r="G3" s="153" t="s">
        <v>25</v>
      </c>
      <c r="H3" s="153" t="s">
        <v>25</v>
      </c>
      <c r="I3" s="153" t="s">
        <v>25</v>
      </c>
      <c r="J3" s="153" t="s">
        <v>25</v>
      </c>
      <c r="K3" s="242" t="s">
        <v>25</v>
      </c>
      <c r="L3" s="337" t="s">
        <v>236</v>
      </c>
      <c r="M3" s="153"/>
      <c r="N3" s="343" t="s">
        <v>25</v>
      </c>
      <c r="O3" s="339" t="s">
        <v>32</v>
      </c>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row>
    <row r="4" ht="12.75" hidden="1" customHeight="1" outlineLevel="1">
      <c r="A4" s="144"/>
      <c r="B4" s="144"/>
      <c r="C4" s="155" t="s">
        <v>28</v>
      </c>
      <c r="D4" s="344" t="s">
        <v>501</v>
      </c>
      <c r="E4" s="345" t="s">
        <v>502</v>
      </c>
      <c r="F4" s="346" t="s">
        <v>503</v>
      </c>
      <c r="G4" s="153"/>
      <c r="H4" s="334"/>
      <c r="I4" s="310"/>
      <c r="J4" s="153"/>
      <c r="K4" s="242"/>
      <c r="L4" s="153"/>
      <c r="M4" s="153"/>
      <c r="N4" s="334"/>
      <c r="O4" s="335"/>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row>
    <row r="5" ht="12.75" hidden="1" customHeight="1" outlineLevel="1">
      <c r="A5" s="144"/>
      <c r="B5" s="144"/>
      <c r="C5" s="155" t="s">
        <v>31</v>
      </c>
      <c r="D5" s="347" t="s">
        <v>501</v>
      </c>
      <c r="E5" s="345" t="s">
        <v>502</v>
      </c>
      <c r="F5" s="346" t="s">
        <v>503</v>
      </c>
      <c r="G5" s="153"/>
      <c r="H5" s="348"/>
      <c r="I5" s="310"/>
      <c r="J5" s="153"/>
      <c r="K5" s="242"/>
      <c r="L5" s="337"/>
      <c r="M5" s="153"/>
      <c r="N5" s="334"/>
      <c r="O5" s="335"/>
      <c r="P5" s="153"/>
      <c r="Q5" s="153"/>
      <c r="R5" s="153"/>
      <c r="S5" s="153"/>
      <c r="T5" s="153"/>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3"/>
      <c r="AS5" s="153"/>
      <c r="AT5" s="153"/>
      <c r="AU5" s="153"/>
      <c r="AV5" s="153"/>
      <c r="AW5" s="153"/>
      <c r="AX5" s="153"/>
      <c r="AY5" s="153"/>
      <c r="AZ5" s="153"/>
      <c r="BA5" s="153"/>
    </row>
    <row r="6" ht="12.75" hidden="1" customHeight="1" outlineLevel="1">
      <c r="A6" s="144"/>
      <c r="B6" s="144"/>
      <c r="C6" s="155" t="s">
        <v>35</v>
      </c>
      <c r="D6" s="349" t="str">
        <f t="array" ref="D6:F6">{ "0" , "&lt;- ID из битрикс | По умолчанию | Текст подписи -&gt;" , "&lt;br&gt;Молчанов Иван Анатольевич &lt;br&gt; +7 (495) 109-19-78"}</f>
        <v>0</v>
      </c>
      <c r="E6" s="350" t="s">
        <v>504</v>
      </c>
      <c r="F6" s="350" t="s">
        <v>505</v>
      </c>
      <c r="G6" s="153"/>
      <c r="H6" s="348"/>
      <c r="I6" s="317"/>
      <c r="J6" s="153"/>
      <c r="K6" s="242"/>
      <c r="L6" s="153"/>
      <c r="M6" s="153"/>
      <c r="N6" s="334"/>
      <c r="O6" s="335"/>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row>
    <row r="7" ht="12.75" hidden="1" customHeight="1" outlineLevel="1">
      <c r="A7" s="152" t="s">
        <v>237</v>
      </c>
      <c r="B7" s="147" t="s">
        <v>237</v>
      </c>
      <c r="C7" s="147" t="s">
        <v>37</v>
      </c>
      <c r="D7" s="333"/>
      <c r="E7" s="153"/>
      <c r="F7" s="351" t="s">
        <v>454</v>
      </c>
      <c r="G7" s="351" t="s">
        <v>454</v>
      </c>
      <c r="H7" s="351" t="s">
        <v>454</v>
      </c>
      <c r="I7" s="157" t="s">
        <v>454</v>
      </c>
      <c r="J7" s="351" t="s">
        <v>454</v>
      </c>
      <c r="K7" s="351" t="s">
        <v>454</v>
      </c>
      <c r="L7" s="246"/>
      <c r="M7" s="351" t="s">
        <v>454</v>
      </c>
      <c r="N7" s="334"/>
      <c r="O7" s="351" t="s">
        <v>454</v>
      </c>
      <c r="P7" s="337" t="s">
        <v>454</v>
      </c>
      <c r="Q7" s="337" t="s">
        <v>454</v>
      </c>
      <c r="R7" s="337" t="s">
        <v>454</v>
      </c>
      <c r="S7" s="246" t="s">
        <v>237</v>
      </c>
      <c r="T7" s="246" t="s">
        <v>237</v>
      </c>
      <c r="U7" s="246" t="s">
        <v>237</v>
      </c>
      <c r="V7" s="246" t="s">
        <v>237</v>
      </c>
      <c r="W7" s="246" t="s">
        <v>237</v>
      </c>
      <c r="X7" s="246" t="s">
        <v>237</v>
      </c>
      <c r="Y7" s="246" t="s">
        <v>237</v>
      </c>
      <c r="Z7" s="246" t="s">
        <v>237</v>
      </c>
      <c r="AA7" s="246" t="s">
        <v>237</v>
      </c>
      <c r="AB7" s="153"/>
      <c r="AC7" s="153"/>
      <c r="AD7" s="153"/>
      <c r="AE7" s="153"/>
      <c r="AF7" s="153"/>
      <c r="AG7" s="153"/>
      <c r="AH7" s="153"/>
      <c r="AI7" s="153"/>
      <c r="AJ7" s="153"/>
      <c r="AK7" s="153"/>
      <c r="AL7" s="153"/>
      <c r="AM7" s="153"/>
      <c r="AN7" s="153"/>
      <c r="AO7" s="153"/>
      <c r="AP7" s="153"/>
      <c r="AQ7" s="153"/>
      <c r="AR7" s="153"/>
      <c r="AS7" s="153"/>
      <c r="AT7" s="153"/>
      <c r="AU7" s="153"/>
      <c r="AV7" s="153"/>
      <c r="AW7" s="153"/>
      <c r="AX7" s="153"/>
      <c r="AY7" s="153"/>
      <c r="AZ7" s="153"/>
      <c r="BA7" s="153"/>
    </row>
    <row r="8" ht="12.75" hidden="1" customHeight="1" outlineLevel="1">
      <c r="A8" s="144"/>
      <c r="B8" s="144"/>
      <c r="C8" s="352" t="s">
        <v>39</v>
      </c>
      <c r="D8" s="353"/>
      <c r="E8" s="354"/>
      <c r="F8" s="354"/>
      <c r="G8" s="354"/>
      <c r="H8" s="355"/>
      <c r="I8" s="310"/>
      <c r="J8" s="354"/>
      <c r="K8" s="356"/>
      <c r="L8" s="153"/>
      <c r="M8" s="153"/>
      <c r="N8" s="334"/>
      <c r="O8" s="335"/>
      <c r="P8" s="153"/>
      <c r="Q8" s="153"/>
      <c r="R8" s="153"/>
      <c r="S8" s="153"/>
      <c r="T8" s="153"/>
      <c r="U8" s="153"/>
      <c r="V8" s="153"/>
      <c r="W8" s="153"/>
      <c r="X8" s="153"/>
      <c r="Y8" s="153"/>
      <c r="Z8" s="153"/>
      <c r="AA8" s="153"/>
      <c r="AB8" s="153"/>
      <c r="AC8" s="153"/>
      <c r="AD8" s="153"/>
      <c r="AE8" s="153"/>
      <c r="AF8" s="153"/>
      <c r="AG8" s="153"/>
      <c r="AH8" s="153"/>
      <c r="AI8" s="153"/>
      <c r="AJ8" s="153"/>
      <c r="AK8" s="153"/>
      <c r="AL8" s="153"/>
      <c r="AM8" s="153"/>
      <c r="AN8" s="153"/>
      <c r="AO8" s="153"/>
      <c r="AP8" s="153"/>
      <c r="AQ8" s="153"/>
      <c r="AR8" s="153"/>
      <c r="AS8" s="153"/>
      <c r="AT8" s="153"/>
      <c r="AU8" s="153"/>
      <c r="AV8" s="153"/>
      <c r="AW8" s="153"/>
      <c r="AX8" s="153"/>
      <c r="AY8" s="153"/>
      <c r="AZ8" s="153"/>
      <c r="BA8" s="153"/>
    </row>
    <row r="9" ht="12.75" hidden="1" customHeight="1" outlineLevel="1">
      <c r="A9" s="144"/>
      <c r="B9" s="144"/>
      <c r="C9" s="357" t="s">
        <v>44</v>
      </c>
      <c r="D9" s="353"/>
      <c r="E9" s="354"/>
      <c r="F9" s="354"/>
      <c r="G9" s="354"/>
      <c r="H9" s="355"/>
      <c r="I9" s="310"/>
      <c r="J9" s="354"/>
      <c r="K9" s="356"/>
      <c r="L9" s="153"/>
      <c r="M9" s="153"/>
      <c r="N9" s="334"/>
      <c r="O9" s="335"/>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row>
    <row r="10" collapsed="1">
      <c r="A10" s="358"/>
      <c r="B10" s="359"/>
      <c r="C10" s="368" t="str">
        <f t="array" ref="C10:C399">LAMBDA(doFind,theNames,theDatas,BYROW(theNames,LAMBDA(theName,IF(theName&lt;&gt;"",doFind(theName,theDatas),))))
( LAMBDA(theName,theDatas,VLOOKUP(theName,theDatas,2,0)),
'5-2 Запросы КП Закупки'!$D$10:$D399,{'5-1 Сбор КП Закупки'!$D$10:$D399,'5-1 Сбор КП Закупки'!$C$10:$C399}
)</f>
        <v>ID_Товара</v>
      </c>
      <c r="D10" s="370" t="s">
        <v>41</v>
      </c>
      <c r="E10" s="379" t="str">
        <f t="array" ref="E10:E399">LAMBDA(doFind,theNames,theDatas,BYROW(theNames,LAMBDA(theName,IF(theName&lt;&gt;"",doFind(theName,theDatas),))))
( LAMBDA(theName,theDatas,VLOOKUP(theName,theDatas,2,0)),
'5-2 Запросы КП Закупки'!$D$10:$D399,{'5-1 Сбор КП Закупки'!$D$10:$D399,'5-1 Сбор КП Закупки'!$E$10:$E399}
)</f>
        <v>Номенклатура</v>
      </c>
      <c r="F10" s="379" t="str">
        <f t="array" ref="F10:F399">LAMBDA(doFind,theNames,theDatas,BYROW(theNames,LAMBDA(theName,IF(theName&lt;&gt;"",doFind(theName,theDatas),))))
( LAMBDA(theName,theDatas,VLOOKUP(theName,theDatas,2,0)),
'5-2 Запросы КП Закупки'!$D$10:$D399,{'5-1 Сбор КП Закупки'!$D$10:$D399,'5-1 Сбор КП Закупки'!$F$10:$F399}
)</f>
        <v>Название товара по договору</v>
      </c>
      <c r="G10" s="379" t="str">
        <f t="array" ref="G10:G399">LAMBDA(doFind,theNames,theDatas,BYROW(theNames,LAMBDA(theName,IF(theName&lt;&gt;"",doFind(theName,theDatas),))))
( LAMBDA(theName,theDatas,VLOOKUP(theName,theDatas,2,0)),
'5-2 Запросы КП Закупки'!$D$10:$D399,{'5-1 Сбор КП Закупки'!$D$10:$D399,'5-1 Сбор КП Закупки'!$G$10:$G399}
)</f>
        <v>Изготовитель товара по договору</v>
      </c>
      <c r="H10" s="379" t="str">
        <f t="array" ref="H10:H399">LAMBDA(doFind,theNames,theDatas,BYROW(theNames,LAMBDA(theName,IF(theName&lt;&gt;"",doFind(theName,theDatas),))))
( LAMBDA(theName,theDatas,VLOOKUP(theName,theDatas,2,0)),
'5-2 Запросы КП Закупки'!$D$10:$D399,{'5-1 Сбор КП Закупки'!$D$10:$D399,'5-1 Сбор КП Закупки'!$H$10:$H399}
)</f>
        <v>Характеристики</v>
      </c>
      <c r="I10" s="379" t="str">
        <f t="array" ref="I10:I399">LAMBDA(doFind,theNames,theDatas,BYROW(theNames,LAMBDA(theName,IF(theName&lt;&gt;"",doFind(theName,theDatas),))))
( LAMBDA(theName,theDatas,VLOOKUP(theName,theDatas,2,0)),
'5-2 Запросы КП Закупки'!$D$10:$D399,{'5-1 Сбор КП Закупки'!$D$10:$D399,'5-1 Сбор КП Закупки'!$I$10:$I399}
)</f>
        <v>Состав поставляемой с продукцией технической документации</v>
      </c>
      <c r="J10" s="379" t="str">
        <f t="array" ref="J10:J399">LAMBDA(doFind,theNames,theDatas,BYROW(theNames,LAMBDA(theName,IF(theName&lt;&gt;"",doFind(theName,theDatas),))))
( LAMBDA(theName,theDatas,VLOOKUP(theName,theDatas,2,0)),
'5-2 Запросы КП Закупки'!$D$10:$D399,{'5-1 Сбор КП Закупки'!$D$10:$D399,'5-1 Сбор КП Закупки'!$J$10:$J399}
)</f>
        <v>Ед. Изм</v>
      </c>
      <c r="K10" s="403" t="str">
        <f t="array" ref="K10:K399">LAMBDA(doFind,theNames,theDatas,BYROW(theNames,LAMBDA(theName,IF(theName&lt;&gt;"",doFind(theName,theDatas),))))
( LAMBDA(theName,theDatas,VLOOKUP(theName,theDatas,2,0)),
'5-2 Запросы КП Закупки'!$D$10:$D399,{'5-1 Сбор КП Закупки'!$D$10:$D399,'5-1 Сбор КП Закупки'!$K$10:$K399}
)</f>
        <v>Кол-во</v>
      </c>
      <c r="L10" s="404" t="s">
        <v>532</v>
      </c>
      <c r="M10" s="403" t="s">
        <v>474</v>
      </c>
      <c r="N10" s="405" t="str">
        <f>IFERROR(__xludf.DUMMYFUNCTION("{{""Группа"",""Строка в группе""};
LAMBDA(doNorm, doGrop,  doExtact, doJoin,
doScan,doResolveItem,
нач,дата, doGrop(doExtact, doScan( doResolveItem ,  doExtact, doJoin,нач,doNorm(дата) ))
)(
 LAMBDA(dr,BYROW(dr ,LAMBDA(r,NOT( ISBLANK(r))))), 
 LAMBDA(doE"&amp;"x, theNs, BYROW(theNs, LAMBDA(n, {IF(doEx(n,1),""Группа ""&amp;doEx(n,2),),IF(doEx(n,1) ,doEx(n,3),)} ) )),
 LAMBDA(theStr,theInd, INDEX( SPLIT(theStr,""|"",FALSE),1,theInd) ),
 LAMBDA(theRow,TEXTJOIN(""|"",FALSE,theRow) ),
 LAMBDA(doResIt, doEx, doJoin,  th"&amp;"eStart,theItems,SCAN(theStart,theItems,LAMBDA(theCm,theIt, doJoin( 
   doResIt(doEx(theCm,1),doEx(theCm,2),doEx(theCm,3),doEx(theCm,4),doEx(theCm,5),IF(theIt,1,0)) 
 )))),
 LAMBDA(sh,sg,sr,c,b,a, 
   Lambda( doSh,doSg,doSr,TEXTJOIN(""|"",FALSE,{
    doSh("&amp;");
    doSg();
    doSr();
    b;
    a
  }))(
   LAMBDA( IF (a=1,1, IF(AND(b=1,c=0),1,0)) ),
   LAMBDA(sg+1*(AND( a=1,b=0))),
   LAMBDA( IF(OR( a=1,AND(b=1,c=0)),   IF(b=0,1,sr+1)   ,0))
  ) 
),
""0|0|0|0|0"", 
'5-2 Запросы КП Закупки'!$E$11:$E399
)
}"),"Группа")</f>
        <v>Группа</v>
      </c>
      <c r="O10" s="406" t="str">
        <f>IFERROR(__xludf.DUMMYFUNCTION("""COMPUTED_VALUE"""),"Строка в группе")</f>
        <v>Строка в группе</v>
      </c>
      <c r="P10" s="403" t="s">
        <v>476</v>
      </c>
      <c r="Q10" s="403" t="s">
        <v>477</v>
      </c>
      <c r="R10" s="403" t="s">
        <v>478</v>
      </c>
      <c r="S10" s="407"/>
      <c r="T10" s="407"/>
      <c r="U10" s="408"/>
      <c r="V10" s="408"/>
      <c r="W10" s="407"/>
      <c r="X10" s="409"/>
      <c r="Y10" s="407"/>
      <c r="Z10" s="407"/>
      <c r="AA10" s="407"/>
      <c r="AB10" s="410" t="s">
        <v>533</v>
      </c>
      <c r="AC10" s="410">
        <v>0.0</v>
      </c>
      <c r="AD10" s="410" t="s">
        <v>534</v>
      </c>
      <c r="AE10" s="410">
        <v>0.0</v>
      </c>
      <c r="AF10" s="410" t="s">
        <v>535</v>
      </c>
      <c r="AG10" s="410">
        <v>0.0</v>
      </c>
      <c r="AH10" s="410" t="s">
        <v>536</v>
      </c>
      <c r="AI10" s="410">
        <v>0.0</v>
      </c>
      <c r="AJ10" s="407"/>
      <c r="AK10" s="407"/>
      <c r="AL10" s="407"/>
      <c r="AM10" s="407"/>
      <c r="AN10" s="407"/>
      <c r="AO10" s="407"/>
      <c r="AP10" s="407"/>
      <c r="AQ10" s="407"/>
      <c r="AR10" s="407"/>
      <c r="AS10" s="407"/>
      <c r="AT10" s="407"/>
      <c r="AU10" s="407"/>
      <c r="AV10" s="407"/>
      <c r="AW10" s="407"/>
      <c r="AX10" s="407"/>
      <c r="AY10" s="407"/>
      <c r="AZ10" s="407"/>
      <c r="BA10" s="411"/>
    </row>
    <row r="11">
      <c r="A11" s="412"/>
      <c r="B11" s="412"/>
      <c r="C11" s="263"/>
      <c r="D11" s="413"/>
      <c r="E11" s="414"/>
      <c r="F11" s="206"/>
      <c r="G11" s="206"/>
      <c r="H11" s="415"/>
      <c r="I11" s="415"/>
      <c r="J11" s="416"/>
      <c r="K11" s="414"/>
      <c r="L11" s="417" t="str">
        <f t="shared" ref="L11:L399" si="1">E11</f>
        <v/>
      </c>
      <c r="M11" s="418"/>
      <c r="N11" s="419"/>
      <c r="O11" s="420"/>
      <c r="P11" s="418"/>
      <c r="Q11" s="418"/>
      <c r="R11" s="418"/>
      <c r="S11" s="412"/>
      <c r="T11" s="412"/>
      <c r="U11" s="412"/>
      <c r="V11" s="412"/>
      <c r="W11" s="412"/>
      <c r="X11" s="418"/>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row>
    <row r="12">
      <c r="A12" s="421"/>
      <c r="B12" s="421"/>
      <c r="C12" s="422"/>
      <c r="D12" s="423"/>
      <c r="E12" s="424"/>
      <c r="F12" s="265"/>
      <c r="G12" s="265"/>
      <c r="H12" s="424"/>
      <c r="I12" s="424"/>
      <c r="J12" s="274"/>
      <c r="K12" s="270"/>
      <c r="L12" s="417" t="str">
        <f t="shared" si="1"/>
        <v/>
      </c>
      <c r="M12" s="425"/>
      <c r="N12" s="426"/>
      <c r="O12" s="427"/>
      <c r="P12" s="425"/>
      <c r="Q12" s="425"/>
      <c r="R12" s="425"/>
      <c r="S12" s="421"/>
      <c r="T12" s="421"/>
      <c r="U12" s="421"/>
      <c r="V12" s="421"/>
      <c r="W12" s="421"/>
      <c r="X12" s="425"/>
      <c r="Y12" s="421"/>
      <c r="Z12" s="421"/>
      <c r="AA12" s="421"/>
      <c r="AB12" s="421"/>
      <c r="AC12" s="421"/>
      <c r="AD12" s="421"/>
      <c r="AE12" s="421"/>
      <c r="AF12" s="421"/>
      <c r="AG12" s="421"/>
      <c r="AH12" s="421"/>
      <c r="AI12" s="421"/>
      <c r="AJ12" s="421"/>
      <c r="AK12" s="421"/>
      <c r="AL12" s="421"/>
      <c r="AM12" s="421"/>
      <c r="AN12" s="421"/>
      <c r="AO12" s="421"/>
      <c r="AP12" s="421"/>
      <c r="AQ12" s="421"/>
      <c r="AR12" s="421"/>
      <c r="AS12" s="421"/>
      <c r="AT12" s="421"/>
      <c r="AU12" s="421"/>
      <c r="AV12" s="421"/>
      <c r="AW12" s="421"/>
      <c r="AX12" s="421"/>
      <c r="AY12" s="421"/>
      <c r="AZ12" s="421"/>
      <c r="BA12" s="421"/>
    </row>
    <row r="13">
      <c r="A13" s="421"/>
      <c r="B13" s="421"/>
      <c r="C13" s="422"/>
      <c r="D13" s="428"/>
      <c r="E13" s="429"/>
      <c r="F13" s="265"/>
      <c r="G13" s="265"/>
      <c r="H13" s="424"/>
      <c r="I13" s="424"/>
      <c r="J13" s="274"/>
      <c r="K13" s="270"/>
      <c r="L13" s="430" t="str">
        <f t="shared" si="1"/>
        <v/>
      </c>
      <c r="M13" s="425"/>
      <c r="N13" s="426"/>
      <c r="O13" s="427"/>
      <c r="P13" s="425"/>
      <c r="Q13" s="425"/>
      <c r="R13" s="425"/>
      <c r="S13" s="421"/>
      <c r="T13" s="421"/>
      <c r="U13" s="421"/>
      <c r="V13" s="421"/>
      <c r="W13" s="421"/>
      <c r="X13" s="425"/>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row>
    <row r="14">
      <c r="A14" s="421"/>
      <c r="B14" s="421"/>
      <c r="C14" s="422"/>
      <c r="D14" s="423"/>
      <c r="E14" s="424"/>
      <c r="F14" s="265"/>
      <c r="G14" s="265"/>
      <c r="H14" s="424"/>
      <c r="I14" s="424"/>
      <c r="J14" s="274"/>
      <c r="K14" s="270"/>
      <c r="L14" s="417" t="str">
        <f t="shared" si="1"/>
        <v/>
      </c>
      <c r="M14" s="425"/>
      <c r="N14" s="426"/>
      <c r="O14" s="427"/>
      <c r="P14" s="425"/>
      <c r="Q14" s="425"/>
      <c r="R14" s="425"/>
      <c r="S14" s="421"/>
      <c r="T14" s="421"/>
      <c r="U14" s="421"/>
      <c r="V14" s="421"/>
      <c r="W14" s="421"/>
      <c r="X14" s="425"/>
      <c r="Y14" s="421"/>
      <c r="Z14" s="421"/>
      <c r="AA14" s="421"/>
      <c r="AB14" s="421"/>
      <c r="AC14" s="421"/>
      <c r="AD14" s="421"/>
      <c r="AE14" s="421"/>
      <c r="AF14" s="421"/>
      <c r="AG14" s="421"/>
      <c r="AH14" s="421"/>
      <c r="AI14" s="421"/>
      <c r="AJ14" s="421"/>
      <c r="AK14" s="421"/>
      <c r="AL14" s="421"/>
      <c r="AM14" s="421"/>
      <c r="AN14" s="421"/>
      <c r="AO14" s="421"/>
      <c r="AP14" s="421"/>
      <c r="AQ14" s="421"/>
      <c r="AR14" s="421"/>
      <c r="AS14" s="421"/>
      <c r="AT14" s="421"/>
      <c r="AU14" s="421"/>
      <c r="AV14" s="421"/>
      <c r="AW14" s="421"/>
      <c r="AX14" s="421"/>
      <c r="AY14" s="421"/>
      <c r="AZ14" s="421"/>
      <c r="BA14" s="421"/>
    </row>
    <row r="15">
      <c r="A15" s="421"/>
      <c r="B15" s="421"/>
      <c r="C15" s="422"/>
      <c r="D15" s="423"/>
      <c r="E15" s="424"/>
      <c r="F15" s="265"/>
      <c r="G15" s="265"/>
      <c r="H15" s="424"/>
      <c r="I15" s="424"/>
      <c r="J15" s="274"/>
      <c r="K15" s="270"/>
      <c r="L15" s="417" t="str">
        <f t="shared" si="1"/>
        <v/>
      </c>
      <c r="M15" s="425"/>
      <c r="N15" s="426"/>
      <c r="O15" s="427"/>
      <c r="P15" s="425"/>
      <c r="Q15" s="425"/>
      <c r="R15" s="425"/>
      <c r="S15" s="421"/>
      <c r="T15" s="421"/>
      <c r="U15" s="421"/>
      <c r="V15" s="421"/>
      <c r="W15" s="421"/>
      <c r="X15" s="425"/>
      <c r="Y15" s="421"/>
      <c r="Z15" s="421"/>
      <c r="AA15" s="421"/>
      <c r="AB15" s="421"/>
      <c r="AC15" s="421"/>
      <c r="AD15" s="421"/>
      <c r="AE15" s="421"/>
      <c r="AF15" s="421"/>
      <c r="AG15" s="421"/>
      <c r="AH15" s="421"/>
      <c r="AI15" s="421"/>
      <c r="AJ15" s="421"/>
      <c r="AK15" s="421"/>
      <c r="AL15" s="421"/>
      <c r="AM15" s="421"/>
      <c r="AN15" s="421"/>
      <c r="AO15" s="421"/>
      <c r="AP15" s="421"/>
      <c r="AQ15" s="421"/>
      <c r="AR15" s="421"/>
      <c r="AS15" s="421"/>
      <c r="AT15" s="421"/>
      <c r="AU15" s="421"/>
      <c r="AV15" s="421"/>
      <c r="AW15" s="421"/>
      <c r="AX15" s="421"/>
      <c r="AY15" s="421"/>
      <c r="AZ15" s="421"/>
      <c r="BA15" s="421"/>
    </row>
    <row r="16">
      <c r="A16" s="421"/>
      <c r="B16" s="421"/>
      <c r="C16" s="268"/>
      <c r="D16" s="431"/>
      <c r="E16" s="276"/>
      <c r="F16" s="265"/>
      <c r="G16" s="265"/>
      <c r="H16" s="432"/>
      <c r="I16" s="432"/>
      <c r="J16" s="283"/>
      <c r="K16" s="276"/>
      <c r="L16" s="417" t="str">
        <f t="shared" si="1"/>
        <v/>
      </c>
      <c r="M16" s="425"/>
      <c r="N16" s="426"/>
      <c r="O16" s="427"/>
      <c r="P16" s="425"/>
      <c r="Q16" s="425"/>
      <c r="R16" s="425"/>
      <c r="S16" s="421"/>
      <c r="T16" s="421"/>
      <c r="U16" s="421"/>
      <c r="V16" s="421"/>
      <c r="W16" s="421"/>
      <c r="X16" s="425"/>
      <c r="Y16" s="421"/>
      <c r="Z16" s="421"/>
      <c r="AA16" s="421"/>
      <c r="AB16" s="421"/>
      <c r="AC16" s="421"/>
      <c r="AD16" s="421"/>
      <c r="AE16" s="421"/>
      <c r="AF16" s="421"/>
      <c r="AG16" s="421"/>
      <c r="AH16" s="421"/>
      <c r="AI16" s="421"/>
      <c r="AJ16" s="421"/>
      <c r="AK16" s="421"/>
      <c r="AL16" s="421"/>
      <c r="AM16" s="421"/>
      <c r="AN16" s="421"/>
      <c r="AO16" s="421"/>
      <c r="AP16" s="421"/>
      <c r="AQ16" s="421"/>
      <c r="AR16" s="421"/>
      <c r="AS16" s="421"/>
      <c r="AT16" s="421"/>
      <c r="AU16" s="421"/>
      <c r="AV16" s="421"/>
      <c r="AW16" s="421"/>
      <c r="AX16" s="421"/>
      <c r="AY16" s="421"/>
      <c r="AZ16" s="421"/>
      <c r="BA16" s="421"/>
    </row>
    <row r="17">
      <c r="A17" s="421"/>
      <c r="B17" s="421"/>
      <c r="C17" s="268"/>
      <c r="D17" s="431"/>
      <c r="E17" s="276"/>
      <c r="F17" s="265"/>
      <c r="G17" s="265"/>
      <c r="H17" s="432"/>
      <c r="I17" s="432"/>
      <c r="J17" s="283"/>
      <c r="K17" s="276"/>
      <c r="L17" s="417" t="str">
        <f t="shared" si="1"/>
        <v/>
      </c>
      <c r="M17" s="425"/>
      <c r="N17" s="426"/>
      <c r="O17" s="427"/>
      <c r="P17" s="425"/>
      <c r="Q17" s="425"/>
      <c r="R17" s="425"/>
      <c r="S17" s="421"/>
      <c r="T17" s="421"/>
      <c r="U17" s="421"/>
      <c r="V17" s="421"/>
      <c r="W17" s="421"/>
      <c r="X17" s="425"/>
      <c r="Y17" s="421"/>
      <c r="Z17" s="421"/>
      <c r="AA17" s="421"/>
      <c r="AB17" s="421"/>
      <c r="AC17" s="421"/>
      <c r="AD17" s="421"/>
      <c r="AE17" s="421"/>
      <c r="AF17" s="421"/>
      <c r="AG17" s="421"/>
      <c r="AH17" s="421"/>
      <c r="AI17" s="421"/>
      <c r="AJ17" s="421"/>
      <c r="AK17" s="421"/>
      <c r="AL17" s="421"/>
      <c r="AM17" s="421"/>
      <c r="AN17" s="421"/>
      <c r="AO17" s="421"/>
      <c r="AP17" s="421"/>
      <c r="AQ17" s="421"/>
      <c r="AR17" s="421"/>
      <c r="AS17" s="421"/>
      <c r="AT17" s="421"/>
      <c r="AU17" s="421"/>
      <c r="AV17" s="421"/>
      <c r="AW17" s="421"/>
      <c r="AX17" s="421"/>
      <c r="AY17" s="421"/>
      <c r="AZ17" s="421"/>
      <c r="BA17" s="421"/>
    </row>
    <row r="18">
      <c r="A18" s="421"/>
      <c r="B18" s="421"/>
      <c r="C18" s="268"/>
      <c r="D18" s="431"/>
      <c r="E18" s="276"/>
      <c r="F18" s="265"/>
      <c r="G18" s="265"/>
      <c r="H18" s="432"/>
      <c r="I18" s="432"/>
      <c r="J18" s="283"/>
      <c r="K18" s="276"/>
      <c r="L18" s="417" t="str">
        <f t="shared" si="1"/>
        <v/>
      </c>
      <c r="M18" s="425"/>
      <c r="N18" s="426"/>
      <c r="O18" s="427"/>
      <c r="P18" s="425"/>
      <c r="Q18" s="425"/>
      <c r="R18" s="425"/>
      <c r="S18" s="421"/>
      <c r="T18" s="421"/>
      <c r="U18" s="421"/>
      <c r="V18" s="421"/>
      <c r="W18" s="421"/>
      <c r="X18" s="425"/>
      <c r="Y18" s="421"/>
      <c r="Z18" s="421"/>
      <c r="AA18" s="421"/>
      <c r="AB18" s="421"/>
      <c r="AC18" s="421"/>
      <c r="AD18" s="421"/>
      <c r="AE18" s="421"/>
      <c r="AF18" s="421"/>
      <c r="AG18" s="421"/>
      <c r="AH18" s="421"/>
      <c r="AI18" s="421"/>
      <c r="AJ18" s="421"/>
      <c r="AK18" s="421"/>
      <c r="AL18" s="421"/>
      <c r="AM18" s="421"/>
      <c r="AN18" s="421"/>
      <c r="AO18" s="421"/>
      <c r="AP18" s="421"/>
      <c r="AQ18" s="421"/>
      <c r="AR18" s="421"/>
      <c r="AS18" s="421"/>
      <c r="AT18" s="421"/>
      <c r="AU18" s="421"/>
      <c r="AV18" s="421"/>
      <c r="AW18" s="421"/>
      <c r="AX18" s="421"/>
      <c r="AY18" s="421"/>
      <c r="AZ18" s="421"/>
      <c r="BA18" s="421"/>
    </row>
    <row r="19">
      <c r="A19" s="421"/>
      <c r="B19" s="421"/>
      <c r="C19" s="268"/>
      <c r="D19" s="431"/>
      <c r="E19" s="276"/>
      <c r="F19" s="265"/>
      <c r="G19" s="265"/>
      <c r="H19" s="432"/>
      <c r="I19" s="432"/>
      <c r="J19" s="283"/>
      <c r="K19" s="276"/>
      <c r="L19" s="417" t="str">
        <f t="shared" si="1"/>
        <v/>
      </c>
      <c r="M19" s="425"/>
      <c r="N19" s="426"/>
      <c r="O19" s="427"/>
      <c r="P19" s="425"/>
      <c r="Q19" s="425"/>
      <c r="R19" s="425"/>
      <c r="S19" s="421"/>
      <c r="T19" s="421"/>
      <c r="U19" s="421"/>
      <c r="V19" s="421"/>
      <c r="W19" s="421"/>
      <c r="X19" s="425"/>
      <c r="Y19" s="421"/>
      <c r="Z19" s="421"/>
      <c r="AA19" s="421"/>
      <c r="AB19" s="421"/>
      <c r="AC19" s="421"/>
      <c r="AD19" s="421"/>
      <c r="AE19" s="421"/>
      <c r="AF19" s="421"/>
      <c r="AG19" s="421"/>
      <c r="AH19" s="421"/>
      <c r="AI19" s="421"/>
      <c r="AJ19" s="421"/>
      <c r="AK19" s="421"/>
      <c r="AL19" s="421"/>
      <c r="AM19" s="421"/>
      <c r="AN19" s="421"/>
      <c r="AO19" s="421"/>
      <c r="AP19" s="421"/>
      <c r="AQ19" s="421"/>
      <c r="AR19" s="421"/>
      <c r="AS19" s="421"/>
      <c r="AT19" s="421"/>
      <c r="AU19" s="421"/>
      <c r="AV19" s="421"/>
      <c r="AW19" s="421"/>
      <c r="AX19" s="421"/>
      <c r="AY19" s="421"/>
      <c r="AZ19" s="421"/>
      <c r="BA19" s="421"/>
    </row>
    <row r="20">
      <c r="A20" s="421"/>
      <c r="B20" s="421"/>
      <c r="C20" s="268"/>
      <c r="D20" s="431"/>
      <c r="E20" s="276"/>
      <c r="F20" s="265"/>
      <c r="G20" s="265"/>
      <c r="H20" s="432"/>
      <c r="I20" s="432"/>
      <c r="J20" s="283"/>
      <c r="K20" s="276"/>
      <c r="L20" s="417" t="str">
        <f t="shared" si="1"/>
        <v/>
      </c>
      <c r="M20" s="425"/>
      <c r="N20" s="426"/>
      <c r="O20" s="427"/>
      <c r="P20" s="425"/>
      <c r="Q20" s="425"/>
      <c r="R20" s="425"/>
      <c r="S20" s="421"/>
      <c r="T20" s="421"/>
      <c r="U20" s="421"/>
      <c r="V20" s="421"/>
      <c r="W20" s="421"/>
      <c r="X20" s="425"/>
      <c r="Y20" s="421"/>
      <c r="Z20" s="421"/>
      <c r="AA20" s="421"/>
      <c r="AB20" s="421"/>
      <c r="AC20" s="421"/>
      <c r="AD20" s="421"/>
      <c r="AE20" s="421"/>
      <c r="AF20" s="421"/>
      <c r="AG20" s="421"/>
      <c r="AH20" s="421"/>
      <c r="AI20" s="421"/>
      <c r="AJ20" s="421"/>
      <c r="AK20" s="421"/>
      <c r="AL20" s="421"/>
      <c r="AM20" s="421"/>
      <c r="AN20" s="421"/>
      <c r="AO20" s="421"/>
      <c r="AP20" s="421"/>
      <c r="AQ20" s="421"/>
      <c r="AR20" s="421"/>
      <c r="AS20" s="421"/>
      <c r="AT20" s="421"/>
      <c r="AU20" s="421"/>
      <c r="AV20" s="421"/>
      <c r="AW20" s="421"/>
      <c r="AX20" s="421"/>
      <c r="AY20" s="421"/>
      <c r="AZ20" s="421"/>
      <c r="BA20" s="421"/>
    </row>
    <row r="21">
      <c r="A21" s="421"/>
      <c r="B21" s="421"/>
      <c r="C21" s="268"/>
      <c r="D21" s="431"/>
      <c r="E21" s="276"/>
      <c r="F21" s="265"/>
      <c r="G21" s="265"/>
      <c r="H21" s="432"/>
      <c r="I21" s="432"/>
      <c r="J21" s="283"/>
      <c r="K21" s="276"/>
      <c r="L21" s="417" t="str">
        <f t="shared" si="1"/>
        <v/>
      </c>
      <c r="M21" s="425"/>
      <c r="N21" s="426"/>
      <c r="O21" s="427"/>
      <c r="P21" s="425"/>
      <c r="Q21" s="425"/>
      <c r="R21" s="425"/>
      <c r="S21" s="421"/>
      <c r="T21" s="421"/>
      <c r="U21" s="421"/>
      <c r="V21" s="421"/>
      <c r="W21" s="421"/>
      <c r="X21" s="425"/>
      <c r="Y21" s="421"/>
      <c r="Z21" s="421"/>
      <c r="AA21" s="421"/>
      <c r="AB21" s="421"/>
      <c r="AC21" s="421"/>
      <c r="AD21" s="421"/>
      <c r="AE21" s="421"/>
      <c r="AF21" s="421"/>
      <c r="AG21" s="421"/>
      <c r="AH21" s="421"/>
      <c r="AI21" s="421"/>
      <c r="AJ21" s="421"/>
      <c r="AK21" s="421"/>
      <c r="AL21" s="421"/>
      <c r="AM21" s="421"/>
      <c r="AN21" s="421"/>
      <c r="AO21" s="421"/>
      <c r="AP21" s="421"/>
      <c r="AQ21" s="421"/>
      <c r="AR21" s="421"/>
      <c r="AS21" s="421"/>
      <c r="AT21" s="421"/>
      <c r="AU21" s="421"/>
      <c r="AV21" s="421"/>
      <c r="AW21" s="421"/>
      <c r="AX21" s="421"/>
      <c r="AY21" s="421"/>
      <c r="AZ21" s="421"/>
      <c r="BA21" s="421"/>
    </row>
    <row r="22">
      <c r="A22" s="421"/>
      <c r="B22" s="421"/>
      <c r="C22" s="268"/>
      <c r="D22" s="431"/>
      <c r="E22" s="276"/>
      <c r="F22" s="265"/>
      <c r="G22" s="265"/>
      <c r="H22" s="432"/>
      <c r="I22" s="432"/>
      <c r="J22" s="283"/>
      <c r="K22" s="276"/>
      <c r="L22" s="417" t="str">
        <f t="shared" si="1"/>
        <v/>
      </c>
      <c r="M22" s="425"/>
      <c r="N22" s="426"/>
      <c r="O22" s="427"/>
      <c r="P22" s="425"/>
      <c r="Q22" s="425"/>
      <c r="R22" s="425"/>
      <c r="S22" s="421"/>
      <c r="T22" s="421"/>
      <c r="U22" s="421"/>
      <c r="V22" s="421"/>
      <c r="W22" s="421"/>
      <c r="X22" s="425"/>
      <c r="Y22" s="421"/>
      <c r="Z22" s="421"/>
      <c r="AA22" s="421"/>
      <c r="AB22" s="421"/>
      <c r="AC22" s="421"/>
      <c r="AD22" s="421"/>
      <c r="AE22" s="421"/>
      <c r="AF22" s="421"/>
      <c r="AG22" s="421"/>
      <c r="AH22" s="421"/>
      <c r="AI22" s="421"/>
      <c r="AJ22" s="421"/>
      <c r="AK22" s="421"/>
      <c r="AL22" s="421"/>
      <c r="AM22" s="421"/>
      <c r="AN22" s="421"/>
      <c r="AO22" s="421"/>
      <c r="AP22" s="421"/>
      <c r="AQ22" s="421"/>
      <c r="AR22" s="421"/>
      <c r="AS22" s="421"/>
      <c r="AT22" s="421"/>
      <c r="AU22" s="421"/>
      <c r="AV22" s="421"/>
      <c r="AW22" s="421"/>
      <c r="AX22" s="421"/>
      <c r="AY22" s="421"/>
      <c r="AZ22" s="421"/>
      <c r="BA22" s="421"/>
    </row>
    <row r="23">
      <c r="A23" s="421"/>
      <c r="B23" s="421"/>
      <c r="C23" s="268"/>
      <c r="D23" s="431"/>
      <c r="E23" s="276"/>
      <c r="F23" s="265"/>
      <c r="G23" s="265"/>
      <c r="H23" s="432"/>
      <c r="I23" s="432"/>
      <c r="J23" s="283"/>
      <c r="K23" s="276"/>
      <c r="L23" s="417" t="str">
        <f t="shared" si="1"/>
        <v/>
      </c>
      <c r="M23" s="425"/>
      <c r="N23" s="426"/>
      <c r="O23" s="427"/>
      <c r="P23" s="425"/>
      <c r="Q23" s="425"/>
      <c r="R23" s="425"/>
      <c r="S23" s="421"/>
      <c r="T23" s="421"/>
      <c r="U23" s="421"/>
      <c r="V23" s="421"/>
      <c r="W23" s="421"/>
      <c r="X23" s="425"/>
      <c r="Y23" s="421"/>
      <c r="Z23" s="421"/>
      <c r="AA23" s="421"/>
      <c r="AB23" s="421"/>
      <c r="AC23" s="421"/>
      <c r="AD23" s="421"/>
      <c r="AE23" s="421"/>
      <c r="AF23" s="421"/>
      <c r="AG23" s="421"/>
      <c r="AH23" s="421"/>
      <c r="AI23" s="421"/>
      <c r="AJ23" s="421"/>
      <c r="AK23" s="421"/>
      <c r="AL23" s="421"/>
      <c r="AM23" s="421"/>
      <c r="AN23" s="421"/>
      <c r="AO23" s="421"/>
      <c r="AP23" s="421"/>
      <c r="AQ23" s="421"/>
      <c r="AR23" s="421"/>
      <c r="AS23" s="421"/>
      <c r="AT23" s="421"/>
      <c r="AU23" s="421"/>
      <c r="AV23" s="421"/>
      <c r="AW23" s="421"/>
      <c r="AX23" s="421"/>
      <c r="AY23" s="421"/>
      <c r="AZ23" s="421"/>
      <c r="BA23" s="421"/>
    </row>
    <row r="24">
      <c r="A24" s="421"/>
      <c r="B24" s="421"/>
      <c r="C24" s="268"/>
      <c r="D24" s="431"/>
      <c r="E24" s="276"/>
      <c r="F24" s="265"/>
      <c r="G24" s="265"/>
      <c r="H24" s="432"/>
      <c r="I24" s="432"/>
      <c r="J24" s="283"/>
      <c r="K24" s="276"/>
      <c r="L24" s="417" t="str">
        <f t="shared" si="1"/>
        <v/>
      </c>
      <c r="M24" s="425"/>
      <c r="N24" s="426"/>
      <c r="O24" s="427"/>
      <c r="P24" s="425"/>
      <c r="Q24" s="425"/>
      <c r="R24" s="425"/>
      <c r="S24" s="421"/>
      <c r="T24" s="421"/>
      <c r="U24" s="421"/>
      <c r="V24" s="421"/>
      <c r="W24" s="421"/>
      <c r="X24" s="425"/>
      <c r="Y24" s="421"/>
      <c r="Z24" s="421"/>
      <c r="AA24" s="421"/>
      <c r="AB24" s="421"/>
      <c r="AC24" s="421"/>
      <c r="AD24" s="421"/>
      <c r="AE24" s="421"/>
      <c r="AF24" s="421"/>
      <c r="AG24" s="421"/>
      <c r="AH24" s="421"/>
      <c r="AI24" s="421"/>
      <c r="AJ24" s="421"/>
      <c r="AK24" s="421"/>
      <c r="AL24" s="421"/>
      <c r="AM24" s="421"/>
      <c r="AN24" s="421"/>
      <c r="AO24" s="421"/>
      <c r="AP24" s="421"/>
      <c r="AQ24" s="421"/>
      <c r="AR24" s="421"/>
      <c r="AS24" s="421"/>
      <c r="AT24" s="421"/>
      <c r="AU24" s="421"/>
      <c r="AV24" s="421"/>
      <c r="AW24" s="421"/>
      <c r="AX24" s="421"/>
      <c r="AY24" s="421"/>
      <c r="AZ24" s="421"/>
      <c r="BA24" s="421"/>
    </row>
    <row r="25">
      <c r="A25" s="421"/>
      <c r="B25" s="421"/>
      <c r="C25" s="268"/>
      <c r="D25" s="431"/>
      <c r="E25" s="276"/>
      <c r="F25" s="265"/>
      <c r="G25" s="265"/>
      <c r="H25" s="432"/>
      <c r="I25" s="432"/>
      <c r="J25" s="283"/>
      <c r="K25" s="276"/>
      <c r="L25" s="417" t="str">
        <f t="shared" si="1"/>
        <v/>
      </c>
      <c r="M25" s="425"/>
      <c r="N25" s="426"/>
      <c r="O25" s="427"/>
      <c r="P25" s="425"/>
      <c r="Q25" s="425"/>
      <c r="R25" s="425"/>
      <c r="S25" s="421"/>
      <c r="T25" s="421"/>
      <c r="U25" s="421"/>
      <c r="V25" s="421"/>
      <c r="W25" s="421"/>
      <c r="X25" s="425"/>
      <c r="Y25" s="421"/>
      <c r="Z25" s="421"/>
      <c r="AA25" s="421"/>
      <c r="AB25" s="421"/>
      <c r="AC25" s="421"/>
      <c r="AD25" s="421"/>
      <c r="AE25" s="421"/>
      <c r="AF25" s="421"/>
      <c r="AG25" s="421"/>
      <c r="AH25" s="421"/>
      <c r="AI25" s="421"/>
      <c r="AJ25" s="421"/>
      <c r="AK25" s="421"/>
      <c r="AL25" s="421"/>
      <c r="AM25" s="421"/>
      <c r="AN25" s="421"/>
      <c r="AO25" s="421"/>
      <c r="AP25" s="421"/>
      <c r="AQ25" s="421"/>
      <c r="AR25" s="421"/>
      <c r="AS25" s="421"/>
      <c r="AT25" s="421"/>
      <c r="AU25" s="421"/>
      <c r="AV25" s="421"/>
      <c r="AW25" s="421"/>
      <c r="AX25" s="421"/>
      <c r="AY25" s="421"/>
      <c r="AZ25" s="421"/>
      <c r="BA25" s="421"/>
    </row>
    <row r="26">
      <c r="A26" s="421"/>
      <c r="B26" s="421"/>
      <c r="C26" s="268"/>
      <c r="D26" s="431"/>
      <c r="E26" s="276"/>
      <c r="F26" s="265"/>
      <c r="G26" s="265"/>
      <c r="H26" s="432"/>
      <c r="I26" s="432"/>
      <c r="J26" s="283"/>
      <c r="K26" s="276"/>
      <c r="L26" s="417" t="str">
        <f t="shared" si="1"/>
        <v/>
      </c>
      <c r="M26" s="425"/>
      <c r="N26" s="426"/>
      <c r="O26" s="427"/>
      <c r="P26" s="425"/>
      <c r="Q26" s="425"/>
      <c r="R26" s="425"/>
      <c r="S26" s="421"/>
      <c r="T26" s="421"/>
      <c r="U26" s="421"/>
      <c r="V26" s="421"/>
      <c r="W26" s="421"/>
      <c r="X26" s="425"/>
      <c r="Y26" s="421"/>
      <c r="Z26" s="421"/>
      <c r="AA26" s="421"/>
      <c r="AB26" s="421"/>
      <c r="AC26" s="421"/>
      <c r="AD26" s="421"/>
      <c r="AE26" s="421"/>
      <c r="AF26" s="421"/>
      <c r="AG26" s="421"/>
      <c r="AH26" s="421"/>
      <c r="AI26" s="421"/>
      <c r="AJ26" s="421"/>
      <c r="AK26" s="421"/>
      <c r="AL26" s="421"/>
      <c r="AM26" s="421"/>
      <c r="AN26" s="421"/>
      <c r="AO26" s="421"/>
      <c r="AP26" s="421"/>
      <c r="AQ26" s="421"/>
      <c r="AR26" s="421"/>
      <c r="AS26" s="421"/>
      <c r="AT26" s="421"/>
      <c r="AU26" s="421"/>
      <c r="AV26" s="421"/>
      <c r="AW26" s="421"/>
      <c r="AX26" s="421"/>
      <c r="AY26" s="421"/>
      <c r="AZ26" s="421"/>
      <c r="BA26" s="421"/>
    </row>
    <row r="27">
      <c r="A27" s="421"/>
      <c r="B27" s="421"/>
      <c r="C27" s="268"/>
      <c r="D27" s="431"/>
      <c r="E27" s="276"/>
      <c r="F27" s="265"/>
      <c r="G27" s="265"/>
      <c r="H27" s="432"/>
      <c r="I27" s="432"/>
      <c r="J27" s="283"/>
      <c r="K27" s="276"/>
      <c r="L27" s="417" t="str">
        <f t="shared" si="1"/>
        <v/>
      </c>
      <c r="M27" s="425"/>
      <c r="N27" s="426"/>
      <c r="O27" s="427"/>
      <c r="P27" s="425"/>
      <c r="Q27" s="425"/>
      <c r="R27" s="425"/>
      <c r="S27" s="421"/>
      <c r="T27" s="421"/>
      <c r="U27" s="421"/>
      <c r="V27" s="421"/>
      <c r="W27" s="421"/>
      <c r="X27" s="425"/>
      <c r="Y27" s="421"/>
      <c r="Z27" s="421"/>
      <c r="AA27" s="421"/>
      <c r="AB27" s="421"/>
      <c r="AC27" s="421"/>
      <c r="AD27" s="421"/>
      <c r="AE27" s="421"/>
      <c r="AF27" s="421"/>
      <c r="AG27" s="421"/>
      <c r="AH27" s="421"/>
      <c r="AI27" s="421"/>
      <c r="AJ27" s="421"/>
      <c r="AK27" s="421"/>
      <c r="AL27" s="421"/>
      <c r="AM27" s="421"/>
      <c r="AN27" s="421"/>
      <c r="AO27" s="421"/>
      <c r="AP27" s="421"/>
      <c r="AQ27" s="421"/>
      <c r="AR27" s="421"/>
      <c r="AS27" s="421"/>
      <c r="AT27" s="421"/>
      <c r="AU27" s="421"/>
      <c r="AV27" s="421"/>
      <c r="AW27" s="421"/>
      <c r="AX27" s="421"/>
      <c r="AY27" s="421"/>
      <c r="AZ27" s="421"/>
      <c r="BA27" s="421"/>
    </row>
    <row r="28">
      <c r="A28" s="421"/>
      <c r="B28" s="421"/>
      <c r="C28" s="268"/>
      <c r="D28" s="431"/>
      <c r="E28" s="276"/>
      <c r="F28" s="265"/>
      <c r="G28" s="265"/>
      <c r="H28" s="432"/>
      <c r="I28" s="432"/>
      <c r="J28" s="283"/>
      <c r="K28" s="276"/>
      <c r="L28" s="417" t="str">
        <f t="shared" si="1"/>
        <v/>
      </c>
      <c r="M28" s="425"/>
      <c r="N28" s="426"/>
      <c r="O28" s="427"/>
      <c r="P28" s="425"/>
      <c r="Q28" s="425"/>
      <c r="R28" s="425"/>
      <c r="S28" s="421"/>
      <c r="T28" s="421"/>
      <c r="U28" s="421"/>
      <c r="V28" s="421"/>
      <c r="W28" s="421"/>
      <c r="X28" s="425"/>
      <c r="Y28" s="421"/>
      <c r="Z28" s="421"/>
      <c r="AA28" s="421"/>
      <c r="AB28" s="421"/>
      <c r="AC28" s="421"/>
      <c r="AD28" s="421"/>
      <c r="AE28" s="421"/>
      <c r="AF28" s="421"/>
      <c r="AG28" s="421"/>
      <c r="AH28" s="421"/>
      <c r="AI28" s="421"/>
      <c r="AJ28" s="421"/>
      <c r="AK28" s="421"/>
      <c r="AL28" s="421"/>
      <c r="AM28" s="421"/>
      <c r="AN28" s="421"/>
      <c r="AO28" s="421"/>
      <c r="AP28" s="421"/>
      <c r="AQ28" s="421"/>
      <c r="AR28" s="421"/>
      <c r="AS28" s="421"/>
      <c r="AT28" s="421"/>
      <c r="AU28" s="421"/>
      <c r="AV28" s="421"/>
      <c r="AW28" s="421"/>
      <c r="AX28" s="421"/>
      <c r="AY28" s="421"/>
      <c r="AZ28" s="421"/>
      <c r="BA28" s="421"/>
    </row>
    <row r="29">
      <c r="A29" s="421"/>
      <c r="B29" s="421"/>
      <c r="C29" s="268"/>
      <c r="D29" s="431"/>
      <c r="E29" s="276"/>
      <c r="F29" s="265"/>
      <c r="G29" s="265"/>
      <c r="H29" s="432"/>
      <c r="I29" s="432"/>
      <c r="J29" s="283"/>
      <c r="K29" s="276"/>
      <c r="L29" s="417" t="str">
        <f t="shared" si="1"/>
        <v/>
      </c>
      <c r="M29" s="425"/>
      <c r="N29" s="426"/>
      <c r="O29" s="427"/>
      <c r="P29" s="425"/>
      <c r="Q29" s="425"/>
      <c r="R29" s="425"/>
      <c r="S29" s="421"/>
      <c r="T29" s="421"/>
      <c r="U29" s="421"/>
      <c r="V29" s="421"/>
      <c r="W29" s="421"/>
      <c r="X29" s="425"/>
      <c r="Y29" s="421"/>
      <c r="Z29" s="421"/>
      <c r="AA29" s="421"/>
      <c r="AB29" s="421"/>
      <c r="AC29" s="421"/>
      <c r="AD29" s="421"/>
      <c r="AE29" s="421"/>
      <c r="AF29" s="421"/>
      <c r="AG29" s="421"/>
      <c r="AH29" s="421"/>
      <c r="AI29" s="421"/>
      <c r="AJ29" s="421"/>
      <c r="AK29" s="421"/>
      <c r="AL29" s="421"/>
      <c r="AM29" s="421"/>
      <c r="AN29" s="421"/>
      <c r="AO29" s="421"/>
      <c r="AP29" s="421"/>
      <c r="AQ29" s="421"/>
      <c r="AR29" s="421"/>
      <c r="AS29" s="421"/>
      <c r="AT29" s="421"/>
      <c r="AU29" s="421"/>
      <c r="AV29" s="421"/>
      <c r="AW29" s="421"/>
      <c r="AX29" s="421"/>
      <c r="AY29" s="421"/>
      <c r="AZ29" s="421"/>
      <c r="BA29" s="421"/>
    </row>
    <row r="30">
      <c r="A30" s="421"/>
      <c r="B30" s="421"/>
      <c r="C30" s="268"/>
      <c r="D30" s="431"/>
      <c r="E30" s="276"/>
      <c r="F30" s="265"/>
      <c r="G30" s="265"/>
      <c r="H30" s="432"/>
      <c r="I30" s="432"/>
      <c r="J30" s="283"/>
      <c r="K30" s="276"/>
      <c r="L30" s="417" t="str">
        <f t="shared" si="1"/>
        <v/>
      </c>
      <c r="M30" s="425"/>
      <c r="N30" s="426"/>
      <c r="O30" s="427"/>
      <c r="P30" s="425"/>
      <c r="Q30" s="425"/>
      <c r="R30" s="425"/>
      <c r="S30" s="421"/>
      <c r="T30" s="421"/>
      <c r="U30" s="421"/>
      <c r="V30" s="421"/>
      <c r="W30" s="421"/>
      <c r="X30" s="425"/>
      <c r="Y30" s="421"/>
      <c r="Z30" s="421"/>
      <c r="AA30" s="421"/>
      <c r="AB30" s="421"/>
      <c r="AC30" s="421"/>
      <c r="AD30" s="421"/>
      <c r="AE30" s="421"/>
      <c r="AF30" s="421"/>
      <c r="AG30" s="421"/>
      <c r="AH30" s="421"/>
      <c r="AI30" s="421"/>
      <c r="AJ30" s="421"/>
      <c r="AK30" s="421"/>
      <c r="AL30" s="421"/>
      <c r="AM30" s="421"/>
      <c r="AN30" s="421"/>
      <c r="AO30" s="421"/>
      <c r="AP30" s="421"/>
      <c r="AQ30" s="421"/>
      <c r="AR30" s="421"/>
      <c r="AS30" s="421"/>
      <c r="AT30" s="421"/>
      <c r="AU30" s="421"/>
      <c r="AV30" s="421"/>
      <c r="AW30" s="421"/>
      <c r="AX30" s="421"/>
      <c r="AY30" s="421"/>
      <c r="AZ30" s="421"/>
      <c r="BA30" s="421"/>
    </row>
    <row r="31">
      <c r="A31" s="421"/>
      <c r="B31" s="421"/>
      <c r="C31" s="268"/>
      <c r="D31" s="431"/>
      <c r="E31" s="276"/>
      <c r="F31" s="265"/>
      <c r="G31" s="265"/>
      <c r="H31" s="432"/>
      <c r="I31" s="432"/>
      <c r="J31" s="283"/>
      <c r="K31" s="276"/>
      <c r="L31" s="417" t="str">
        <f t="shared" si="1"/>
        <v/>
      </c>
      <c r="M31" s="425"/>
      <c r="N31" s="426"/>
      <c r="O31" s="427"/>
      <c r="P31" s="425"/>
      <c r="Q31" s="425"/>
      <c r="R31" s="425"/>
      <c r="S31" s="421"/>
      <c r="T31" s="421"/>
      <c r="U31" s="421"/>
      <c r="V31" s="421"/>
      <c r="W31" s="421"/>
      <c r="X31" s="425"/>
      <c r="Y31" s="421"/>
      <c r="Z31" s="421"/>
      <c r="AA31" s="421"/>
      <c r="AB31" s="421"/>
      <c r="AC31" s="421"/>
      <c r="AD31" s="421"/>
      <c r="AE31" s="421"/>
      <c r="AF31" s="421"/>
      <c r="AG31" s="421"/>
      <c r="AH31" s="421"/>
      <c r="AI31" s="421"/>
      <c r="AJ31" s="421"/>
      <c r="AK31" s="421"/>
      <c r="AL31" s="421"/>
      <c r="AM31" s="421"/>
      <c r="AN31" s="421"/>
      <c r="AO31" s="421"/>
      <c r="AP31" s="421"/>
      <c r="AQ31" s="421"/>
      <c r="AR31" s="421"/>
      <c r="AS31" s="421"/>
      <c r="AT31" s="421"/>
      <c r="AU31" s="421"/>
      <c r="AV31" s="421"/>
      <c r="AW31" s="421"/>
      <c r="AX31" s="421"/>
      <c r="AY31" s="421"/>
      <c r="AZ31" s="421"/>
      <c r="BA31" s="421"/>
    </row>
    <row r="32">
      <c r="A32" s="421"/>
      <c r="B32" s="421"/>
      <c r="C32" s="268"/>
      <c r="D32" s="431"/>
      <c r="E32" s="276"/>
      <c r="F32" s="265"/>
      <c r="G32" s="265"/>
      <c r="H32" s="432"/>
      <c r="I32" s="432"/>
      <c r="J32" s="283"/>
      <c r="K32" s="276"/>
      <c r="L32" s="417" t="str">
        <f t="shared" si="1"/>
        <v/>
      </c>
      <c r="M32" s="425"/>
      <c r="N32" s="426"/>
      <c r="O32" s="427"/>
      <c r="P32" s="425"/>
      <c r="Q32" s="425"/>
      <c r="R32" s="425"/>
      <c r="S32" s="421"/>
      <c r="T32" s="421"/>
      <c r="U32" s="421"/>
      <c r="V32" s="421"/>
      <c r="W32" s="421"/>
      <c r="X32" s="425"/>
      <c r="Y32" s="421"/>
      <c r="Z32" s="421"/>
      <c r="AA32" s="421"/>
      <c r="AB32" s="421"/>
      <c r="AC32" s="421"/>
      <c r="AD32" s="421"/>
      <c r="AE32" s="421"/>
      <c r="AF32" s="421"/>
      <c r="AG32" s="421"/>
      <c r="AH32" s="421"/>
      <c r="AI32" s="421"/>
      <c r="AJ32" s="421"/>
      <c r="AK32" s="421"/>
      <c r="AL32" s="421"/>
      <c r="AM32" s="421"/>
      <c r="AN32" s="421"/>
      <c r="AO32" s="421"/>
      <c r="AP32" s="421"/>
      <c r="AQ32" s="421"/>
      <c r="AR32" s="421"/>
      <c r="AS32" s="421"/>
      <c r="AT32" s="421"/>
      <c r="AU32" s="421"/>
      <c r="AV32" s="421"/>
      <c r="AW32" s="421"/>
      <c r="AX32" s="421"/>
      <c r="AY32" s="421"/>
      <c r="AZ32" s="421"/>
      <c r="BA32" s="421"/>
    </row>
    <row r="33">
      <c r="A33" s="421"/>
      <c r="B33" s="421"/>
      <c r="C33" s="268"/>
      <c r="D33" s="431"/>
      <c r="E33" s="276"/>
      <c r="F33" s="265"/>
      <c r="G33" s="265"/>
      <c r="H33" s="432"/>
      <c r="I33" s="432"/>
      <c r="J33" s="283"/>
      <c r="K33" s="276"/>
      <c r="L33" s="417" t="str">
        <f t="shared" si="1"/>
        <v/>
      </c>
      <c r="M33" s="425"/>
      <c r="N33" s="426"/>
      <c r="O33" s="427"/>
      <c r="P33" s="425"/>
      <c r="Q33" s="425"/>
      <c r="R33" s="425"/>
      <c r="S33" s="421"/>
      <c r="T33" s="421"/>
      <c r="U33" s="421"/>
      <c r="V33" s="421"/>
      <c r="W33" s="421"/>
      <c r="X33" s="425"/>
      <c r="Y33" s="421"/>
      <c r="Z33" s="421"/>
      <c r="AA33" s="421"/>
      <c r="AB33" s="421"/>
      <c r="AC33" s="421"/>
      <c r="AD33" s="421"/>
      <c r="AE33" s="421"/>
      <c r="AF33" s="421"/>
      <c r="AG33" s="421"/>
      <c r="AH33" s="421"/>
      <c r="AI33" s="421"/>
      <c r="AJ33" s="421"/>
      <c r="AK33" s="421"/>
      <c r="AL33" s="421"/>
      <c r="AM33" s="421"/>
      <c r="AN33" s="421"/>
      <c r="AO33" s="421"/>
      <c r="AP33" s="421"/>
      <c r="AQ33" s="421"/>
      <c r="AR33" s="421"/>
      <c r="AS33" s="421"/>
      <c r="AT33" s="421"/>
      <c r="AU33" s="421"/>
      <c r="AV33" s="421"/>
      <c r="AW33" s="421"/>
      <c r="AX33" s="421"/>
      <c r="AY33" s="421"/>
      <c r="AZ33" s="421"/>
      <c r="BA33" s="421"/>
    </row>
    <row r="34">
      <c r="A34" s="421"/>
      <c r="B34" s="421"/>
      <c r="C34" s="268"/>
      <c r="D34" s="431"/>
      <c r="E34" s="276"/>
      <c r="F34" s="265"/>
      <c r="G34" s="265"/>
      <c r="H34" s="432"/>
      <c r="I34" s="432"/>
      <c r="J34" s="283"/>
      <c r="K34" s="276"/>
      <c r="L34" s="417" t="str">
        <f t="shared" si="1"/>
        <v/>
      </c>
      <c r="M34" s="425"/>
      <c r="N34" s="426"/>
      <c r="O34" s="427"/>
      <c r="P34" s="425"/>
      <c r="Q34" s="425"/>
      <c r="R34" s="425"/>
      <c r="S34" s="421"/>
      <c r="T34" s="421"/>
      <c r="U34" s="421"/>
      <c r="V34" s="421"/>
      <c r="W34" s="421"/>
      <c r="X34" s="425"/>
      <c r="Y34" s="421"/>
      <c r="Z34" s="421"/>
      <c r="AA34" s="421"/>
      <c r="AB34" s="421"/>
      <c r="AC34" s="421"/>
      <c r="AD34" s="421"/>
      <c r="AE34" s="421"/>
      <c r="AF34" s="421"/>
      <c r="AG34" s="421"/>
      <c r="AH34" s="421"/>
      <c r="AI34" s="421"/>
      <c r="AJ34" s="421"/>
      <c r="AK34" s="421"/>
      <c r="AL34" s="421"/>
      <c r="AM34" s="421"/>
      <c r="AN34" s="421"/>
      <c r="AO34" s="421"/>
      <c r="AP34" s="421"/>
      <c r="AQ34" s="421"/>
      <c r="AR34" s="421"/>
      <c r="AS34" s="421"/>
      <c r="AT34" s="421"/>
      <c r="AU34" s="421"/>
      <c r="AV34" s="421"/>
      <c r="AW34" s="421"/>
      <c r="AX34" s="421"/>
      <c r="AY34" s="421"/>
      <c r="AZ34" s="421"/>
      <c r="BA34" s="421"/>
    </row>
    <row r="35">
      <c r="A35" s="421"/>
      <c r="B35" s="421"/>
      <c r="C35" s="268"/>
      <c r="D35" s="431"/>
      <c r="E35" s="276"/>
      <c r="F35" s="265"/>
      <c r="G35" s="265"/>
      <c r="H35" s="432"/>
      <c r="I35" s="432"/>
      <c r="J35" s="283"/>
      <c r="K35" s="276"/>
      <c r="L35" s="417" t="str">
        <f t="shared" si="1"/>
        <v/>
      </c>
      <c r="M35" s="425"/>
      <c r="N35" s="426"/>
      <c r="O35" s="427"/>
      <c r="P35" s="425"/>
      <c r="Q35" s="425"/>
      <c r="R35" s="425"/>
      <c r="S35" s="421"/>
      <c r="T35" s="421"/>
      <c r="U35" s="421"/>
      <c r="V35" s="421"/>
      <c r="W35" s="421"/>
      <c r="X35" s="425"/>
      <c r="Y35" s="421"/>
      <c r="Z35" s="421"/>
      <c r="AA35" s="421"/>
      <c r="AB35" s="421"/>
      <c r="AC35" s="421"/>
      <c r="AD35" s="421"/>
      <c r="AE35" s="421"/>
      <c r="AF35" s="421"/>
      <c r="AG35" s="421"/>
      <c r="AH35" s="421"/>
      <c r="AI35" s="421"/>
      <c r="AJ35" s="421"/>
      <c r="AK35" s="421"/>
      <c r="AL35" s="421"/>
      <c r="AM35" s="421"/>
      <c r="AN35" s="421"/>
      <c r="AO35" s="421"/>
      <c r="AP35" s="421"/>
      <c r="AQ35" s="421"/>
      <c r="AR35" s="421"/>
      <c r="AS35" s="421"/>
      <c r="AT35" s="421"/>
      <c r="AU35" s="421"/>
      <c r="AV35" s="421"/>
      <c r="AW35" s="421"/>
      <c r="AX35" s="421"/>
      <c r="AY35" s="421"/>
      <c r="AZ35" s="421"/>
      <c r="BA35" s="421"/>
    </row>
    <row r="36">
      <c r="A36" s="421"/>
      <c r="B36" s="421"/>
      <c r="C36" s="268"/>
      <c r="D36" s="431"/>
      <c r="E36" s="276"/>
      <c r="F36" s="265"/>
      <c r="G36" s="265"/>
      <c r="H36" s="432"/>
      <c r="I36" s="432"/>
      <c r="J36" s="283"/>
      <c r="K36" s="276"/>
      <c r="L36" s="417" t="str">
        <f t="shared" si="1"/>
        <v/>
      </c>
      <c r="M36" s="425"/>
      <c r="N36" s="426"/>
      <c r="O36" s="427"/>
      <c r="P36" s="425"/>
      <c r="Q36" s="425"/>
      <c r="R36" s="425"/>
      <c r="S36" s="421"/>
      <c r="T36" s="421"/>
      <c r="U36" s="421"/>
      <c r="V36" s="421"/>
      <c r="W36" s="421"/>
      <c r="X36" s="425"/>
      <c r="Y36" s="421"/>
      <c r="Z36" s="421"/>
      <c r="AA36" s="421"/>
      <c r="AB36" s="421"/>
      <c r="AC36" s="421"/>
      <c r="AD36" s="421"/>
      <c r="AE36" s="421"/>
      <c r="AF36" s="421"/>
      <c r="AG36" s="421"/>
      <c r="AH36" s="421"/>
      <c r="AI36" s="421"/>
      <c r="AJ36" s="421"/>
      <c r="AK36" s="421"/>
      <c r="AL36" s="421"/>
      <c r="AM36" s="421"/>
      <c r="AN36" s="421"/>
      <c r="AO36" s="421"/>
      <c r="AP36" s="421"/>
      <c r="AQ36" s="421"/>
      <c r="AR36" s="421"/>
      <c r="AS36" s="421"/>
      <c r="AT36" s="421"/>
      <c r="AU36" s="421"/>
      <c r="AV36" s="421"/>
      <c r="AW36" s="421"/>
      <c r="AX36" s="421"/>
      <c r="AY36" s="421"/>
      <c r="AZ36" s="421"/>
      <c r="BA36" s="421"/>
    </row>
    <row r="37">
      <c r="A37" s="421"/>
      <c r="B37" s="421"/>
      <c r="C37" s="268"/>
      <c r="D37" s="431"/>
      <c r="E37" s="276"/>
      <c r="F37" s="265"/>
      <c r="G37" s="265"/>
      <c r="H37" s="432"/>
      <c r="I37" s="432"/>
      <c r="J37" s="283"/>
      <c r="K37" s="276"/>
      <c r="L37" s="417" t="str">
        <f t="shared" si="1"/>
        <v/>
      </c>
      <c r="M37" s="425"/>
      <c r="N37" s="426"/>
      <c r="O37" s="427"/>
      <c r="P37" s="425"/>
      <c r="Q37" s="425"/>
      <c r="R37" s="425"/>
      <c r="S37" s="421"/>
      <c r="T37" s="421"/>
      <c r="U37" s="421"/>
      <c r="V37" s="421"/>
      <c r="W37" s="421"/>
      <c r="X37" s="425"/>
      <c r="Y37" s="421"/>
      <c r="Z37" s="421"/>
      <c r="AA37" s="421"/>
      <c r="AB37" s="421"/>
      <c r="AC37" s="421"/>
      <c r="AD37" s="421"/>
      <c r="AE37" s="421"/>
      <c r="AF37" s="421"/>
      <c r="AG37" s="421"/>
      <c r="AH37" s="421"/>
      <c r="AI37" s="421"/>
      <c r="AJ37" s="421"/>
      <c r="AK37" s="421"/>
      <c r="AL37" s="421"/>
      <c r="AM37" s="421"/>
      <c r="AN37" s="421"/>
      <c r="AO37" s="421"/>
      <c r="AP37" s="421"/>
      <c r="AQ37" s="421"/>
      <c r="AR37" s="421"/>
      <c r="AS37" s="421"/>
      <c r="AT37" s="421"/>
      <c r="AU37" s="421"/>
      <c r="AV37" s="421"/>
      <c r="AW37" s="421"/>
      <c r="AX37" s="421"/>
      <c r="AY37" s="421"/>
      <c r="AZ37" s="421"/>
      <c r="BA37" s="421"/>
    </row>
    <row r="38">
      <c r="A38" s="421"/>
      <c r="B38" s="421"/>
      <c r="C38" s="268"/>
      <c r="D38" s="431"/>
      <c r="E38" s="276"/>
      <c r="F38" s="265"/>
      <c r="G38" s="265"/>
      <c r="H38" s="432"/>
      <c r="I38" s="432"/>
      <c r="J38" s="283"/>
      <c r="K38" s="276"/>
      <c r="L38" s="417" t="str">
        <f t="shared" si="1"/>
        <v/>
      </c>
      <c r="M38" s="425"/>
      <c r="N38" s="426"/>
      <c r="O38" s="427"/>
      <c r="P38" s="425"/>
      <c r="Q38" s="425"/>
      <c r="R38" s="425"/>
      <c r="S38" s="421"/>
      <c r="T38" s="421"/>
      <c r="U38" s="421"/>
      <c r="V38" s="421"/>
      <c r="W38" s="421"/>
      <c r="X38" s="425"/>
      <c r="Y38" s="421"/>
      <c r="Z38" s="421"/>
      <c r="AA38" s="421"/>
      <c r="AB38" s="421"/>
      <c r="AC38" s="421"/>
      <c r="AD38" s="421"/>
      <c r="AE38" s="421"/>
      <c r="AF38" s="421"/>
      <c r="AG38" s="421"/>
      <c r="AH38" s="421"/>
      <c r="AI38" s="421"/>
      <c r="AJ38" s="421"/>
      <c r="AK38" s="421"/>
      <c r="AL38" s="421"/>
      <c r="AM38" s="421"/>
      <c r="AN38" s="421"/>
      <c r="AO38" s="421"/>
      <c r="AP38" s="421"/>
      <c r="AQ38" s="421"/>
      <c r="AR38" s="421"/>
      <c r="AS38" s="421"/>
      <c r="AT38" s="421"/>
      <c r="AU38" s="421"/>
      <c r="AV38" s="421"/>
      <c r="AW38" s="421"/>
      <c r="AX38" s="421"/>
      <c r="AY38" s="421"/>
      <c r="AZ38" s="421"/>
      <c r="BA38" s="421"/>
    </row>
    <row r="39">
      <c r="A39" s="421"/>
      <c r="B39" s="421"/>
      <c r="C39" s="268"/>
      <c r="D39" s="431"/>
      <c r="E39" s="276"/>
      <c r="F39" s="265"/>
      <c r="G39" s="265"/>
      <c r="H39" s="432"/>
      <c r="I39" s="432"/>
      <c r="J39" s="283"/>
      <c r="K39" s="276"/>
      <c r="L39" s="417" t="str">
        <f t="shared" si="1"/>
        <v/>
      </c>
      <c r="M39" s="425"/>
      <c r="N39" s="426"/>
      <c r="O39" s="427"/>
      <c r="P39" s="425"/>
      <c r="Q39" s="425"/>
      <c r="R39" s="425"/>
      <c r="S39" s="421"/>
      <c r="T39" s="421"/>
      <c r="U39" s="421"/>
      <c r="V39" s="421"/>
      <c r="W39" s="421"/>
      <c r="X39" s="425"/>
      <c r="Y39" s="421"/>
      <c r="Z39" s="421"/>
      <c r="AA39" s="421"/>
      <c r="AB39" s="421"/>
      <c r="AC39" s="421"/>
      <c r="AD39" s="421"/>
      <c r="AE39" s="421"/>
      <c r="AF39" s="421"/>
      <c r="AG39" s="421"/>
      <c r="AH39" s="421"/>
      <c r="AI39" s="421"/>
      <c r="AJ39" s="421"/>
      <c r="AK39" s="421"/>
      <c r="AL39" s="421"/>
      <c r="AM39" s="421"/>
      <c r="AN39" s="421"/>
      <c r="AO39" s="421"/>
      <c r="AP39" s="421"/>
      <c r="AQ39" s="421"/>
      <c r="AR39" s="421"/>
      <c r="AS39" s="421"/>
      <c r="AT39" s="421"/>
      <c r="AU39" s="421"/>
      <c r="AV39" s="421"/>
      <c r="AW39" s="421"/>
      <c r="AX39" s="421"/>
      <c r="AY39" s="421"/>
      <c r="AZ39" s="421"/>
      <c r="BA39" s="421"/>
    </row>
    <row r="40">
      <c r="A40" s="421"/>
      <c r="B40" s="421"/>
      <c r="C40" s="268"/>
      <c r="D40" s="431"/>
      <c r="E40" s="276"/>
      <c r="F40" s="265"/>
      <c r="G40" s="265"/>
      <c r="H40" s="432"/>
      <c r="I40" s="432"/>
      <c r="J40" s="283"/>
      <c r="K40" s="276"/>
      <c r="L40" s="417" t="str">
        <f t="shared" si="1"/>
        <v/>
      </c>
      <c r="M40" s="425"/>
      <c r="N40" s="426"/>
      <c r="O40" s="427"/>
      <c r="P40" s="425"/>
      <c r="Q40" s="425"/>
      <c r="R40" s="425"/>
      <c r="S40" s="421"/>
      <c r="T40" s="421"/>
      <c r="U40" s="421"/>
      <c r="V40" s="421"/>
      <c r="W40" s="421"/>
      <c r="X40" s="425"/>
      <c r="Y40" s="421"/>
      <c r="Z40" s="421"/>
      <c r="AA40" s="421"/>
      <c r="AB40" s="421"/>
      <c r="AC40" s="421"/>
      <c r="AD40" s="421"/>
      <c r="AE40" s="421"/>
      <c r="AF40" s="421"/>
      <c r="AG40" s="421"/>
      <c r="AH40" s="421"/>
      <c r="AI40" s="421"/>
      <c r="AJ40" s="421"/>
      <c r="AK40" s="421"/>
      <c r="AL40" s="421"/>
      <c r="AM40" s="421"/>
      <c r="AN40" s="421"/>
      <c r="AO40" s="421"/>
      <c r="AP40" s="421"/>
      <c r="AQ40" s="421"/>
      <c r="AR40" s="421"/>
      <c r="AS40" s="421"/>
      <c r="AT40" s="421"/>
      <c r="AU40" s="421"/>
      <c r="AV40" s="421"/>
      <c r="AW40" s="421"/>
      <c r="AX40" s="421"/>
      <c r="AY40" s="421"/>
      <c r="AZ40" s="421"/>
      <c r="BA40" s="421"/>
    </row>
    <row r="41">
      <c r="A41" s="421"/>
      <c r="B41" s="421"/>
      <c r="C41" s="268"/>
      <c r="D41" s="431"/>
      <c r="E41" s="276"/>
      <c r="F41" s="265"/>
      <c r="G41" s="265"/>
      <c r="H41" s="432"/>
      <c r="I41" s="432"/>
      <c r="J41" s="283"/>
      <c r="K41" s="276"/>
      <c r="L41" s="417" t="str">
        <f t="shared" si="1"/>
        <v/>
      </c>
      <c r="M41" s="425"/>
      <c r="N41" s="426"/>
      <c r="O41" s="427"/>
      <c r="P41" s="425"/>
      <c r="Q41" s="425"/>
      <c r="R41" s="425"/>
      <c r="S41" s="421"/>
      <c r="T41" s="421"/>
      <c r="U41" s="421"/>
      <c r="V41" s="421"/>
      <c r="W41" s="421"/>
      <c r="X41" s="425"/>
      <c r="Y41" s="421"/>
      <c r="Z41" s="421"/>
      <c r="AA41" s="421"/>
      <c r="AB41" s="421"/>
      <c r="AC41" s="421"/>
      <c r="AD41" s="421"/>
      <c r="AE41" s="421"/>
      <c r="AF41" s="421"/>
      <c r="AG41" s="421"/>
      <c r="AH41" s="421"/>
      <c r="AI41" s="421"/>
      <c r="AJ41" s="421"/>
      <c r="AK41" s="421"/>
      <c r="AL41" s="421"/>
      <c r="AM41" s="421"/>
      <c r="AN41" s="421"/>
      <c r="AO41" s="421"/>
      <c r="AP41" s="421"/>
      <c r="AQ41" s="421"/>
      <c r="AR41" s="421"/>
      <c r="AS41" s="421"/>
      <c r="AT41" s="421"/>
      <c r="AU41" s="421"/>
      <c r="AV41" s="421"/>
      <c r="AW41" s="421"/>
      <c r="AX41" s="421"/>
      <c r="AY41" s="421"/>
      <c r="AZ41" s="421"/>
      <c r="BA41" s="421"/>
    </row>
    <row r="42">
      <c r="A42" s="421"/>
      <c r="B42" s="421"/>
      <c r="C42" s="268"/>
      <c r="D42" s="431"/>
      <c r="E42" s="276"/>
      <c r="F42" s="265"/>
      <c r="G42" s="265"/>
      <c r="H42" s="432"/>
      <c r="I42" s="432"/>
      <c r="J42" s="283"/>
      <c r="K42" s="276"/>
      <c r="L42" s="417" t="str">
        <f t="shared" si="1"/>
        <v/>
      </c>
      <c r="M42" s="425"/>
      <c r="N42" s="426"/>
      <c r="O42" s="427"/>
      <c r="P42" s="425"/>
      <c r="Q42" s="425"/>
      <c r="R42" s="425"/>
      <c r="S42" s="421"/>
      <c r="T42" s="421"/>
      <c r="U42" s="421"/>
      <c r="V42" s="421"/>
      <c r="W42" s="421"/>
      <c r="X42" s="425"/>
      <c r="Y42" s="421"/>
      <c r="Z42" s="421"/>
      <c r="AA42" s="421"/>
      <c r="AB42" s="421"/>
      <c r="AC42" s="421"/>
      <c r="AD42" s="421"/>
      <c r="AE42" s="421"/>
      <c r="AF42" s="421"/>
      <c r="AG42" s="421"/>
      <c r="AH42" s="421"/>
      <c r="AI42" s="421"/>
      <c r="AJ42" s="421"/>
      <c r="AK42" s="421"/>
      <c r="AL42" s="421"/>
      <c r="AM42" s="421"/>
      <c r="AN42" s="421"/>
      <c r="AO42" s="421"/>
      <c r="AP42" s="421"/>
      <c r="AQ42" s="421"/>
      <c r="AR42" s="421"/>
      <c r="AS42" s="421"/>
      <c r="AT42" s="421"/>
      <c r="AU42" s="421"/>
      <c r="AV42" s="421"/>
      <c r="AW42" s="421"/>
      <c r="AX42" s="421"/>
      <c r="AY42" s="421"/>
      <c r="AZ42" s="421"/>
      <c r="BA42" s="421"/>
    </row>
    <row r="43">
      <c r="A43" s="421"/>
      <c r="B43" s="421"/>
      <c r="C43" s="268"/>
      <c r="D43" s="431"/>
      <c r="E43" s="276"/>
      <c r="F43" s="265"/>
      <c r="G43" s="265"/>
      <c r="H43" s="432"/>
      <c r="I43" s="432"/>
      <c r="J43" s="283"/>
      <c r="K43" s="276"/>
      <c r="L43" s="417" t="str">
        <f t="shared" si="1"/>
        <v/>
      </c>
      <c r="M43" s="425"/>
      <c r="N43" s="426"/>
      <c r="O43" s="427"/>
      <c r="P43" s="425"/>
      <c r="Q43" s="425"/>
      <c r="R43" s="425"/>
      <c r="S43" s="421"/>
      <c r="T43" s="421"/>
      <c r="U43" s="421"/>
      <c r="V43" s="421"/>
      <c r="W43" s="421"/>
      <c r="X43" s="425"/>
      <c r="Y43" s="421"/>
      <c r="Z43" s="421"/>
      <c r="AA43" s="421"/>
      <c r="AB43" s="421"/>
      <c r="AC43" s="421"/>
      <c r="AD43" s="421"/>
      <c r="AE43" s="421"/>
      <c r="AF43" s="421"/>
      <c r="AG43" s="421"/>
      <c r="AH43" s="421"/>
      <c r="AI43" s="421"/>
      <c r="AJ43" s="421"/>
      <c r="AK43" s="421"/>
      <c r="AL43" s="421"/>
      <c r="AM43" s="421"/>
      <c r="AN43" s="421"/>
      <c r="AO43" s="421"/>
      <c r="AP43" s="421"/>
      <c r="AQ43" s="421"/>
      <c r="AR43" s="421"/>
      <c r="AS43" s="421"/>
      <c r="AT43" s="421"/>
      <c r="AU43" s="421"/>
      <c r="AV43" s="421"/>
      <c r="AW43" s="421"/>
      <c r="AX43" s="421"/>
      <c r="AY43" s="421"/>
      <c r="AZ43" s="421"/>
      <c r="BA43" s="421"/>
    </row>
    <row r="44">
      <c r="A44" s="421"/>
      <c r="B44" s="421"/>
      <c r="C44" s="268"/>
      <c r="D44" s="431"/>
      <c r="E44" s="276"/>
      <c r="F44" s="265"/>
      <c r="G44" s="265"/>
      <c r="H44" s="432"/>
      <c r="I44" s="432"/>
      <c r="J44" s="283"/>
      <c r="K44" s="276"/>
      <c r="L44" s="417" t="str">
        <f t="shared" si="1"/>
        <v/>
      </c>
      <c r="M44" s="425"/>
      <c r="N44" s="426"/>
      <c r="O44" s="427"/>
      <c r="P44" s="425"/>
      <c r="Q44" s="425"/>
      <c r="R44" s="425"/>
      <c r="S44" s="421"/>
      <c r="T44" s="421"/>
      <c r="U44" s="421"/>
      <c r="V44" s="421"/>
      <c r="W44" s="421"/>
      <c r="X44" s="425"/>
      <c r="Y44" s="421"/>
      <c r="Z44" s="421"/>
      <c r="AA44" s="421"/>
      <c r="AB44" s="421"/>
      <c r="AC44" s="421"/>
      <c r="AD44" s="421"/>
      <c r="AE44" s="421"/>
      <c r="AF44" s="421"/>
      <c r="AG44" s="421"/>
      <c r="AH44" s="421"/>
      <c r="AI44" s="421"/>
      <c r="AJ44" s="421"/>
      <c r="AK44" s="421"/>
      <c r="AL44" s="421"/>
      <c r="AM44" s="421"/>
      <c r="AN44" s="421"/>
      <c r="AO44" s="421"/>
      <c r="AP44" s="421"/>
      <c r="AQ44" s="421"/>
      <c r="AR44" s="421"/>
      <c r="AS44" s="421"/>
      <c r="AT44" s="421"/>
      <c r="AU44" s="421"/>
      <c r="AV44" s="421"/>
      <c r="AW44" s="421"/>
      <c r="AX44" s="421"/>
      <c r="AY44" s="421"/>
      <c r="AZ44" s="421"/>
      <c r="BA44" s="421"/>
    </row>
    <row r="45">
      <c r="A45" s="421"/>
      <c r="B45" s="421"/>
      <c r="C45" s="268"/>
      <c r="D45" s="431"/>
      <c r="E45" s="276"/>
      <c r="F45" s="265"/>
      <c r="G45" s="265"/>
      <c r="H45" s="432"/>
      <c r="I45" s="432"/>
      <c r="J45" s="283"/>
      <c r="K45" s="276"/>
      <c r="L45" s="417" t="str">
        <f t="shared" si="1"/>
        <v/>
      </c>
      <c r="M45" s="425"/>
      <c r="N45" s="426"/>
      <c r="O45" s="427"/>
      <c r="P45" s="425"/>
      <c r="Q45" s="425"/>
      <c r="R45" s="425"/>
      <c r="S45" s="421"/>
      <c r="T45" s="421"/>
      <c r="U45" s="421"/>
      <c r="V45" s="421"/>
      <c r="W45" s="421"/>
      <c r="X45" s="425"/>
      <c r="Y45" s="421"/>
      <c r="Z45" s="421"/>
      <c r="AA45" s="421"/>
      <c r="AB45" s="421"/>
      <c r="AC45" s="421"/>
      <c r="AD45" s="421"/>
      <c r="AE45" s="421"/>
      <c r="AF45" s="421"/>
      <c r="AG45" s="421"/>
      <c r="AH45" s="421"/>
      <c r="AI45" s="421"/>
      <c r="AJ45" s="421"/>
      <c r="AK45" s="421"/>
      <c r="AL45" s="421"/>
      <c r="AM45" s="421"/>
      <c r="AN45" s="421"/>
      <c r="AO45" s="421"/>
      <c r="AP45" s="421"/>
      <c r="AQ45" s="421"/>
      <c r="AR45" s="421"/>
      <c r="AS45" s="421"/>
      <c r="AT45" s="421"/>
      <c r="AU45" s="421"/>
      <c r="AV45" s="421"/>
      <c r="AW45" s="421"/>
      <c r="AX45" s="421"/>
      <c r="AY45" s="421"/>
      <c r="AZ45" s="421"/>
      <c r="BA45" s="421"/>
    </row>
    <row r="46">
      <c r="A46" s="421"/>
      <c r="B46" s="421"/>
      <c r="C46" s="268"/>
      <c r="D46" s="431"/>
      <c r="E46" s="276"/>
      <c r="F46" s="265"/>
      <c r="G46" s="265"/>
      <c r="H46" s="432"/>
      <c r="I46" s="432"/>
      <c r="J46" s="283"/>
      <c r="K46" s="276"/>
      <c r="L46" s="417" t="str">
        <f t="shared" si="1"/>
        <v/>
      </c>
      <c r="M46" s="425"/>
      <c r="N46" s="426"/>
      <c r="O46" s="427"/>
      <c r="P46" s="425"/>
      <c r="Q46" s="425"/>
      <c r="R46" s="425"/>
      <c r="S46" s="421"/>
      <c r="T46" s="421"/>
      <c r="U46" s="421"/>
      <c r="V46" s="421"/>
      <c r="W46" s="421"/>
      <c r="X46" s="425"/>
      <c r="Y46" s="421"/>
      <c r="Z46" s="421"/>
      <c r="AA46" s="421"/>
      <c r="AB46" s="421"/>
      <c r="AC46" s="421"/>
      <c r="AD46" s="421"/>
      <c r="AE46" s="421"/>
      <c r="AF46" s="421"/>
      <c r="AG46" s="421"/>
      <c r="AH46" s="421"/>
      <c r="AI46" s="421"/>
      <c r="AJ46" s="421"/>
      <c r="AK46" s="421"/>
      <c r="AL46" s="421"/>
      <c r="AM46" s="421"/>
      <c r="AN46" s="421"/>
      <c r="AO46" s="421"/>
      <c r="AP46" s="421"/>
      <c r="AQ46" s="421"/>
      <c r="AR46" s="421"/>
      <c r="AS46" s="421"/>
      <c r="AT46" s="421"/>
      <c r="AU46" s="421"/>
      <c r="AV46" s="421"/>
      <c r="AW46" s="421"/>
      <c r="AX46" s="421"/>
      <c r="AY46" s="421"/>
      <c r="AZ46" s="421"/>
      <c r="BA46" s="421"/>
    </row>
    <row r="47">
      <c r="A47" s="421"/>
      <c r="B47" s="421"/>
      <c r="C47" s="268"/>
      <c r="D47" s="431"/>
      <c r="E47" s="276"/>
      <c r="F47" s="265"/>
      <c r="G47" s="265"/>
      <c r="H47" s="432"/>
      <c r="I47" s="432"/>
      <c r="J47" s="283"/>
      <c r="K47" s="276"/>
      <c r="L47" s="417" t="str">
        <f t="shared" si="1"/>
        <v/>
      </c>
      <c r="M47" s="425"/>
      <c r="N47" s="426"/>
      <c r="O47" s="427"/>
      <c r="P47" s="425"/>
      <c r="Q47" s="425"/>
      <c r="R47" s="425"/>
      <c r="S47" s="421"/>
      <c r="T47" s="421"/>
      <c r="U47" s="421"/>
      <c r="V47" s="421"/>
      <c r="W47" s="421"/>
      <c r="X47" s="425"/>
      <c r="Y47" s="421"/>
      <c r="Z47" s="421"/>
      <c r="AA47" s="421"/>
      <c r="AB47" s="421"/>
      <c r="AC47" s="421"/>
      <c r="AD47" s="421"/>
      <c r="AE47" s="421"/>
      <c r="AF47" s="421"/>
      <c r="AG47" s="421"/>
      <c r="AH47" s="421"/>
      <c r="AI47" s="421"/>
      <c r="AJ47" s="421"/>
      <c r="AK47" s="421"/>
      <c r="AL47" s="421"/>
      <c r="AM47" s="421"/>
      <c r="AN47" s="421"/>
      <c r="AO47" s="421"/>
      <c r="AP47" s="421"/>
      <c r="AQ47" s="421"/>
      <c r="AR47" s="421"/>
      <c r="AS47" s="421"/>
      <c r="AT47" s="421"/>
      <c r="AU47" s="421"/>
      <c r="AV47" s="421"/>
      <c r="AW47" s="421"/>
      <c r="AX47" s="421"/>
      <c r="AY47" s="421"/>
      <c r="AZ47" s="421"/>
      <c r="BA47" s="421"/>
    </row>
    <row r="48">
      <c r="A48" s="421"/>
      <c r="B48" s="421"/>
      <c r="C48" s="268"/>
      <c r="D48" s="431"/>
      <c r="E48" s="276"/>
      <c r="F48" s="265"/>
      <c r="G48" s="265"/>
      <c r="H48" s="432"/>
      <c r="I48" s="432"/>
      <c r="J48" s="283"/>
      <c r="K48" s="276"/>
      <c r="L48" s="417" t="str">
        <f t="shared" si="1"/>
        <v/>
      </c>
      <c r="M48" s="425"/>
      <c r="N48" s="426"/>
      <c r="O48" s="427"/>
      <c r="P48" s="425"/>
      <c r="Q48" s="425"/>
      <c r="R48" s="425"/>
      <c r="S48" s="421"/>
      <c r="T48" s="421"/>
      <c r="U48" s="421"/>
      <c r="V48" s="421"/>
      <c r="W48" s="421"/>
      <c r="X48" s="425"/>
      <c r="Y48" s="421"/>
      <c r="Z48" s="421"/>
      <c r="AA48" s="421"/>
      <c r="AB48" s="421"/>
      <c r="AC48" s="421"/>
      <c r="AD48" s="421"/>
      <c r="AE48" s="421"/>
      <c r="AF48" s="421"/>
      <c r="AG48" s="421"/>
      <c r="AH48" s="421"/>
      <c r="AI48" s="421"/>
      <c r="AJ48" s="421"/>
      <c r="AK48" s="421"/>
      <c r="AL48" s="421"/>
      <c r="AM48" s="421"/>
      <c r="AN48" s="421"/>
      <c r="AO48" s="421"/>
      <c r="AP48" s="421"/>
      <c r="AQ48" s="421"/>
      <c r="AR48" s="421"/>
      <c r="AS48" s="421"/>
      <c r="AT48" s="421"/>
      <c r="AU48" s="421"/>
      <c r="AV48" s="421"/>
      <c r="AW48" s="421"/>
      <c r="AX48" s="421"/>
      <c r="AY48" s="421"/>
      <c r="AZ48" s="421"/>
      <c r="BA48" s="421"/>
    </row>
    <row r="49">
      <c r="A49" s="421"/>
      <c r="B49" s="421"/>
      <c r="C49" s="268"/>
      <c r="D49" s="431"/>
      <c r="E49" s="276"/>
      <c r="F49" s="265"/>
      <c r="G49" s="265"/>
      <c r="H49" s="432"/>
      <c r="I49" s="432"/>
      <c r="J49" s="283"/>
      <c r="K49" s="276"/>
      <c r="L49" s="417" t="str">
        <f t="shared" si="1"/>
        <v/>
      </c>
      <c r="M49" s="425"/>
      <c r="N49" s="426"/>
      <c r="O49" s="427"/>
      <c r="P49" s="425"/>
      <c r="Q49" s="425"/>
      <c r="R49" s="425"/>
      <c r="S49" s="421"/>
      <c r="T49" s="421"/>
      <c r="U49" s="421"/>
      <c r="V49" s="421"/>
      <c r="W49" s="421"/>
      <c r="X49" s="425"/>
      <c r="Y49" s="421"/>
      <c r="Z49" s="421"/>
      <c r="AA49" s="421"/>
      <c r="AB49" s="421"/>
      <c r="AC49" s="421"/>
      <c r="AD49" s="421"/>
      <c r="AE49" s="421"/>
      <c r="AF49" s="421"/>
      <c r="AG49" s="421"/>
      <c r="AH49" s="421"/>
      <c r="AI49" s="421"/>
      <c r="AJ49" s="421"/>
      <c r="AK49" s="421"/>
      <c r="AL49" s="421"/>
      <c r="AM49" s="421"/>
      <c r="AN49" s="421"/>
      <c r="AO49" s="421"/>
      <c r="AP49" s="421"/>
      <c r="AQ49" s="421"/>
      <c r="AR49" s="421"/>
      <c r="AS49" s="421"/>
      <c r="AT49" s="421"/>
      <c r="AU49" s="421"/>
      <c r="AV49" s="421"/>
      <c r="AW49" s="421"/>
      <c r="AX49" s="421"/>
      <c r="AY49" s="421"/>
      <c r="AZ49" s="421"/>
      <c r="BA49" s="421"/>
    </row>
    <row r="50">
      <c r="A50" s="421"/>
      <c r="B50" s="421"/>
      <c r="C50" s="268"/>
      <c r="D50" s="431"/>
      <c r="E50" s="276"/>
      <c r="F50" s="265"/>
      <c r="G50" s="265"/>
      <c r="H50" s="432"/>
      <c r="I50" s="432"/>
      <c r="J50" s="283"/>
      <c r="K50" s="276"/>
      <c r="L50" s="417" t="str">
        <f t="shared" si="1"/>
        <v/>
      </c>
      <c r="M50" s="425"/>
      <c r="N50" s="426"/>
      <c r="O50" s="427"/>
      <c r="P50" s="425"/>
      <c r="Q50" s="425"/>
      <c r="R50" s="425"/>
      <c r="S50" s="421"/>
      <c r="T50" s="421"/>
      <c r="U50" s="421"/>
      <c r="V50" s="421"/>
      <c r="W50" s="421"/>
      <c r="X50" s="425"/>
      <c r="Y50" s="421"/>
      <c r="Z50" s="421"/>
      <c r="AA50" s="421"/>
      <c r="AB50" s="421"/>
      <c r="AC50" s="421"/>
      <c r="AD50" s="421"/>
      <c r="AE50" s="421"/>
      <c r="AF50" s="421"/>
      <c r="AG50" s="421"/>
      <c r="AH50" s="421"/>
      <c r="AI50" s="421"/>
      <c r="AJ50" s="421"/>
      <c r="AK50" s="421"/>
      <c r="AL50" s="421"/>
      <c r="AM50" s="421"/>
      <c r="AN50" s="421"/>
      <c r="AO50" s="421"/>
      <c r="AP50" s="421"/>
      <c r="AQ50" s="421"/>
      <c r="AR50" s="421"/>
      <c r="AS50" s="421"/>
      <c r="AT50" s="421"/>
      <c r="AU50" s="421"/>
      <c r="AV50" s="421"/>
      <c r="AW50" s="421"/>
      <c r="AX50" s="421"/>
      <c r="AY50" s="421"/>
      <c r="AZ50" s="421"/>
      <c r="BA50" s="421"/>
    </row>
    <row r="51">
      <c r="A51" s="421"/>
      <c r="B51" s="421"/>
      <c r="C51" s="268"/>
      <c r="D51" s="431"/>
      <c r="E51" s="276"/>
      <c r="F51" s="265"/>
      <c r="G51" s="265"/>
      <c r="H51" s="432"/>
      <c r="I51" s="432"/>
      <c r="J51" s="283"/>
      <c r="K51" s="276"/>
      <c r="L51" s="417" t="str">
        <f t="shared" si="1"/>
        <v/>
      </c>
      <c r="M51" s="425"/>
      <c r="N51" s="426"/>
      <c r="O51" s="427"/>
      <c r="P51" s="425"/>
      <c r="Q51" s="425"/>
      <c r="R51" s="425"/>
      <c r="S51" s="421"/>
      <c r="T51" s="421"/>
      <c r="U51" s="421"/>
      <c r="V51" s="421"/>
      <c r="W51" s="421"/>
      <c r="X51" s="425"/>
      <c r="Y51" s="421"/>
      <c r="Z51" s="421"/>
      <c r="AA51" s="421"/>
      <c r="AB51" s="421"/>
      <c r="AC51" s="421"/>
      <c r="AD51" s="421"/>
      <c r="AE51" s="421"/>
      <c r="AF51" s="421"/>
      <c r="AG51" s="421"/>
      <c r="AH51" s="421"/>
      <c r="AI51" s="421"/>
      <c r="AJ51" s="421"/>
      <c r="AK51" s="421"/>
      <c r="AL51" s="421"/>
      <c r="AM51" s="421"/>
      <c r="AN51" s="421"/>
      <c r="AO51" s="421"/>
      <c r="AP51" s="421"/>
      <c r="AQ51" s="421"/>
      <c r="AR51" s="421"/>
      <c r="AS51" s="421"/>
      <c r="AT51" s="421"/>
      <c r="AU51" s="421"/>
      <c r="AV51" s="421"/>
      <c r="AW51" s="421"/>
      <c r="AX51" s="421"/>
      <c r="AY51" s="421"/>
      <c r="AZ51" s="421"/>
      <c r="BA51" s="421"/>
    </row>
    <row r="52">
      <c r="A52" s="421"/>
      <c r="B52" s="421"/>
      <c r="C52" s="268"/>
      <c r="D52" s="431"/>
      <c r="E52" s="276"/>
      <c r="F52" s="265"/>
      <c r="G52" s="265"/>
      <c r="H52" s="432"/>
      <c r="I52" s="432"/>
      <c r="J52" s="283"/>
      <c r="K52" s="276"/>
      <c r="L52" s="417" t="str">
        <f t="shared" si="1"/>
        <v/>
      </c>
      <c r="M52" s="425"/>
      <c r="N52" s="426"/>
      <c r="O52" s="427"/>
      <c r="P52" s="425"/>
      <c r="Q52" s="425"/>
      <c r="R52" s="425"/>
      <c r="S52" s="421"/>
      <c r="T52" s="421"/>
      <c r="U52" s="421"/>
      <c r="V52" s="421"/>
      <c r="W52" s="421"/>
      <c r="X52" s="425"/>
      <c r="Y52" s="421"/>
      <c r="Z52" s="421"/>
      <c r="AA52" s="421"/>
      <c r="AB52" s="421"/>
      <c r="AC52" s="421"/>
      <c r="AD52" s="421"/>
      <c r="AE52" s="421"/>
      <c r="AF52" s="421"/>
      <c r="AG52" s="421"/>
      <c r="AH52" s="421"/>
      <c r="AI52" s="421"/>
      <c r="AJ52" s="421"/>
      <c r="AK52" s="421"/>
      <c r="AL52" s="421"/>
      <c r="AM52" s="421"/>
      <c r="AN52" s="421"/>
      <c r="AO52" s="421"/>
      <c r="AP52" s="421"/>
      <c r="AQ52" s="421"/>
      <c r="AR52" s="421"/>
      <c r="AS52" s="421"/>
      <c r="AT52" s="421"/>
      <c r="AU52" s="421"/>
      <c r="AV52" s="421"/>
      <c r="AW52" s="421"/>
      <c r="AX52" s="421"/>
      <c r="AY52" s="421"/>
      <c r="AZ52" s="421"/>
      <c r="BA52" s="421"/>
    </row>
    <row r="53">
      <c r="A53" s="421"/>
      <c r="B53" s="421"/>
      <c r="C53" s="268"/>
      <c r="D53" s="431"/>
      <c r="E53" s="276"/>
      <c r="F53" s="265"/>
      <c r="G53" s="265"/>
      <c r="H53" s="432"/>
      <c r="I53" s="432"/>
      <c r="J53" s="283"/>
      <c r="K53" s="276"/>
      <c r="L53" s="417" t="str">
        <f t="shared" si="1"/>
        <v/>
      </c>
      <c r="M53" s="425"/>
      <c r="N53" s="426"/>
      <c r="O53" s="427"/>
      <c r="P53" s="425"/>
      <c r="Q53" s="425"/>
      <c r="R53" s="425"/>
      <c r="S53" s="421"/>
      <c r="T53" s="421"/>
      <c r="U53" s="421"/>
      <c r="V53" s="421"/>
      <c r="W53" s="421"/>
      <c r="X53" s="425"/>
      <c r="Y53" s="421"/>
      <c r="Z53" s="421"/>
      <c r="AA53" s="421"/>
      <c r="AB53" s="421"/>
      <c r="AC53" s="421"/>
      <c r="AD53" s="421"/>
      <c r="AE53" s="421"/>
      <c r="AF53" s="421"/>
      <c r="AG53" s="421"/>
      <c r="AH53" s="421"/>
      <c r="AI53" s="421"/>
      <c r="AJ53" s="421"/>
      <c r="AK53" s="421"/>
      <c r="AL53" s="421"/>
      <c r="AM53" s="421"/>
      <c r="AN53" s="421"/>
      <c r="AO53" s="421"/>
      <c r="AP53" s="421"/>
      <c r="AQ53" s="421"/>
      <c r="AR53" s="421"/>
      <c r="AS53" s="421"/>
      <c r="AT53" s="421"/>
      <c r="AU53" s="421"/>
      <c r="AV53" s="421"/>
      <c r="AW53" s="421"/>
      <c r="AX53" s="421"/>
      <c r="AY53" s="421"/>
      <c r="AZ53" s="421"/>
      <c r="BA53" s="421"/>
    </row>
    <row r="54">
      <c r="A54" s="421"/>
      <c r="B54" s="421"/>
      <c r="C54" s="268"/>
      <c r="D54" s="431"/>
      <c r="E54" s="276"/>
      <c r="F54" s="265"/>
      <c r="G54" s="265"/>
      <c r="H54" s="432"/>
      <c r="I54" s="432"/>
      <c r="J54" s="283"/>
      <c r="K54" s="276"/>
      <c r="L54" s="417" t="str">
        <f t="shared" si="1"/>
        <v/>
      </c>
      <c r="M54" s="425"/>
      <c r="N54" s="426"/>
      <c r="O54" s="427"/>
      <c r="P54" s="425"/>
      <c r="Q54" s="425"/>
      <c r="R54" s="425"/>
      <c r="S54" s="421"/>
      <c r="T54" s="421"/>
      <c r="U54" s="421"/>
      <c r="V54" s="421"/>
      <c r="W54" s="421"/>
      <c r="X54" s="425"/>
      <c r="Y54" s="421"/>
      <c r="Z54" s="421"/>
      <c r="AA54" s="421"/>
      <c r="AB54" s="421"/>
      <c r="AC54" s="421"/>
      <c r="AD54" s="421"/>
      <c r="AE54" s="421"/>
      <c r="AF54" s="421"/>
      <c r="AG54" s="421"/>
      <c r="AH54" s="421"/>
      <c r="AI54" s="421"/>
      <c r="AJ54" s="421"/>
      <c r="AK54" s="421"/>
      <c r="AL54" s="421"/>
      <c r="AM54" s="421"/>
      <c r="AN54" s="421"/>
      <c r="AO54" s="421"/>
      <c r="AP54" s="421"/>
      <c r="AQ54" s="421"/>
      <c r="AR54" s="421"/>
      <c r="AS54" s="421"/>
      <c r="AT54" s="421"/>
      <c r="AU54" s="421"/>
      <c r="AV54" s="421"/>
      <c r="AW54" s="421"/>
      <c r="AX54" s="421"/>
      <c r="AY54" s="421"/>
      <c r="AZ54" s="421"/>
      <c r="BA54" s="421"/>
    </row>
    <row r="55">
      <c r="A55" s="421"/>
      <c r="B55" s="421"/>
      <c r="C55" s="268"/>
      <c r="D55" s="431"/>
      <c r="E55" s="276"/>
      <c r="F55" s="265"/>
      <c r="G55" s="265"/>
      <c r="H55" s="432"/>
      <c r="I55" s="432"/>
      <c r="J55" s="283"/>
      <c r="K55" s="276"/>
      <c r="L55" s="417" t="str">
        <f t="shared" si="1"/>
        <v/>
      </c>
      <c r="M55" s="425"/>
      <c r="N55" s="426"/>
      <c r="O55" s="427"/>
      <c r="P55" s="425"/>
      <c r="Q55" s="425"/>
      <c r="R55" s="425"/>
      <c r="S55" s="421"/>
      <c r="T55" s="421"/>
      <c r="U55" s="421"/>
      <c r="V55" s="421"/>
      <c r="W55" s="421"/>
      <c r="X55" s="425"/>
      <c r="Y55" s="421"/>
      <c r="Z55" s="421"/>
      <c r="AA55" s="421"/>
      <c r="AB55" s="421"/>
      <c r="AC55" s="421"/>
      <c r="AD55" s="421"/>
      <c r="AE55" s="421"/>
      <c r="AF55" s="421"/>
      <c r="AG55" s="421"/>
      <c r="AH55" s="421"/>
      <c r="AI55" s="421"/>
      <c r="AJ55" s="421"/>
      <c r="AK55" s="421"/>
      <c r="AL55" s="421"/>
      <c r="AM55" s="421"/>
      <c r="AN55" s="421"/>
      <c r="AO55" s="421"/>
      <c r="AP55" s="421"/>
      <c r="AQ55" s="421"/>
      <c r="AR55" s="421"/>
      <c r="AS55" s="421"/>
      <c r="AT55" s="421"/>
      <c r="AU55" s="421"/>
      <c r="AV55" s="421"/>
      <c r="AW55" s="421"/>
      <c r="AX55" s="421"/>
      <c r="AY55" s="421"/>
      <c r="AZ55" s="421"/>
      <c r="BA55" s="421"/>
    </row>
    <row r="56">
      <c r="A56" s="421"/>
      <c r="B56" s="421"/>
      <c r="C56" s="268"/>
      <c r="D56" s="431"/>
      <c r="E56" s="276"/>
      <c r="F56" s="265"/>
      <c r="G56" s="265"/>
      <c r="H56" s="432"/>
      <c r="I56" s="432"/>
      <c r="J56" s="283"/>
      <c r="K56" s="276"/>
      <c r="L56" s="417" t="str">
        <f t="shared" si="1"/>
        <v/>
      </c>
      <c r="M56" s="425"/>
      <c r="N56" s="426"/>
      <c r="O56" s="427"/>
      <c r="P56" s="425"/>
      <c r="Q56" s="425"/>
      <c r="R56" s="425"/>
      <c r="S56" s="421"/>
      <c r="T56" s="421"/>
      <c r="U56" s="421"/>
      <c r="V56" s="421"/>
      <c r="W56" s="421"/>
      <c r="X56" s="425"/>
      <c r="Y56" s="421"/>
      <c r="Z56" s="421"/>
      <c r="AA56" s="421"/>
      <c r="AB56" s="421"/>
      <c r="AC56" s="421"/>
      <c r="AD56" s="421"/>
      <c r="AE56" s="421"/>
      <c r="AF56" s="421"/>
      <c r="AG56" s="421"/>
      <c r="AH56" s="421"/>
      <c r="AI56" s="421"/>
      <c r="AJ56" s="421"/>
      <c r="AK56" s="421"/>
      <c r="AL56" s="421"/>
      <c r="AM56" s="421"/>
      <c r="AN56" s="421"/>
      <c r="AO56" s="421"/>
      <c r="AP56" s="421"/>
      <c r="AQ56" s="421"/>
      <c r="AR56" s="421"/>
      <c r="AS56" s="421"/>
      <c r="AT56" s="421"/>
      <c r="AU56" s="421"/>
      <c r="AV56" s="421"/>
      <c r="AW56" s="421"/>
      <c r="AX56" s="421"/>
      <c r="AY56" s="421"/>
      <c r="AZ56" s="421"/>
      <c r="BA56" s="421"/>
    </row>
    <row r="57">
      <c r="A57" s="421"/>
      <c r="B57" s="421"/>
      <c r="C57" s="268"/>
      <c r="D57" s="431"/>
      <c r="E57" s="276"/>
      <c r="F57" s="265"/>
      <c r="G57" s="265"/>
      <c r="H57" s="432"/>
      <c r="I57" s="432"/>
      <c r="J57" s="283"/>
      <c r="K57" s="276"/>
      <c r="L57" s="417" t="str">
        <f t="shared" si="1"/>
        <v/>
      </c>
      <c r="M57" s="425"/>
      <c r="N57" s="426"/>
      <c r="O57" s="427"/>
      <c r="P57" s="425"/>
      <c r="Q57" s="425"/>
      <c r="R57" s="425"/>
      <c r="S57" s="421"/>
      <c r="T57" s="421"/>
      <c r="U57" s="421"/>
      <c r="V57" s="421"/>
      <c r="W57" s="421"/>
      <c r="X57" s="425"/>
      <c r="Y57" s="421"/>
      <c r="Z57" s="421"/>
      <c r="AA57" s="421"/>
      <c r="AB57" s="421"/>
      <c r="AC57" s="421"/>
      <c r="AD57" s="421"/>
      <c r="AE57" s="421"/>
      <c r="AF57" s="421"/>
      <c r="AG57" s="421"/>
      <c r="AH57" s="421"/>
      <c r="AI57" s="421"/>
      <c r="AJ57" s="421"/>
      <c r="AK57" s="421"/>
      <c r="AL57" s="421"/>
      <c r="AM57" s="421"/>
      <c r="AN57" s="421"/>
      <c r="AO57" s="421"/>
      <c r="AP57" s="421"/>
      <c r="AQ57" s="421"/>
      <c r="AR57" s="421"/>
      <c r="AS57" s="421"/>
      <c r="AT57" s="421"/>
      <c r="AU57" s="421"/>
      <c r="AV57" s="421"/>
      <c r="AW57" s="421"/>
      <c r="AX57" s="421"/>
      <c r="AY57" s="421"/>
      <c r="AZ57" s="421"/>
      <c r="BA57" s="421"/>
    </row>
    <row r="58">
      <c r="A58" s="421"/>
      <c r="B58" s="421"/>
      <c r="C58" s="268"/>
      <c r="D58" s="431"/>
      <c r="E58" s="276"/>
      <c r="F58" s="265"/>
      <c r="G58" s="265"/>
      <c r="H58" s="432"/>
      <c r="I58" s="432"/>
      <c r="J58" s="283"/>
      <c r="K58" s="276"/>
      <c r="L58" s="417" t="str">
        <f t="shared" si="1"/>
        <v/>
      </c>
      <c r="M58" s="425"/>
      <c r="N58" s="426"/>
      <c r="O58" s="427"/>
      <c r="P58" s="425"/>
      <c r="Q58" s="425"/>
      <c r="R58" s="425"/>
      <c r="S58" s="421"/>
      <c r="T58" s="421"/>
      <c r="U58" s="421"/>
      <c r="V58" s="421"/>
      <c r="W58" s="421"/>
      <c r="X58" s="425"/>
      <c r="Y58" s="421"/>
      <c r="Z58" s="421"/>
      <c r="AA58" s="421"/>
      <c r="AB58" s="421"/>
      <c r="AC58" s="421"/>
      <c r="AD58" s="421"/>
      <c r="AE58" s="421"/>
      <c r="AF58" s="421"/>
      <c r="AG58" s="421"/>
      <c r="AH58" s="421"/>
      <c r="AI58" s="421"/>
      <c r="AJ58" s="421"/>
      <c r="AK58" s="421"/>
      <c r="AL58" s="421"/>
      <c r="AM58" s="421"/>
      <c r="AN58" s="421"/>
      <c r="AO58" s="421"/>
      <c r="AP58" s="421"/>
      <c r="AQ58" s="421"/>
      <c r="AR58" s="421"/>
      <c r="AS58" s="421"/>
      <c r="AT58" s="421"/>
      <c r="AU58" s="421"/>
      <c r="AV58" s="421"/>
      <c r="AW58" s="421"/>
      <c r="AX58" s="421"/>
      <c r="AY58" s="421"/>
      <c r="AZ58" s="421"/>
      <c r="BA58" s="421"/>
    </row>
    <row r="59">
      <c r="A59" s="421"/>
      <c r="B59" s="421"/>
      <c r="C59" s="268"/>
      <c r="D59" s="431"/>
      <c r="E59" s="276"/>
      <c r="F59" s="265"/>
      <c r="G59" s="265"/>
      <c r="H59" s="432"/>
      <c r="I59" s="432"/>
      <c r="J59" s="283"/>
      <c r="K59" s="276"/>
      <c r="L59" s="417" t="str">
        <f t="shared" si="1"/>
        <v/>
      </c>
      <c r="M59" s="425"/>
      <c r="N59" s="426"/>
      <c r="O59" s="427"/>
      <c r="P59" s="425"/>
      <c r="Q59" s="425"/>
      <c r="R59" s="425"/>
      <c r="S59" s="421"/>
      <c r="T59" s="421"/>
      <c r="U59" s="421"/>
      <c r="V59" s="421"/>
      <c r="W59" s="421"/>
      <c r="X59" s="425"/>
      <c r="Y59" s="421"/>
      <c r="Z59" s="421"/>
      <c r="AA59" s="421"/>
      <c r="AB59" s="421"/>
      <c r="AC59" s="421"/>
      <c r="AD59" s="421"/>
      <c r="AE59" s="421"/>
      <c r="AF59" s="421"/>
      <c r="AG59" s="421"/>
      <c r="AH59" s="421"/>
      <c r="AI59" s="421"/>
      <c r="AJ59" s="421"/>
      <c r="AK59" s="421"/>
      <c r="AL59" s="421"/>
      <c r="AM59" s="421"/>
      <c r="AN59" s="421"/>
      <c r="AO59" s="421"/>
      <c r="AP59" s="421"/>
      <c r="AQ59" s="421"/>
      <c r="AR59" s="421"/>
      <c r="AS59" s="421"/>
      <c r="AT59" s="421"/>
      <c r="AU59" s="421"/>
      <c r="AV59" s="421"/>
      <c r="AW59" s="421"/>
      <c r="AX59" s="421"/>
      <c r="AY59" s="421"/>
      <c r="AZ59" s="421"/>
      <c r="BA59" s="421"/>
    </row>
    <row r="60">
      <c r="A60" s="421"/>
      <c r="B60" s="421"/>
      <c r="C60" s="268"/>
      <c r="D60" s="431"/>
      <c r="E60" s="276"/>
      <c r="F60" s="265"/>
      <c r="G60" s="265"/>
      <c r="H60" s="432"/>
      <c r="I60" s="432"/>
      <c r="J60" s="283"/>
      <c r="K60" s="276"/>
      <c r="L60" s="417" t="str">
        <f t="shared" si="1"/>
        <v/>
      </c>
      <c r="M60" s="425"/>
      <c r="N60" s="426"/>
      <c r="O60" s="427"/>
      <c r="P60" s="425"/>
      <c r="Q60" s="425"/>
      <c r="R60" s="425"/>
      <c r="S60" s="421"/>
      <c r="T60" s="421"/>
      <c r="U60" s="421"/>
      <c r="V60" s="421"/>
      <c r="W60" s="421"/>
      <c r="X60" s="425"/>
      <c r="Y60" s="421"/>
      <c r="Z60" s="421"/>
      <c r="AA60" s="421"/>
      <c r="AB60" s="421"/>
      <c r="AC60" s="421"/>
      <c r="AD60" s="421"/>
      <c r="AE60" s="421"/>
      <c r="AF60" s="421"/>
      <c r="AG60" s="421"/>
      <c r="AH60" s="421"/>
      <c r="AI60" s="421"/>
      <c r="AJ60" s="421"/>
      <c r="AK60" s="421"/>
      <c r="AL60" s="421"/>
      <c r="AM60" s="421"/>
      <c r="AN60" s="421"/>
      <c r="AO60" s="421"/>
      <c r="AP60" s="421"/>
      <c r="AQ60" s="421"/>
      <c r="AR60" s="421"/>
      <c r="AS60" s="421"/>
      <c r="AT60" s="421"/>
      <c r="AU60" s="421"/>
      <c r="AV60" s="421"/>
      <c r="AW60" s="421"/>
      <c r="AX60" s="421"/>
      <c r="AY60" s="421"/>
      <c r="AZ60" s="421"/>
      <c r="BA60" s="421"/>
    </row>
    <row r="61">
      <c r="A61" s="421"/>
      <c r="B61" s="421"/>
      <c r="C61" s="268"/>
      <c r="D61" s="431"/>
      <c r="E61" s="276"/>
      <c r="F61" s="265"/>
      <c r="G61" s="265"/>
      <c r="H61" s="432"/>
      <c r="I61" s="432"/>
      <c r="J61" s="283"/>
      <c r="K61" s="276"/>
      <c r="L61" s="417" t="str">
        <f t="shared" si="1"/>
        <v/>
      </c>
      <c r="M61" s="425"/>
      <c r="N61" s="426"/>
      <c r="O61" s="427"/>
      <c r="P61" s="425"/>
      <c r="Q61" s="425"/>
      <c r="R61" s="425"/>
      <c r="S61" s="421"/>
      <c r="T61" s="421"/>
      <c r="U61" s="421"/>
      <c r="V61" s="421"/>
      <c r="W61" s="421"/>
      <c r="X61" s="425"/>
      <c r="Y61" s="421"/>
      <c r="Z61" s="421"/>
      <c r="AA61" s="421"/>
      <c r="AB61" s="421"/>
      <c r="AC61" s="421"/>
      <c r="AD61" s="421"/>
      <c r="AE61" s="421"/>
      <c r="AF61" s="421"/>
      <c r="AG61" s="421"/>
      <c r="AH61" s="421"/>
      <c r="AI61" s="421"/>
      <c r="AJ61" s="421"/>
      <c r="AK61" s="421"/>
      <c r="AL61" s="421"/>
      <c r="AM61" s="421"/>
      <c r="AN61" s="421"/>
      <c r="AO61" s="421"/>
      <c r="AP61" s="421"/>
      <c r="AQ61" s="421"/>
      <c r="AR61" s="421"/>
      <c r="AS61" s="421"/>
      <c r="AT61" s="421"/>
      <c r="AU61" s="421"/>
      <c r="AV61" s="421"/>
      <c r="AW61" s="421"/>
      <c r="AX61" s="421"/>
      <c r="AY61" s="421"/>
      <c r="AZ61" s="421"/>
      <c r="BA61" s="421"/>
    </row>
    <row r="62">
      <c r="A62" s="421"/>
      <c r="B62" s="421"/>
      <c r="C62" s="268"/>
      <c r="D62" s="431"/>
      <c r="E62" s="276"/>
      <c r="F62" s="265"/>
      <c r="G62" s="265"/>
      <c r="H62" s="432"/>
      <c r="I62" s="432"/>
      <c r="J62" s="283"/>
      <c r="K62" s="276"/>
      <c r="L62" s="417" t="str">
        <f t="shared" si="1"/>
        <v/>
      </c>
      <c r="M62" s="425"/>
      <c r="N62" s="426"/>
      <c r="O62" s="427"/>
      <c r="P62" s="425"/>
      <c r="Q62" s="425"/>
      <c r="R62" s="425"/>
      <c r="S62" s="421"/>
      <c r="T62" s="421"/>
      <c r="U62" s="421"/>
      <c r="V62" s="421"/>
      <c r="W62" s="421"/>
      <c r="X62" s="425"/>
      <c r="Y62" s="421"/>
      <c r="Z62" s="421"/>
      <c r="AA62" s="421"/>
      <c r="AB62" s="421"/>
      <c r="AC62" s="421"/>
      <c r="AD62" s="421"/>
      <c r="AE62" s="421"/>
      <c r="AF62" s="421"/>
      <c r="AG62" s="421"/>
      <c r="AH62" s="421"/>
      <c r="AI62" s="421"/>
      <c r="AJ62" s="421"/>
      <c r="AK62" s="421"/>
      <c r="AL62" s="421"/>
      <c r="AM62" s="421"/>
      <c r="AN62" s="421"/>
      <c r="AO62" s="421"/>
      <c r="AP62" s="421"/>
      <c r="AQ62" s="421"/>
      <c r="AR62" s="421"/>
      <c r="AS62" s="421"/>
      <c r="AT62" s="421"/>
      <c r="AU62" s="421"/>
      <c r="AV62" s="421"/>
      <c r="AW62" s="421"/>
      <c r="AX62" s="421"/>
      <c r="AY62" s="421"/>
      <c r="AZ62" s="421"/>
      <c r="BA62" s="421"/>
    </row>
    <row r="63">
      <c r="A63" s="421"/>
      <c r="B63" s="421"/>
      <c r="C63" s="268"/>
      <c r="D63" s="431"/>
      <c r="E63" s="276"/>
      <c r="F63" s="265"/>
      <c r="G63" s="265"/>
      <c r="H63" s="432"/>
      <c r="I63" s="432"/>
      <c r="J63" s="283"/>
      <c r="K63" s="276"/>
      <c r="L63" s="417" t="str">
        <f t="shared" si="1"/>
        <v/>
      </c>
      <c r="M63" s="425"/>
      <c r="N63" s="426"/>
      <c r="O63" s="427"/>
      <c r="P63" s="425"/>
      <c r="Q63" s="425"/>
      <c r="R63" s="425"/>
      <c r="S63" s="421"/>
      <c r="T63" s="421"/>
      <c r="U63" s="421"/>
      <c r="V63" s="421"/>
      <c r="W63" s="421"/>
      <c r="X63" s="425"/>
      <c r="Y63" s="421"/>
      <c r="Z63" s="421"/>
      <c r="AA63" s="421"/>
      <c r="AB63" s="421"/>
      <c r="AC63" s="421"/>
      <c r="AD63" s="421"/>
      <c r="AE63" s="421"/>
      <c r="AF63" s="421"/>
      <c r="AG63" s="421"/>
      <c r="AH63" s="421"/>
      <c r="AI63" s="421"/>
      <c r="AJ63" s="421"/>
      <c r="AK63" s="421"/>
      <c r="AL63" s="421"/>
      <c r="AM63" s="421"/>
      <c r="AN63" s="421"/>
      <c r="AO63" s="421"/>
      <c r="AP63" s="421"/>
      <c r="AQ63" s="421"/>
      <c r="AR63" s="421"/>
      <c r="AS63" s="421"/>
      <c r="AT63" s="421"/>
      <c r="AU63" s="421"/>
      <c r="AV63" s="421"/>
      <c r="AW63" s="421"/>
      <c r="AX63" s="421"/>
      <c r="AY63" s="421"/>
      <c r="AZ63" s="421"/>
      <c r="BA63" s="421"/>
    </row>
    <row r="64">
      <c r="A64" s="421"/>
      <c r="B64" s="421"/>
      <c r="C64" s="268"/>
      <c r="D64" s="431"/>
      <c r="E64" s="276"/>
      <c r="F64" s="265"/>
      <c r="G64" s="265"/>
      <c r="H64" s="432"/>
      <c r="I64" s="432"/>
      <c r="J64" s="283"/>
      <c r="K64" s="276"/>
      <c r="L64" s="417" t="str">
        <f t="shared" si="1"/>
        <v/>
      </c>
      <c r="M64" s="425"/>
      <c r="N64" s="426"/>
      <c r="O64" s="427"/>
      <c r="P64" s="425"/>
      <c r="Q64" s="425"/>
      <c r="R64" s="425"/>
      <c r="S64" s="421"/>
      <c r="T64" s="421"/>
      <c r="U64" s="421"/>
      <c r="V64" s="421"/>
      <c r="W64" s="421"/>
      <c r="X64" s="425"/>
      <c r="Y64" s="421"/>
      <c r="Z64" s="421"/>
      <c r="AA64" s="421"/>
      <c r="AB64" s="421"/>
      <c r="AC64" s="421"/>
      <c r="AD64" s="421"/>
      <c r="AE64" s="421"/>
      <c r="AF64" s="421"/>
      <c r="AG64" s="421"/>
      <c r="AH64" s="421"/>
      <c r="AI64" s="421"/>
      <c r="AJ64" s="421"/>
      <c r="AK64" s="421"/>
      <c r="AL64" s="421"/>
      <c r="AM64" s="421"/>
      <c r="AN64" s="421"/>
      <c r="AO64" s="421"/>
      <c r="AP64" s="421"/>
      <c r="AQ64" s="421"/>
      <c r="AR64" s="421"/>
      <c r="AS64" s="421"/>
      <c r="AT64" s="421"/>
      <c r="AU64" s="421"/>
      <c r="AV64" s="421"/>
      <c r="AW64" s="421"/>
      <c r="AX64" s="421"/>
      <c r="AY64" s="421"/>
      <c r="AZ64" s="421"/>
      <c r="BA64" s="421"/>
    </row>
    <row r="65">
      <c r="A65" s="421"/>
      <c r="B65" s="421"/>
      <c r="C65" s="268"/>
      <c r="D65" s="431"/>
      <c r="E65" s="276"/>
      <c r="F65" s="265"/>
      <c r="G65" s="265"/>
      <c r="H65" s="432"/>
      <c r="I65" s="432"/>
      <c r="J65" s="283"/>
      <c r="K65" s="276"/>
      <c r="L65" s="417" t="str">
        <f t="shared" si="1"/>
        <v/>
      </c>
      <c r="M65" s="425"/>
      <c r="N65" s="426"/>
      <c r="O65" s="427"/>
      <c r="P65" s="425"/>
      <c r="Q65" s="425"/>
      <c r="R65" s="425"/>
      <c r="S65" s="421"/>
      <c r="T65" s="421"/>
      <c r="U65" s="421"/>
      <c r="V65" s="421"/>
      <c r="W65" s="421"/>
      <c r="X65" s="425"/>
      <c r="Y65" s="421"/>
      <c r="Z65" s="421"/>
      <c r="AA65" s="421"/>
      <c r="AB65" s="421"/>
      <c r="AC65" s="421"/>
      <c r="AD65" s="421"/>
      <c r="AE65" s="421"/>
      <c r="AF65" s="421"/>
      <c r="AG65" s="421"/>
      <c r="AH65" s="421"/>
      <c r="AI65" s="421"/>
      <c r="AJ65" s="421"/>
      <c r="AK65" s="421"/>
      <c r="AL65" s="421"/>
      <c r="AM65" s="421"/>
      <c r="AN65" s="421"/>
      <c r="AO65" s="421"/>
      <c r="AP65" s="421"/>
      <c r="AQ65" s="421"/>
      <c r="AR65" s="421"/>
      <c r="AS65" s="421"/>
      <c r="AT65" s="421"/>
      <c r="AU65" s="421"/>
      <c r="AV65" s="421"/>
      <c r="AW65" s="421"/>
      <c r="AX65" s="421"/>
      <c r="AY65" s="421"/>
      <c r="AZ65" s="421"/>
      <c r="BA65" s="421"/>
    </row>
    <row r="66">
      <c r="A66" s="421"/>
      <c r="B66" s="421"/>
      <c r="C66" s="268"/>
      <c r="D66" s="431"/>
      <c r="E66" s="276"/>
      <c r="F66" s="265"/>
      <c r="G66" s="265"/>
      <c r="H66" s="432"/>
      <c r="I66" s="432"/>
      <c r="J66" s="283"/>
      <c r="K66" s="276"/>
      <c r="L66" s="417" t="str">
        <f t="shared" si="1"/>
        <v/>
      </c>
      <c r="M66" s="425"/>
      <c r="N66" s="426"/>
      <c r="O66" s="427"/>
      <c r="P66" s="425"/>
      <c r="Q66" s="425"/>
      <c r="R66" s="425"/>
      <c r="S66" s="421"/>
      <c r="T66" s="421"/>
      <c r="U66" s="421"/>
      <c r="V66" s="421"/>
      <c r="W66" s="421"/>
      <c r="X66" s="425"/>
      <c r="Y66" s="421"/>
      <c r="Z66" s="421"/>
      <c r="AA66" s="421"/>
      <c r="AB66" s="421"/>
      <c r="AC66" s="421"/>
      <c r="AD66" s="421"/>
      <c r="AE66" s="421"/>
      <c r="AF66" s="421"/>
      <c r="AG66" s="421"/>
      <c r="AH66" s="421"/>
      <c r="AI66" s="421"/>
      <c r="AJ66" s="421"/>
      <c r="AK66" s="421"/>
      <c r="AL66" s="421"/>
      <c r="AM66" s="421"/>
      <c r="AN66" s="421"/>
      <c r="AO66" s="421"/>
      <c r="AP66" s="421"/>
      <c r="AQ66" s="421"/>
      <c r="AR66" s="421"/>
      <c r="AS66" s="421"/>
      <c r="AT66" s="421"/>
      <c r="AU66" s="421"/>
      <c r="AV66" s="421"/>
      <c r="AW66" s="421"/>
      <c r="AX66" s="421"/>
      <c r="AY66" s="421"/>
      <c r="AZ66" s="421"/>
      <c r="BA66" s="421"/>
    </row>
    <row r="67">
      <c r="A67" s="421"/>
      <c r="B67" s="421"/>
      <c r="C67" s="268"/>
      <c r="D67" s="431"/>
      <c r="E67" s="276"/>
      <c r="F67" s="265"/>
      <c r="G67" s="265"/>
      <c r="H67" s="432"/>
      <c r="I67" s="432"/>
      <c r="J67" s="283"/>
      <c r="K67" s="276"/>
      <c r="L67" s="417" t="str">
        <f t="shared" si="1"/>
        <v/>
      </c>
      <c r="M67" s="425"/>
      <c r="N67" s="426"/>
      <c r="O67" s="427"/>
      <c r="P67" s="425"/>
      <c r="Q67" s="425"/>
      <c r="R67" s="425"/>
      <c r="S67" s="421"/>
      <c r="T67" s="421"/>
      <c r="U67" s="421"/>
      <c r="V67" s="421"/>
      <c r="W67" s="421"/>
      <c r="X67" s="425"/>
      <c r="Y67" s="421"/>
      <c r="Z67" s="421"/>
      <c r="AA67" s="421"/>
      <c r="AB67" s="421"/>
      <c r="AC67" s="421"/>
      <c r="AD67" s="421"/>
      <c r="AE67" s="421"/>
      <c r="AF67" s="421"/>
      <c r="AG67" s="421"/>
      <c r="AH67" s="421"/>
      <c r="AI67" s="421"/>
      <c r="AJ67" s="421"/>
      <c r="AK67" s="421"/>
      <c r="AL67" s="421"/>
      <c r="AM67" s="421"/>
      <c r="AN67" s="421"/>
      <c r="AO67" s="421"/>
      <c r="AP67" s="421"/>
      <c r="AQ67" s="421"/>
      <c r="AR67" s="421"/>
      <c r="AS67" s="421"/>
      <c r="AT67" s="421"/>
      <c r="AU67" s="421"/>
      <c r="AV67" s="421"/>
      <c r="AW67" s="421"/>
      <c r="AX67" s="421"/>
      <c r="AY67" s="421"/>
      <c r="AZ67" s="421"/>
      <c r="BA67" s="421"/>
    </row>
    <row r="68">
      <c r="A68" s="421"/>
      <c r="B68" s="421"/>
      <c r="C68" s="268"/>
      <c r="D68" s="431"/>
      <c r="E68" s="276"/>
      <c r="F68" s="265"/>
      <c r="G68" s="265"/>
      <c r="H68" s="432"/>
      <c r="I68" s="432"/>
      <c r="J68" s="283"/>
      <c r="K68" s="276"/>
      <c r="L68" s="417" t="str">
        <f t="shared" si="1"/>
        <v/>
      </c>
      <c r="M68" s="425"/>
      <c r="N68" s="426"/>
      <c r="O68" s="427"/>
      <c r="P68" s="425"/>
      <c r="Q68" s="425"/>
      <c r="R68" s="425"/>
      <c r="S68" s="421"/>
      <c r="T68" s="421"/>
      <c r="U68" s="421"/>
      <c r="V68" s="421"/>
      <c r="W68" s="421"/>
      <c r="X68" s="425"/>
      <c r="Y68" s="421"/>
      <c r="Z68" s="421"/>
      <c r="AA68" s="421"/>
      <c r="AB68" s="421"/>
      <c r="AC68" s="421"/>
      <c r="AD68" s="421"/>
      <c r="AE68" s="421"/>
      <c r="AF68" s="421"/>
      <c r="AG68" s="421"/>
      <c r="AH68" s="421"/>
      <c r="AI68" s="421"/>
      <c r="AJ68" s="421"/>
      <c r="AK68" s="421"/>
      <c r="AL68" s="421"/>
      <c r="AM68" s="421"/>
      <c r="AN68" s="421"/>
      <c r="AO68" s="421"/>
      <c r="AP68" s="421"/>
      <c r="AQ68" s="421"/>
      <c r="AR68" s="421"/>
      <c r="AS68" s="421"/>
      <c r="AT68" s="421"/>
      <c r="AU68" s="421"/>
      <c r="AV68" s="421"/>
      <c r="AW68" s="421"/>
      <c r="AX68" s="421"/>
      <c r="AY68" s="421"/>
      <c r="AZ68" s="421"/>
      <c r="BA68" s="421"/>
    </row>
    <row r="69">
      <c r="A69" s="421"/>
      <c r="B69" s="421"/>
      <c r="C69" s="268"/>
      <c r="D69" s="431"/>
      <c r="E69" s="276"/>
      <c r="F69" s="265"/>
      <c r="G69" s="265"/>
      <c r="H69" s="432"/>
      <c r="I69" s="432"/>
      <c r="J69" s="283"/>
      <c r="K69" s="276"/>
      <c r="L69" s="417" t="str">
        <f t="shared" si="1"/>
        <v/>
      </c>
      <c r="M69" s="425"/>
      <c r="N69" s="426"/>
      <c r="O69" s="427"/>
      <c r="P69" s="425"/>
      <c r="Q69" s="425"/>
      <c r="R69" s="425"/>
      <c r="S69" s="421"/>
      <c r="T69" s="421"/>
      <c r="U69" s="421"/>
      <c r="V69" s="421"/>
      <c r="W69" s="421"/>
      <c r="X69" s="425"/>
      <c r="Y69" s="421"/>
      <c r="Z69" s="421"/>
      <c r="AA69" s="421"/>
      <c r="AB69" s="421"/>
      <c r="AC69" s="421"/>
      <c r="AD69" s="421"/>
      <c r="AE69" s="421"/>
      <c r="AF69" s="421"/>
      <c r="AG69" s="421"/>
      <c r="AH69" s="421"/>
      <c r="AI69" s="421"/>
      <c r="AJ69" s="421"/>
      <c r="AK69" s="421"/>
      <c r="AL69" s="421"/>
      <c r="AM69" s="421"/>
      <c r="AN69" s="421"/>
      <c r="AO69" s="421"/>
      <c r="AP69" s="421"/>
      <c r="AQ69" s="421"/>
      <c r="AR69" s="421"/>
      <c r="AS69" s="421"/>
      <c r="AT69" s="421"/>
      <c r="AU69" s="421"/>
      <c r="AV69" s="421"/>
      <c r="AW69" s="421"/>
      <c r="AX69" s="421"/>
      <c r="AY69" s="421"/>
      <c r="AZ69" s="421"/>
      <c r="BA69" s="421"/>
    </row>
    <row r="70">
      <c r="A70" s="421"/>
      <c r="B70" s="421"/>
      <c r="C70" s="268"/>
      <c r="D70" s="431"/>
      <c r="E70" s="276"/>
      <c r="F70" s="265"/>
      <c r="G70" s="265"/>
      <c r="H70" s="432"/>
      <c r="I70" s="432"/>
      <c r="J70" s="283"/>
      <c r="K70" s="276"/>
      <c r="L70" s="417" t="str">
        <f t="shared" si="1"/>
        <v/>
      </c>
      <c r="M70" s="425"/>
      <c r="N70" s="426"/>
      <c r="O70" s="427"/>
      <c r="P70" s="425"/>
      <c r="Q70" s="425"/>
      <c r="R70" s="425"/>
      <c r="S70" s="421"/>
      <c r="T70" s="421"/>
      <c r="U70" s="421"/>
      <c r="V70" s="421"/>
      <c r="W70" s="421"/>
      <c r="X70" s="425"/>
      <c r="Y70" s="421"/>
      <c r="Z70" s="421"/>
      <c r="AA70" s="421"/>
      <c r="AB70" s="421"/>
      <c r="AC70" s="421"/>
      <c r="AD70" s="421"/>
      <c r="AE70" s="421"/>
      <c r="AF70" s="421"/>
      <c r="AG70" s="421"/>
      <c r="AH70" s="421"/>
      <c r="AI70" s="421"/>
      <c r="AJ70" s="421"/>
      <c r="AK70" s="421"/>
      <c r="AL70" s="421"/>
      <c r="AM70" s="421"/>
      <c r="AN70" s="421"/>
      <c r="AO70" s="421"/>
      <c r="AP70" s="421"/>
      <c r="AQ70" s="421"/>
      <c r="AR70" s="421"/>
      <c r="AS70" s="421"/>
      <c r="AT70" s="421"/>
      <c r="AU70" s="421"/>
      <c r="AV70" s="421"/>
      <c r="AW70" s="421"/>
      <c r="AX70" s="421"/>
      <c r="AY70" s="421"/>
      <c r="AZ70" s="421"/>
      <c r="BA70" s="421"/>
    </row>
    <row r="71">
      <c r="A71" s="421"/>
      <c r="B71" s="421"/>
      <c r="C71" s="268"/>
      <c r="D71" s="431"/>
      <c r="E71" s="276"/>
      <c r="F71" s="265"/>
      <c r="G71" s="265"/>
      <c r="H71" s="432"/>
      <c r="I71" s="432"/>
      <c r="J71" s="283"/>
      <c r="K71" s="276"/>
      <c r="L71" s="417" t="str">
        <f t="shared" si="1"/>
        <v/>
      </c>
      <c r="M71" s="425"/>
      <c r="N71" s="426"/>
      <c r="O71" s="427"/>
      <c r="P71" s="425"/>
      <c r="Q71" s="425"/>
      <c r="R71" s="425"/>
      <c r="S71" s="421"/>
      <c r="T71" s="421"/>
      <c r="U71" s="421"/>
      <c r="V71" s="421"/>
      <c r="W71" s="421"/>
      <c r="X71" s="425"/>
      <c r="Y71" s="421"/>
      <c r="Z71" s="421"/>
      <c r="AA71" s="421"/>
      <c r="AB71" s="421"/>
      <c r="AC71" s="421"/>
      <c r="AD71" s="421"/>
      <c r="AE71" s="421"/>
      <c r="AF71" s="421"/>
      <c r="AG71" s="421"/>
      <c r="AH71" s="421"/>
      <c r="AI71" s="421"/>
      <c r="AJ71" s="421"/>
      <c r="AK71" s="421"/>
      <c r="AL71" s="421"/>
      <c r="AM71" s="421"/>
      <c r="AN71" s="421"/>
      <c r="AO71" s="421"/>
      <c r="AP71" s="421"/>
      <c r="AQ71" s="421"/>
      <c r="AR71" s="421"/>
      <c r="AS71" s="421"/>
      <c r="AT71" s="421"/>
      <c r="AU71" s="421"/>
      <c r="AV71" s="421"/>
      <c r="AW71" s="421"/>
      <c r="AX71" s="421"/>
      <c r="AY71" s="421"/>
      <c r="AZ71" s="421"/>
      <c r="BA71" s="421"/>
    </row>
    <row r="72">
      <c r="A72" s="421"/>
      <c r="B72" s="421"/>
      <c r="C72" s="268"/>
      <c r="D72" s="431"/>
      <c r="E72" s="276"/>
      <c r="F72" s="265"/>
      <c r="G72" s="265"/>
      <c r="H72" s="432"/>
      <c r="I72" s="432"/>
      <c r="J72" s="283"/>
      <c r="K72" s="276"/>
      <c r="L72" s="417" t="str">
        <f t="shared" si="1"/>
        <v/>
      </c>
      <c r="M72" s="425"/>
      <c r="N72" s="426"/>
      <c r="O72" s="427"/>
      <c r="P72" s="425"/>
      <c r="Q72" s="425"/>
      <c r="R72" s="425"/>
      <c r="S72" s="421"/>
      <c r="T72" s="421"/>
      <c r="U72" s="421"/>
      <c r="V72" s="421"/>
      <c r="W72" s="421"/>
      <c r="X72" s="425"/>
      <c r="Y72" s="421"/>
      <c r="Z72" s="421"/>
      <c r="AA72" s="421"/>
      <c r="AB72" s="421"/>
      <c r="AC72" s="421"/>
      <c r="AD72" s="421"/>
      <c r="AE72" s="421"/>
      <c r="AF72" s="421"/>
      <c r="AG72" s="421"/>
      <c r="AH72" s="421"/>
      <c r="AI72" s="421"/>
      <c r="AJ72" s="421"/>
      <c r="AK72" s="421"/>
      <c r="AL72" s="421"/>
      <c r="AM72" s="421"/>
      <c r="AN72" s="421"/>
      <c r="AO72" s="421"/>
      <c r="AP72" s="421"/>
      <c r="AQ72" s="421"/>
      <c r="AR72" s="421"/>
      <c r="AS72" s="421"/>
      <c r="AT72" s="421"/>
      <c r="AU72" s="421"/>
      <c r="AV72" s="421"/>
      <c r="AW72" s="421"/>
      <c r="AX72" s="421"/>
      <c r="AY72" s="421"/>
      <c r="AZ72" s="421"/>
      <c r="BA72" s="421"/>
    </row>
    <row r="73">
      <c r="A73" s="421"/>
      <c r="B73" s="421"/>
      <c r="C73" s="268"/>
      <c r="D73" s="431"/>
      <c r="E73" s="276"/>
      <c r="F73" s="265"/>
      <c r="G73" s="265"/>
      <c r="H73" s="432"/>
      <c r="I73" s="432"/>
      <c r="J73" s="283"/>
      <c r="K73" s="276"/>
      <c r="L73" s="417" t="str">
        <f t="shared" si="1"/>
        <v/>
      </c>
      <c r="M73" s="425"/>
      <c r="N73" s="426"/>
      <c r="O73" s="427"/>
      <c r="P73" s="425"/>
      <c r="Q73" s="425"/>
      <c r="R73" s="425"/>
      <c r="S73" s="421"/>
      <c r="T73" s="421"/>
      <c r="U73" s="421"/>
      <c r="V73" s="421"/>
      <c r="W73" s="421"/>
      <c r="X73" s="425"/>
      <c r="Y73" s="421"/>
      <c r="Z73" s="421"/>
      <c r="AA73" s="421"/>
      <c r="AB73" s="421"/>
      <c r="AC73" s="421"/>
      <c r="AD73" s="421"/>
      <c r="AE73" s="421"/>
      <c r="AF73" s="421"/>
      <c r="AG73" s="421"/>
      <c r="AH73" s="421"/>
      <c r="AI73" s="421"/>
      <c r="AJ73" s="421"/>
      <c r="AK73" s="421"/>
      <c r="AL73" s="421"/>
      <c r="AM73" s="421"/>
      <c r="AN73" s="421"/>
      <c r="AO73" s="421"/>
      <c r="AP73" s="421"/>
      <c r="AQ73" s="421"/>
      <c r="AR73" s="421"/>
      <c r="AS73" s="421"/>
      <c r="AT73" s="421"/>
      <c r="AU73" s="421"/>
      <c r="AV73" s="421"/>
      <c r="AW73" s="421"/>
      <c r="AX73" s="421"/>
      <c r="AY73" s="421"/>
      <c r="AZ73" s="421"/>
      <c r="BA73" s="421"/>
    </row>
    <row r="74">
      <c r="A74" s="421"/>
      <c r="B74" s="421"/>
      <c r="C74" s="268"/>
      <c r="D74" s="431"/>
      <c r="E74" s="276"/>
      <c r="F74" s="265"/>
      <c r="G74" s="265"/>
      <c r="H74" s="432"/>
      <c r="I74" s="432"/>
      <c r="J74" s="283"/>
      <c r="K74" s="276"/>
      <c r="L74" s="417" t="str">
        <f t="shared" si="1"/>
        <v/>
      </c>
      <c r="M74" s="425"/>
      <c r="N74" s="426"/>
      <c r="O74" s="427"/>
      <c r="P74" s="425"/>
      <c r="Q74" s="425"/>
      <c r="R74" s="425"/>
      <c r="S74" s="421"/>
      <c r="T74" s="421"/>
      <c r="U74" s="421"/>
      <c r="V74" s="421"/>
      <c r="W74" s="421"/>
      <c r="X74" s="425"/>
      <c r="Y74" s="421"/>
      <c r="Z74" s="421"/>
      <c r="AA74" s="421"/>
      <c r="AB74" s="421"/>
      <c r="AC74" s="421"/>
      <c r="AD74" s="421"/>
      <c r="AE74" s="421"/>
      <c r="AF74" s="421"/>
      <c r="AG74" s="421"/>
      <c r="AH74" s="421"/>
      <c r="AI74" s="421"/>
      <c r="AJ74" s="421"/>
      <c r="AK74" s="421"/>
      <c r="AL74" s="421"/>
      <c r="AM74" s="421"/>
      <c r="AN74" s="421"/>
      <c r="AO74" s="421"/>
      <c r="AP74" s="421"/>
      <c r="AQ74" s="421"/>
      <c r="AR74" s="421"/>
      <c r="AS74" s="421"/>
      <c r="AT74" s="421"/>
      <c r="AU74" s="421"/>
      <c r="AV74" s="421"/>
      <c r="AW74" s="421"/>
      <c r="AX74" s="421"/>
      <c r="AY74" s="421"/>
      <c r="AZ74" s="421"/>
      <c r="BA74" s="421"/>
    </row>
    <row r="75">
      <c r="A75" s="421"/>
      <c r="B75" s="421"/>
      <c r="C75" s="268"/>
      <c r="D75" s="431"/>
      <c r="E75" s="276"/>
      <c r="F75" s="265"/>
      <c r="G75" s="265"/>
      <c r="H75" s="432"/>
      <c r="I75" s="432"/>
      <c r="J75" s="283"/>
      <c r="K75" s="276"/>
      <c r="L75" s="417" t="str">
        <f t="shared" si="1"/>
        <v/>
      </c>
      <c r="M75" s="425"/>
      <c r="N75" s="426"/>
      <c r="O75" s="427"/>
      <c r="P75" s="425"/>
      <c r="Q75" s="425"/>
      <c r="R75" s="425"/>
      <c r="S75" s="421"/>
      <c r="T75" s="421"/>
      <c r="U75" s="421"/>
      <c r="V75" s="421"/>
      <c r="W75" s="421"/>
      <c r="X75" s="425"/>
      <c r="Y75" s="421"/>
      <c r="Z75" s="421"/>
      <c r="AA75" s="421"/>
      <c r="AB75" s="421"/>
      <c r="AC75" s="421"/>
      <c r="AD75" s="421"/>
      <c r="AE75" s="421"/>
      <c r="AF75" s="421"/>
      <c r="AG75" s="421"/>
      <c r="AH75" s="421"/>
      <c r="AI75" s="421"/>
      <c r="AJ75" s="421"/>
      <c r="AK75" s="421"/>
      <c r="AL75" s="421"/>
      <c r="AM75" s="421"/>
      <c r="AN75" s="421"/>
      <c r="AO75" s="421"/>
      <c r="AP75" s="421"/>
      <c r="AQ75" s="421"/>
      <c r="AR75" s="421"/>
      <c r="AS75" s="421"/>
      <c r="AT75" s="421"/>
      <c r="AU75" s="421"/>
      <c r="AV75" s="421"/>
      <c r="AW75" s="421"/>
      <c r="AX75" s="421"/>
      <c r="AY75" s="421"/>
      <c r="AZ75" s="421"/>
      <c r="BA75" s="421"/>
    </row>
    <row r="76">
      <c r="A76" s="421"/>
      <c r="B76" s="421"/>
      <c r="C76" s="268"/>
      <c r="D76" s="431"/>
      <c r="E76" s="276"/>
      <c r="F76" s="265"/>
      <c r="G76" s="265"/>
      <c r="H76" s="432"/>
      <c r="I76" s="432"/>
      <c r="J76" s="283"/>
      <c r="K76" s="276"/>
      <c r="L76" s="417" t="str">
        <f t="shared" si="1"/>
        <v/>
      </c>
      <c r="M76" s="425"/>
      <c r="N76" s="426"/>
      <c r="O76" s="427"/>
      <c r="P76" s="425"/>
      <c r="Q76" s="425"/>
      <c r="R76" s="425"/>
      <c r="S76" s="421"/>
      <c r="T76" s="421"/>
      <c r="U76" s="421"/>
      <c r="V76" s="421"/>
      <c r="W76" s="421"/>
      <c r="X76" s="425"/>
      <c r="Y76" s="421"/>
      <c r="Z76" s="421"/>
      <c r="AA76" s="421"/>
      <c r="AB76" s="421"/>
      <c r="AC76" s="421"/>
      <c r="AD76" s="421"/>
      <c r="AE76" s="421"/>
      <c r="AF76" s="421"/>
      <c r="AG76" s="421"/>
      <c r="AH76" s="421"/>
      <c r="AI76" s="421"/>
      <c r="AJ76" s="421"/>
      <c r="AK76" s="421"/>
      <c r="AL76" s="421"/>
      <c r="AM76" s="421"/>
      <c r="AN76" s="421"/>
      <c r="AO76" s="421"/>
      <c r="AP76" s="421"/>
      <c r="AQ76" s="421"/>
      <c r="AR76" s="421"/>
      <c r="AS76" s="421"/>
      <c r="AT76" s="421"/>
      <c r="AU76" s="421"/>
      <c r="AV76" s="421"/>
      <c r="AW76" s="421"/>
      <c r="AX76" s="421"/>
      <c r="AY76" s="421"/>
      <c r="AZ76" s="421"/>
      <c r="BA76" s="421"/>
    </row>
    <row r="77">
      <c r="A77" s="421"/>
      <c r="B77" s="421"/>
      <c r="C77" s="268"/>
      <c r="D77" s="431"/>
      <c r="E77" s="276"/>
      <c r="F77" s="265"/>
      <c r="G77" s="265"/>
      <c r="H77" s="432"/>
      <c r="I77" s="432"/>
      <c r="J77" s="283"/>
      <c r="K77" s="276"/>
      <c r="L77" s="417" t="str">
        <f t="shared" si="1"/>
        <v/>
      </c>
      <c r="M77" s="425"/>
      <c r="N77" s="426"/>
      <c r="O77" s="427"/>
      <c r="P77" s="425"/>
      <c r="Q77" s="425"/>
      <c r="R77" s="425"/>
      <c r="S77" s="421"/>
      <c r="T77" s="421"/>
      <c r="U77" s="421"/>
      <c r="V77" s="421"/>
      <c r="W77" s="421"/>
      <c r="X77" s="425"/>
      <c r="Y77" s="421"/>
      <c r="Z77" s="421"/>
      <c r="AA77" s="421"/>
      <c r="AB77" s="421"/>
      <c r="AC77" s="421"/>
      <c r="AD77" s="421"/>
      <c r="AE77" s="421"/>
      <c r="AF77" s="421"/>
      <c r="AG77" s="421"/>
      <c r="AH77" s="421"/>
      <c r="AI77" s="421"/>
      <c r="AJ77" s="421"/>
      <c r="AK77" s="421"/>
      <c r="AL77" s="421"/>
      <c r="AM77" s="421"/>
      <c r="AN77" s="421"/>
      <c r="AO77" s="421"/>
      <c r="AP77" s="421"/>
      <c r="AQ77" s="421"/>
      <c r="AR77" s="421"/>
      <c r="AS77" s="421"/>
      <c r="AT77" s="421"/>
      <c r="AU77" s="421"/>
      <c r="AV77" s="421"/>
      <c r="AW77" s="421"/>
      <c r="AX77" s="421"/>
      <c r="AY77" s="421"/>
      <c r="AZ77" s="421"/>
      <c r="BA77" s="421"/>
    </row>
    <row r="78">
      <c r="A78" s="421"/>
      <c r="B78" s="421"/>
      <c r="C78" s="268"/>
      <c r="D78" s="431"/>
      <c r="E78" s="276"/>
      <c r="F78" s="265"/>
      <c r="G78" s="265"/>
      <c r="H78" s="432"/>
      <c r="I78" s="432"/>
      <c r="J78" s="283"/>
      <c r="K78" s="276"/>
      <c r="L78" s="417" t="str">
        <f t="shared" si="1"/>
        <v/>
      </c>
      <c r="M78" s="425"/>
      <c r="N78" s="426"/>
      <c r="O78" s="427"/>
      <c r="P78" s="425"/>
      <c r="Q78" s="425"/>
      <c r="R78" s="425"/>
      <c r="S78" s="421"/>
      <c r="T78" s="421"/>
      <c r="U78" s="421"/>
      <c r="V78" s="421"/>
      <c r="W78" s="421"/>
      <c r="X78" s="425"/>
      <c r="Y78" s="421"/>
      <c r="Z78" s="421"/>
      <c r="AA78" s="421"/>
      <c r="AB78" s="421"/>
      <c r="AC78" s="421"/>
      <c r="AD78" s="421"/>
      <c r="AE78" s="421"/>
      <c r="AF78" s="421"/>
      <c r="AG78" s="421"/>
      <c r="AH78" s="421"/>
      <c r="AI78" s="421"/>
      <c r="AJ78" s="421"/>
      <c r="AK78" s="421"/>
      <c r="AL78" s="421"/>
      <c r="AM78" s="421"/>
      <c r="AN78" s="421"/>
      <c r="AO78" s="421"/>
      <c r="AP78" s="421"/>
      <c r="AQ78" s="421"/>
      <c r="AR78" s="421"/>
      <c r="AS78" s="421"/>
      <c r="AT78" s="421"/>
      <c r="AU78" s="421"/>
      <c r="AV78" s="421"/>
      <c r="AW78" s="421"/>
      <c r="AX78" s="421"/>
      <c r="AY78" s="421"/>
      <c r="AZ78" s="421"/>
      <c r="BA78" s="421"/>
    </row>
    <row r="79">
      <c r="A79" s="421"/>
      <c r="B79" s="421"/>
      <c r="C79" s="268"/>
      <c r="D79" s="431"/>
      <c r="E79" s="276"/>
      <c r="F79" s="265"/>
      <c r="G79" s="265"/>
      <c r="H79" s="432"/>
      <c r="I79" s="432"/>
      <c r="J79" s="283"/>
      <c r="K79" s="276"/>
      <c r="L79" s="417" t="str">
        <f t="shared" si="1"/>
        <v/>
      </c>
      <c r="M79" s="425"/>
      <c r="N79" s="426"/>
      <c r="O79" s="427"/>
      <c r="P79" s="425"/>
      <c r="Q79" s="425"/>
      <c r="R79" s="425"/>
      <c r="S79" s="421"/>
      <c r="T79" s="421"/>
      <c r="U79" s="421"/>
      <c r="V79" s="421"/>
      <c r="W79" s="421"/>
      <c r="X79" s="425"/>
      <c r="Y79" s="421"/>
      <c r="Z79" s="421"/>
      <c r="AA79" s="421"/>
      <c r="AB79" s="421"/>
      <c r="AC79" s="421"/>
      <c r="AD79" s="421"/>
      <c r="AE79" s="421"/>
      <c r="AF79" s="421"/>
      <c r="AG79" s="421"/>
      <c r="AH79" s="421"/>
      <c r="AI79" s="421"/>
      <c r="AJ79" s="421"/>
      <c r="AK79" s="421"/>
      <c r="AL79" s="421"/>
      <c r="AM79" s="421"/>
      <c r="AN79" s="421"/>
      <c r="AO79" s="421"/>
      <c r="AP79" s="421"/>
      <c r="AQ79" s="421"/>
      <c r="AR79" s="421"/>
      <c r="AS79" s="421"/>
      <c r="AT79" s="421"/>
      <c r="AU79" s="421"/>
      <c r="AV79" s="421"/>
      <c r="AW79" s="421"/>
      <c r="AX79" s="421"/>
      <c r="AY79" s="421"/>
      <c r="AZ79" s="421"/>
      <c r="BA79" s="421"/>
    </row>
    <row r="80">
      <c r="A80" s="421"/>
      <c r="B80" s="421"/>
      <c r="C80" s="268"/>
      <c r="D80" s="431"/>
      <c r="E80" s="276"/>
      <c r="F80" s="265"/>
      <c r="G80" s="265"/>
      <c r="H80" s="432"/>
      <c r="I80" s="432"/>
      <c r="J80" s="283"/>
      <c r="K80" s="276"/>
      <c r="L80" s="417" t="str">
        <f t="shared" si="1"/>
        <v/>
      </c>
      <c r="M80" s="425"/>
      <c r="N80" s="426"/>
      <c r="O80" s="427"/>
      <c r="P80" s="425"/>
      <c r="Q80" s="425"/>
      <c r="R80" s="425"/>
      <c r="S80" s="421"/>
      <c r="T80" s="421"/>
      <c r="U80" s="421"/>
      <c r="V80" s="421"/>
      <c r="W80" s="421"/>
      <c r="X80" s="425"/>
      <c r="Y80" s="421"/>
      <c r="Z80" s="421"/>
      <c r="AA80" s="421"/>
      <c r="AB80" s="421"/>
      <c r="AC80" s="421"/>
      <c r="AD80" s="421"/>
      <c r="AE80" s="421"/>
      <c r="AF80" s="421"/>
      <c r="AG80" s="421"/>
      <c r="AH80" s="421"/>
      <c r="AI80" s="421"/>
      <c r="AJ80" s="421"/>
      <c r="AK80" s="421"/>
      <c r="AL80" s="421"/>
      <c r="AM80" s="421"/>
      <c r="AN80" s="421"/>
      <c r="AO80" s="421"/>
      <c r="AP80" s="421"/>
      <c r="AQ80" s="421"/>
      <c r="AR80" s="421"/>
      <c r="AS80" s="421"/>
      <c r="AT80" s="421"/>
      <c r="AU80" s="421"/>
      <c r="AV80" s="421"/>
      <c r="AW80" s="421"/>
      <c r="AX80" s="421"/>
      <c r="AY80" s="421"/>
      <c r="AZ80" s="421"/>
      <c r="BA80" s="421"/>
    </row>
    <row r="81">
      <c r="A81" s="421"/>
      <c r="B81" s="421"/>
      <c r="C81" s="268"/>
      <c r="D81" s="431"/>
      <c r="E81" s="276"/>
      <c r="F81" s="265"/>
      <c r="G81" s="265"/>
      <c r="H81" s="432"/>
      <c r="I81" s="432"/>
      <c r="J81" s="283"/>
      <c r="K81" s="276"/>
      <c r="L81" s="417" t="str">
        <f t="shared" si="1"/>
        <v/>
      </c>
      <c r="M81" s="425"/>
      <c r="N81" s="426"/>
      <c r="O81" s="427"/>
      <c r="P81" s="425"/>
      <c r="Q81" s="425"/>
      <c r="R81" s="425"/>
      <c r="S81" s="421"/>
      <c r="T81" s="421"/>
      <c r="U81" s="421"/>
      <c r="V81" s="421"/>
      <c r="W81" s="421"/>
      <c r="X81" s="425"/>
      <c r="Y81" s="421"/>
      <c r="Z81" s="421"/>
      <c r="AA81" s="421"/>
      <c r="AB81" s="421"/>
      <c r="AC81" s="421"/>
      <c r="AD81" s="421"/>
      <c r="AE81" s="421"/>
      <c r="AF81" s="421"/>
      <c r="AG81" s="421"/>
      <c r="AH81" s="421"/>
      <c r="AI81" s="421"/>
      <c r="AJ81" s="421"/>
      <c r="AK81" s="421"/>
      <c r="AL81" s="421"/>
      <c r="AM81" s="421"/>
      <c r="AN81" s="421"/>
      <c r="AO81" s="421"/>
      <c r="AP81" s="421"/>
      <c r="AQ81" s="421"/>
      <c r="AR81" s="421"/>
      <c r="AS81" s="421"/>
      <c r="AT81" s="421"/>
      <c r="AU81" s="421"/>
      <c r="AV81" s="421"/>
      <c r="AW81" s="421"/>
      <c r="AX81" s="421"/>
      <c r="AY81" s="421"/>
      <c r="AZ81" s="421"/>
      <c r="BA81" s="421"/>
    </row>
    <row r="82">
      <c r="A82" s="421"/>
      <c r="B82" s="421"/>
      <c r="C82" s="268"/>
      <c r="D82" s="431"/>
      <c r="E82" s="276"/>
      <c r="F82" s="265"/>
      <c r="G82" s="265"/>
      <c r="H82" s="432"/>
      <c r="I82" s="432"/>
      <c r="J82" s="283"/>
      <c r="K82" s="276"/>
      <c r="L82" s="417" t="str">
        <f t="shared" si="1"/>
        <v/>
      </c>
      <c r="M82" s="425"/>
      <c r="N82" s="426"/>
      <c r="O82" s="427"/>
      <c r="P82" s="425"/>
      <c r="Q82" s="425"/>
      <c r="R82" s="425"/>
      <c r="S82" s="421"/>
      <c r="T82" s="421"/>
      <c r="U82" s="421"/>
      <c r="V82" s="421"/>
      <c r="W82" s="421"/>
      <c r="X82" s="425"/>
      <c r="Y82" s="421"/>
      <c r="Z82" s="421"/>
      <c r="AA82" s="421"/>
      <c r="AB82" s="421"/>
      <c r="AC82" s="421"/>
      <c r="AD82" s="421"/>
      <c r="AE82" s="421"/>
      <c r="AF82" s="421"/>
      <c r="AG82" s="421"/>
      <c r="AH82" s="421"/>
      <c r="AI82" s="421"/>
      <c r="AJ82" s="421"/>
      <c r="AK82" s="421"/>
      <c r="AL82" s="421"/>
      <c r="AM82" s="421"/>
      <c r="AN82" s="421"/>
      <c r="AO82" s="421"/>
      <c r="AP82" s="421"/>
      <c r="AQ82" s="421"/>
      <c r="AR82" s="421"/>
      <c r="AS82" s="421"/>
      <c r="AT82" s="421"/>
      <c r="AU82" s="421"/>
      <c r="AV82" s="421"/>
      <c r="AW82" s="421"/>
      <c r="AX82" s="421"/>
      <c r="AY82" s="421"/>
      <c r="AZ82" s="421"/>
      <c r="BA82" s="421"/>
    </row>
    <row r="83">
      <c r="A83" s="421"/>
      <c r="B83" s="421"/>
      <c r="C83" s="268"/>
      <c r="D83" s="431"/>
      <c r="E83" s="276"/>
      <c r="F83" s="265"/>
      <c r="G83" s="265"/>
      <c r="H83" s="432"/>
      <c r="I83" s="432"/>
      <c r="J83" s="283"/>
      <c r="K83" s="276"/>
      <c r="L83" s="417" t="str">
        <f t="shared" si="1"/>
        <v/>
      </c>
      <c r="M83" s="425"/>
      <c r="N83" s="426"/>
      <c r="O83" s="427"/>
      <c r="P83" s="425"/>
      <c r="Q83" s="425"/>
      <c r="R83" s="425"/>
      <c r="S83" s="421"/>
      <c r="T83" s="421"/>
      <c r="U83" s="421"/>
      <c r="V83" s="421"/>
      <c r="W83" s="421"/>
      <c r="X83" s="425"/>
      <c r="Y83" s="421"/>
      <c r="Z83" s="421"/>
      <c r="AA83" s="421"/>
      <c r="AB83" s="421"/>
      <c r="AC83" s="421"/>
      <c r="AD83" s="421"/>
      <c r="AE83" s="421"/>
      <c r="AF83" s="421"/>
      <c r="AG83" s="421"/>
      <c r="AH83" s="421"/>
      <c r="AI83" s="421"/>
      <c r="AJ83" s="421"/>
      <c r="AK83" s="421"/>
      <c r="AL83" s="421"/>
      <c r="AM83" s="421"/>
      <c r="AN83" s="421"/>
      <c r="AO83" s="421"/>
      <c r="AP83" s="421"/>
      <c r="AQ83" s="421"/>
      <c r="AR83" s="421"/>
      <c r="AS83" s="421"/>
      <c r="AT83" s="421"/>
      <c r="AU83" s="421"/>
      <c r="AV83" s="421"/>
      <c r="AW83" s="421"/>
      <c r="AX83" s="421"/>
      <c r="AY83" s="421"/>
      <c r="AZ83" s="421"/>
      <c r="BA83" s="421"/>
    </row>
    <row r="84">
      <c r="A84" s="421"/>
      <c r="B84" s="421"/>
      <c r="C84" s="268"/>
      <c r="D84" s="431"/>
      <c r="E84" s="276"/>
      <c r="F84" s="265"/>
      <c r="G84" s="265"/>
      <c r="H84" s="432"/>
      <c r="I84" s="432"/>
      <c r="J84" s="283"/>
      <c r="K84" s="276"/>
      <c r="L84" s="417" t="str">
        <f t="shared" si="1"/>
        <v/>
      </c>
      <c r="M84" s="425"/>
      <c r="N84" s="426"/>
      <c r="O84" s="427"/>
      <c r="P84" s="425"/>
      <c r="Q84" s="425"/>
      <c r="R84" s="425"/>
      <c r="S84" s="421"/>
      <c r="T84" s="421"/>
      <c r="U84" s="421"/>
      <c r="V84" s="421"/>
      <c r="W84" s="421"/>
      <c r="X84" s="425"/>
      <c r="Y84" s="421"/>
      <c r="Z84" s="421"/>
      <c r="AA84" s="421"/>
      <c r="AB84" s="421"/>
      <c r="AC84" s="421"/>
      <c r="AD84" s="421"/>
      <c r="AE84" s="421"/>
      <c r="AF84" s="421"/>
      <c r="AG84" s="421"/>
      <c r="AH84" s="421"/>
      <c r="AI84" s="421"/>
      <c r="AJ84" s="421"/>
      <c r="AK84" s="421"/>
      <c r="AL84" s="421"/>
      <c r="AM84" s="421"/>
      <c r="AN84" s="421"/>
      <c r="AO84" s="421"/>
      <c r="AP84" s="421"/>
      <c r="AQ84" s="421"/>
      <c r="AR84" s="421"/>
      <c r="AS84" s="421"/>
      <c r="AT84" s="421"/>
      <c r="AU84" s="421"/>
      <c r="AV84" s="421"/>
      <c r="AW84" s="421"/>
      <c r="AX84" s="421"/>
      <c r="AY84" s="421"/>
      <c r="AZ84" s="421"/>
      <c r="BA84" s="421"/>
    </row>
    <row r="85">
      <c r="A85" s="421"/>
      <c r="B85" s="421"/>
      <c r="C85" s="268"/>
      <c r="D85" s="431"/>
      <c r="E85" s="276"/>
      <c r="F85" s="265"/>
      <c r="G85" s="265"/>
      <c r="H85" s="432"/>
      <c r="I85" s="432"/>
      <c r="J85" s="283"/>
      <c r="K85" s="276"/>
      <c r="L85" s="417" t="str">
        <f t="shared" si="1"/>
        <v/>
      </c>
      <c r="M85" s="425"/>
      <c r="N85" s="426"/>
      <c r="O85" s="427"/>
      <c r="P85" s="425"/>
      <c r="Q85" s="425"/>
      <c r="R85" s="425"/>
      <c r="S85" s="421"/>
      <c r="T85" s="421"/>
      <c r="U85" s="421"/>
      <c r="V85" s="421"/>
      <c r="W85" s="421"/>
      <c r="X85" s="425"/>
      <c r="Y85" s="421"/>
      <c r="Z85" s="421"/>
      <c r="AA85" s="421"/>
      <c r="AB85" s="421"/>
      <c r="AC85" s="421"/>
      <c r="AD85" s="421"/>
      <c r="AE85" s="421"/>
      <c r="AF85" s="421"/>
      <c r="AG85" s="421"/>
      <c r="AH85" s="421"/>
      <c r="AI85" s="421"/>
      <c r="AJ85" s="421"/>
      <c r="AK85" s="421"/>
      <c r="AL85" s="421"/>
      <c r="AM85" s="421"/>
      <c r="AN85" s="421"/>
      <c r="AO85" s="421"/>
      <c r="AP85" s="421"/>
      <c r="AQ85" s="421"/>
      <c r="AR85" s="421"/>
      <c r="AS85" s="421"/>
      <c r="AT85" s="421"/>
      <c r="AU85" s="421"/>
      <c r="AV85" s="421"/>
      <c r="AW85" s="421"/>
      <c r="AX85" s="421"/>
      <c r="AY85" s="421"/>
      <c r="AZ85" s="421"/>
      <c r="BA85" s="421"/>
    </row>
    <row r="86">
      <c r="A86" s="421"/>
      <c r="B86" s="421"/>
      <c r="C86" s="268"/>
      <c r="D86" s="431"/>
      <c r="E86" s="276"/>
      <c r="F86" s="265"/>
      <c r="G86" s="265"/>
      <c r="H86" s="432"/>
      <c r="I86" s="432"/>
      <c r="J86" s="283"/>
      <c r="K86" s="276"/>
      <c r="L86" s="417" t="str">
        <f t="shared" si="1"/>
        <v/>
      </c>
      <c r="M86" s="425"/>
      <c r="N86" s="426"/>
      <c r="O86" s="427"/>
      <c r="P86" s="425"/>
      <c r="Q86" s="425"/>
      <c r="R86" s="425"/>
      <c r="S86" s="421"/>
      <c r="T86" s="421"/>
      <c r="U86" s="421"/>
      <c r="V86" s="421"/>
      <c r="W86" s="421"/>
      <c r="X86" s="425"/>
      <c r="Y86" s="421"/>
      <c r="Z86" s="421"/>
      <c r="AA86" s="421"/>
      <c r="AB86" s="421"/>
      <c r="AC86" s="421"/>
      <c r="AD86" s="421"/>
      <c r="AE86" s="421"/>
      <c r="AF86" s="421"/>
      <c r="AG86" s="421"/>
      <c r="AH86" s="421"/>
      <c r="AI86" s="421"/>
      <c r="AJ86" s="421"/>
      <c r="AK86" s="421"/>
      <c r="AL86" s="421"/>
      <c r="AM86" s="421"/>
      <c r="AN86" s="421"/>
      <c r="AO86" s="421"/>
      <c r="AP86" s="421"/>
      <c r="AQ86" s="421"/>
      <c r="AR86" s="421"/>
      <c r="AS86" s="421"/>
      <c r="AT86" s="421"/>
      <c r="AU86" s="421"/>
      <c r="AV86" s="421"/>
      <c r="AW86" s="421"/>
      <c r="AX86" s="421"/>
      <c r="AY86" s="421"/>
      <c r="AZ86" s="421"/>
      <c r="BA86" s="421"/>
    </row>
    <row r="87">
      <c r="A87" s="421"/>
      <c r="B87" s="421"/>
      <c r="C87" s="268"/>
      <c r="D87" s="431"/>
      <c r="E87" s="276"/>
      <c r="F87" s="265"/>
      <c r="G87" s="265"/>
      <c r="H87" s="432"/>
      <c r="I87" s="432"/>
      <c r="J87" s="283"/>
      <c r="K87" s="276"/>
      <c r="L87" s="417" t="str">
        <f t="shared" si="1"/>
        <v/>
      </c>
      <c r="M87" s="425"/>
      <c r="N87" s="426"/>
      <c r="O87" s="427"/>
      <c r="P87" s="425"/>
      <c r="Q87" s="425"/>
      <c r="R87" s="425"/>
      <c r="S87" s="421"/>
      <c r="T87" s="421"/>
      <c r="U87" s="421"/>
      <c r="V87" s="421"/>
      <c r="W87" s="421"/>
      <c r="X87" s="425"/>
      <c r="Y87" s="421"/>
      <c r="Z87" s="421"/>
      <c r="AA87" s="421"/>
      <c r="AB87" s="421"/>
      <c r="AC87" s="421"/>
      <c r="AD87" s="421"/>
      <c r="AE87" s="421"/>
      <c r="AF87" s="421"/>
      <c r="AG87" s="421"/>
      <c r="AH87" s="421"/>
      <c r="AI87" s="421"/>
      <c r="AJ87" s="421"/>
      <c r="AK87" s="421"/>
      <c r="AL87" s="421"/>
      <c r="AM87" s="421"/>
      <c r="AN87" s="421"/>
      <c r="AO87" s="421"/>
      <c r="AP87" s="421"/>
      <c r="AQ87" s="421"/>
      <c r="AR87" s="421"/>
      <c r="AS87" s="421"/>
      <c r="AT87" s="421"/>
      <c r="AU87" s="421"/>
      <c r="AV87" s="421"/>
      <c r="AW87" s="421"/>
      <c r="AX87" s="421"/>
      <c r="AY87" s="421"/>
      <c r="AZ87" s="421"/>
      <c r="BA87" s="421"/>
    </row>
    <row r="88">
      <c r="A88" s="421"/>
      <c r="B88" s="421"/>
      <c r="C88" s="268"/>
      <c r="D88" s="431"/>
      <c r="E88" s="276"/>
      <c r="F88" s="265"/>
      <c r="G88" s="265"/>
      <c r="H88" s="432"/>
      <c r="I88" s="432"/>
      <c r="J88" s="283"/>
      <c r="K88" s="276"/>
      <c r="L88" s="417" t="str">
        <f t="shared" si="1"/>
        <v/>
      </c>
      <c r="M88" s="425"/>
      <c r="N88" s="426"/>
      <c r="O88" s="427"/>
      <c r="P88" s="425"/>
      <c r="Q88" s="425"/>
      <c r="R88" s="425"/>
      <c r="S88" s="421"/>
      <c r="T88" s="421"/>
      <c r="U88" s="421"/>
      <c r="V88" s="421"/>
      <c r="W88" s="421"/>
      <c r="X88" s="425"/>
      <c r="Y88" s="421"/>
      <c r="Z88" s="421"/>
      <c r="AA88" s="421"/>
      <c r="AB88" s="421"/>
      <c r="AC88" s="421"/>
      <c r="AD88" s="421"/>
      <c r="AE88" s="421"/>
      <c r="AF88" s="421"/>
      <c r="AG88" s="421"/>
      <c r="AH88" s="421"/>
      <c r="AI88" s="421"/>
      <c r="AJ88" s="421"/>
      <c r="AK88" s="421"/>
      <c r="AL88" s="421"/>
      <c r="AM88" s="421"/>
      <c r="AN88" s="421"/>
      <c r="AO88" s="421"/>
      <c r="AP88" s="421"/>
      <c r="AQ88" s="421"/>
      <c r="AR88" s="421"/>
      <c r="AS88" s="421"/>
      <c r="AT88" s="421"/>
      <c r="AU88" s="421"/>
      <c r="AV88" s="421"/>
      <c r="AW88" s="421"/>
      <c r="AX88" s="421"/>
      <c r="AY88" s="421"/>
      <c r="AZ88" s="421"/>
      <c r="BA88" s="421"/>
    </row>
    <row r="89">
      <c r="A89" s="421"/>
      <c r="B89" s="421"/>
      <c r="C89" s="268"/>
      <c r="D89" s="431"/>
      <c r="E89" s="276"/>
      <c r="F89" s="265"/>
      <c r="G89" s="265"/>
      <c r="H89" s="432"/>
      <c r="I89" s="432"/>
      <c r="J89" s="283"/>
      <c r="K89" s="276"/>
      <c r="L89" s="417" t="str">
        <f t="shared" si="1"/>
        <v/>
      </c>
      <c r="M89" s="425"/>
      <c r="N89" s="426"/>
      <c r="O89" s="427"/>
      <c r="P89" s="425"/>
      <c r="Q89" s="425"/>
      <c r="R89" s="425"/>
      <c r="S89" s="421"/>
      <c r="T89" s="421"/>
      <c r="U89" s="421"/>
      <c r="V89" s="421"/>
      <c r="W89" s="421"/>
      <c r="X89" s="425"/>
      <c r="Y89" s="421"/>
      <c r="Z89" s="421"/>
      <c r="AA89" s="421"/>
      <c r="AB89" s="421"/>
      <c r="AC89" s="421"/>
      <c r="AD89" s="421"/>
      <c r="AE89" s="421"/>
      <c r="AF89" s="421"/>
      <c r="AG89" s="421"/>
      <c r="AH89" s="421"/>
      <c r="AI89" s="421"/>
      <c r="AJ89" s="421"/>
      <c r="AK89" s="421"/>
      <c r="AL89" s="421"/>
      <c r="AM89" s="421"/>
      <c r="AN89" s="421"/>
      <c r="AO89" s="421"/>
      <c r="AP89" s="421"/>
      <c r="AQ89" s="421"/>
      <c r="AR89" s="421"/>
      <c r="AS89" s="421"/>
      <c r="AT89" s="421"/>
      <c r="AU89" s="421"/>
      <c r="AV89" s="421"/>
      <c r="AW89" s="421"/>
      <c r="AX89" s="421"/>
      <c r="AY89" s="421"/>
      <c r="AZ89" s="421"/>
      <c r="BA89" s="421"/>
    </row>
    <row r="90">
      <c r="A90" s="421"/>
      <c r="B90" s="421"/>
      <c r="C90" s="268"/>
      <c r="D90" s="431"/>
      <c r="E90" s="276"/>
      <c r="F90" s="265"/>
      <c r="G90" s="265"/>
      <c r="H90" s="432"/>
      <c r="I90" s="432"/>
      <c r="J90" s="283"/>
      <c r="K90" s="276"/>
      <c r="L90" s="417" t="str">
        <f t="shared" si="1"/>
        <v/>
      </c>
      <c r="M90" s="425"/>
      <c r="N90" s="426"/>
      <c r="O90" s="427"/>
      <c r="P90" s="425"/>
      <c r="Q90" s="425"/>
      <c r="R90" s="425"/>
      <c r="S90" s="421"/>
      <c r="T90" s="421"/>
      <c r="U90" s="421"/>
      <c r="V90" s="421"/>
      <c r="W90" s="421"/>
      <c r="X90" s="425"/>
      <c r="Y90" s="421"/>
      <c r="Z90" s="421"/>
      <c r="AA90" s="421"/>
      <c r="AB90" s="421"/>
      <c r="AC90" s="421"/>
      <c r="AD90" s="421"/>
      <c r="AE90" s="421"/>
      <c r="AF90" s="421"/>
      <c r="AG90" s="421"/>
      <c r="AH90" s="421"/>
      <c r="AI90" s="421"/>
      <c r="AJ90" s="421"/>
      <c r="AK90" s="421"/>
      <c r="AL90" s="421"/>
      <c r="AM90" s="421"/>
      <c r="AN90" s="421"/>
      <c r="AO90" s="421"/>
      <c r="AP90" s="421"/>
      <c r="AQ90" s="421"/>
      <c r="AR90" s="421"/>
      <c r="AS90" s="421"/>
      <c r="AT90" s="421"/>
      <c r="AU90" s="421"/>
      <c r="AV90" s="421"/>
      <c r="AW90" s="421"/>
      <c r="AX90" s="421"/>
      <c r="AY90" s="421"/>
      <c r="AZ90" s="421"/>
      <c r="BA90" s="421"/>
    </row>
    <row r="91">
      <c r="A91" s="421"/>
      <c r="B91" s="421"/>
      <c r="C91" s="268"/>
      <c r="D91" s="431"/>
      <c r="E91" s="276"/>
      <c r="F91" s="265"/>
      <c r="G91" s="265"/>
      <c r="H91" s="432"/>
      <c r="I91" s="432"/>
      <c r="J91" s="283"/>
      <c r="K91" s="276"/>
      <c r="L91" s="417" t="str">
        <f t="shared" si="1"/>
        <v/>
      </c>
      <c r="M91" s="425"/>
      <c r="N91" s="426"/>
      <c r="O91" s="427"/>
      <c r="P91" s="425"/>
      <c r="Q91" s="425"/>
      <c r="R91" s="425"/>
      <c r="S91" s="421"/>
      <c r="T91" s="421"/>
      <c r="U91" s="421"/>
      <c r="V91" s="421"/>
      <c r="W91" s="421"/>
      <c r="X91" s="425"/>
      <c r="Y91" s="421"/>
      <c r="Z91" s="421"/>
      <c r="AA91" s="421"/>
      <c r="AB91" s="421"/>
      <c r="AC91" s="421"/>
      <c r="AD91" s="421"/>
      <c r="AE91" s="421"/>
      <c r="AF91" s="421"/>
      <c r="AG91" s="421"/>
      <c r="AH91" s="421"/>
      <c r="AI91" s="421"/>
      <c r="AJ91" s="421"/>
      <c r="AK91" s="421"/>
      <c r="AL91" s="421"/>
      <c r="AM91" s="421"/>
      <c r="AN91" s="421"/>
      <c r="AO91" s="421"/>
      <c r="AP91" s="421"/>
      <c r="AQ91" s="421"/>
      <c r="AR91" s="421"/>
      <c r="AS91" s="421"/>
      <c r="AT91" s="421"/>
      <c r="AU91" s="421"/>
      <c r="AV91" s="421"/>
      <c r="AW91" s="421"/>
      <c r="AX91" s="421"/>
      <c r="AY91" s="421"/>
      <c r="AZ91" s="421"/>
      <c r="BA91" s="421"/>
    </row>
    <row r="92">
      <c r="A92" s="421"/>
      <c r="B92" s="421"/>
      <c r="C92" s="268"/>
      <c r="D92" s="431"/>
      <c r="E92" s="276"/>
      <c r="F92" s="265"/>
      <c r="G92" s="265"/>
      <c r="H92" s="432"/>
      <c r="I92" s="432"/>
      <c r="J92" s="283"/>
      <c r="K92" s="276"/>
      <c r="L92" s="417" t="str">
        <f t="shared" si="1"/>
        <v/>
      </c>
      <c r="M92" s="425"/>
      <c r="N92" s="426"/>
      <c r="O92" s="427"/>
      <c r="P92" s="425"/>
      <c r="Q92" s="425"/>
      <c r="R92" s="425"/>
      <c r="S92" s="421"/>
      <c r="T92" s="421"/>
      <c r="U92" s="421"/>
      <c r="V92" s="421"/>
      <c r="W92" s="421"/>
      <c r="X92" s="425"/>
      <c r="Y92" s="421"/>
      <c r="Z92" s="421"/>
      <c r="AA92" s="421"/>
      <c r="AB92" s="421"/>
      <c r="AC92" s="421"/>
      <c r="AD92" s="421"/>
      <c r="AE92" s="421"/>
      <c r="AF92" s="421"/>
      <c r="AG92" s="421"/>
      <c r="AH92" s="421"/>
      <c r="AI92" s="421"/>
      <c r="AJ92" s="421"/>
      <c r="AK92" s="421"/>
      <c r="AL92" s="421"/>
      <c r="AM92" s="421"/>
      <c r="AN92" s="421"/>
      <c r="AO92" s="421"/>
      <c r="AP92" s="421"/>
      <c r="AQ92" s="421"/>
      <c r="AR92" s="421"/>
      <c r="AS92" s="421"/>
      <c r="AT92" s="421"/>
      <c r="AU92" s="421"/>
      <c r="AV92" s="421"/>
      <c r="AW92" s="421"/>
      <c r="AX92" s="421"/>
      <c r="AY92" s="421"/>
      <c r="AZ92" s="421"/>
      <c r="BA92" s="421"/>
    </row>
    <row r="93">
      <c r="A93" s="421"/>
      <c r="B93" s="421"/>
      <c r="C93" s="268"/>
      <c r="D93" s="431"/>
      <c r="E93" s="276"/>
      <c r="F93" s="265"/>
      <c r="G93" s="265"/>
      <c r="H93" s="432"/>
      <c r="I93" s="432"/>
      <c r="J93" s="283"/>
      <c r="K93" s="276"/>
      <c r="L93" s="417" t="str">
        <f t="shared" si="1"/>
        <v/>
      </c>
      <c r="M93" s="425"/>
      <c r="N93" s="426"/>
      <c r="O93" s="427"/>
      <c r="P93" s="425"/>
      <c r="Q93" s="425"/>
      <c r="R93" s="425"/>
      <c r="S93" s="421"/>
      <c r="T93" s="421"/>
      <c r="U93" s="421"/>
      <c r="V93" s="421"/>
      <c r="W93" s="421"/>
      <c r="X93" s="425"/>
      <c r="Y93" s="421"/>
      <c r="Z93" s="421"/>
      <c r="AA93" s="421"/>
      <c r="AB93" s="421"/>
      <c r="AC93" s="421"/>
      <c r="AD93" s="421"/>
      <c r="AE93" s="421"/>
      <c r="AF93" s="421"/>
      <c r="AG93" s="421"/>
      <c r="AH93" s="421"/>
      <c r="AI93" s="421"/>
      <c r="AJ93" s="421"/>
      <c r="AK93" s="421"/>
      <c r="AL93" s="421"/>
      <c r="AM93" s="421"/>
      <c r="AN93" s="421"/>
      <c r="AO93" s="421"/>
      <c r="AP93" s="421"/>
      <c r="AQ93" s="421"/>
      <c r="AR93" s="421"/>
      <c r="AS93" s="421"/>
      <c r="AT93" s="421"/>
      <c r="AU93" s="421"/>
      <c r="AV93" s="421"/>
      <c r="AW93" s="421"/>
      <c r="AX93" s="421"/>
      <c r="AY93" s="421"/>
      <c r="AZ93" s="421"/>
      <c r="BA93" s="421"/>
    </row>
    <row r="94">
      <c r="A94" s="421"/>
      <c r="B94" s="421"/>
      <c r="C94" s="268"/>
      <c r="D94" s="431"/>
      <c r="E94" s="276"/>
      <c r="F94" s="265"/>
      <c r="G94" s="265"/>
      <c r="H94" s="432"/>
      <c r="I94" s="432"/>
      <c r="J94" s="283"/>
      <c r="K94" s="276"/>
      <c r="L94" s="417" t="str">
        <f t="shared" si="1"/>
        <v/>
      </c>
      <c r="M94" s="425"/>
      <c r="N94" s="426"/>
      <c r="O94" s="427"/>
      <c r="P94" s="425"/>
      <c r="Q94" s="425"/>
      <c r="R94" s="425"/>
      <c r="S94" s="421"/>
      <c r="T94" s="421"/>
      <c r="U94" s="421"/>
      <c r="V94" s="421"/>
      <c r="W94" s="421"/>
      <c r="X94" s="425"/>
      <c r="Y94" s="421"/>
      <c r="Z94" s="421"/>
      <c r="AA94" s="421"/>
      <c r="AB94" s="421"/>
      <c r="AC94" s="421"/>
      <c r="AD94" s="421"/>
      <c r="AE94" s="421"/>
      <c r="AF94" s="421"/>
      <c r="AG94" s="421"/>
      <c r="AH94" s="421"/>
      <c r="AI94" s="421"/>
      <c r="AJ94" s="421"/>
      <c r="AK94" s="421"/>
      <c r="AL94" s="421"/>
      <c r="AM94" s="421"/>
      <c r="AN94" s="421"/>
      <c r="AO94" s="421"/>
      <c r="AP94" s="421"/>
      <c r="AQ94" s="421"/>
      <c r="AR94" s="421"/>
      <c r="AS94" s="421"/>
      <c r="AT94" s="421"/>
      <c r="AU94" s="421"/>
      <c r="AV94" s="421"/>
      <c r="AW94" s="421"/>
      <c r="AX94" s="421"/>
      <c r="AY94" s="421"/>
      <c r="AZ94" s="421"/>
      <c r="BA94" s="421"/>
    </row>
    <row r="95">
      <c r="A95" s="421"/>
      <c r="B95" s="421"/>
      <c r="C95" s="268"/>
      <c r="D95" s="431"/>
      <c r="E95" s="276"/>
      <c r="F95" s="265"/>
      <c r="G95" s="265"/>
      <c r="H95" s="432"/>
      <c r="I95" s="432"/>
      <c r="J95" s="283"/>
      <c r="K95" s="276"/>
      <c r="L95" s="417" t="str">
        <f t="shared" si="1"/>
        <v/>
      </c>
      <c r="M95" s="425"/>
      <c r="N95" s="426"/>
      <c r="O95" s="427"/>
      <c r="P95" s="425"/>
      <c r="Q95" s="425"/>
      <c r="R95" s="425"/>
      <c r="S95" s="421"/>
      <c r="T95" s="421"/>
      <c r="U95" s="421"/>
      <c r="V95" s="421"/>
      <c r="W95" s="421"/>
      <c r="X95" s="425"/>
      <c r="Y95" s="421"/>
      <c r="Z95" s="421"/>
      <c r="AA95" s="421"/>
      <c r="AB95" s="421"/>
      <c r="AC95" s="421"/>
      <c r="AD95" s="421"/>
      <c r="AE95" s="421"/>
      <c r="AF95" s="421"/>
      <c r="AG95" s="421"/>
      <c r="AH95" s="421"/>
      <c r="AI95" s="421"/>
      <c r="AJ95" s="421"/>
      <c r="AK95" s="421"/>
      <c r="AL95" s="421"/>
      <c r="AM95" s="421"/>
      <c r="AN95" s="421"/>
      <c r="AO95" s="421"/>
      <c r="AP95" s="421"/>
      <c r="AQ95" s="421"/>
      <c r="AR95" s="421"/>
      <c r="AS95" s="421"/>
      <c r="AT95" s="421"/>
      <c r="AU95" s="421"/>
      <c r="AV95" s="421"/>
      <c r="AW95" s="421"/>
      <c r="AX95" s="421"/>
      <c r="AY95" s="421"/>
      <c r="AZ95" s="421"/>
      <c r="BA95" s="421"/>
    </row>
    <row r="96">
      <c r="A96" s="421"/>
      <c r="B96" s="421"/>
      <c r="C96" s="268"/>
      <c r="D96" s="431"/>
      <c r="E96" s="276"/>
      <c r="F96" s="265"/>
      <c r="G96" s="265"/>
      <c r="H96" s="432"/>
      <c r="I96" s="432"/>
      <c r="J96" s="283"/>
      <c r="K96" s="276"/>
      <c r="L96" s="417" t="str">
        <f t="shared" si="1"/>
        <v/>
      </c>
      <c r="M96" s="425"/>
      <c r="N96" s="426"/>
      <c r="O96" s="427"/>
      <c r="P96" s="425"/>
      <c r="Q96" s="425"/>
      <c r="R96" s="425"/>
      <c r="S96" s="421"/>
      <c r="T96" s="421"/>
      <c r="U96" s="421"/>
      <c r="V96" s="421"/>
      <c r="W96" s="421"/>
      <c r="X96" s="425"/>
      <c r="Y96" s="421"/>
      <c r="Z96" s="421"/>
      <c r="AA96" s="421"/>
      <c r="AB96" s="421"/>
      <c r="AC96" s="421"/>
      <c r="AD96" s="421"/>
      <c r="AE96" s="421"/>
      <c r="AF96" s="421"/>
      <c r="AG96" s="421"/>
      <c r="AH96" s="421"/>
      <c r="AI96" s="421"/>
      <c r="AJ96" s="421"/>
      <c r="AK96" s="421"/>
      <c r="AL96" s="421"/>
      <c r="AM96" s="421"/>
      <c r="AN96" s="421"/>
      <c r="AO96" s="421"/>
      <c r="AP96" s="421"/>
      <c r="AQ96" s="421"/>
      <c r="AR96" s="421"/>
      <c r="AS96" s="421"/>
      <c r="AT96" s="421"/>
      <c r="AU96" s="421"/>
      <c r="AV96" s="421"/>
      <c r="AW96" s="421"/>
      <c r="AX96" s="421"/>
      <c r="AY96" s="421"/>
      <c r="AZ96" s="421"/>
      <c r="BA96" s="421"/>
    </row>
    <row r="97">
      <c r="A97" s="421"/>
      <c r="B97" s="421"/>
      <c r="C97" s="268"/>
      <c r="D97" s="431"/>
      <c r="E97" s="276"/>
      <c r="F97" s="265"/>
      <c r="G97" s="265"/>
      <c r="H97" s="432"/>
      <c r="I97" s="432"/>
      <c r="J97" s="283"/>
      <c r="K97" s="276"/>
      <c r="L97" s="417" t="str">
        <f t="shared" si="1"/>
        <v/>
      </c>
      <c r="M97" s="425"/>
      <c r="N97" s="426"/>
      <c r="O97" s="427"/>
      <c r="P97" s="425"/>
      <c r="Q97" s="425"/>
      <c r="R97" s="425"/>
      <c r="S97" s="421"/>
      <c r="T97" s="421"/>
      <c r="U97" s="421"/>
      <c r="V97" s="421"/>
      <c r="W97" s="421"/>
      <c r="X97" s="425"/>
      <c r="Y97" s="421"/>
      <c r="Z97" s="421"/>
      <c r="AA97" s="421"/>
      <c r="AB97" s="421"/>
      <c r="AC97" s="421"/>
      <c r="AD97" s="421"/>
      <c r="AE97" s="421"/>
      <c r="AF97" s="421"/>
      <c r="AG97" s="421"/>
      <c r="AH97" s="421"/>
      <c r="AI97" s="421"/>
      <c r="AJ97" s="421"/>
      <c r="AK97" s="421"/>
      <c r="AL97" s="421"/>
      <c r="AM97" s="421"/>
      <c r="AN97" s="421"/>
      <c r="AO97" s="421"/>
      <c r="AP97" s="421"/>
      <c r="AQ97" s="421"/>
      <c r="AR97" s="421"/>
      <c r="AS97" s="421"/>
      <c r="AT97" s="421"/>
      <c r="AU97" s="421"/>
      <c r="AV97" s="421"/>
      <c r="AW97" s="421"/>
      <c r="AX97" s="421"/>
      <c r="AY97" s="421"/>
      <c r="AZ97" s="421"/>
      <c r="BA97" s="421"/>
    </row>
    <row r="98">
      <c r="A98" s="421"/>
      <c r="B98" s="421"/>
      <c r="C98" s="268"/>
      <c r="D98" s="431"/>
      <c r="E98" s="276"/>
      <c r="F98" s="265"/>
      <c r="G98" s="265"/>
      <c r="H98" s="432"/>
      <c r="I98" s="432"/>
      <c r="J98" s="283"/>
      <c r="K98" s="276"/>
      <c r="L98" s="417" t="str">
        <f t="shared" si="1"/>
        <v/>
      </c>
      <c r="M98" s="425"/>
      <c r="N98" s="426"/>
      <c r="O98" s="427"/>
      <c r="P98" s="425"/>
      <c r="Q98" s="425"/>
      <c r="R98" s="425"/>
      <c r="S98" s="421"/>
      <c r="T98" s="421"/>
      <c r="U98" s="421"/>
      <c r="V98" s="421"/>
      <c r="W98" s="421"/>
      <c r="X98" s="425"/>
      <c r="Y98" s="421"/>
      <c r="Z98" s="421"/>
      <c r="AA98" s="421"/>
      <c r="AB98" s="421"/>
      <c r="AC98" s="421"/>
      <c r="AD98" s="421"/>
      <c r="AE98" s="421"/>
      <c r="AF98" s="421"/>
      <c r="AG98" s="421"/>
      <c r="AH98" s="421"/>
      <c r="AI98" s="421"/>
      <c r="AJ98" s="421"/>
      <c r="AK98" s="421"/>
      <c r="AL98" s="421"/>
      <c r="AM98" s="421"/>
      <c r="AN98" s="421"/>
      <c r="AO98" s="421"/>
      <c r="AP98" s="421"/>
      <c r="AQ98" s="421"/>
      <c r="AR98" s="421"/>
      <c r="AS98" s="421"/>
      <c r="AT98" s="421"/>
      <c r="AU98" s="421"/>
      <c r="AV98" s="421"/>
      <c r="AW98" s="421"/>
      <c r="AX98" s="421"/>
      <c r="AY98" s="421"/>
      <c r="AZ98" s="421"/>
      <c r="BA98" s="421"/>
    </row>
    <row r="99">
      <c r="A99" s="421"/>
      <c r="B99" s="421"/>
      <c r="C99" s="268"/>
      <c r="D99" s="431"/>
      <c r="E99" s="276"/>
      <c r="F99" s="265"/>
      <c r="G99" s="265"/>
      <c r="H99" s="432"/>
      <c r="I99" s="432"/>
      <c r="J99" s="283"/>
      <c r="K99" s="276"/>
      <c r="L99" s="417" t="str">
        <f t="shared" si="1"/>
        <v/>
      </c>
      <c r="M99" s="425"/>
      <c r="N99" s="426"/>
      <c r="O99" s="427"/>
      <c r="P99" s="425"/>
      <c r="Q99" s="425"/>
      <c r="R99" s="425"/>
      <c r="S99" s="421"/>
      <c r="T99" s="421"/>
      <c r="U99" s="421"/>
      <c r="V99" s="421"/>
      <c r="W99" s="421"/>
      <c r="X99" s="425"/>
      <c r="Y99" s="421"/>
      <c r="Z99" s="421"/>
      <c r="AA99" s="421"/>
      <c r="AB99" s="421"/>
      <c r="AC99" s="421"/>
      <c r="AD99" s="421"/>
      <c r="AE99" s="421"/>
      <c r="AF99" s="421"/>
      <c r="AG99" s="421"/>
      <c r="AH99" s="421"/>
      <c r="AI99" s="421"/>
      <c r="AJ99" s="421"/>
      <c r="AK99" s="421"/>
      <c r="AL99" s="421"/>
      <c r="AM99" s="421"/>
      <c r="AN99" s="421"/>
      <c r="AO99" s="421"/>
      <c r="AP99" s="421"/>
      <c r="AQ99" s="421"/>
      <c r="AR99" s="421"/>
      <c r="AS99" s="421"/>
      <c r="AT99" s="421"/>
      <c r="AU99" s="421"/>
      <c r="AV99" s="421"/>
      <c r="AW99" s="421"/>
      <c r="AX99" s="421"/>
      <c r="AY99" s="421"/>
      <c r="AZ99" s="421"/>
      <c r="BA99" s="421"/>
    </row>
    <row r="100">
      <c r="A100" s="421"/>
      <c r="B100" s="421"/>
      <c r="C100" s="268"/>
      <c r="D100" s="431"/>
      <c r="E100" s="276"/>
      <c r="F100" s="265"/>
      <c r="G100" s="265"/>
      <c r="H100" s="432"/>
      <c r="I100" s="432"/>
      <c r="J100" s="283"/>
      <c r="K100" s="276"/>
      <c r="L100" s="417" t="str">
        <f t="shared" si="1"/>
        <v/>
      </c>
      <c r="M100" s="425"/>
      <c r="N100" s="426"/>
      <c r="O100" s="427"/>
      <c r="P100" s="425"/>
      <c r="Q100" s="425"/>
      <c r="R100" s="425"/>
      <c r="S100" s="421"/>
      <c r="T100" s="421"/>
      <c r="U100" s="421"/>
      <c r="V100" s="421"/>
      <c r="W100" s="421"/>
      <c r="X100" s="425"/>
      <c r="Y100" s="421"/>
      <c r="Z100" s="421"/>
      <c r="AA100" s="421"/>
      <c r="AB100" s="421"/>
      <c r="AC100" s="421"/>
      <c r="AD100" s="421"/>
      <c r="AE100" s="421"/>
      <c r="AF100" s="421"/>
      <c r="AG100" s="421"/>
      <c r="AH100" s="421"/>
      <c r="AI100" s="421"/>
      <c r="AJ100" s="421"/>
      <c r="AK100" s="421"/>
      <c r="AL100" s="421"/>
      <c r="AM100" s="421"/>
      <c r="AN100" s="421"/>
      <c r="AO100" s="421"/>
      <c r="AP100" s="421"/>
      <c r="AQ100" s="421"/>
      <c r="AR100" s="421"/>
      <c r="AS100" s="421"/>
      <c r="AT100" s="421"/>
      <c r="AU100" s="421"/>
      <c r="AV100" s="421"/>
      <c r="AW100" s="421"/>
      <c r="AX100" s="421"/>
      <c r="AY100" s="421"/>
      <c r="AZ100" s="421"/>
      <c r="BA100" s="421"/>
    </row>
    <row r="101">
      <c r="A101" s="421"/>
      <c r="B101" s="421"/>
      <c r="C101" s="268"/>
      <c r="D101" s="431"/>
      <c r="E101" s="276"/>
      <c r="F101" s="265"/>
      <c r="G101" s="265"/>
      <c r="H101" s="432"/>
      <c r="I101" s="432"/>
      <c r="J101" s="283"/>
      <c r="K101" s="276"/>
      <c r="L101" s="417" t="str">
        <f t="shared" si="1"/>
        <v/>
      </c>
      <c r="M101" s="425"/>
      <c r="N101" s="426"/>
      <c r="O101" s="427"/>
      <c r="P101" s="425"/>
      <c r="Q101" s="425"/>
      <c r="R101" s="425"/>
      <c r="S101" s="421"/>
      <c r="T101" s="421"/>
      <c r="U101" s="421"/>
      <c r="V101" s="421"/>
      <c r="W101" s="421"/>
      <c r="X101" s="425"/>
      <c r="Y101" s="421"/>
      <c r="Z101" s="421"/>
      <c r="AA101" s="421"/>
      <c r="AB101" s="421"/>
      <c r="AC101" s="421"/>
      <c r="AD101" s="421"/>
      <c r="AE101" s="421"/>
      <c r="AF101" s="421"/>
      <c r="AG101" s="421"/>
      <c r="AH101" s="421"/>
      <c r="AI101" s="421"/>
      <c r="AJ101" s="421"/>
      <c r="AK101" s="421"/>
      <c r="AL101" s="421"/>
      <c r="AM101" s="421"/>
      <c r="AN101" s="421"/>
      <c r="AO101" s="421"/>
      <c r="AP101" s="421"/>
      <c r="AQ101" s="421"/>
      <c r="AR101" s="421"/>
      <c r="AS101" s="421"/>
      <c r="AT101" s="421"/>
      <c r="AU101" s="421"/>
      <c r="AV101" s="421"/>
      <c r="AW101" s="421"/>
      <c r="AX101" s="421"/>
      <c r="AY101" s="421"/>
      <c r="AZ101" s="421"/>
      <c r="BA101" s="421"/>
    </row>
    <row r="102">
      <c r="A102" s="421"/>
      <c r="B102" s="421"/>
      <c r="C102" s="268"/>
      <c r="D102" s="431"/>
      <c r="E102" s="276"/>
      <c r="F102" s="265"/>
      <c r="G102" s="265"/>
      <c r="H102" s="432"/>
      <c r="I102" s="432"/>
      <c r="J102" s="283"/>
      <c r="K102" s="276"/>
      <c r="L102" s="417" t="str">
        <f t="shared" si="1"/>
        <v/>
      </c>
      <c r="M102" s="425"/>
      <c r="N102" s="426"/>
      <c r="O102" s="427"/>
      <c r="P102" s="425"/>
      <c r="Q102" s="425"/>
      <c r="R102" s="425"/>
      <c r="S102" s="421"/>
      <c r="T102" s="421"/>
      <c r="U102" s="421"/>
      <c r="V102" s="421"/>
      <c r="W102" s="421"/>
      <c r="X102" s="425"/>
      <c r="Y102" s="421"/>
      <c r="Z102" s="421"/>
      <c r="AA102" s="421"/>
      <c r="AB102" s="421"/>
      <c r="AC102" s="421"/>
      <c r="AD102" s="421"/>
      <c r="AE102" s="421"/>
      <c r="AF102" s="421"/>
      <c r="AG102" s="421"/>
      <c r="AH102" s="421"/>
      <c r="AI102" s="421"/>
      <c r="AJ102" s="421"/>
      <c r="AK102" s="421"/>
      <c r="AL102" s="421"/>
      <c r="AM102" s="421"/>
      <c r="AN102" s="421"/>
      <c r="AO102" s="421"/>
      <c r="AP102" s="421"/>
      <c r="AQ102" s="421"/>
      <c r="AR102" s="421"/>
      <c r="AS102" s="421"/>
      <c r="AT102" s="421"/>
      <c r="AU102" s="421"/>
      <c r="AV102" s="421"/>
      <c r="AW102" s="421"/>
      <c r="AX102" s="421"/>
      <c r="AY102" s="421"/>
      <c r="AZ102" s="421"/>
      <c r="BA102" s="421"/>
    </row>
    <row r="103">
      <c r="A103" s="421"/>
      <c r="B103" s="421"/>
      <c r="C103" s="268"/>
      <c r="D103" s="431"/>
      <c r="E103" s="276"/>
      <c r="F103" s="265"/>
      <c r="G103" s="265"/>
      <c r="H103" s="432"/>
      <c r="I103" s="432"/>
      <c r="J103" s="283"/>
      <c r="K103" s="276"/>
      <c r="L103" s="417" t="str">
        <f t="shared" si="1"/>
        <v/>
      </c>
      <c r="M103" s="425"/>
      <c r="N103" s="426"/>
      <c r="O103" s="427"/>
      <c r="P103" s="425"/>
      <c r="Q103" s="425"/>
      <c r="R103" s="425"/>
      <c r="S103" s="421"/>
      <c r="T103" s="421"/>
      <c r="U103" s="421"/>
      <c r="V103" s="421"/>
      <c r="W103" s="421"/>
      <c r="X103" s="425"/>
      <c r="Y103" s="421"/>
      <c r="Z103" s="421"/>
      <c r="AA103" s="421"/>
      <c r="AB103" s="421"/>
      <c r="AC103" s="421"/>
      <c r="AD103" s="421"/>
      <c r="AE103" s="421"/>
      <c r="AF103" s="421"/>
      <c r="AG103" s="421"/>
      <c r="AH103" s="421"/>
      <c r="AI103" s="421"/>
      <c r="AJ103" s="421"/>
      <c r="AK103" s="421"/>
      <c r="AL103" s="421"/>
      <c r="AM103" s="421"/>
      <c r="AN103" s="421"/>
      <c r="AO103" s="421"/>
      <c r="AP103" s="421"/>
      <c r="AQ103" s="421"/>
      <c r="AR103" s="421"/>
      <c r="AS103" s="421"/>
      <c r="AT103" s="421"/>
      <c r="AU103" s="421"/>
      <c r="AV103" s="421"/>
      <c r="AW103" s="421"/>
      <c r="AX103" s="421"/>
      <c r="AY103" s="421"/>
      <c r="AZ103" s="421"/>
      <c r="BA103" s="421"/>
    </row>
    <row r="104">
      <c r="A104" s="421"/>
      <c r="B104" s="421"/>
      <c r="C104" s="268"/>
      <c r="D104" s="431"/>
      <c r="E104" s="276"/>
      <c r="F104" s="265"/>
      <c r="G104" s="265"/>
      <c r="H104" s="432"/>
      <c r="I104" s="432"/>
      <c r="J104" s="283"/>
      <c r="K104" s="276"/>
      <c r="L104" s="417" t="str">
        <f t="shared" si="1"/>
        <v/>
      </c>
      <c r="M104" s="425"/>
      <c r="N104" s="426"/>
      <c r="O104" s="427"/>
      <c r="P104" s="425"/>
      <c r="Q104" s="425"/>
      <c r="R104" s="425"/>
      <c r="S104" s="421"/>
      <c r="T104" s="421"/>
      <c r="U104" s="421"/>
      <c r="V104" s="421"/>
      <c r="W104" s="421"/>
      <c r="X104" s="425"/>
      <c r="Y104" s="421"/>
      <c r="Z104" s="421"/>
      <c r="AA104" s="421"/>
      <c r="AB104" s="421"/>
      <c r="AC104" s="421"/>
      <c r="AD104" s="421"/>
      <c r="AE104" s="421"/>
      <c r="AF104" s="421"/>
      <c r="AG104" s="421"/>
      <c r="AH104" s="421"/>
      <c r="AI104" s="421"/>
      <c r="AJ104" s="421"/>
      <c r="AK104" s="421"/>
      <c r="AL104" s="421"/>
      <c r="AM104" s="421"/>
      <c r="AN104" s="421"/>
      <c r="AO104" s="421"/>
      <c r="AP104" s="421"/>
      <c r="AQ104" s="421"/>
      <c r="AR104" s="421"/>
      <c r="AS104" s="421"/>
      <c r="AT104" s="421"/>
      <c r="AU104" s="421"/>
      <c r="AV104" s="421"/>
      <c r="AW104" s="421"/>
      <c r="AX104" s="421"/>
      <c r="AY104" s="421"/>
      <c r="AZ104" s="421"/>
      <c r="BA104" s="421"/>
    </row>
    <row r="105">
      <c r="A105" s="421"/>
      <c r="B105" s="421"/>
      <c r="C105" s="268"/>
      <c r="D105" s="431"/>
      <c r="E105" s="276"/>
      <c r="F105" s="265"/>
      <c r="G105" s="265"/>
      <c r="H105" s="432"/>
      <c r="I105" s="432"/>
      <c r="J105" s="283"/>
      <c r="K105" s="276"/>
      <c r="L105" s="417" t="str">
        <f t="shared" si="1"/>
        <v/>
      </c>
      <c r="M105" s="425"/>
      <c r="N105" s="426"/>
      <c r="O105" s="427"/>
      <c r="P105" s="425"/>
      <c r="Q105" s="425"/>
      <c r="R105" s="425"/>
      <c r="S105" s="421"/>
      <c r="T105" s="421"/>
      <c r="U105" s="421"/>
      <c r="V105" s="421"/>
      <c r="W105" s="421"/>
      <c r="X105" s="425"/>
      <c r="Y105" s="421"/>
      <c r="Z105" s="421"/>
      <c r="AA105" s="421"/>
      <c r="AB105" s="421"/>
      <c r="AC105" s="421"/>
      <c r="AD105" s="421"/>
      <c r="AE105" s="421"/>
      <c r="AF105" s="421"/>
      <c r="AG105" s="421"/>
      <c r="AH105" s="421"/>
      <c r="AI105" s="421"/>
      <c r="AJ105" s="421"/>
      <c r="AK105" s="421"/>
      <c r="AL105" s="421"/>
      <c r="AM105" s="421"/>
      <c r="AN105" s="421"/>
      <c r="AO105" s="421"/>
      <c r="AP105" s="421"/>
      <c r="AQ105" s="421"/>
      <c r="AR105" s="421"/>
      <c r="AS105" s="421"/>
      <c r="AT105" s="421"/>
      <c r="AU105" s="421"/>
      <c r="AV105" s="421"/>
      <c r="AW105" s="421"/>
      <c r="AX105" s="421"/>
      <c r="AY105" s="421"/>
      <c r="AZ105" s="421"/>
      <c r="BA105" s="421"/>
    </row>
    <row r="106">
      <c r="A106" s="421"/>
      <c r="B106" s="421"/>
      <c r="C106" s="268"/>
      <c r="D106" s="431"/>
      <c r="E106" s="276"/>
      <c r="F106" s="265"/>
      <c r="G106" s="265"/>
      <c r="H106" s="432"/>
      <c r="I106" s="432"/>
      <c r="J106" s="283"/>
      <c r="K106" s="276"/>
      <c r="L106" s="417" t="str">
        <f t="shared" si="1"/>
        <v/>
      </c>
      <c r="M106" s="425"/>
      <c r="N106" s="426"/>
      <c r="O106" s="427"/>
      <c r="P106" s="425"/>
      <c r="Q106" s="425"/>
      <c r="R106" s="425"/>
      <c r="S106" s="421"/>
      <c r="T106" s="421"/>
      <c r="U106" s="421"/>
      <c r="V106" s="421"/>
      <c r="W106" s="421"/>
      <c r="X106" s="425"/>
      <c r="Y106" s="421"/>
      <c r="Z106" s="421"/>
      <c r="AA106" s="421"/>
      <c r="AB106" s="421"/>
      <c r="AC106" s="421"/>
      <c r="AD106" s="421"/>
      <c r="AE106" s="421"/>
      <c r="AF106" s="421"/>
      <c r="AG106" s="421"/>
      <c r="AH106" s="421"/>
      <c r="AI106" s="421"/>
      <c r="AJ106" s="421"/>
      <c r="AK106" s="421"/>
      <c r="AL106" s="421"/>
      <c r="AM106" s="421"/>
      <c r="AN106" s="421"/>
      <c r="AO106" s="421"/>
      <c r="AP106" s="421"/>
      <c r="AQ106" s="421"/>
      <c r="AR106" s="421"/>
      <c r="AS106" s="421"/>
      <c r="AT106" s="421"/>
      <c r="AU106" s="421"/>
      <c r="AV106" s="421"/>
      <c r="AW106" s="421"/>
      <c r="AX106" s="421"/>
      <c r="AY106" s="421"/>
      <c r="AZ106" s="421"/>
      <c r="BA106" s="421"/>
    </row>
    <row r="107">
      <c r="A107" s="421"/>
      <c r="B107" s="421"/>
      <c r="C107" s="268"/>
      <c r="D107" s="431"/>
      <c r="E107" s="276"/>
      <c r="F107" s="265"/>
      <c r="G107" s="265"/>
      <c r="H107" s="432"/>
      <c r="I107" s="432"/>
      <c r="J107" s="283"/>
      <c r="K107" s="276"/>
      <c r="L107" s="417" t="str">
        <f t="shared" si="1"/>
        <v/>
      </c>
      <c r="M107" s="425"/>
      <c r="N107" s="426"/>
      <c r="O107" s="427"/>
      <c r="P107" s="425"/>
      <c r="Q107" s="425"/>
      <c r="R107" s="425"/>
      <c r="S107" s="421"/>
      <c r="T107" s="421"/>
      <c r="U107" s="421"/>
      <c r="V107" s="421"/>
      <c r="W107" s="421"/>
      <c r="X107" s="425"/>
      <c r="Y107" s="421"/>
      <c r="Z107" s="421"/>
      <c r="AA107" s="421"/>
      <c r="AB107" s="421"/>
      <c r="AC107" s="421"/>
      <c r="AD107" s="421"/>
      <c r="AE107" s="421"/>
      <c r="AF107" s="421"/>
      <c r="AG107" s="421"/>
      <c r="AH107" s="421"/>
      <c r="AI107" s="421"/>
      <c r="AJ107" s="421"/>
      <c r="AK107" s="421"/>
      <c r="AL107" s="421"/>
      <c r="AM107" s="421"/>
      <c r="AN107" s="421"/>
      <c r="AO107" s="421"/>
      <c r="AP107" s="421"/>
      <c r="AQ107" s="421"/>
      <c r="AR107" s="421"/>
      <c r="AS107" s="421"/>
      <c r="AT107" s="421"/>
      <c r="AU107" s="421"/>
      <c r="AV107" s="421"/>
      <c r="AW107" s="421"/>
      <c r="AX107" s="421"/>
      <c r="AY107" s="421"/>
      <c r="AZ107" s="421"/>
      <c r="BA107" s="421"/>
    </row>
    <row r="108">
      <c r="A108" s="421"/>
      <c r="B108" s="421"/>
      <c r="C108" s="268"/>
      <c r="D108" s="431"/>
      <c r="E108" s="276"/>
      <c r="F108" s="265"/>
      <c r="G108" s="265"/>
      <c r="H108" s="432"/>
      <c r="I108" s="432"/>
      <c r="J108" s="283"/>
      <c r="K108" s="276"/>
      <c r="L108" s="417" t="str">
        <f t="shared" si="1"/>
        <v/>
      </c>
      <c r="M108" s="425"/>
      <c r="N108" s="426"/>
      <c r="O108" s="427"/>
      <c r="P108" s="425"/>
      <c r="Q108" s="425"/>
      <c r="R108" s="425"/>
      <c r="S108" s="421"/>
      <c r="T108" s="421"/>
      <c r="U108" s="421"/>
      <c r="V108" s="421"/>
      <c r="W108" s="421"/>
      <c r="X108" s="425"/>
      <c r="Y108" s="421"/>
      <c r="Z108" s="421"/>
      <c r="AA108" s="421"/>
      <c r="AB108" s="421"/>
      <c r="AC108" s="421"/>
      <c r="AD108" s="421"/>
      <c r="AE108" s="421"/>
      <c r="AF108" s="421"/>
      <c r="AG108" s="421"/>
      <c r="AH108" s="421"/>
      <c r="AI108" s="421"/>
      <c r="AJ108" s="421"/>
      <c r="AK108" s="421"/>
      <c r="AL108" s="421"/>
      <c r="AM108" s="421"/>
      <c r="AN108" s="421"/>
      <c r="AO108" s="421"/>
      <c r="AP108" s="421"/>
      <c r="AQ108" s="421"/>
      <c r="AR108" s="421"/>
      <c r="AS108" s="421"/>
      <c r="AT108" s="421"/>
      <c r="AU108" s="421"/>
      <c r="AV108" s="421"/>
      <c r="AW108" s="421"/>
      <c r="AX108" s="421"/>
      <c r="AY108" s="421"/>
      <c r="AZ108" s="421"/>
      <c r="BA108" s="421"/>
    </row>
    <row r="109">
      <c r="A109" s="421"/>
      <c r="B109" s="421"/>
      <c r="C109" s="268"/>
      <c r="D109" s="431"/>
      <c r="E109" s="276"/>
      <c r="F109" s="265"/>
      <c r="G109" s="265"/>
      <c r="H109" s="432"/>
      <c r="I109" s="432"/>
      <c r="J109" s="283"/>
      <c r="K109" s="276"/>
      <c r="L109" s="417" t="str">
        <f t="shared" si="1"/>
        <v/>
      </c>
      <c r="M109" s="425"/>
      <c r="N109" s="426"/>
      <c r="O109" s="427"/>
      <c r="P109" s="425"/>
      <c r="Q109" s="425"/>
      <c r="R109" s="425"/>
      <c r="S109" s="421"/>
      <c r="T109" s="421"/>
      <c r="U109" s="421"/>
      <c r="V109" s="421"/>
      <c r="W109" s="421"/>
      <c r="X109" s="425"/>
      <c r="Y109" s="421"/>
      <c r="Z109" s="421"/>
      <c r="AA109" s="421"/>
      <c r="AB109" s="421"/>
      <c r="AC109" s="421"/>
      <c r="AD109" s="421"/>
      <c r="AE109" s="421"/>
      <c r="AF109" s="421"/>
      <c r="AG109" s="421"/>
      <c r="AH109" s="421"/>
      <c r="AI109" s="421"/>
      <c r="AJ109" s="421"/>
      <c r="AK109" s="421"/>
      <c r="AL109" s="421"/>
      <c r="AM109" s="421"/>
      <c r="AN109" s="421"/>
      <c r="AO109" s="421"/>
      <c r="AP109" s="421"/>
      <c r="AQ109" s="421"/>
      <c r="AR109" s="421"/>
      <c r="AS109" s="421"/>
      <c r="AT109" s="421"/>
      <c r="AU109" s="421"/>
      <c r="AV109" s="421"/>
      <c r="AW109" s="421"/>
      <c r="AX109" s="421"/>
      <c r="AY109" s="421"/>
      <c r="AZ109" s="421"/>
      <c r="BA109" s="421"/>
    </row>
    <row r="110">
      <c r="A110" s="421"/>
      <c r="B110" s="421"/>
      <c r="C110" s="268"/>
      <c r="D110" s="431"/>
      <c r="E110" s="276"/>
      <c r="F110" s="265"/>
      <c r="G110" s="265"/>
      <c r="H110" s="432"/>
      <c r="I110" s="432"/>
      <c r="J110" s="283"/>
      <c r="K110" s="276"/>
      <c r="L110" s="417" t="str">
        <f t="shared" si="1"/>
        <v/>
      </c>
      <c r="M110" s="425"/>
      <c r="N110" s="426"/>
      <c r="O110" s="427"/>
      <c r="P110" s="425"/>
      <c r="Q110" s="425"/>
      <c r="R110" s="425"/>
      <c r="S110" s="421"/>
      <c r="T110" s="421"/>
      <c r="U110" s="421"/>
      <c r="V110" s="421"/>
      <c r="W110" s="421"/>
      <c r="X110" s="425"/>
      <c r="Y110" s="421"/>
      <c r="Z110" s="421"/>
      <c r="AA110" s="421"/>
      <c r="AB110" s="421"/>
      <c r="AC110" s="421"/>
      <c r="AD110" s="421"/>
      <c r="AE110" s="421"/>
      <c r="AF110" s="421"/>
      <c r="AG110" s="421"/>
      <c r="AH110" s="421"/>
      <c r="AI110" s="421"/>
      <c r="AJ110" s="421"/>
      <c r="AK110" s="421"/>
      <c r="AL110" s="421"/>
      <c r="AM110" s="421"/>
      <c r="AN110" s="421"/>
      <c r="AO110" s="421"/>
      <c r="AP110" s="421"/>
      <c r="AQ110" s="421"/>
      <c r="AR110" s="421"/>
      <c r="AS110" s="421"/>
      <c r="AT110" s="421"/>
      <c r="AU110" s="421"/>
      <c r="AV110" s="421"/>
      <c r="AW110" s="421"/>
      <c r="AX110" s="421"/>
      <c r="AY110" s="421"/>
      <c r="AZ110" s="421"/>
      <c r="BA110" s="421"/>
    </row>
    <row r="111">
      <c r="A111" s="421"/>
      <c r="B111" s="421"/>
      <c r="C111" s="268"/>
      <c r="D111" s="431"/>
      <c r="E111" s="276"/>
      <c r="F111" s="265"/>
      <c r="G111" s="265"/>
      <c r="H111" s="432"/>
      <c r="I111" s="432"/>
      <c r="J111" s="283"/>
      <c r="K111" s="276"/>
      <c r="L111" s="417" t="str">
        <f t="shared" si="1"/>
        <v/>
      </c>
      <c r="M111" s="425"/>
      <c r="N111" s="426"/>
      <c r="O111" s="427"/>
      <c r="P111" s="425"/>
      <c r="Q111" s="425"/>
      <c r="R111" s="425"/>
      <c r="S111" s="421"/>
      <c r="T111" s="421"/>
      <c r="U111" s="421"/>
      <c r="V111" s="421"/>
      <c r="W111" s="421"/>
      <c r="X111" s="425"/>
      <c r="Y111" s="421"/>
      <c r="Z111" s="421"/>
      <c r="AA111" s="421"/>
      <c r="AB111" s="421"/>
      <c r="AC111" s="421"/>
      <c r="AD111" s="421"/>
      <c r="AE111" s="421"/>
      <c r="AF111" s="421"/>
      <c r="AG111" s="421"/>
      <c r="AH111" s="421"/>
      <c r="AI111" s="421"/>
      <c r="AJ111" s="421"/>
      <c r="AK111" s="421"/>
      <c r="AL111" s="421"/>
      <c r="AM111" s="421"/>
      <c r="AN111" s="421"/>
      <c r="AO111" s="421"/>
      <c r="AP111" s="421"/>
      <c r="AQ111" s="421"/>
      <c r="AR111" s="421"/>
      <c r="AS111" s="421"/>
      <c r="AT111" s="421"/>
      <c r="AU111" s="421"/>
      <c r="AV111" s="421"/>
      <c r="AW111" s="421"/>
      <c r="AX111" s="421"/>
      <c r="AY111" s="421"/>
      <c r="AZ111" s="421"/>
      <c r="BA111" s="421"/>
    </row>
    <row r="112">
      <c r="A112" s="421"/>
      <c r="B112" s="421"/>
      <c r="C112" s="268"/>
      <c r="D112" s="431"/>
      <c r="E112" s="276"/>
      <c r="F112" s="265"/>
      <c r="G112" s="265"/>
      <c r="H112" s="432"/>
      <c r="I112" s="432"/>
      <c r="J112" s="283"/>
      <c r="K112" s="276"/>
      <c r="L112" s="417" t="str">
        <f t="shared" si="1"/>
        <v/>
      </c>
      <c r="M112" s="425"/>
      <c r="N112" s="426"/>
      <c r="O112" s="427"/>
      <c r="P112" s="425"/>
      <c r="Q112" s="425"/>
      <c r="R112" s="425"/>
      <c r="S112" s="421"/>
      <c r="T112" s="421"/>
      <c r="U112" s="421"/>
      <c r="V112" s="421"/>
      <c r="W112" s="421"/>
      <c r="X112" s="425"/>
      <c r="Y112" s="421"/>
      <c r="Z112" s="421"/>
      <c r="AA112" s="421"/>
      <c r="AB112" s="421"/>
      <c r="AC112" s="421"/>
      <c r="AD112" s="421"/>
      <c r="AE112" s="421"/>
      <c r="AF112" s="421"/>
      <c r="AG112" s="421"/>
      <c r="AH112" s="421"/>
      <c r="AI112" s="421"/>
      <c r="AJ112" s="421"/>
      <c r="AK112" s="421"/>
      <c r="AL112" s="421"/>
      <c r="AM112" s="421"/>
      <c r="AN112" s="421"/>
      <c r="AO112" s="421"/>
      <c r="AP112" s="421"/>
      <c r="AQ112" s="421"/>
      <c r="AR112" s="421"/>
      <c r="AS112" s="421"/>
      <c r="AT112" s="421"/>
      <c r="AU112" s="421"/>
      <c r="AV112" s="421"/>
      <c r="AW112" s="421"/>
      <c r="AX112" s="421"/>
      <c r="AY112" s="421"/>
      <c r="AZ112" s="421"/>
      <c r="BA112" s="421"/>
    </row>
    <row r="113">
      <c r="A113" s="421"/>
      <c r="B113" s="421"/>
      <c r="C113" s="268"/>
      <c r="D113" s="431"/>
      <c r="E113" s="276"/>
      <c r="F113" s="265"/>
      <c r="G113" s="265"/>
      <c r="H113" s="432"/>
      <c r="I113" s="432"/>
      <c r="J113" s="283"/>
      <c r="K113" s="276"/>
      <c r="L113" s="417" t="str">
        <f t="shared" si="1"/>
        <v/>
      </c>
      <c r="M113" s="425"/>
      <c r="N113" s="426"/>
      <c r="O113" s="427"/>
      <c r="P113" s="425"/>
      <c r="Q113" s="425"/>
      <c r="R113" s="425"/>
      <c r="S113" s="421"/>
      <c r="T113" s="421"/>
      <c r="U113" s="421"/>
      <c r="V113" s="421"/>
      <c r="W113" s="421"/>
      <c r="X113" s="425"/>
      <c r="Y113" s="421"/>
      <c r="Z113" s="421"/>
      <c r="AA113" s="421"/>
      <c r="AB113" s="421"/>
      <c r="AC113" s="421"/>
      <c r="AD113" s="421"/>
      <c r="AE113" s="421"/>
      <c r="AF113" s="421"/>
      <c r="AG113" s="421"/>
      <c r="AH113" s="421"/>
      <c r="AI113" s="421"/>
      <c r="AJ113" s="421"/>
      <c r="AK113" s="421"/>
      <c r="AL113" s="421"/>
      <c r="AM113" s="421"/>
      <c r="AN113" s="421"/>
      <c r="AO113" s="421"/>
      <c r="AP113" s="421"/>
      <c r="AQ113" s="421"/>
      <c r="AR113" s="421"/>
      <c r="AS113" s="421"/>
      <c r="AT113" s="421"/>
      <c r="AU113" s="421"/>
      <c r="AV113" s="421"/>
      <c r="AW113" s="421"/>
      <c r="AX113" s="421"/>
      <c r="AY113" s="421"/>
      <c r="AZ113" s="421"/>
      <c r="BA113" s="421"/>
    </row>
    <row r="114">
      <c r="A114" s="421"/>
      <c r="B114" s="421"/>
      <c r="C114" s="268"/>
      <c r="D114" s="431"/>
      <c r="E114" s="276"/>
      <c r="F114" s="265"/>
      <c r="G114" s="265"/>
      <c r="H114" s="432"/>
      <c r="I114" s="432"/>
      <c r="J114" s="283"/>
      <c r="K114" s="276"/>
      <c r="L114" s="417" t="str">
        <f t="shared" si="1"/>
        <v/>
      </c>
      <c r="M114" s="425"/>
      <c r="N114" s="426"/>
      <c r="O114" s="427"/>
      <c r="P114" s="425"/>
      <c r="Q114" s="425"/>
      <c r="R114" s="425"/>
      <c r="S114" s="421"/>
      <c r="T114" s="421"/>
      <c r="U114" s="421"/>
      <c r="V114" s="421"/>
      <c r="W114" s="421"/>
      <c r="X114" s="425"/>
      <c r="Y114" s="421"/>
      <c r="Z114" s="421"/>
      <c r="AA114" s="421"/>
      <c r="AB114" s="421"/>
      <c r="AC114" s="421"/>
      <c r="AD114" s="421"/>
      <c r="AE114" s="421"/>
      <c r="AF114" s="421"/>
      <c r="AG114" s="421"/>
      <c r="AH114" s="421"/>
      <c r="AI114" s="421"/>
      <c r="AJ114" s="421"/>
      <c r="AK114" s="421"/>
      <c r="AL114" s="421"/>
      <c r="AM114" s="421"/>
      <c r="AN114" s="421"/>
      <c r="AO114" s="421"/>
      <c r="AP114" s="421"/>
      <c r="AQ114" s="421"/>
      <c r="AR114" s="421"/>
      <c r="AS114" s="421"/>
      <c r="AT114" s="421"/>
      <c r="AU114" s="421"/>
      <c r="AV114" s="421"/>
      <c r="AW114" s="421"/>
      <c r="AX114" s="421"/>
      <c r="AY114" s="421"/>
      <c r="AZ114" s="421"/>
      <c r="BA114" s="421"/>
    </row>
    <row r="115">
      <c r="A115" s="421"/>
      <c r="B115" s="421"/>
      <c r="C115" s="268"/>
      <c r="D115" s="431"/>
      <c r="E115" s="276"/>
      <c r="F115" s="265"/>
      <c r="G115" s="265"/>
      <c r="H115" s="432"/>
      <c r="I115" s="432"/>
      <c r="J115" s="283"/>
      <c r="K115" s="276"/>
      <c r="L115" s="417" t="str">
        <f t="shared" si="1"/>
        <v/>
      </c>
      <c r="M115" s="425"/>
      <c r="N115" s="426"/>
      <c r="O115" s="427"/>
      <c r="P115" s="425"/>
      <c r="Q115" s="425"/>
      <c r="R115" s="425"/>
      <c r="S115" s="421"/>
      <c r="T115" s="421"/>
      <c r="U115" s="421"/>
      <c r="V115" s="421"/>
      <c r="W115" s="421"/>
      <c r="X115" s="425"/>
      <c r="Y115" s="421"/>
      <c r="Z115" s="421"/>
      <c r="AA115" s="421"/>
      <c r="AB115" s="421"/>
      <c r="AC115" s="421"/>
      <c r="AD115" s="421"/>
      <c r="AE115" s="421"/>
      <c r="AF115" s="421"/>
      <c r="AG115" s="421"/>
      <c r="AH115" s="421"/>
      <c r="AI115" s="421"/>
      <c r="AJ115" s="421"/>
      <c r="AK115" s="421"/>
      <c r="AL115" s="421"/>
      <c r="AM115" s="421"/>
      <c r="AN115" s="421"/>
      <c r="AO115" s="421"/>
      <c r="AP115" s="421"/>
      <c r="AQ115" s="421"/>
      <c r="AR115" s="421"/>
      <c r="AS115" s="421"/>
      <c r="AT115" s="421"/>
      <c r="AU115" s="421"/>
      <c r="AV115" s="421"/>
      <c r="AW115" s="421"/>
      <c r="AX115" s="421"/>
      <c r="AY115" s="421"/>
      <c r="AZ115" s="421"/>
      <c r="BA115" s="421"/>
    </row>
    <row r="116">
      <c r="A116" s="421"/>
      <c r="B116" s="421"/>
      <c r="C116" s="268"/>
      <c r="D116" s="431"/>
      <c r="E116" s="276"/>
      <c r="F116" s="265"/>
      <c r="G116" s="265"/>
      <c r="H116" s="432"/>
      <c r="I116" s="432"/>
      <c r="J116" s="283"/>
      <c r="K116" s="276"/>
      <c r="L116" s="417" t="str">
        <f t="shared" si="1"/>
        <v/>
      </c>
      <c r="M116" s="425"/>
      <c r="N116" s="426"/>
      <c r="O116" s="427"/>
      <c r="P116" s="425"/>
      <c r="Q116" s="425"/>
      <c r="R116" s="425"/>
      <c r="S116" s="421"/>
      <c r="T116" s="421"/>
      <c r="U116" s="421"/>
      <c r="V116" s="421"/>
      <c r="W116" s="421"/>
      <c r="X116" s="425"/>
      <c r="Y116" s="421"/>
      <c r="Z116" s="421"/>
      <c r="AA116" s="421"/>
      <c r="AB116" s="421"/>
      <c r="AC116" s="421"/>
      <c r="AD116" s="421"/>
      <c r="AE116" s="421"/>
      <c r="AF116" s="421"/>
      <c r="AG116" s="421"/>
      <c r="AH116" s="421"/>
      <c r="AI116" s="421"/>
      <c r="AJ116" s="421"/>
      <c r="AK116" s="421"/>
      <c r="AL116" s="421"/>
      <c r="AM116" s="421"/>
      <c r="AN116" s="421"/>
      <c r="AO116" s="421"/>
      <c r="AP116" s="421"/>
      <c r="AQ116" s="421"/>
      <c r="AR116" s="421"/>
      <c r="AS116" s="421"/>
      <c r="AT116" s="421"/>
      <c r="AU116" s="421"/>
      <c r="AV116" s="421"/>
      <c r="AW116" s="421"/>
      <c r="AX116" s="421"/>
      <c r="AY116" s="421"/>
      <c r="AZ116" s="421"/>
      <c r="BA116" s="421"/>
    </row>
    <row r="117">
      <c r="A117" s="421"/>
      <c r="B117" s="421"/>
      <c r="C117" s="268"/>
      <c r="D117" s="431"/>
      <c r="E117" s="276"/>
      <c r="F117" s="265"/>
      <c r="G117" s="265"/>
      <c r="H117" s="432"/>
      <c r="I117" s="432"/>
      <c r="J117" s="283"/>
      <c r="K117" s="276"/>
      <c r="L117" s="417" t="str">
        <f t="shared" si="1"/>
        <v/>
      </c>
      <c r="M117" s="425"/>
      <c r="N117" s="426"/>
      <c r="O117" s="427"/>
      <c r="P117" s="425"/>
      <c r="Q117" s="425"/>
      <c r="R117" s="425"/>
      <c r="S117" s="421"/>
      <c r="T117" s="421"/>
      <c r="U117" s="421"/>
      <c r="V117" s="421"/>
      <c r="W117" s="421"/>
      <c r="X117" s="425"/>
      <c r="Y117" s="421"/>
      <c r="Z117" s="421"/>
      <c r="AA117" s="421"/>
      <c r="AB117" s="421"/>
      <c r="AC117" s="421"/>
      <c r="AD117" s="421"/>
      <c r="AE117" s="421"/>
      <c r="AF117" s="421"/>
      <c r="AG117" s="421"/>
      <c r="AH117" s="421"/>
      <c r="AI117" s="421"/>
      <c r="AJ117" s="421"/>
      <c r="AK117" s="421"/>
      <c r="AL117" s="421"/>
      <c r="AM117" s="421"/>
      <c r="AN117" s="421"/>
      <c r="AO117" s="421"/>
      <c r="AP117" s="421"/>
      <c r="AQ117" s="421"/>
      <c r="AR117" s="421"/>
      <c r="AS117" s="421"/>
      <c r="AT117" s="421"/>
      <c r="AU117" s="421"/>
      <c r="AV117" s="421"/>
      <c r="AW117" s="421"/>
      <c r="AX117" s="421"/>
      <c r="AY117" s="421"/>
      <c r="AZ117" s="421"/>
      <c r="BA117" s="421"/>
    </row>
    <row r="118">
      <c r="A118" s="421"/>
      <c r="B118" s="421"/>
      <c r="C118" s="268"/>
      <c r="D118" s="431"/>
      <c r="E118" s="276"/>
      <c r="F118" s="265"/>
      <c r="G118" s="265"/>
      <c r="H118" s="432"/>
      <c r="I118" s="432"/>
      <c r="J118" s="283"/>
      <c r="K118" s="276"/>
      <c r="L118" s="417" t="str">
        <f t="shared" si="1"/>
        <v/>
      </c>
      <c r="M118" s="425"/>
      <c r="N118" s="426"/>
      <c r="O118" s="427"/>
      <c r="P118" s="425"/>
      <c r="Q118" s="425"/>
      <c r="R118" s="425"/>
      <c r="S118" s="421"/>
      <c r="T118" s="421"/>
      <c r="U118" s="421"/>
      <c r="V118" s="421"/>
      <c r="W118" s="421"/>
      <c r="X118" s="425"/>
      <c r="Y118" s="421"/>
      <c r="Z118" s="421"/>
      <c r="AA118" s="421"/>
      <c r="AB118" s="421"/>
      <c r="AC118" s="421"/>
      <c r="AD118" s="421"/>
      <c r="AE118" s="421"/>
      <c r="AF118" s="421"/>
      <c r="AG118" s="421"/>
      <c r="AH118" s="421"/>
      <c r="AI118" s="421"/>
      <c r="AJ118" s="421"/>
      <c r="AK118" s="421"/>
      <c r="AL118" s="421"/>
      <c r="AM118" s="421"/>
      <c r="AN118" s="421"/>
      <c r="AO118" s="421"/>
      <c r="AP118" s="421"/>
      <c r="AQ118" s="421"/>
      <c r="AR118" s="421"/>
      <c r="AS118" s="421"/>
      <c r="AT118" s="421"/>
      <c r="AU118" s="421"/>
      <c r="AV118" s="421"/>
      <c r="AW118" s="421"/>
      <c r="AX118" s="421"/>
      <c r="AY118" s="421"/>
      <c r="AZ118" s="421"/>
      <c r="BA118" s="421"/>
    </row>
    <row r="119">
      <c r="A119" s="421"/>
      <c r="B119" s="421"/>
      <c r="C119" s="268"/>
      <c r="D119" s="431"/>
      <c r="E119" s="276"/>
      <c r="F119" s="265"/>
      <c r="G119" s="265"/>
      <c r="H119" s="432"/>
      <c r="I119" s="432"/>
      <c r="J119" s="283"/>
      <c r="K119" s="276"/>
      <c r="L119" s="417" t="str">
        <f t="shared" si="1"/>
        <v/>
      </c>
      <c r="M119" s="425"/>
      <c r="N119" s="426"/>
      <c r="O119" s="427"/>
      <c r="P119" s="425"/>
      <c r="Q119" s="425"/>
      <c r="R119" s="425"/>
      <c r="S119" s="421"/>
      <c r="T119" s="421"/>
      <c r="U119" s="421"/>
      <c r="V119" s="421"/>
      <c r="W119" s="421"/>
      <c r="X119" s="425"/>
      <c r="Y119" s="421"/>
      <c r="Z119" s="421"/>
      <c r="AA119" s="421"/>
      <c r="AB119" s="421"/>
      <c r="AC119" s="421"/>
      <c r="AD119" s="421"/>
      <c r="AE119" s="421"/>
      <c r="AF119" s="421"/>
      <c r="AG119" s="421"/>
      <c r="AH119" s="421"/>
      <c r="AI119" s="421"/>
      <c r="AJ119" s="421"/>
      <c r="AK119" s="421"/>
      <c r="AL119" s="421"/>
      <c r="AM119" s="421"/>
      <c r="AN119" s="421"/>
      <c r="AO119" s="421"/>
      <c r="AP119" s="421"/>
      <c r="AQ119" s="421"/>
      <c r="AR119" s="421"/>
      <c r="AS119" s="421"/>
      <c r="AT119" s="421"/>
      <c r="AU119" s="421"/>
      <c r="AV119" s="421"/>
      <c r="AW119" s="421"/>
      <c r="AX119" s="421"/>
      <c r="AY119" s="421"/>
      <c r="AZ119" s="421"/>
      <c r="BA119" s="421"/>
    </row>
    <row r="120">
      <c r="A120" s="421"/>
      <c r="B120" s="421"/>
      <c r="C120" s="268"/>
      <c r="D120" s="431"/>
      <c r="E120" s="276"/>
      <c r="F120" s="265"/>
      <c r="G120" s="265"/>
      <c r="H120" s="432"/>
      <c r="I120" s="432"/>
      <c r="J120" s="283"/>
      <c r="K120" s="276"/>
      <c r="L120" s="417" t="str">
        <f t="shared" si="1"/>
        <v/>
      </c>
      <c r="M120" s="425"/>
      <c r="N120" s="426"/>
      <c r="O120" s="427"/>
      <c r="P120" s="425"/>
      <c r="Q120" s="425"/>
      <c r="R120" s="425"/>
      <c r="S120" s="421"/>
      <c r="T120" s="421"/>
      <c r="U120" s="421"/>
      <c r="V120" s="421"/>
      <c r="W120" s="421"/>
      <c r="X120" s="425"/>
      <c r="Y120" s="421"/>
      <c r="Z120" s="421"/>
      <c r="AA120" s="421"/>
      <c r="AB120" s="421"/>
      <c r="AC120" s="421"/>
      <c r="AD120" s="421"/>
      <c r="AE120" s="421"/>
      <c r="AF120" s="421"/>
      <c r="AG120" s="421"/>
      <c r="AH120" s="421"/>
      <c r="AI120" s="421"/>
      <c r="AJ120" s="421"/>
      <c r="AK120" s="421"/>
      <c r="AL120" s="421"/>
      <c r="AM120" s="421"/>
      <c r="AN120" s="421"/>
      <c r="AO120" s="421"/>
      <c r="AP120" s="421"/>
      <c r="AQ120" s="421"/>
      <c r="AR120" s="421"/>
      <c r="AS120" s="421"/>
      <c r="AT120" s="421"/>
      <c r="AU120" s="421"/>
      <c r="AV120" s="421"/>
      <c r="AW120" s="421"/>
      <c r="AX120" s="421"/>
      <c r="AY120" s="421"/>
      <c r="AZ120" s="421"/>
      <c r="BA120" s="421"/>
    </row>
    <row r="121">
      <c r="A121" s="421"/>
      <c r="B121" s="421"/>
      <c r="C121" s="268"/>
      <c r="D121" s="431"/>
      <c r="E121" s="276"/>
      <c r="F121" s="265"/>
      <c r="G121" s="265"/>
      <c r="H121" s="432"/>
      <c r="I121" s="432"/>
      <c r="J121" s="283"/>
      <c r="K121" s="276"/>
      <c r="L121" s="417" t="str">
        <f t="shared" si="1"/>
        <v/>
      </c>
      <c r="M121" s="425"/>
      <c r="N121" s="426"/>
      <c r="O121" s="427"/>
      <c r="P121" s="425"/>
      <c r="Q121" s="425"/>
      <c r="R121" s="425"/>
      <c r="S121" s="421"/>
      <c r="T121" s="421"/>
      <c r="U121" s="421"/>
      <c r="V121" s="421"/>
      <c r="W121" s="421"/>
      <c r="X121" s="425"/>
      <c r="Y121" s="421"/>
      <c r="Z121" s="421"/>
      <c r="AA121" s="421"/>
      <c r="AB121" s="421"/>
      <c r="AC121" s="421"/>
      <c r="AD121" s="421"/>
      <c r="AE121" s="421"/>
      <c r="AF121" s="421"/>
      <c r="AG121" s="421"/>
      <c r="AH121" s="421"/>
      <c r="AI121" s="421"/>
      <c r="AJ121" s="421"/>
      <c r="AK121" s="421"/>
      <c r="AL121" s="421"/>
      <c r="AM121" s="421"/>
      <c r="AN121" s="421"/>
      <c r="AO121" s="421"/>
      <c r="AP121" s="421"/>
      <c r="AQ121" s="421"/>
      <c r="AR121" s="421"/>
      <c r="AS121" s="421"/>
      <c r="AT121" s="421"/>
      <c r="AU121" s="421"/>
      <c r="AV121" s="421"/>
      <c r="AW121" s="421"/>
      <c r="AX121" s="421"/>
      <c r="AY121" s="421"/>
      <c r="AZ121" s="421"/>
      <c r="BA121" s="421"/>
    </row>
    <row r="122">
      <c r="A122" s="421"/>
      <c r="B122" s="421"/>
      <c r="C122" s="268"/>
      <c r="D122" s="431"/>
      <c r="E122" s="276"/>
      <c r="F122" s="265"/>
      <c r="G122" s="265"/>
      <c r="H122" s="432"/>
      <c r="I122" s="432"/>
      <c r="J122" s="283"/>
      <c r="K122" s="276"/>
      <c r="L122" s="417" t="str">
        <f t="shared" si="1"/>
        <v/>
      </c>
      <c r="M122" s="425"/>
      <c r="N122" s="426"/>
      <c r="O122" s="427"/>
      <c r="P122" s="425"/>
      <c r="Q122" s="425"/>
      <c r="R122" s="425"/>
      <c r="S122" s="421"/>
      <c r="T122" s="421"/>
      <c r="U122" s="421"/>
      <c r="V122" s="421"/>
      <c r="W122" s="421"/>
      <c r="X122" s="425"/>
      <c r="Y122" s="421"/>
      <c r="Z122" s="421"/>
      <c r="AA122" s="421"/>
      <c r="AB122" s="421"/>
      <c r="AC122" s="421"/>
      <c r="AD122" s="421"/>
      <c r="AE122" s="421"/>
      <c r="AF122" s="421"/>
      <c r="AG122" s="421"/>
      <c r="AH122" s="421"/>
      <c r="AI122" s="421"/>
      <c r="AJ122" s="421"/>
      <c r="AK122" s="421"/>
      <c r="AL122" s="421"/>
      <c r="AM122" s="421"/>
      <c r="AN122" s="421"/>
      <c r="AO122" s="421"/>
      <c r="AP122" s="421"/>
      <c r="AQ122" s="421"/>
      <c r="AR122" s="421"/>
      <c r="AS122" s="421"/>
      <c r="AT122" s="421"/>
      <c r="AU122" s="421"/>
      <c r="AV122" s="421"/>
      <c r="AW122" s="421"/>
      <c r="AX122" s="421"/>
      <c r="AY122" s="421"/>
      <c r="AZ122" s="421"/>
      <c r="BA122" s="421"/>
    </row>
    <row r="123">
      <c r="A123" s="421"/>
      <c r="B123" s="421"/>
      <c r="C123" s="268"/>
      <c r="D123" s="431"/>
      <c r="E123" s="276"/>
      <c r="F123" s="265"/>
      <c r="G123" s="265"/>
      <c r="H123" s="432"/>
      <c r="I123" s="432"/>
      <c r="J123" s="283"/>
      <c r="K123" s="276"/>
      <c r="L123" s="417" t="str">
        <f t="shared" si="1"/>
        <v/>
      </c>
      <c r="M123" s="425"/>
      <c r="N123" s="426"/>
      <c r="O123" s="427"/>
      <c r="P123" s="425"/>
      <c r="Q123" s="425"/>
      <c r="R123" s="425"/>
      <c r="S123" s="421"/>
      <c r="T123" s="421"/>
      <c r="U123" s="421"/>
      <c r="V123" s="421"/>
      <c r="W123" s="421"/>
      <c r="X123" s="425"/>
      <c r="Y123" s="421"/>
      <c r="Z123" s="421"/>
      <c r="AA123" s="421"/>
      <c r="AB123" s="421"/>
      <c r="AC123" s="421"/>
      <c r="AD123" s="421"/>
      <c r="AE123" s="421"/>
      <c r="AF123" s="421"/>
      <c r="AG123" s="421"/>
      <c r="AH123" s="421"/>
      <c r="AI123" s="421"/>
      <c r="AJ123" s="421"/>
      <c r="AK123" s="421"/>
      <c r="AL123" s="421"/>
      <c r="AM123" s="421"/>
      <c r="AN123" s="421"/>
      <c r="AO123" s="421"/>
      <c r="AP123" s="421"/>
      <c r="AQ123" s="421"/>
      <c r="AR123" s="421"/>
      <c r="AS123" s="421"/>
      <c r="AT123" s="421"/>
      <c r="AU123" s="421"/>
      <c r="AV123" s="421"/>
      <c r="AW123" s="421"/>
      <c r="AX123" s="421"/>
      <c r="AY123" s="421"/>
      <c r="AZ123" s="421"/>
      <c r="BA123" s="421"/>
    </row>
    <row r="124">
      <c r="A124" s="421"/>
      <c r="B124" s="421"/>
      <c r="C124" s="268"/>
      <c r="D124" s="431"/>
      <c r="E124" s="276"/>
      <c r="F124" s="265"/>
      <c r="G124" s="265"/>
      <c r="H124" s="432"/>
      <c r="I124" s="432"/>
      <c r="J124" s="283"/>
      <c r="K124" s="276"/>
      <c r="L124" s="417" t="str">
        <f t="shared" si="1"/>
        <v/>
      </c>
      <c r="M124" s="425"/>
      <c r="N124" s="426"/>
      <c r="O124" s="427"/>
      <c r="P124" s="425"/>
      <c r="Q124" s="425"/>
      <c r="R124" s="425"/>
      <c r="S124" s="421"/>
      <c r="T124" s="421"/>
      <c r="U124" s="421"/>
      <c r="V124" s="421"/>
      <c r="W124" s="421"/>
      <c r="X124" s="425"/>
      <c r="Y124" s="421"/>
      <c r="Z124" s="421"/>
      <c r="AA124" s="421"/>
      <c r="AB124" s="421"/>
      <c r="AC124" s="421"/>
      <c r="AD124" s="421"/>
      <c r="AE124" s="421"/>
      <c r="AF124" s="421"/>
      <c r="AG124" s="421"/>
      <c r="AH124" s="421"/>
      <c r="AI124" s="421"/>
      <c r="AJ124" s="421"/>
      <c r="AK124" s="421"/>
      <c r="AL124" s="421"/>
      <c r="AM124" s="421"/>
      <c r="AN124" s="421"/>
      <c r="AO124" s="421"/>
      <c r="AP124" s="421"/>
      <c r="AQ124" s="421"/>
      <c r="AR124" s="421"/>
      <c r="AS124" s="421"/>
      <c r="AT124" s="421"/>
      <c r="AU124" s="421"/>
      <c r="AV124" s="421"/>
      <c r="AW124" s="421"/>
      <c r="AX124" s="421"/>
      <c r="AY124" s="421"/>
      <c r="AZ124" s="421"/>
      <c r="BA124" s="421"/>
    </row>
    <row r="125">
      <c r="A125" s="421"/>
      <c r="B125" s="421"/>
      <c r="C125" s="268"/>
      <c r="D125" s="431"/>
      <c r="E125" s="276"/>
      <c r="F125" s="265"/>
      <c r="G125" s="265"/>
      <c r="H125" s="432"/>
      <c r="I125" s="432"/>
      <c r="J125" s="283"/>
      <c r="K125" s="276"/>
      <c r="L125" s="417" t="str">
        <f t="shared" si="1"/>
        <v/>
      </c>
      <c r="M125" s="425"/>
      <c r="N125" s="426"/>
      <c r="O125" s="427"/>
      <c r="P125" s="425"/>
      <c r="Q125" s="425"/>
      <c r="R125" s="425"/>
      <c r="S125" s="421"/>
      <c r="T125" s="421"/>
      <c r="U125" s="421"/>
      <c r="V125" s="421"/>
      <c r="W125" s="421"/>
      <c r="X125" s="425"/>
      <c r="Y125" s="421"/>
      <c r="Z125" s="421"/>
      <c r="AA125" s="421"/>
      <c r="AB125" s="421"/>
      <c r="AC125" s="421"/>
      <c r="AD125" s="421"/>
      <c r="AE125" s="421"/>
      <c r="AF125" s="421"/>
      <c r="AG125" s="421"/>
      <c r="AH125" s="421"/>
      <c r="AI125" s="421"/>
      <c r="AJ125" s="421"/>
      <c r="AK125" s="421"/>
      <c r="AL125" s="421"/>
      <c r="AM125" s="421"/>
      <c r="AN125" s="421"/>
      <c r="AO125" s="421"/>
      <c r="AP125" s="421"/>
      <c r="AQ125" s="421"/>
      <c r="AR125" s="421"/>
      <c r="AS125" s="421"/>
      <c r="AT125" s="421"/>
      <c r="AU125" s="421"/>
      <c r="AV125" s="421"/>
      <c r="AW125" s="421"/>
      <c r="AX125" s="421"/>
      <c r="AY125" s="421"/>
      <c r="AZ125" s="421"/>
      <c r="BA125" s="421"/>
    </row>
    <row r="126">
      <c r="A126" s="421"/>
      <c r="B126" s="421"/>
      <c r="C126" s="268"/>
      <c r="D126" s="431"/>
      <c r="E126" s="276"/>
      <c r="F126" s="265"/>
      <c r="G126" s="265"/>
      <c r="H126" s="432"/>
      <c r="I126" s="432"/>
      <c r="J126" s="283"/>
      <c r="K126" s="276"/>
      <c r="L126" s="417" t="str">
        <f t="shared" si="1"/>
        <v/>
      </c>
      <c r="M126" s="425"/>
      <c r="N126" s="426"/>
      <c r="O126" s="427"/>
      <c r="P126" s="425"/>
      <c r="Q126" s="425"/>
      <c r="R126" s="425"/>
      <c r="S126" s="421"/>
      <c r="T126" s="421"/>
      <c r="U126" s="421"/>
      <c r="V126" s="421"/>
      <c r="W126" s="421"/>
      <c r="X126" s="425"/>
      <c r="Y126" s="421"/>
      <c r="Z126" s="421"/>
      <c r="AA126" s="421"/>
      <c r="AB126" s="421"/>
      <c r="AC126" s="421"/>
      <c r="AD126" s="421"/>
      <c r="AE126" s="421"/>
      <c r="AF126" s="421"/>
      <c r="AG126" s="421"/>
      <c r="AH126" s="421"/>
      <c r="AI126" s="421"/>
      <c r="AJ126" s="421"/>
      <c r="AK126" s="421"/>
      <c r="AL126" s="421"/>
      <c r="AM126" s="421"/>
      <c r="AN126" s="421"/>
      <c r="AO126" s="421"/>
      <c r="AP126" s="421"/>
      <c r="AQ126" s="421"/>
      <c r="AR126" s="421"/>
      <c r="AS126" s="421"/>
      <c r="AT126" s="421"/>
      <c r="AU126" s="421"/>
      <c r="AV126" s="421"/>
      <c r="AW126" s="421"/>
      <c r="AX126" s="421"/>
      <c r="AY126" s="421"/>
      <c r="AZ126" s="421"/>
      <c r="BA126" s="421"/>
    </row>
    <row r="127">
      <c r="A127" s="421"/>
      <c r="B127" s="421"/>
      <c r="C127" s="268"/>
      <c r="D127" s="431"/>
      <c r="E127" s="276"/>
      <c r="F127" s="265"/>
      <c r="G127" s="265"/>
      <c r="H127" s="432"/>
      <c r="I127" s="432"/>
      <c r="J127" s="283"/>
      <c r="K127" s="276"/>
      <c r="L127" s="417" t="str">
        <f t="shared" si="1"/>
        <v/>
      </c>
      <c r="M127" s="425"/>
      <c r="N127" s="426"/>
      <c r="O127" s="427"/>
      <c r="P127" s="425"/>
      <c r="Q127" s="425"/>
      <c r="R127" s="425"/>
      <c r="S127" s="421"/>
      <c r="T127" s="421"/>
      <c r="U127" s="421"/>
      <c r="V127" s="421"/>
      <c r="W127" s="421"/>
      <c r="X127" s="425"/>
      <c r="Y127" s="421"/>
      <c r="Z127" s="421"/>
      <c r="AA127" s="421"/>
      <c r="AB127" s="421"/>
      <c r="AC127" s="421"/>
      <c r="AD127" s="421"/>
      <c r="AE127" s="421"/>
      <c r="AF127" s="421"/>
      <c r="AG127" s="421"/>
      <c r="AH127" s="421"/>
      <c r="AI127" s="421"/>
      <c r="AJ127" s="421"/>
      <c r="AK127" s="421"/>
      <c r="AL127" s="421"/>
      <c r="AM127" s="421"/>
      <c r="AN127" s="421"/>
      <c r="AO127" s="421"/>
      <c r="AP127" s="421"/>
      <c r="AQ127" s="421"/>
      <c r="AR127" s="421"/>
      <c r="AS127" s="421"/>
      <c r="AT127" s="421"/>
      <c r="AU127" s="421"/>
      <c r="AV127" s="421"/>
      <c r="AW127" s="421"/>
      <c r="AX127" s="421"/>
      <c r="AY127" s="421"/>
      <c r="AZ127" s="421"/>
      <c r="BA127" s="421"/>
    </row>
    <row r="128">
      <c r="A128" s="421"/>
      <c r="B128" s="421"/>
      <c r="C128" s="268"/>
      <c r="D128" s="431"/>
      <c r="E128" s="276"/>
      <c r="F128" s="265"/>
      <c r="G128" s="265"/>
      <c r="H128" s="432"/>
      <c r="I128" s="432"/>
      <c r="J128" s="283"/>
      <c r="K128" s="276"/>
      <c r="L128" s="417" t="str">
        <f t="shared" si="1"/>
        <v/>
      </c>
      <c r="M128" s="425"/>
      <c r="N128" s="426"/>
      <c r="O128" s="427"/>
      <c r="P128" s="425"/>
      <c r="Q128" s="425"/>
      <c r="R128" s="425"/>
      <c r="S128" s="421"/>
      <c r="T128" s="421"/>
      <c r="U128" s="421"/>
      <c r="V128" s="421"/>
      <c r="W128" s="421"/>
      <c r="X128" s="425"/>
      <c r="Y128" s="421"/>
      <c r="Z128" s="421"/>
      <c r="AA128" s="421"/>
      <c r="AB128" s="421"/>
      <c r="AC128" s="421"/>
      <c r="AD128" s="421"/>
      <c r="AE128" s="421"/>
      <c r="AF128" s="421"/>
      <c r="AG128" s="421"/>
      <c r="AH128" s="421"/>
      <c r="AI128" s="421"/>
      <c r="AJ128" s="421"/>
      <c r="AK128" s="421"/>
      <c r="AL128" s="421"/>
      <c r="AM128" s="421"/>
      <c r="AN128" s="421"/>
      <c r="AO128" s="421"/>
      <c r="AP128" s="421"/>
      <c r="AQ128" s="421"/>
      <c r="AR128" s="421"/>
      <c r="AS128" s="421"/>
      <c r="AT128" s="421"/>
      <c r="AU128" s="421"/>
      <c r="AV128" s="421"/>
      <c r="AW128" s="421"/>
      <c r="AX128" s="421"/>
      <c r="AY128" s="421"/>
      <c r="AZ128" s="421"/>
      <c r="BA128" s="421"/>
    </row>
    <row r="129">
      <c r="A129" s="421"/>
      <c r="B129" s="421"/>
      <c r="C129" s="268"/>
      <c r="D129" s="431"/>
      <c r="E129" s="276"/>
      <c r="F129" s="265"/>
      <c r="G129" s="265"/>
      <c r="H129" s="432"/>
      <c r="I129" s="432"/>
      <c r="J129" s="283"/>
      <c r="K129" s="276"/>
      <c r="L129" s="417" t="str">
        <f t="shared" si="1"/>
        <v/>
      </c>
      <c r="M129" s="425"/>
      <c r="N129" s="426"/>
      <c r="O129" s="427"/>
      <c r="P129" s="425"/>
      <c r="Q129" s="425"/>
      <c r="R129" s="425"/>
      <c r="S129" s="421"/>
      <c r="T129" s="421"/>
      <c r="U129" s="421"/>
      <c r="V129" s="421"/>
      <c r="W129" s="421"/>
      <c r="X129" s="425"/>
      <c r="Y129" s="421"/>
      <c r="Z129" s="421"/>
      <c r="AA129" s="421"/>
      <c r="AB129" s="421"/>
      <c r="AC129" s="421"/>
      <c r="AD129" s="421"/>
      <c r="AE129" s="421"/>
      <c r="AF129" s="421"/>
      <c r="AG129" s="421"/>
      <c r="AH129" s="421"/>
      <c r="AI129" s="421"/>
      <c r="AJ129" s="421"/>
      <c r="AK129" s="421"/>
      <c r="AL129" s="421"/>
      <c r="AM129" s="421"/>
      <c r="AN129" s="421"/>
      <c r="AO129" s="421"/>
      <c r="AP129" s="421"/>
      <c r="AQ129" s="421"/>
      <c r="AR129" s="421"/>
      <c r="AS129" s="421"/>
      <c r="AT129" s="421"/>
      <c r="AU129" s="421"/>
      <c r="AV129" s="421"/>
      <c r="AW129" s="421"/>
      <c r="AX129" s="421"/>
      <c r="AY129" s="421"/>
      <c r="AZ129" s="421"/>
      <c r="BA129" s="421"/>
    </row>
    <row r="130">
      <c r="A130" s="421"/>
      <c r="B130" s="421"/>
      <c r="C130" s="268"/>
      <c r="D130" s="431"/>
      <c r="E130" s="276"/>
      <c r="F130" s="265"/>
      <c r="G130" s="265"/>
      <c r="H130" s="432"/>
      <c r="I130" s="432"/>
      <c r="J130" s="283"/>
      <c r="K130" s="276"/>
      <c r="L130" s="417" t="str">
        <f t="shared" si="1"/>
        <v/>
      </c>
      <c r="M130" s="425"/>
      <c r="N130" s="426"/>
      <c r="O130" s="427"/>
      <c r="P130" s="425"/>
      <c r="Q130" s="425"/>
      <c r="R130" s="425"/>
      <c r="S130" s="421"/>
      <c r="T130" s="421"/>
      <c r="U130" s="421"/>
      <c r="V130" s="421"/>
      <c r="W130" s="421"/>
      <c r="X130" s="425"/>
      <c r="Y130" s="421"/>
      <c r="Z130" s="421"/>
      <c r="AA130" s="421"/>
      <c r="AB130" s="421"/>
      <c r="AC130" s="421"/>
      <c r="AD130" s="421"/>
      <c r="AE130" s="421"/>
      <c r="AF130" s="421"/>
      <c r="AG130" s="421"/>
      <c r="AH130" s="421"/>
      <c r="AI130" s="421"/>
      <c r="AJ130" s="421"/>
      <c r="AK130" s="421"/>
      <c r="AL130" s="421"/>
      <c r="AM130" s="421"/>
      <c r="AN130" s="421"/>
      <c r="AO130" s="421"/>
      <c r="AP130" s="421"/>
      <c r="AQ130" s="421"/>
      <c r="AR130" s="421"/>
      <c r="AS130" s="421"/>
      <c r="AT130" s="421"/>
      <c r="AU130" s="421"/>
      <c r="AV130" s="421"/>
      <c r="AW130" s="421"/>
      <c r="AX130" s="421"/>
      <c r="AY130" s="421"/>
      <c r="AZ130" s="421"/>
      <c r="BA130" s="421"/>
    </row>
    <row r="131">
      <c r="A131" s="421"/>
      <c r="B131" s="421"/>
      <c r="C131" s="268"/>
      <c r="D131" s="431"/>
      <c r="E131" s="276"/>
      <c r="F131" s="265"/>
      <c r="G131" s="265"/>
      <c r="H131" s="432"/>
      <c r="I131" s="432"/>
      <c r="J131" s="283"/>
      <c r="K131" s="276"/>
      <c r="L131" s="417" t="str">
        <f t="shared" si="1"/>
        <v/>
      </c>
      <c r="M131" s="425"/>
      <c r="N131" s="426"/>
      <c r="O131" s="427"/>
      <c r="P131" s="425"/>
      <c r="Q131" s="425"/>
      <c r="R131" s="425"/>
      <c r="S131" s="421"/>
      <c r="T131" s="421"/>
      <c r="U131" s="421"/>
      <c r="V131" s="421"/>
      <c r="W131" s="421"/>
      <c r="X131" s="425"/>
      <c r="Y131" s="421"/>
      <c r="Z131" s="421"/>
      <c r="AA131" s="421"/>
      <c r="AB131" s="421"/>
      <c r="AC131" s="421"/>
      <c r="AD131" s="421"/>
      <c r="AE131" s="421"/>
      <c r="AF131" s="421"/>
      <c r="AG131" s="421"/>
      <c r="AH131" s="421"/>
      <c r="AI131" s="421"/>
      <c r="AJ131" s="421"/>
      <c r="AK131" s="421"/>
      <c r="AL131" s="421"/>
      <c r="AM131" s="421"/>
      <c r="AN131" s="421"/>
      <c r="AO131" s="421"/>
      <c r="AP131" s="421"/>
      <c r="AQ131" s="421"/>
      <c r="AR131" s="421"/>
      <c r="AS131" s="421"/>
      <c r="AT131" s="421"/>
      <c r="AU131" s="421"/>
      <c r="AV131" s="421"/>
      <c r="AW131" s="421"/>
      <c r="AX131" s="421"/>
      <c r="AY131" s="421"/>
      <c r="AZ131" s="421"/>
      <c r="BA131" s="421"/>
    </row>
    <row r="132">
      <c r="A132" s="421"/>
      <c r="B132" s="421"/>
      <c r="C132" s="268"/>
      <c r="D132" s="431"/>
      <c r="E132" s="276"/>
      <c r="F132" s="265"/>
      <c r="G132" s="265"/>
      <c r="H132" s="432"/>
      <c r="I132" s="432"/>
      <c r="J132" s="283"/>
      <c r="K132" s="276"/>
      <c r="L132" s="417" t="str">
        <f t="shared" si="1"/>
        <v/>
      </c>
      <c r="M132" s="425"/>
      <c r="N132" s="426"/>
      <c r="O132" s="427"/>
      <c r="P132" s="425"/>
      <c r="Q132" s="425"/>
      <c r="R132" s="425"/>
      <c r="S132" s="421"/>
      <c r="T132" s="421"/>
      <c r="U132" s="421"/>
      <c r="V132" s="421"/>
      <c r="W132" s="421"/>
      <c r="X132" s="425"/>
      <c r="Y132" s="421"/>
      <c r="Z132" s="421"/>
      <c r="AA132" s="421"/>
      <c r="AB132" s="421"/>
      <c r="AC132" s="421"/>
      <c r="AD132" s="421"/>
      <c r="AE132" s="421"/>
      <c r="AF132" s="421"/>
      <c r="AG132" s="421"/>
      <c r="AH132" s="421"/>
      <c r="AI132" s="421"/>
      <c r="AJ132" s="421"/>
      <c r="AK132" s="421"/>
      <c r="AL132" s="421"/>
      <c r="AM132" s="421"/>
      <c r="AN132" s="421"/>
      <c r="AO132" s="421"/>
      <c r="AP132" s="421"/>
      <c r="AQ132" s="421"/>
      <c r="AR132" s="421"/>
      <c r="AS132" s="421"/>
      <c r="AT132" s="421"/>
      <c r="AU132" s="421"/>
      <c r="AV132" s="421"/>
      <c r="AW132" s="421"/>
      <c r="AX132" s="421"/>
      <c r="AY132" s="421"/>
      <c r="AZ132" s="421"/>
      <c r="BA132" s="421"/>
    </row>
    <row r="133">
      <c r="A133" s="421"/>
      <c r="B133" s="421"/>
      <c r="C133" s="268"/>
      <c r="D133" s="431"/>
      <c r="E133" s="276"/>
      <c r="F133" s="265"/>
      <c r="G133" s="265"/>
      <c r="H133" s="432"/>
      <c r="I133" s="432"/>
      <c r="J133" s="283"/>
      <c r="K133" s="276"/>
      <c r="L133" s="417" t="str">
        <f t="shared" si="1"/>
        <v/>
      </c>
      <c r="M133" s="425"/>
      <c r="N133" s="426"/>
      <c r="O133" s="427"/>
      <c r="P133" s="425"/>
      <c r="Q133" s="425"/>
      <c r="R133" s="425"/>
      <c r="S133" s="421"/>
      <c r="T133" s="421"/>
      <c r="U133" s="421"/>
      <c r="V133" s="421"/>
      <c r="W133" s="421"/>
      <c r="X133" s="425"/>
      <c r="Y133" s="421"/>
      <c r="Z133" s="421"/>
      <c r="AA133" s="421"/>
      <c r="AB133" s="421"/>
      <c r="AC133" s="421"/>
      <c r="AD133" s="421"/>
      <c r="AE133" s="421"/>
      <c r="AF133" s="421"/>
      <c r="AG133" s="421"/>
      <c r="AH133" s="421"/>
      <c r="AI133" s="421"/>
      <c r="AJ133" s="421"/>
      <c r="AK133" s="421"/>
      <c r="AL133" s="421"/>
      <c r="AM133" s="421"/>
      <c r="AN133" s="421"/>
      <c r="AO133" s="421"/>
      <c r="AP133" s="421"/>
      <c r="AQ133" s="421"/>
      <c r="AR133" s="421"/>
      <c r="AS133" s="421"/>
      <c r="AT133" s="421"/>
      <c r="AU133" s="421"/>
      <c r="AV133" s="421"/>
      <c r="AW133" s="421"/>
      <c r="AX133" s="421"/>
      <c r="AY133" s="421"/>
      <c r="AZ133" s="421"/>
      <c r="BA133" s="421"/>
    </row>
    <row r="134">
      <c r="A134" s="421"/>
      <c r="B134" s="421"/>
      <c r="C134" s="268"/>
      <c r="D134" s="431"/>
      <c r="E134" s="276"/>
      <c r="F134" s="265"/>
      <c r="G134" s="265"/>
      <c r="H134" s="432"/>
      <c r="I134" s="432"/>
      <c r="J134" s="283"/>
      <c r="K134" s="276"/>
      <c r="L134" s="417" t="str">
        <f t="shared" si="1"/>
        <v/>
      </c>
      <c r="M134" s="425"/>
      <c r="N134" s="426"/>
      <c r="O134" s="427"/>
      <c r="P134" s="425"/>
      <c r="Q134" s="425"/>
      <c r="R134" s="425"/>
      <c r="S134" s="421"/>
      <c r="T134" s="421"/>
      <c r="U134" s="421"/>
      <c r="V134" s="421"/>
      <c r="W134" s="421"/>
      <c r="X134" s="425"/>
      <c r="Y134" s="421"/>
      <c r="Z134" s="421"/>
      <c r="AA134" s="421"/>
      <c r="AB134" s="421"/>
      <c r="AC134" s="421"/>
      <c r="AD134" s="421"/>
      <c r="AE134" s="421"/>
      <c r="AF134" s="421"/>
      <c r="AG134" s="421"/>
      <c r="AH134" s="421"/>
      <c r="AI134" s="421"/>
      <c r="AJ134" s="421"/>
      <c r="AK134" s="421"/>
      <c r="AL134" s="421"/>
      <c r="AM134" s="421"/>
      <c r="AN134" s="421"/>
      <c r="AO134" s="421"/>
      <c r="AP134" s="421"/>
      <c r="AQ134" s="421"/>
      <c r="AR134" s="421"/>
      <c r="AS134" s="421"/>
      <c r="AT134" s="421"/>
      <c r="AU134" s="421"/>
      <c r="AV134" s="421"/>
      <c r="AW134" s="421"/>
      <c r="AX134" s="421"/>
      <c r="AY134" s="421"/>
      <c r="AZ134" s="421"/>
      <c r="BA134" s="421"/>
    </row>
    <row r="135">
      <c r="A135" s="421"/>
      <c r="B135" s="421"/>
      <c r="C135" s="268"/>
      <c r="D135" s="431"/>
      <c r="E135" s="276"/>
      <c r="F135" s="265"/>
      <c r="G135" s="265"/>
      <c r="H135" s="432"/>
      <c r="I135" s="432"/>
      <c r="J135" s="283"/>
      <c r="K135" s="276"/>
      <c r="L135" s="417" t="str">
        <f t="shared" si="1"/>
        <v/>
      </c>
      <c r="M135" s="425"/>
      <c r="N135" s="426"/>
      <c r="O135" s="427"/>
      <c r="P135" s="425"/>
      <c r="Q135" s="425"/>
      <c r="R135" s="425"/>
      <c r="S135" s="421"/>
      <c r="T135" s="421"/>
      <c r="U135" s="421"/>
      <c r="V135" s="421"/>
      <c r="W135" s="421"/>
      <c r="X135" s="425"/>
      <c r="Y135" s="421"/>
      <c r="Z135" s="421"/>
      <c r="AA135" s="421"/>
      <c r="AB135" s="421"/>
      <c r="AC135" s="421"/>
      <c r="AD135" s="421"/>
      <c r="AE135" s="421"/>
      <c r="AF135" s="421"/>
      <c r="AG135" s="421"/>
      <c r="AH135" s="421"/>
      <c r="AI135" s="421"/>
      <c r="AJ135" s="421"/>
      <c r="AK135" s="421"/>
      <c r="AL135" s="421"/>
      <c r="AM135" s="421"/>
      <c r="AN135" s="421"/>
      <c r="AO135" s="421"/>
      <c r="AP135" s="421"/>
      <c r="AQ135" s="421"/>
      <c r="AR135" s="421"/>
      <c r="AS135" s="421"/>
      <c r="AT135" s="421"/>
      <c r="AU135" s="421"/>
      <c r="AV135" s="421"/>
      <c r="AW135" s="421"/>
      <c r="AX135" s="421"/>
      <c r="AY135" s="421"/>
      <c r="AZ135" s="421"/>
      <c r="BA135" s="421"/>
    </row>
    <row r="136">
      <c r="A136" s="421"/>
      <c r="B136" s="421"/>
      <c r="C136" s="268"/>
      <c r="D136" s="431"/>
      <c r="E136" s="276"/>
      <c r="F136" s="265"/>
      <c r="G136" s="265"/>
      <c r="H136" s="432"/>
      <c r="I136" s="432"/>
      <c r="J136" s="283"/>
      <c r="K136" s="276"/>
      <c r="L136" s="417" t="str">
        <f t="shared" si="1"/>
        <v/>
      </c>
      <c r="M136" s="425"/>
      <c r="N136" s="426"/>
      <c r="O136" s="427"/>
      <c r="P136" s="425"/>
      <c r="Q136" s="425"/>
      <c r="R136" s="425"/>
      <c r="S136" s="421"/>
      <c r="T136" s="421"/>
      <c r="U136" s="421"/>
      <c r="V136" s="421"/>
      <c r="W136" s="421"/>
      <c r="X136" s="425"/>
      <c r="Y136" s="421"/>
      <c r="Z136" s="421"/>
      <c r="AA136" s="421"/>
      <c r="AB136" s="421"/>
      <c r="AC136" s="421"/>
      <c r="AD136" s="421"/>
      <c r="AE136" s="421"/>
      <c r="AF136" s="421"/>
      <c r="AG136" s="421"/>
      <c r="AH136" s="421"/>
      <c r="AI136" s="421"/>
      <c r="AJ136" s="421"/>
      <c r="AK136" s="421"/>
      <c r="AL136" s="421"/>
      <c r="AM136" s="421"/>
      <c r="AN136" s="421"/>
      <c r="AO136" s="421"/>
      <c r="AP136" s="421"/>
      <c r="AQ136" s="421"/>
      <c r="AR136" s="421"/>
      <c r="AS136" s="421"/>
      <c r="AT136" s="421"/>
      <c r="AU136" s="421"/>
      <c r="AV136" s="421"/>
      <c r="AW136" s="421"/>
      <c r="AX136" s="421"/>
      <c r="AY136" s="421"/>
      <c r="AZ136" s="421"/>
      <c r="BA136" s="421"/>
    </row>
    <row r="137">
      <c r="A137" s="421"/>
      <c r="B137" s="421"/>
      <c r="C137" s="268"/>
      <c r="D137" s="431"/>
      <c r="E137" s="276"/>
      <c r="F137" s="265"/>
      <c r="G137" s="265"/>
      <c r="H137" s="432"/>
      <c r="I137" s="432"/>
      <c r="J137" s="283"/>
      <c r="K137" s="276"/>
      <c r="L137" s="417" t="str">
        <f t="shared" si="1"/>
        <v/>
      </c>
      <c r="M137" s="425"/>
      <c r="N137" s="426"/>
      <c r="O137" s="427"/>
      <c r="P137" s="425"/>
      <c r="Q137" s="425"/>
      <c r="R137" s="425"/>
      <c r="S137" s="421"/>
      <c r="T137" s="421"/>
      <c r="U137" s="421"/>
      <c r="V137" s="421"/>
      <c r="W137" s="421"/>
      <c r="X137" s="425"/>
      <c r="Y137" s="421"/>
      <c r="Z137" s="421"/>
      <c r="AA137" s="421"/>
      <c r="AB137" s="421"/>
      <c r="AC137" s="421"/>
      <c r="AD137" s="421"/>
      <c r="AE137" s="421"/>
      <c r="AF137" s="421"/>
      <c r="AG137" s="421"/>
      <c r="AH137" s="421"/>
      <c r="AI137" s="421"/>
      <c r="AJ137" s="421"/>
      <c r="AK137" s="421"/>
      <c r="AL137" s="421"/>
      <c r="AM137" s="421"/>
      <c r="AN137" s="421"/>
      <c r="AO137" s="421"/>
      <c r="AP137" s="421"/>
      <c r="AQ137" s="421"/>
      <c r="AR137" s="421"/>
      <c r="AS137" s="421"/>
      <c r="AT137" s="421"/>
      <c r="AU137" s="421"/>
      <c r="AV137" s="421"/>
      <c r="AW137" s="421"/>
      <c r="AX137" s="421"/>
      <c r="AY137" s="421"/>
      <c r="AZ137" s="421"/>
      <c r="BA137" s="421"/>
    </row>
    <row r="138">
      <c r="A138" s="421"/>
      <c r="B138" s="421"/>
      <c r="C138" s="268"/>
      <c r="D138" s="431"/>
      <c r="E138" s="276"/>
      <c r="F138" s="265"/>
      <c r="G138" s="265"/>
      <c r="H138" s="432"/>
      <c r="I138" s="432"/>
      <c r="J138" s="283"/>
      <c r="K138" s="276"/>
      <c r="L138" s="417" t="str">
        <f t="shared" si="1"/>
        <v/>
      </c>
      <c r="M138" s="425"/>
      <c r="N138" s="426"/>
      <c r="O138" s="427"/>
      <c r="P138" s="425"/>
      <c r="Q138" s="425"/>
      <c r="R138" s="425"/>
      <c r="S138" s="421"/>
      <c r="T138" s="421"/>
      <c r="U138" s="421"/>
      <c r="V138" s="421"/>
      <c r="W138" s="421"/>
      <c r="X138" s="425"/>
      <c r="Y138" s="421"/>
      <c r="Z138" s="421"/>
      <c r="AA138" s="421"/>
      <c r="AB138" s="421"/>
      <c r="AC138" s="421"/>
      <c r="AD138" s="421"/>
      <c r="AE138" s="421"/>
      <c r="AF138" s="421"/>
      <c r="AG138" s="421"/>
      <c r="AH138" s="421"/>
      <c r="AI138" s="421"/>
      <c r="AJ138" s="421"/>
      <c r="AK138" s="421"/>
      <c r="AL138" s="421"/>
      <c r="AM138" s="421"/>
      <c r="AN138" s="421"/>
      <c r="AO138" s="421"/>
      <c r="AP138" s="421"/>
      <c r="AQ138" s="421"/>
      <c r="AR138" s="421"/>
      <c r="AS138" s="421"/>
      <c r="AT138" s="421"/>
      <c r="AU138" s="421"/>
      <c r="AV138" s="421"/>
      <c r="AW138" s="421"/>
      <c r="AX138" s="421"/>
      <c r="AY138" s="421"/>
      <c r="AZ138" s="421"/>
      <c r="BA138" s="421"/>
    </row>
    <row r="139">
      <c r="A139" s="421"/>
      <c r="B139" s="421"/>
      <c r="C139" s="268"/>
      <c r="D139" s="431"/>
      <c r="E139" s="276"/>
      <c r="F139" s="265"/>
      <c r="G139" s="265"/>
      <c r="H139" s="432"/>
      <c r="I139" s="432"/>
      <c r="J139" s="283"/>
      <c r="K139" s="276"/>
      <c r="L139" s="417" t="str">
        <f t="shared" si="1"/>
        <v/>
      </c>
      <c r="M139" s="425"/>
      <c r="N139" s="426"/>
      <c r="O139" s="427"/>
      <c r="P139" s="425"/>
      <c r="Q139" s="425"/>
      <c r="R139" s="425"/>
      <c r="S139" s="421"/>
      <c r="T139" s="421"/>
      <c r="U139" s="421"/>
      <c r="V139" s="421"/>
      <c r="W139" s="421"/>
      <c r="X139" s="425"/>
      <c r="Y139" s="421"/>
      <c r="Z139" s="421"/>
      <c r="AA139" s="421"/>
      <c r="AB139" s="421"/>
      <c r="AC139" s="421"/>
      <c r="AD139" s="421"/>
      <c r="AE139" s="421"/>
      <c r="AF139" s="421"/>
      <c r="AG139" s="421"/>
      <c r="AH139" s="421"/>
      <c r="AI139" s="421"/>
      <c r="AJ139" s="421"/>
      <c r="AK139" s="421"/>
      <c r="AL139" s="421"/>
      <c r="AM139" s="421"/>
      <c r="AN139" s="421"/>
      <c r="AO139" s="421"/>
      <c r="AP139" s="421"/>
      <c r="AQ139" s="421"/>
      <c r="AR139" s="421"/>
      <c r="AS139" s="421"/>
      <c r="AT139" s="421"/>
      <c r="AU139" s="421"/>
      <c r="AV139" s="421"/>
      <c r="AW139" s="421"/>
      <c r="AX139" s="421"/>
      <c r="AY139" s="421"/>
      <c r="AZ139" s="421"/>
      <c r="BA139" s="421"/>
    </row>
    <row r="140">
      <c r="A140" s="421"/>
      <c r="B140" s="421"/>
      <c r="C140" s="268"/>
      <c r="D140" s="431"/>
      <c r="E140" s="276"/>
      <c r="F140" s="265"/>
      <c r="G140" s="265"/>
      <c r="H140" s="432"/>
      <c r="I140" s="432"/>
      <c r="J140" s="283"/>
      <c r="K140" s="276"/>
      <c r="L140" s="417" t="str">
        <f t="shared" si="1"/>
        <v/>
      </c>
      <c r="M140" s="425"/>
      <c r="N140" s="426"/>
      <c r="O140" s="427"/>
      <c r="P140" s="425"/>
      <c r="Q140" s="425"/>
      <c r="R140" s="425"/>
      <c r="S140" s="421"/>
      <c r="T140" s="421"/>
      <c r="U140" s="421"/>
      <c r="V140" s="421"/>
      <c r="W140" s="421"/>
      <c r="X140" s="425"/>
      <c r="Y140" s="421"/>
      <c r="Z140" s="421"/>
      <c r="AA140" s="421"/>
      <c r="AB140" s="421"/>
      <c r="AC140" s="421"/>
      <c r="AD140" s="421"/>
      <c r="AE140" s="421"/>
      <c r="AF140" s="421"/>
      <c r="AG140" s="421"/>
      <c r="AH140" s="421"/>
      <c r="AI140" s="421"/>
      <c r="AJ140" s="421"/>
      <c r="AK140" s="421"/>
      <c r="AL140" s="421"/>
      <c r="AM140" s="421"/>
      <c r="AN140" s="421"/>
      <c r="AO140" s="421"/>
      <c r="AP140" s="421"/>
      <c r="AQ140" s="421"/>
      <c r="AR140" s="421"/>
      <c r="AS140" s="421"/>
      <c r="AT140" s="421"/>
      <c r="AU140" s="421"/>
      <c r="AV140" s="421"/>
      <c r="AW140" s="421"/>
      <c r="AX140" s="421"/>
      <c r="AY140" s="421"/>
      <c r="AZ140" s="421"/>
      <c r="BA140" s="421"/>
    </row>
    <row r="141">
      <c r="A141" s="421"/>
      <c r="B141" s="421"/>
      <c r="C141" s="268"/>
      <c r="D141" s="431"/>
      <c r="E141" s="276"/>
      <c r="F141" s="265"/>
      <c r="G141" s="265"/>
      <c r="H141" s="432"/>
      <c r="I141" s="432"/>
      <c r="J141" s="283"/>
      <c r="K141" s="276"/>
      <c r="L141" s="417" t="str">
        <f t="shared" si="1"/>
        <v/>
      </c>
      <c r="M141" s="425"/>
      <c r="N141" s="426"/>
      <c r="O141" s="427"/>
      <c r="P141" s="425"/>
      <c r="Q141" s="425"/>
      <c r="R141" s="425"/>
      <c r="S141" s="421"/>
      <c r="T141" s="421"/>
      <c r="U141" s="421"/>
      <c r="V141" s="421"/>
      <c r="W141" s="421"/>
      <c r="X141" s="425"/>
      <c r="Y141" s="421"/>
      <c r="Z141" s="421"/>
      <c r="AA141" s="421"/>
      <c r="AB141" s="421"/>
      <c r="AC141" s="421"/>
      <c r="AD141" s="421"/>
      <c r="AE141" s="421"/>
      <c r="AF141" s="421"/>
      <c r="AG141" s="421"/>
      <c r="AH141" s="421"/>
      <c r="AI141" s="421"/>
      <c r="AJ141" s="421"/>
      <c r="AK141" s="421"/>
      <c r="AL141" s="421"/>
      <c r="AM141" s="421"/>
      <c r="AN141" s="421"/>
      <c r="AO141" s="421"/>
      <c r="AP141" s="421"/>
      <c r="AQ141" s="421"/>
      <c r="AR141" s="421"/>
      <c r="AS141" s="421"/>
      <c r="AT141" s="421"/>
      <c r="AU141" s="421"/>
      <c r="AV141" s="421"/>
      <c r="AW141" s="421"/>
      <c r="AX141" s="421"/>
      <c r="AY141" s="421"/>
      <c r="AZ141" s="421"/>
      <c r="BA141" s="421"/>
    </row>
    <row r="142">
      <c r="A142" s="421"/>
      <c r="B142" s="421"/>
      <c r="C142" s="268"/>
      <c r="D142" s="431"/>
      <c r="E142" s="276"/>
      <c r="F142" s="265"/>
      <c r="G142" s="265"/>
      <c r="H142" s="432"/>
      <c r="I142" s="432"/>
      <c r="J142" s="283"/>
      <c r="K142" s="276"/>
      <c r="L142" s="417" t="str">
        <f t="shared" si="1"/>
        <v/>
      </c>
      <c r="M142" s="425"/>
      <c r="N142" s="426"/>
      <c r="O142" s="427"/>
      <c r="P142" s="425"/>
      <c r="Q142" s="425"/>
      <c r="R142" s="425"/>
      <c r="S142" s="421"/>
      <c r="T142" s="421"/>
      <c r="U142" s="421"/>
      <c r="V142" s="421"/>
      <c r="W142" s="421"/>
      <c r="X142" s="425"/>
      <c r="Y142" s="421"/>
      <c r="Z142" s="421"/>
      <c r="AA142" s="421"/>
      <c r="AB142" s="421"/>
      <c r="AC142" s="421"/>
      <c r="AD142" s="421"/>
      <c r="AE142" s="421"/>
      <c r="AF142" s="421"/>
      <c r="AG142" s="421"/>
      <c r="AH142" s="421"/>
      <c r="AI142" s="421"/>
      <c r="AJ142" s="421"/>
      <c r="AK142" s="421"/>
      <c r="AL142" s="421"/>
      <c r="AM142" s="421"/>
      <c r="AN142" s="421"/>
      <c r="AO142" s="421"/>
      <c r="AP142" s="421"/>
      <c r="AQ142" s="421"/>
      <c r="AR142" s="421"/>
      <c r="AS142" s="421"/>
      <c r="AT142" s="421"/>
      <c r="AU142" s="421"/>
      <c r="AV142" s="421"/>
      <c r="AW142" s="421"/>
      <c r="AX142" s="421"/>
      <c r="AY142" s="421"/>
      <c r="AZ142" s="421"/>
      <c r="BA142" s="421"/>
    </row>
    <row r="143">
      <c r="A143" s="421"/>
      <c r="B143" s="421"/>
      <c r="C143" s="268"/>
      <c r="D143" s="431"/>
      <c r="E143" s="276"/>
      <c r="F143" s="265"/>
      <c r="G143" s="265"/>
      <c r="H143" s="432"/>
      <c r="I143" s="432"/>
      <c r="J143" s="283"/>
      <c r="K143" s="276"/>
      <c r="L143" s="417" t="str">
        <f t="shared" si="1"/>
        <v/>
      </c>
      <c r="M143" s="425"/>
      <c r="N143" s="426"/>
      <c r="O143" s="427"/>
      <c r="P143" s="425"/>
      <c r="Q143" s="425"/>
      <c r="R143" s="425"/>
      <c r="S143" s="421"/>
      <c r="T143" s="421"/>
      <c r="U143" s="421"/>
      <c r="V143" s="421"/>
      <c r="W143" s="421"/>
      <c r="X143" s="425"/>
      <c r="Y143" s="421"/>
      <c r="Z143" s="421"/>
      <c r="AA143" s="421"/>
      <c r="AB143" s="421"/>
      <c r="AC143" s="421"/>
      <c r="AD143" s="421"/>
      <c r="AE143" s="421"/>
      <c r="AF143" s="421"/>
      <c r="AG143" s="421"/>
      <c r="AH143" s="421"/>
      <c r="AI143" s="421"/>
      <c r="AJ143" s="421"/>
      <c r="AK143" s="421"/>
      <c r="AL143" s="421"/>
      <c r="AM143" s="421"/>
      <c r="AN143" s="421"/>
      <c r="AO143" s="421"/>
      <c r="AP143" s="421"/>
      <c r="AQ143" s="421"/>
      <c r="AR143" s="421"/>
      <c r="AS143" s="421"/>
      <c r="AT143" s="421"/>
      <c r="AU143" s="421"/>
      <c r="AV143" s="421"/>
      <c r="AW143" s="421"/>
      <c r="AX143" s="421"/>
      <c r="AY143" s="421"/>
      <c r="AZ143" s="421"/>
      <c r="BA143" s="421"/>
    </row>
    <row r="144">
      <c r="A144" s="421"/>
      <c r="B144" s="421"/>
      <c r="C144" s="268"/>
      <c r="D144" s="431"/>
      <c r="E144" s="276"/>
      <c r="F144" s="265"/>
      <c r="G144" s="265"/>
      <c r="H144" s="432"/>
      <c r="I144" s="432"/>
      <c r="J144" s="283"/>
      <c r="K144" s="276"/>
      <c r="L144" s="417" t="str">
        <f t="shared" si="1"/>
        <v/>
      </c>
      <c r="M144" s="425"/>
      <c r="N144" s="426"/>
      <c r="O144" s="427"/>
      <c r="P144" s="425"/>
      <c r="Q144" s="425"/>
      <c r="R144" s="425"/>
      <c r="S144" s="421"/>
      <c r="T144" s="421"/>
      <c r="U144" s="421"/>
      <c r="V144" s="421"/>
      <c r="W144" s="421"/>
      <c r="X144" s="425"/>
      <c r="Y144" s="421"/>
      <c r="Z144" s="421"/>
      <c r="AA144" s="421"/>
      <c r="AB144" s="421"/>
      <c r="AC144" s="421"/>
      <c r="AD144" s="421"/>
      <c r="AE144" s="421"/>
      <c r="AF144" s="421"/>
      <c r="AG144" s="421"/>
      <c r="AH144" s="421"/>
      <c r="AI144" s="421"/>
      <c r="AJ144" s="421"/>
      <c r="AK144" s="421"/>
      <c r="AL144" s="421"/>
      <c r="AM144" s="421"/>
      <c r="AN144" s="421"/>
      <c r="AO144" s="421"/>
      <c r="AP144" s="421"/>
      <c r="AQ144" s="421"/>
      <c r="AR144" s="421"/>
      <c r="AS144" s="421"/>
      <c r="AT144" s="421"/>
      <c r="AU144" s="421"/>
      <c r="AV144" s="421"/>
      <c r="AW144" s="421"/>
      <c r="AX144" s="421"/>
      <c r="AY144" s="421"/>
      <c r="AZ144" s="421"/>
      <c r="BA144" s="421"/>
    </row>
    <row r="145">
      <c r="A145" s="421"/>
      <c r="B145" s="421"/>
      <c r="C145" s="268"/>
      <c r="D145" s="431"/>
      <c r="E145" s="276"/>
      <c r="F145" s="265"/>
      <c r="G145" s="265"/>
      <c r="H145" s="432"/>
      <c r="I145" s="432"/>
      <c r="J145" s="283"/>
      <c r="K145" s="276"/>
      <c r="L145" s="417" t="str">
        <f t="shared" si="1"/>
        <v/>
      </c>
      <c r="M145" s="425"/>
      <c r="N145" s="426"/>
      <c r="O145" s="427"/>
      <c r="P145" s="425"/>
      <c r="Q145" s="425"/>
      <c r="R145" s="425"/>
      <c r="S145" s="421"/>
      <c r="T145" s="421"/>
      <c r="U145" s="421"/>
      <c r="V145" s="421"/>
      <c r="W145" s="421"/>
      <c r="X145" s="425"/>
      <c r="Y145" s="421"/>
      <c r="Z145" s="421"/>
      <c r="AA145" s="421"/>
      <c r="AB145" s="421"/>
      <c r="AC145" s="421"/>
      <c r="AD145" s="421"/>
      <c r="AE145" s="421"/>
      <c r="AF145" s="421"/>
      <c r="AG145" s="421"/>
      <c r="AH145" s="421"/>
      <c r="AI145" s="421"/>
      <c r="AJ145" s="421"/>
      <c r="AK145" s="421"/>
      <c r="AL145" s="421"/>
      <c r="AM145" s="421"/>
      <c r="AN145" s="421"/>
      <c r="AO145" s="421"/>
      <c r="AP145" s="421"/>
      <c r="AQ145" s="421"/>
      <c r="AR145" s="421"/>
      <c r="AS145" s="421"/>
      <c r="AT145" s="421"/>
      <c r="AU145" s="421"/>
      <c r="AV145" s="421"/>
      <c r="AW145" s="421"/>
      <c r="AX145" s="421"/>
      <c r="AY145" s="421"/>
      <c r="AZ145" s="421"/>
      <c r="BA145" s="421"/>
    </row>
    <row r="146">
      <c r="A146" s="421"/>
      <c r="B146" s="421"/>
      <c r="C146" s="268"/>
      <c r="D146" s="431"/>
      <c r="E146" s="276"/>
      <c r="F146" s="265"/>
      <c r="G146" s="265"/>
      <c r="H146" s="432"/>
      <c r="I146" s="432"/>
      <c r="J146" s="283"/>
      <c r="K146" s="276"/>
      <c r="L146" s="417" t="str">
        <f t="shared" si="1"/>
        <v/>
      </c>
      <c r="M146" s="425"/>
      <c r="N146" s="426"/>
      <c r="O146" s="427"/>
      <c r="P146" s="425"/>
      <c r="Q146" s="425"/>
      <c r="R146" s="425"/>
      <c r="S146" s="421"/>
      <c r="T146" s="421"/>
      <c r="U146" s="421"/>
      <c r="V146" s="421"/>
      <c r="W146" s="421"/>
      <c r="X146" s="425"/>
      <c r="Y146" s="421"/>
      <c r="Z146" s="421"/>
      <c r="AA146" s="421"/>
      <c r="AB146" s="421"/>
      <c r="AC146" s="421"/>
      <c r="AD146" s="421"/>
      <c r="AE146" s="421"/>
      <c r="AF146" s="421"/>
      <c r="AG146" s="421"/>
      <c r="AH146" s="421"/>
      <c r="AI146" s="421"/>
      <c r="AJ146" s="421"/>
      <c r="AK146" s="421"/>
      <c r="AL146" s="421"/>
      <c r="AM146" s="421"/>
      <c r="AN146" s="421"/>
      <c r="AO146" s="421"/>
      <c r="AP146" s="421"/>
      <c r="AQ146" s="421"/>
      <c r="AR146" s="421"/>
      <c r="AS146" s="421"/>
      <c r="AT146" s="421"/>
      <c r="AU146" s="421"/>
      <c r="AV146" s="421"/>
      <c r="AW146" s="421"/>
      <c r="AX146" s="421"/>
      <c r="AY146" s="421"/>
      <c r="AZ146" s="421"/>
      <c r="BA146" s="421"/>
    </row>
    <row r="147">
      <c r="A147" s="421"/>
      <c r="B147" s="421"/>
      <c r="C147" s="268"/>
      <c r="D147" s="431"/>
      <c r="E147" s="276"/>
      <c r="F147" s="265"/>
      <c r="G147" s="265"/>
      <c r="H147" s="432"/>
      <c r="I147" s="432"/>
      <c r="J147" s="283"/>
      <c r="K147" s="276"/>
      <c r="L147" s="417" t="str">
        <f t="shared" si="1"/>
        <v/>
      </c>
      <c r="M147" s="425"/>
      <c r="N147" s="426"/>
      <c r="O147" s="427"/>
      <c r="P147" s="425"/>
      <c r="Q147" s="425"/>
      <c r="R147" s="425"/>
      <c r="S147" s="421"/>
      <c r="T147" s="421"/>
      <c r="U147" s="421"/>
      <c r="V147" s="421"/>
      <c r="W147" s="421"/>
      <c r="X147" s="425"/>
      <c r="Y147" s="421"/>
      <c r="Z147" s="421"/>
      <c r="AA147" s="421"/>
      <c r="AB147" s="421"/>
      <c r="AC147" s="421"/>
      <c r="AD147" s="421"/>
      <c r="AE147" s="421"/>
      <c r="AF147" s="421"/>
      <c r="AG147" s="421"/>
      <c r="AH147" s="421"/>
      <c r="AI147" s="421"/>
      <c r="AJ147" s="421"/>
      <c r="AK147" s="421"/>
      <c r="AL147" s="421"/>
      <c r="AM147" s="421"/>
      <c r="AN147" s="421"/>
      <c r="AO147" s="421"/>
      <c r="AP147" s="421"/>
      <c r="AQ147" s="421"/>
      <c r="AR147" s="421"/>
      <c r="AS147" s="421"/>
      <c r="AT147" s="421"/>
      <c r="AU147" s="421"/>
      <c r="AV147" s="421"/>
      <c r="AW147" s="421"/>
      <c r="AX147" s="421"/>
      <c r="AY147" s="421"/>
      <c r="AZ147" s="421"/>
      <c r="BA147" s="421"/>
    </row>
    <row r="148">
      <c r="A148" s="421"/>
      <c r="B148" s="421"/>
      <c r="C148" s="268"/>
      <c r="D148" s="431"/>
      <c r="E148" s="276"/>
      <c r="F148" s="265"/>
      <c r="G148" s="265"/>
      <c r="H148" s="432"/>
      <c r="I148" s="432"/>
      <c r="J148" s="283"/>
      <c r="K148" s="276"/>
      <c r="L148" s="417" t="str">
        <f t="shared" si="1"/>
        <v/>
      </c>
      <c r="M148" s="425"/>
      <c r="N148" s="426"/>
      <c r="O148" s="427"/>
      <c r="P148" s="425"/>
      <c r="Q148" s="425"/>
      <c r="R148" s="425"/>
      <c r="S148" s="421"/>
      <c r="T148" s="421"/>
      <c r="U148" s="421"/>
      <c r="V148" s="421"/>
      <c r="W148" s="421"/>
      <c r="X148" s="425"/>
      <c r="Y148" s="421"/>
      <c r="Z148" s="421"/>
      <c r="AA148" s="421"/>
      <c r="AB148" s="421"/>
      <c r="AC148" s="421"/>
      <c r="AD148" s="421"/>
      <c r="AE148" s="421"/>
      <c r="AF148" s="421"/>
      <c r="AG148" s="421"/>
      <c r="AH148" s="421"/>
      <c r="AI148" s="421"/>
      <c r="AJ148" s="421"/>
      <c r="AK148" s="421"/>
      <c r="AL148" s="421"/>
      <c r="AM148" s="421"/>
      <c r="AN148" s="421"/>
      <c r="AO148" s="421"/>
      <c r="AP148" s="421"/>
      <c r="AQ148" s="421"/>
      <c r="AR148" s="421"/>
      <c r="AS148" s="421"/>
      <c r="AT148" s="421"/>
      <c r="AU148" s="421"/>
      <c r="AV148" s="421"/>
      <c r="AW148" s="421"/>
      <c r="AX148" s="421"/>
      <c r="AY148" s="421"/>
      <c r="AZ148" s="421"/>
      <c r="BA148" s="421"/>
    </row>
    <row r="149">
      <c r="A149" s="421"/>
      <c r="B149" s="421"/>
      <c r="C149" s="268"/>
      <c r="D149" s="431"/>
      <c r="E149" s="276"/>
      <c r="F149" s="265"/>
      <c r="G149" s="265"/>
      <c r="H149" s="432"/>
      <c r="I149" s="432"/>
      <c r="J149" s="283"/>
      <c r="K149" s="276"/>
      <c r="L149" s="417" t="str">
        <f t="shared" si="1"/>
        <v/>
      </c>
      <c r="M149" s="425"/>
      <c r="N149" s="426"/>
      <c r="O149" s="427"/>
      <c r="P149" s="425"/>
      <c r="Q149" s="425"/>
      <c r="R149" s="425"/>
      <c r="S149" s="421"/>
      <c r="T149" s="421"/>
      <c r="U149" s="421"/>
      <c r="V149" s="421"/>
      <c r="W149" s="421"/>
      <c r="X149" s="425"/>
      <c r="Y149" s="421"/>
      <c r="Z149" s="421"/>
      <c r="AA149" s="421"/>
      <c r="AB149" s="421"/>
      <c r="AC149" s="421"/>
      <c r="AD149" s="421"/>
      <c r="AE149" s="421"/>
      <c r="AF149" s="421"/>
      <c r="AG149" s="421"/>
      <c r="AH149" s="421"/>
      <c r="AI149" s="421"/>
      <c r="AJ149" s="421"/>
      <c r="AK149" s="421"/>
      <c r="AL149" s="421"/>
      <c r="AM149" s="421"/>
      <c r="AN149" s="421"/>
      <c r="AO149" s="421"/>
      <c r="AP149" s="421"/>
      <c r="AQ149" s="421"/>
      <c r="AR149" s="421"/>
      <c r="AS149" s="421"/>
      <c r="AT149" s="421"/>
      <c r="AU149" s="421"/>
      <c r="AV149" s="421"/>
      <c r="AW149" s="421"/>
      <c r="AX149" s="421"/>
      <c r="AY149" s="421"/>
      <c r="AZ149" s="421"/>
      <c r="BA149" s="421"/>
    </row>
    <row r="150">
      <c r="A150" s="421"/>
      <c r="B150" s="421"/>
      <c r="C150" s="268"/>
      <c r="D150" s="431"/>
      <c r="E150" s="276"/>
      <c r="F150" s="265"/>
      <c r="G150" s="265"/>
      <c r="H150" s="432"/>
      <c r="I150" s="432"/>
      <c r="J150" s="283"/>
      <c r="K150" s="276"/>
      <c r="L150" s="417" t="str">
        <f t="shared" si="1"/>
        <v/>
      </c>
      <c r="M150" s="425"/>
      <c r="N150" s="426"/>
      <c r="O150" s="427"/>
      <c r="P150" s="425"/>
      <c r="Q150" s="425"/>
      <c r="R150" s="425"/>
      <c r="S150" s="421"/>
      <c r="T150" s="421"/>
      <c r="U150" s="421"/>
      <c r="V150" s="421"/>
      <c r="W150" s="421"/>
      <c r="X150" s="425"/>
      <c r="Y150" s="421"/>
      <c r="Z150" s="421"/>
      <c r="AA150" s="421"/>
      <c r="AB150" s="421"/>
      <c r="AC150" s="421"/>
      <c r="AD150" s="421"/>
      <c r="AE150" s="421"/>
      <c r="AF150" s="421"/>
      <c r="AG150" s="421"/>
      <c r="AH150" s="421"/>
      <c r="AI150" s="421"/>
      <c r="AJ150" s="421"/>
      <c r="AK150" s="421"/>
      <c r="AL150" s="421"/>
      <c r="AM150" s="421"/>
      <c r="AN150" s="421"/>
      <c r="AO150" s="421"/>
      <c r="AP150" s="421"/>
      <c r="AQ150" s="421"/>
      <c r="AR150" s="421"/>
      <c r="AS150" s="421"/>
      <c r="AT150" s="421"/>
      <c r="AU150" s="421"/>
      <c r="AV150" s="421"/>
      <c r="AW150" s="421"/>
      <c r="AX150" s="421"/>
      <c r="AY150" s="421"/>
      <c r="AZ150" s="421"/>
      <c r="BA150" s="421"/>
    </row>
    <row r="151">
      <c r="A151" s="421"/>
      <c r="B151" s="421"/>
      <c r="C151" s="268"/>
      <c r="D151" s="431"/>
      <c r="E151" s="276"/>
      <c r="F151" s="265"/>
      <c r="G151" s="265"/>
      <c r="H151" s="432"/>
      <c r="I151" s="432"/>
      <c r="J151" s="283"/>
      <c r="K151" s="276"/>
      <c r="L151" s="417" t="str">
        <f t="shared" si="1"/>
        <v/>
      </c>
      <c r="M151" s="425"/>
      <c r="N151" s="426"/>
      <c r="O151" s="427"/>
      <c r="P151" s="425"/>
      <c r="Q151" s="425"/>
      <c r="R151" s="425"/>
      <c r="S151" s="421"/>
      <c r="T151" s="421"/>
      <c r="U151" s="421"/>
      <c r="V151" s="421"/>
      <c r="W151" s="421"/>
      <c r="X151" s="425"/>
      <c r="Y151" s="421"/>
      <c r="Z151" s="421"/>
      <c r="AA151" s="421"/>
      <c r="AB151" s="421"/>
      <c r="AC151" s="421"/>
      <c r="AD151" s="421"/>
      <c r="AE151" s="421"/>
      <c r="AF151" s="421"/>
      <c r="AG151" s="421"/>
      <c r="AH151" s="421"/>
      <c r="AI151" s="421"/>
      <c r="AJ151" s="421"/>
      <c r="AK151" s="421"/>
      <c r="AL151" s="421"/>
      <c r="AM151" s="421"/>
      <c r="AN151" s="421"/>
      <c r="AO151" s="421"/>
      <c r="AP151" s="421"/>
      <c r="AQ151" s="421"/>
      <c r="AR151" s="421"/>
      <c r="AS151" s="421"/>
      <c r="AT151" s="421"/>
      <c r="AU151" s="421"/>
      <c r="AV151" s="421"/>
      <c r="AW151" s="421"/>
      <c r="AX151" s="421"/>
      <c r="AY151" s="421"/>
      <c r="AZ151" s="421"/>
      <c r="BA151" s="421"/>
    </row>
    <row r="152">
      <c r="A152" s="421"/>
      <c r="B152" s="421"/>
      <c r="C152" s="268"/>
      <c r="D152" s="431"/>
      <c r="E152" s="276"/>
      <c r="F152" s="265"/>
      <c r="G152" s="265"/>
      <c r="H152" s="432"/>
      <c r="I152" s="432"/>
      <c r="J152" s="283"/>
      <c r="K152" s="276"/>
      <c r="L152" s="417" t="str">
        <f t="shared" si="1"/>
        <v/>
      </c>
      <c r="M152" s="425"/>
      <c r="N152" s="426"/>
      <c r="O152" s="427"/>
      <c r="P152" s="425"/>
      <c r="Q152" s="425"/>
      <c r="R152" s="425"/>
      <c r="S152" s="421"/>
      <c r="T152" s="421"/>
      <c r="U152" s="421"/>
      <c r="V152" s="421"/>
      <c r="W152" s="421"/>
      <c r="X152" s="425"/>
      <c r="Y152" s="421"/>
      <c r="Z152" s="421"/>
      <c r="AA152" s="421"/>
      <c r="AB152" s="421"/>
      <c r="AC152" s="421"/>
      <c r="AD152" s="421"/>
      <c r="AE152" s="421"/>
      <c r="AF152" s="421"/>
      <c r="AG152" s="421"/>
      <c r="AH152" s="421"/>
      <c r="AI152" s="421"/>
      <c r="AJ152" s="421"/>
      <c r="AK152" s="421"/>
      <c r="AL152" s="421"/>
      <c r="AM152" s="421"/>
      <c r="AN152" s="421"/>
      <c r="AO152" s="421"/>
      <c r="AP152" s="421"/>
      <c r="AQ152" s="421"/>
      <c r="AR152" s="421"/>
      <c r="AS152" s="421"/>
      <c r="AT152" s="421"/>
      <c r="AU152" s="421"/>
      <c r="AV152" s="421"/>
      <c r="AW152" s="421"/>
      <c r="AX152" s="421"/>
      <c r="AY152" s="421"/>
      <c r="AZ152" s="421"/>
      <c r="BA152" s="421"/>
    </row>
    <row r="153">
      <c r="A153" s="421"/>
      <c r="B153" s="421"/>
      <c r="C153" s="268"/>
      <c r="D153" s="431"/>
      <c r="E153" s="276"/>
      <c r="F153" s="265"/>
      <c r="G153" s="265"/>
      <c r="H153" s="432"/>
      <c r="I153" s="432"/>
      <c r="J153" s="283"/>
      <c r="K153" s="276"/>
      <c r="L153" s="417" t="str">
        <f t="shared" si="1"/>
        <v/>
      </c>
      <c r="M153" s="425"/>
      <c r="N153" s="426"/>
      <c r="O153" s="427"/>
      <c r="P153" s="425"/>
      <c r="Q153" s="425"/>
      <c r="R153" s="425"/>
      <c r="S153" s="421"/>
      <c r="T153" s="421"/>
      <c r="U153" s="421"/>
      <c r="V153" s="421"/>
      <c r="W153" s="421"/>
      <c r="X153" s="425"/>
      <c r="Y153" s="421"/>
      <c r="Z153" s="421"/>
      <c r="AA153" s="421"/>
      <c r="AB153" s="421"/>
      <c r="AC153" s="421"/>
      <c r="AD153" s="421"/>
      <c r="AE153" s="421"/>
      <c r="AF153" s="421"/>
      <c r="AG153" s="421"/>
      <c r="AH153" s="421"/>
      <c r="AI153" s="421"/>
      <c r="AJ153" s="421"/>
      <c r="AK153" s="421"/>
      <c r="AL153" s="421"/>
      <c r="AM153" s="421"/>
      <c r="AN153" s="421"/>
      <c r="AO153" s="421"/>
      <c r="AP153" s="421"/>
      <c r="AQ153" s="421"/>
      <c r="AR153" s="421"/>
      <c r="AS153" s="421"/>
      <c r="AT153" s="421"/>
      <c r="AU153" s="421"/>
      <c r="AV153" s="421"/>
      <c r="AW153" s="421"/>
      <c r="AX153" s="421"/>
      <c r="AY153" s="421"/>
      <c r="AZ153" s="421"/>
      <c r="BA153" s="421"/>
    </row>
    <row r="154">
      <c r="A154" s="421"/>
      <c r="B154" s="421"/>
      <c r="C154" s="268"/>
      <c r="D154" s="431"/>
      <c r="E154" s="276"/>
      <c r="F154" s="265"/>
      <c r="G154" s="265"/>
      <c r="H154" s="432"/>
      <c r="I154" s="432"/>
      <c r="J154" s="283"/>
      <c r="K154" s="276"/>
      <c r="L154" s="417" t="str">
        <f t="shared" si="1"/>
        <v/>
      </c>
      <c r="M154" s="425"/>
      <c r="N154" s="426"/>
      <c r="O154" s="427"/>
      <c r="P154" s="425"/>
      <c r="Q154" s="425"/>
      <c r="R154" s="425"/>
      <c r="S154" s="421"/>
      <c r="T154" s="421"/>
      <c r="U154" s="421"/>
      <c r="V154" s="421"/>
      <c r="W154" s="421"/>
      <c r="X154" s="425"/>
      <c r="Y154" s="421"/>
      <c r="Z154" s="421"/>
      <c r="AA154" s="421"/>
      <c r="AB154" s="421"/>
      <c r="AC154" s="421"/>
      <c r="AD154" s="421"/>
      <c r="AE154" s="421"/>
      <c r="AF154" s="421"/>
      <c r="AG154" s="421"/>
      <c r="AH154" s="421"/>
      <c r="AI154" s="421"/>
      <c r="AJ154" s="421"/>
      <c r="AK154" s="421"/>
      <c r="AL154" s="421"/>
      <c r="AM154" s="421"/>
      <c r="AN154" s="421"/>
      <c r="AO154" s="421"/>
      <c r="AP154" s="421"/>
      <c r="AQ154" s="421"/>
      <c r="AR154" s="421"/>
      <c r="AS154" s="421"/>
      <c r="AT154" s="421"/>
      <c r="AU154" s="421"/>
      <c r="AV154" s="421"/>
      <c r="AW154" s="421"/>
      <c r="AX154" s="421"/>
      <c r="AY154" s="421"/>
      <c r="AZ154" s="421"/>
      <c r="BA154" s="421"/>
    </row>
    <row r="155">
      <c r="A155" s="421"/>
      <c r="B155" s="421"/>
      <c r="C155" s="268"/>
      <c r="D155" s="431"/>
      <c r="E155" s="276"/>
      <c r="F155" s="265"/>
      <c r="G155" s="265"/>
      <c r="H155" s="432"/>
      <c r="I155" s="432"/>
      <c r="J155" s="283"/>
      <c r="K155" s="276"/>
      <c r="L155" s="417" t="str">
        <f t="shared" si="1"/>
        <v/>
      </c>
      <c r="M155" s="425"/>
      <c r="N155" s="426"/>
      <c r="O155" s="427"/>
      <c r="P155" s="425"/>
      <c r="Q155" s="425"/>
      <c r="R155" s="425"/>
      <c r="S155" s="421"/>
      <c r="T155" s="421"/>
      <c r="U155" s="421"/>
      <c r="V155" s="421"/>
      <c r="W155" s="421"/>
      <c r="X155" s="425"/>
      <c r="Y155" s="421"/>
      <c r="Z155" s="421"/>
      <c r="AA155" s="421"/>
      <c r="AB155" s="421"/>
      <c r="AC155" s="421"/>
      <c r="AD155" s="421"/>
      <c r="AE155" s="421"/>
      <c r="AF155" s="421"/>
      <c r="AG155" s="421"/>
      <c r="AH155" s="421"/>
      <c r="AI155" s="421"/>
      <c r="AJ155" s="421"/>
      <c r="AK155" s="421"/>
      <c r="AL155" s="421"/>
      <c r="AM155" s="421"/>
      <c r="AN155" s="421"/>
      <c r="AO155" s="421"/>
      <c r="AP155" s="421"/>
      <c r="AQ155" s="421"/>
      <c r="AR155" s="421"/>
      <c r="AS155" s="421"/>
      <c r="AT155" s="421"/>
      <c r="AU155" s="421"/>
      <c r="AV155" s="421"/>
      <c r="AW155" s="421"/>
      <c r="AX155" s="421"/>
      <c r="AY155" s="421"/>
      <c r="AZ155" s="421"/>
      <c r="BA155" s="421"/>
    </row>
    <row r="156">
      <c r="A156" s="421"/>
      <c r="B156" s="421"/>
      <c r="C156" s="268"/>
      <c r="D156" s="431"/>
      <c r="E156" s="276"/>
      <c r="F156" s="265"/>
      <c r="G156" s="265"/>
      <c r="H156" s="432"/>
      <c r="I156" s="432"/>
      <c r="J156" s="283"/>
      <c r="K156" s="276"/>
      <c r="L156" s="417" t="str">
        <f t="shared" si="1"/>
        <v/>
      </c>
      <c r="M156" s="425"/>
      <c r="N156" s="426"/>
      <c r="O156" s="427"/>
      <c r="P156" s="425"/>
      <c r="Q156" s="425"/>
      <c r="R156" s="425"/>
      <c r="S156" s="421"/>
      <c r="T156" s="421"/>
      <c r="U156" s="421"/>
      <c r="V156" s="421"/>
      <c r="W156" s="421"/>
      <c r="X156" s="425"/>
      <c r="Y156" s="421"/>
      <c r="Z156" s="421"/>
      <c r="AA156" s="421"/>
      <c r="AB156" s="421"/>
      <c r="AC156" s="421"/>
      <c r="AD156" s="421"/>
      <c r="AE156" s="421"/>
      <c r="AF156" s="421"/>
      <c r="AG156" s="421"/>
      <c r="AH156" s="421"/>
      <c r="AI156" s="421"/>
      <c r="AJ156" s="421"/>
      <c r="AK156" s="421"/>
      <c r="AL156" s="421"/>
      <c r="AM156" s="421"/>
      <c r="AN156" s="421"/>
      <c r="AO156" s="421"/>
      <c r="AP156" s="421"/>
      <c r="AQ156" s="421"/>
      <c r="AR156" s="421"/>
      <c r="AS156" s="421"/>
      <c r="AT156" s="421"/>
      <c r="AU156" s="421"/>
      <c r="AV156" s="421"/>
      <c r="AW156" s="421"/>
      <c r="AX156" s="421"/>
      <c r="AY156" s="421"/>
      <c r="AZ156" s="421"/>
      <c r="BA156" s="421"/>
    </row>
    <row r="157">
      <c r="A157" s="421"/>
      <c r="B157" s="421"/>
      <c r="C157" s="268"/>
      <c r="D157" s="431"/>
      <c r="E157" s="276"/>
      <c r="F157" s="265"/>
      <c r="G157" s="265"/>
      <c r="H157" s="432"/>
      <c r="I157" s="432"/>
      <c r="J157" s="283"/>
      <c r="K157" s="276"/>
      <c r="L157" s="417" t="str">
        <f t="shared" si="1"/>
        <v/>
      </c>
      <c r="M157" s="425"/>
      <c r="N157" s="426"/>
      <c r="O157" s="427"/>
      <c r="P157" s="425"/>
      <c r="Q157" s="425"/>
      <c r="R157" s="425"/>
      <c r="S157" s="421"/>
      <c r="T157" s="421"/>
      <c r="U157" s="421"/>
      <c r="V157" s="421"/>
      <c r="W157" s="421"/>
      <c r="X157" s="425"/>
      <c r="Y157" s="421"/>
      <c r="Z157" s="421"/>
      <c r="AA157" s="421"/>
      <c r="AB157" s="421"/>
      <c r="AC157" s="421"/>
      <c r="AD157" s="421"/>
      <c r="AE157" s="421"/>
      <c r="AF157" s="421"/>
      <c r="AG157" s="421"/>
      <c r="AH157" s="421"/>
      <c r="AI157" s="421"/>
      <c r="AJ157" s="421"/>
      <c r="AK157" s="421"/>
      <c r="AL157" s="421"/>
      <c r="AM157" s="421"/>
      <c r="AN157" s="421"/>
      <c r="AO157" s="421"/>
      <c r="AP157" s="421"/>
      <c r="AQ157" s="421"/>
      <c r="AR157" s="421"/>
      <c r="AS157" s="421"/>
      <c r="AT157" s="421"/>
      <c r="AU157" s="421"/>
      <c r="AV157" s="421"/>
      <c r="AW157" s="421"/>
      <c r="AX157" s="421"/>
      <c r="AY157" s="421"/>
      <c r="AZ157" s="421"/>
      <c r="BA157" s="421"/>
    </row>
    <row r="158">
      <c r="A158" s="421"/>
      <c r="B158" s="421"/>
      <c r="C158" s="268"/>
      <c r="D158" s="431"/>
      <c r="E158" s="276"/>
      <c r="F158" s="265"/>
      <c r="G158" s="265"/>
      <c r="H158" s="432"/>
      <c r="I158" s="432"/>
      <c r="J158" s="283"/>
      <c r="K158" s="276"/>
      <c r="L158" s="417" t="str">
        <f t="shared" si="1"/>
        <v/>
      </c>
      <c r="M158" s="425"/>
      <c r="N158" s="426"/>
      <c r="O158" s="427"/>
      <c r="P158" s="425"/>
      <c r="Q158" s="425"/>
      <c r="R158" s="425"/>
      <c r="S158" s="421"/>
      <c r="T158" s="421"/>
      <c r="U158" s="421"/>
      <c r="V158" s="421"/>
      <c r="W158" s="421"/>
      <c r="X158" s="425"/>
      <c r="Y158" s="421"/>
      <c r="Z158" s="421"/>
      <c r="AA158" s="421"/>
      <c r="AB158" s="421"/>
      <c r="AC158" s="421"/>
      <c r="AD158" s="421"/>
      <c r="AE158" s="421"/>
      <c r="AF158" s="421"/>
      <c r="AG158" s="421"/>
      <c r="AH158" s="421"/>
      <c r="AI158" s="421"/>
      <c r="AJ158" s="421"/>
      <c r="AK158" s="421"/>
      <c r="AL158" s="421"/>
      <c r="AM158" s="421"/>
      <c r="AN158" s="421"/>
      <c r="AO158" s="421"/>
      <c r="AP158" s="421"/>
      <c r="AQ158" s="421"/>
      <c r="AR158" s="421"/>
      <c r="AS158" s="421"/>
      <c r="AT158" s="421"/>
      <c r="AU158" s="421"/>
      <c r="AV158" s="421"/>
      <c r="AW158" s="421"/>
      <c r="AX158" s="421"/>
      <c r="AY158" s="421"/>
      <c r="AZ158" s="421"/>
      <c r="BA158" s="421"/>
    </row>
    <row r="159">
      <c r="A159" s="421"/>
      <c r="B159" s="421"/>
      <c r="C159" s="268"/>
      <c r="D159" s="431"/>
      <c r="E159" s="276"/>
      <c r="F159" s="265"/>
      <c r="G159" s="265"/>
      <c r="H159" s="432"/>
      <c r="I159" s="432"/>
      <c r="J159" s="283"/>
      <c r="K159" s="276"/>
      <c r="L159" s="417" t="str">
        <f t="shared" si="1"/>
        <v/>
      </c>
      <c r="M159" s="425"/>
      <c r="N159" s="426"/>
      <c r="O159" s="427"/>
      <c r="P159" s="425"/>
      <c r="Q159" s="425"/>
      <c r="R159" s="425"/>
      <c r="S159" s="421"/>
      <c r="T159" s="421"/>
      <c r="U159" s="421"/>
      <c r="V159" s="421"/>
      <c r="W159" s="421"/>
      <c r="X159" s="425"/>
      <c r="Y159" s="421"/>
      <c r="Z159" s="421"/>
      <c r="AA159" s="421"/>
      <c r="AB159" s="421"/>
      <c r="AC159" s="421"/>
      <c r="AD159" s="421"/>
      <c r="AE159" s="421"/>
      <c r="AF159" s="421"/>
      <c r="AG159" s="421"/>
      <c r="AH159" s="421"/>
      <c r="AI159" s="421"/>
      <c r="AJ159" s="421"/>
      <c r="AK159" s="421"/>
      <c r="AL159" s="421"/>
      <c r="AM159" s="421"/>
      <c r="AN159" s="421"/>
      <c r="AO159" s="421"/>
      <c r="AP159" s="421"/>
      <c r="AQ159" s="421"/>
      <c r="AR159" s="421"/>
      <c r="AS159" s="421"/>
      <c r="AT159" s="421"/>
      <c r="AU159" s="421"/>
      <c r="AV159" s="421"/>
      <c r="AW159" s="421"/>
      <c r="AX159" s="421"/>
      <c r="AY159" s="421"/>
      <c r="AZ159" s="421"/>
      <c r="BA159" s="421"/>
    </row>
    <row r="160">
      <c r="A160" s="421"/>
      <c r="B160" s="421"/>
      <c r="C160" s="268"/>
      <c r="D160" s="431"/>
      <c r="E160" s="276"/>
      <c r="F160" s="265"/>
      <c r="G160" s="265"/>
      <c r="H160" s="432"/>
      <c r="I160" s="432"/>
      <c r="J160" s="283"/>
      <c r="K160" s="276"/>
      <c r="L160" s="417" t="str">
        <f t="shared" si="1"/>
        <v/>
      </c>
      <c r="M160" s="425"/>
      <c r="N160" s="426"/>
      <c r="O160" s="427"/>
      <c r="P160" s="425"/>
      <c r="Q160" s="425"/>
      <c r="R160" s="425"/>
      <c r="S160" s="421"/>
      <c r="T160" s="421"/>
      <c r="U160" s="421"/>
      <c r="V160" s="421"/>
      <c r="W160" s="421"/>
      <c r="X160" s="425"/>
      <c r="Y160" s="421"/>
      <c r="Z160" s="421"/>
      <c r="AA160" s="421"/>
      <c r="AB160" s="421"/>
      <c r="AC160" s="421"/>
      <c r="AD160" s="421"/>
      <c r="AE160" s="421"/>
      <c r="AF160" s="421"/>
      <c r="AG160" s="421"/>
      <c r="AH160" s="421"/>
      <c r="AI160" s="421"/>
      <c r="AJ160" s="421"/>
      <c r="AK160" s="421"/>
      <c r="AL160" s="421"/>
      <c r="AM160" s="421"/>
      <c r="AN160" s="421"/>
      <c r="AO160" s="421"/>
      <c r="AP160" s="421"/>
      <c r="AQ160" s="421"/>
      <c r="AR160" s="421"/>
      <c r="AS160" s="421"/>
      <c r="AT160" s="421"/>
      <c r="AU160" s="421"/>
      <c r="AV160" s="421"/>
      <c r="AW160" s="421"/>
      <c r="AX160" s="421"/>
      <c r="AY160" s="421"/>
      <c r="AZ160" s="421"/>
      <c r="BA160" s="421"/>
    </row>
    <row r="161">
      <c r="A161" s="421"/>
      <c r="B161" s="421"/>
      <c r="C161" s="268"/>
      <c r="D161" s="431"/>
      <c r="E161" s="276"/>
      <c r="F161" s="265"/>
      <c r="G161" s="265"/>
      <c r="H161" s="432"/>
      <c r="I161" s="432"/>
      <c r="J161" s="283"/>
      <c r="K161" s="276"/>
      <c r="L161" s="417" t="str">
        <f t="shared" si="1"/>
        <v/>
      </c>
      <c r="M161" s="425"/>
      <c r="N161" s="426"/>
      <c r="O161" s="427"/>
      <c r="P161" s="425"/>
      <c r="Q161" s="425"/>
      <c r="R161" s="425"/>
      <c r="S161" s="421"/>
      <c r="T161" s="421"/>
      <c r="U161" s="421"/>
      <c r="V161" s="421"/>
      <c r="W161" s="421"/>
      <c r="X161" s="425"/>
      <c r="Y161" s="421"/>
      <c r="Z161" s="421"/>
      <c r="AA161" s="421"/>
      <c r="AB161" s="421"/>
      <c r="AC161" s="421"/>
      <c r="AD161" s="421"/>
      <c r="AE161" s="421"/>
      <c r="AF161" s="421"/>
      <c r="AG161" s="421"/>
      <c r="AH161" s="421"/>
      <c r="AI161" s="421"/>
      <c r="AJ161" s="421"/>
      <c r="AK161" s="421"/>
      <c r="AL161" s="421"/>
      <c r="AM161" s="421"/>
      <c r="AN161" s="421"/>
      <c r="AO161" s="421"/>
      <c r="AP161" s="421"/>
      <c r="AQ161" s="421"/>
      <c r="AR161" s="421"/>
      <c r="AS161" s="421"/>
      <c r="AT161" s="421"/>
      <c r="AU161" s="421"/>
      <c r="AV161" s="421"/>
      <c r="AW161" s="421"/>
      <c r="AX161" s="421"/>
      <c r="AY161" s="421"/>
      <c r="AZ161" s="421"/>
      <c r="BA161" s="421"/>
    </row>
    <row r="162">
      <c r="A162" s="421"/>
      <c r="B162" s="421"/>
      <c r="C162" s="268"/>
      <c r="D162" s="431"/>
      <c r="E162" s="276"/>
      <c r="F162" s="265"/>
      <c r="G162" s="265"/>
      <c r="H162" s="432"/>
      <c r="I162" s="432"/>
      <c r="J162" s="283"/>
      <c r="K162" s="276"/>
      <c r="L162" s="417" t="str">
        <f t="shared" si="1"/>
        <v/>
      </c>
      <c r="M162" s="425"/>
      <c r="N162" s="426"/>
      <c r="O162" s="427"/>
      <c r="P162" s="425"/>
      <c r="Q162" s="425"/>
      <c r="R162" s="425"/>
      <c r="S162" s="421"/>
      <c r="T162" s="421"/>
      <c r="U162" s="421"/>
      <c r="V162" s="421"/>
      <c r="W162" s="421"/>
      <c r="X162" s="425"/>
      <c r="Y162" s="421"/>
      <c r="Z162" s="421"/>
      <c r="AA162" s="421"/>
      <c r="AB162" s="421"/>
      <c r="AC162" s="421"/>
      <c r="AD162" s="421"/>
      <c r="AE162" s="421"/>
      <c r="AF162" s="421"/>
      <c r="AG162" s="421"/>
      <c r="AH162" s="421"/>
      <c r="AI162" s="421"/>
      <c r="AJ162" s="421"/>
      <c r="AK162" s="421"/>
      <c r="AL162" s="421"/>
      <c r="AM162" s="421"/>
      <c r="AN162" s="421"/>
      <c r="AO162" s="421"/>
      <c r="AP162" s="421"/>
      <c r="AQ162" s="421"/>
      <c r="AR162" s="421"/>
      <c r="AS162" s="421"/>
      <c r="AT162" s="421"/>
      <c r="AU162" s="421"/>
      <c r="AV162" s="421"/>
      <c r="AW162" s="421"/>
      <c r="AX162" s="421"/>
      <c r="AY162" s="421"/>
      <c r="AZ162" s="421"/>
      <c r="BA162" s="421"/>
    </row>
    <row r="163">
      <c r="A163" s="421"/>
      <c r="B163" s="421"/>
      <c r="C163" s="268"/>
      <c r="D163" s="431"/>
      <c r="E163" s="276"/>
      <c r="F163" s="265"/>
      <c r="G163" s="265"/>
      <c r="H163" s="432"/>
      <c r="I163" s="432"/>
      <c r="J163" s="283"/>
      <c r="K163" s="276"/>
      <c r="L163" s="417" t="str">
        <f t="shared" si="1"/>
        <v/>
      </c>
      <c r="M163" s="425"/>
      <c r="N163" s="426"/>
      <c r="O163" s="427"/>
      <c r="P163" s="425"/>
      <c r="Q163" s="425"/>
      <c r="R163" s="425"/>
      <c r="S163" s="421"/>
      <c r="T163" s="421"/>
      <c r="U163" s="421"/>
      <c r="V163" s="421"/>
      <c r="W163" s="421"/>
      <c r="X163" s="425"/>
      <c r="Y163" s="421"/>
      <c r="Z163" s="421"/>
      <c r="AA163" s="421"/>
      <c r="AB163" s="421"/>
      <c r="AC163" s="421"/>
      <c r="AD163" s="421"/>
      <c r="AE163" s="421"/>
      <c r="AF163" s="421"/>
      <c r="AG163" s="421"/>
      <c r="AH163" s="421"/>
      <c r="AI163" s="421"/>
      <c r="AJ163" s="421"/>
      <c r="AK163" s="421"/>
      <c r="AL163" s="421"/>
      <c r="AM163" s="421"/>
      <c r="AN163" s="421"/>
      <c r="AO163" s="421"/>
      <c r="AP163" s="421"/>
      <c r="AQ163" s="421"/>
      <c r="AR163" s="421"/>
      <c r="AS163" s="421"/>
      <c r="AT163" s="421"/>
      <c r="AU163" s="421"/>
      <c r="AV163" s="421"/>
      <c r="AW163" s="421"/>
      <c r="AX163" s="421"/>
      <c r="AY163" s="421"/>
      <c r="AZ163" s="421"/>
      <c r="BA163" s="421"/>
    </row>
    <row r="164">
      <c r="A164" s="421"/>
      <c r="B164" s="421"/>
      <c r="C164" s="268"/>
      <c r="D164" s="431"/>
      <c r="E164" s="276"/>
      <c r="F164" s="265"/>
      <c r="G164" s="265"/>
      <c r="H164" s="432"/>
      <c r="I164" s="432"/>
      <c r="J164" s="283"/>
      <c r="K164" s="276"/>
      <c r="L164" s="417" t="str">
        <f t="shared" si="1"/>
        <v/>
      </c>
      <c r="M164" s="425"/>
      <c r="N164" s="426"/>
      <c r="O164" s="427"/>
      <c r="P164" s="425"/>
      <c r="Q164" s="425"/>
      <c r="R164" s="425"/>
      <c r="S164" s="421"/>
      <c r="T164" s="421"/>
      <c r="U164" s="421"/>
      <c r="V164" s="421"/>
      <c r="W164" s="421"/>
      <c r="X164" s="425"/>
      <c r="Y164" s="421"/>
      <c r="Z164" s="421"/>
      <c r="AA164" s="421"/>
      <c r="AB164" s="421"/>
      <c r="AC164" s="421"/>
      <c r="AD164" s="421"/>
      <c r="AE164" s="421"/>
      <c r="AF164" s="421"/>
      <c r="AG164" s="421"/>
      <c r="AH164" s="421"/>
      <c r="AI164" s="421"/>
      <c r="AJ164" s="421"/>
      <c r="AK164" s="421"/>
      <c r="AL164" s="421"/>
      <c r="AM164" s="421"/>
      <c r="AN164" s="421"/>
      <c r="AO164" s="421"/>
      <c r="AP164" s="421"/>
      <c r="AQ164" s="421"/>
      <c r="AR164" s="421"/>
      <c r="AS164" s="421"/>
      <c r="AT164" s="421"/>
      <c r="AU164" s="421"/>
      <c r="AV164" s="421"/>
      <c r="AW164" s="421"/>
      <c r="AX164" s="421"/>
      <c r="AY164" s="421"/>
      <c r="AZ164" s="421"/>
      <c r="BA164" s="421"/>
    </row>
    <row r="165">
      <c r="A165" s="421"/>
      <c r="B165" s="421"/>
      <c r="C165" s="268"/>
      <c r="D165" s="431"/>
      <c r="E165" s="276"/>
      <c r="F165" s="265"/>
      <c r="G165" s="265"/>
      <c r="H165" s="432"/>
      <c r="I165" s="432"/>
      <c r="J165" s="283"/>
      <c r="K165" s="276"/>
      <c r="L165" s="417" t="str">
        <f t="shared" si="1"/>
        <v/>
      </c>
      <c r="M165" s="425"/>
      <c r="N165" s="426"/>
      <c r="O165" s="427"/>
      <c r="P165" s="425"/>
      <c r="Q165" s="425"/>
      <c r="R165" s="425"/>
      <c r="S165" s="421"/>
      <c r="T165" s="421"/>
      <c r="U165" s="421"/>
      <c r="V165" s="421"/>
      <c r="W165" s="421"/>
      <c r="X165" s="425"/>
      <c r="Y165" s="421"/>
      <c r="Z165" s="421"/>
      <c r="AA165" s="421"/>
      <c r="AB165" s="421"/>
      <c r="AC165" s="421"/>
      <c r="AD165" s="421"/>
      <c r="AE165" s="421"/>
      <c r="AF165" s="421"/>
      <c r="AG165" s="421"/>
      <c r="AH165" s="421"/>
      <c r="AI165" s="421"/>
      <c r="AJ165" s="421"/>
      <c r="AK165" s="421"/>
      <c r="AL165" s="421"/>
      <c r="AM165" s="421"/>
      <c r="AN165" s="421"/>
      <c r="AO165" s="421"/>
      <c r="AP165" s="421"/>
      <c r="AQ165" s="421"/>
      <c r="AR165" s="421"/>
      <c r="AS165" s="421"/>
      <c r="AT165" s="421"/>
      <c r="AU165" s="421"/>
      <c r="AV165" s="421"/>
      <c r="AW165" s="421"/>
      <c r="AX165" s="421"/>
      <c r="AY165" s="421"/>
      <c r="AZ165" s="421"/>
      <c r="BA165" s="421"/>
    </row>
    <row r="166">
      <c r="A166" s="421"/>
      <c r="B166" s="421"/>
      <c r="C166" s="268"/>
      <c r="D166" s="431"/>
      <c r="E166" s="276"/>
      <c r="F166" s="265"/>
      <c r="G166" s="265"/>
      <c r="H166" s="432"/>
      <c r="I166" s="432"/>
      <c r="J166" s="283"/>
      <c r="K166" s="276"/>
      <c r="L166" s="417" t="str">
        <f t="shared" si="1"/>
        <v/>
      </c>
      <c r="M166" s="425"/>
      <c r="N166" s="426"/>
      <c r="O166" s="427"/>
      <c r="P166" s="425"/>
      <c r="Q166" s="425"/>
      <c r="R166" s="425"/>
      <c r="S166" s="421"/>
      <c r="T166" s="421"/>
      <c r="U166" s="421"/>
      <c r="V166" s="421"/>
      <c r="W166" s="421"/>
      <c r="X166" s="425"/>
      <c r="Y166" s="421"/>
      <c r="Z166" s="421"/>
      <c r="AA166" s="421"/>
      <c r="AB166" s="421"/>
      <c r="AC166" s="421"/>
      <c r="AD166" s="421"/>
      <c r="AE166" s="421"/>
      <c r="AF166" s="421"/>
      <c r="AG166" s="421"/>
      <c r="AH166" s="421"/>
      <c r="AI166" s="421"/>
      <c r="AJ166" s="421"/>
      <c r="AK166" s="421"/>
      <c r="AL166" s="421"/>
      <c r="AM166" s="421"/>
      <c r="AN166" s="421"/>
      <c r="AO166" s="421"/>
      <c r="AP166" s="421"/>
      <c r="AQ166" s="421"/>
      <c r="AR166" s="421"/>
      <c r="AS166" s="421"/>
      <c r="AT166" s="421"/>
      <c r="AU166" s="421"/>
      <c r="AV166" s="421"/>
      <c r="AW166" s="421"/>
      <c r="AX166" s="421"/>
      <c r="AY166" s="421"/>
      <c r="AZ166" s="421"/>
      <c r="BA166" s="421"/>
    </row>
    <row r="167">
      <c r="A167" s="421"/>
      <c r="B167" s="421"/>
      <c r="C167" s="268"/>
      <c r="D167" s="431"/>
      <c r="E167" s="276"/>
      <c r="F167" s="265"/>
      <c r="G167" s="265"/>
      <c r="H167" s="432"/>
      <c r="I167" s="432"/>
      <c r="J167" s="283"/>
      <c r="K167" s="276"/>
      <c r="L167" s="417" t="str">
        <f t="shared" si="1"/>
        <v/>
      </c>
      <c r="M167" s="425"/>
      <c r="N167" s="426"/>
      <c r="O167" s="427"/>
      <c r="P167" s="425"/>
      <c r="Q167" s="425"/>
      <c r="R167" s="425"/>
      <c r="S167" s="421"/>
      <c r="T167" s="421"/>
      <c r="U167" s="421"/>
      <c r="V167" s="421"/>
      <c r="W167" s="421"/>
      <c r="X167" s="425"/>
      <c r="Y167" s="421"/>
      <c r="Z167" s="421"/>
      <c r="AA167" s="421"/>
      <c r="AB167" s="421"/>
      <c r="AC167" s="421"/>
      <c r="AD167" s="421"/>
      <c r="AE167" s="421"/>
      <c r="AF167" s="421"/>
      <c r="AG167" s="421"/>
      <c r="AH167" s="421"/>
      <c r="AI167" s="421"/>
      <c r="AJ167" s="421"/>
      <c r="AK167" s="421"/>
      <c r="AL167" s="421"/>
      <c r="AM167" s="421"/>
      <c r="AN167" s="421"/>
      <c r="AO167" s="421"/>
      <c r="AP167" s="421"/>
      <c r="AQ167" s="421"/>
      <c r="AR167" s="421"/>
      <c r="AS167" s="421"/>
      <c r="AT167" s="421"/>
      <c r="AU167" s="421"/>
      <c r="AV167" s="421"/>
      <c r="AW167" s="421"/>
      <c r="AX167" s="421"/>
      <c r="AY167" s="421"/>
      <c r="AZ167" s="421"/>
      <c r="BA167" s="421"/>
    </row>
    <row r="168">
      <c r="A168" s="421"/>
      <c r="B168" s="421"/>
      <c r="C168" s="268"/>
      <c r="D168" s="431"/>
      <c r="E168" s="276"/>
      <c r="F168" s="265"/>
      <c r="G168" s="265"/>
      <c r="H168" s="432"/>
      <c r="I168" s="432"/>
      <c r="J168" s="283"/>
      <c r="K168" s="276"/>
      <c r="L168" s="417" t="str">
        <f t="shared" si="1"/>
        <v/>
      </c>
      <c r="M168" s="425"/>
      <c r="N168" s="426"/>
      <c r="O168" s="427"/>
      <c r="P168" s="425"/>
      <c r="Q168" s="425"/>
      <c r="R168" s="425"/>
      <c r="S168" s="421"/>
      <c r="T168" s="421"/>
      <c r="U168" s="421"/>
      <c r="V168" s="421"/>
      <c r="W168" s="421"/>
      <c r="X168" s="425"/>
      <c r="Y168" s="421"/>
      <c r="Z168" s="421"/>
      <c r="AA168" s="421"/>
      <c r="AB168" s="421"/>
      <c r="AC168" s="421"/>
      <c r="AD168" s="421"/>
      <c r="AE168" s="421"/>
      <c r="AF168" s="421"/>
      <c r="AG168" s="421"/>
      <c r="AH168" s="421"/>
      <c r="AI168" s="421"/>
      <c r="AJ168" s="421"/>
      <c r="AK168" s="421"/>
      <c r="AL168" s="421"/>
      <c r="AM168" s="421"/>
      <c r="AN168" s="421"/>
      <c r="AO168" s="421"/>
      <c r="AP168" s="421"/>
      <c r="AQ168" s="421"/>
      <c r="AR168" s="421"/>
      <c r="AS168" s="421"/>
      <c r="AT168" s="421"/>
      <c r="AU168" s="421"/>
      <c r="AV168" s="421"/>
      <c r="AW168" s="421"/>
      <c r="AX168" s="421"/>
      <c r="AY168" s="421"/>
      <c r="AZ168" s="421"/>
      <c r="BA168" s="421"/>
    </row>
    <row r="169">
      <c r="A169" s="421"/>
      <c r="B169" s="421"/>
      <c r="C169" s="268"/>
      <c r="D169" s="431"/>
      <c r="E169" s="276"/>
      <c r="F169" s="265"/>
      <c r="G169" s="265"/>
      <c r="H169" s="432"/>
      <c r="I169" s="432"/>
      <c r="J169" s="283"/>
      <c r="K169" s="276"/>
      <c r="L169" s="417" t="str">
        <f t="shared" si="1"/>
        <v/>
      </c>
      <c r="M169" s="425"/>
      <c r="N169" s="426"/>
      <c r="O169" s="427"/>
      <c r="P169" s="425"/>
      <c r="Q169" s="425"/>
      <c r="R169" s="425"/>
      <c r="S169" s="421"/>
      <c r="T169" s="421"/>
      <c r="U169" s="421"/>
      <c r="V169" s="421"/>
      <c r="W169" s="421"/>
      <c r="X169" s="425"/>
      <c r="Y169" s="421"/>
      <c r="Z169" s="421"/>
      <c r="AA169" s="421"/>
      <c r="AB169" s="421"/>
      <c r="AC169" s="421"/>
      <c r="AD169" s="421"/>
      <c r="AE169" s="421"/>
      <c r="AF169" s="421"/>
      <c r="AG169" s="421"/>
      <c r="AH169" s="421"/>
      <c r="AI169" s="421"/>
      <c r="AJ169" s="421"/>
      <c r="AK169" s="421"/>
      <c r="AL169" s="421"/>
      <c r="AM169" s="421"/>
      <c r="AN169" s="421"/>
      <c r="AO169" s="421"/>
      <c r="AP169" s="421"/>
      <c r="AQ169" s="421"/>
      <c r="AR169" s="421"/>
      <c r="AS169" s="421"/>
      <c r="AT169" s="421"/>
      <c r="AU169" s="421"/>
      <c r="AV169" s="421"/>
      <c r="AW169" s="421"/>
      <c r="AX169" s="421"/>
      <c r="AY169" s="421"/>
      <c r="AZ169" s="421"/>
      <c r="BA169" s="421"/>
    </row>
    <row r="170">
      <c r="A170" s="421"/>
      <c r="B170" s="421"/>
      <c r="C170" s="268"/>
      <c r="D170" s="431"/>
      <c r="E170" s="276"/>
      <c r="F170" s="265"/>
      <c r="G170" s="265"/>
      <c r="H170" s="432"/>
      <c r="I170" s="432"/>
      <c r="J170" s="283"/>
      <c r="K170" s="276"/>
      <c r="L170" s="417" t="str">
        <f t="shared" si="1"/>
        <v/>
      </c>
      <c r="M170" s="425"/>
      <c r="N170" s="426"/>
      <c r="O170" s="427"/>
      <c r="P170" s="425"/>
      <c r="Q170" s="425"/>
      <c r="R170" s="425"/>
      <c r="S170" s="421"/>
      <c r="T170" s="421"/>
      <c r="U170" s="421"/>
      <c r="V170" s="421"/>
      <c r="W170" s="421"/>
      <c r="X170" s="425"/>
      <c r="Y170" s="421"/>
      <c r="Z170" s="421"/>
      <c r="AA170" s="421"/>
      <c r="AB170" s="421"/>
      <c r="AC170" s="421"/>
      <c r="AD170" s="421"/>
      <c r="AE170" s="421"/>
      <c r="AF170" s="421"/>
      <c r="AG170" s="421"/>
      <c r="AH170" s="421"/>
      <c r="AI170" s="421"/>
      <c r="AJ170" s="421"/>
      <c r="AK170" s="421"/>
      <c r="AL170" s="421"/>
      <c r="AM170" s="421"/>
      <c r="AN170" s="421"/>
      <c r="AO170" s="421"/>
      <c r="AP170" s="421"/>
      <c r="AQ170" s="421"/>
      <c r="AR170" s="421"/>
      <c r="AS170" s="421"/>
      <c r="AT170" s="421"/>
      <c r="AU170" s="421"/>
      <c r="AV170" s="421"/>
      <c r="AW170" s="421"/>
      <c r="AX170" s="421"/>
      <c r="AY170" s="421"/>
      <c r="AZ170" s="421"/>
      <c r="BA170" s="421"/>
    </row>
    <row r="171">
      <c r="A171" s="421"/>
      <c r="B171" s="421"/>
      <c r="C171" s="268"/>
      <c r="D171" s="431"/>
      <c r="E171" s="276"/>
      <c r="F171" s="265"/>
      <c r="G171" s="265"/>
      <c r="H171" s="432"/>
      <c r="I171" s="432"/>
      <c r="J171" s="283"/>
      <c r="K171" s="276"/>
      <c r="L171" s="417" t="str">
        <f t="shared" si="1"/>
        <v/>
      </c>
      <c r="M171" s="425"/>
      <c r="N171" s="426"/>
      <c r="O171" s="427"/>
      <c r="P171" s="425"/>
      <c r="Q171" s="425"/>
      <c r="R171" s="425"/>
      <c r="S171" s="421"/>
      <c r="T171" s="421"/>
      <c r="U171" s="421"/>
      <c r="V171" s="421"/>
      <c r="W171" s="421"/>
      <c r="X171" s="425"/>
      <c r="Y171" s="421"/>
      <c r="Z171" s="421"/>
      <c r="AA171" s="421"/>
      <c r="AB171" s="421"/>
      <c r="AC171" s="421"/>
      <c r="AD171" s="421"/>
      <c r="AE171" s="421"/>
      <c r="AF171" s="421"/>
      <c r="AG171" s="421"/>
      <c r="AH171" s="421"/>
      <c r="AI171" s="421"/>
      <c r="AJ171" s="421"/>
      <c r="AK171" s="421"/>
      <c r="AL171" s="421"/>
      <c r="AM171" s="421"/>
      <c r="AN171" s="421"/>
      <c r="AO171" s="421"/>
      <c r="AP171" s="421"/>
      <c r="AQ171" s="421"/>
      <c r="AR171" s="421"/>
      <c r="AS171" s="421"/>
      <c r="AT171" s="421"/>
      <c r="AU171" s="421"/>
      <c r="AV171" s="421"/>
      <c r="AW171" s="421"/>
      <c r="AX171" s="421"/>
      <c r="AY171" s="421"/>
      <c r="AZ171" s="421"/>
      <c r="BA171" s="421"/>
    </row>
    <row r="172">
      <c r="A172" s="421"/>
      <c r="B172" s="421"/>
      <c r="C172" s="268"/>
      <c r="D172" s="431"/>
      <c r="E172" s="276"/>
      <c r="F172" s="265"/>
      <c r="G172" s="265"/>
      <c r="H172" s="432"/>
      <c r="I172" s="432"/>
      <c r="J172" s="283"/>
      <c r="K172" s="276"/>
      <c r="L172" s="417" t="str">
        <f t="shared" si="1"/>
        <v/>
      </c>
      <c r="M172" s="425"/>
      <c r="N172" s="426"/>
      <c r="O172" s="427"/>
      <c r="P172" s="425"/>
      <c r="Q172" s="425"/>
      <c r="R172" s="425"/>
      <c r="S172" s="421"/>
      <c r="T172" s="421"/>
      <c r="U172" s="421"/>
      <c r="V172" s="421"/>
      <c r="W172" s="421"/>
      <c r="X172" s="425"/>
      <c r="Y172" s="421"/>
      <c r="Z172" s="421"/>
      <c r="AA172" s="421"/>
      <c r="AB172" s="421"/>
      <c r="AC172" s="421"/>
      <c r="AD172" s="421"/>
      <c r="AE172" s="421"/>
      <c r="AF172" s="421"/>
      <c r="AG172" s="421"/>
      <c r="AH172" s="421"/>
      <c r="AI172" s="421"/>
      <c r="AJ172" s="421"/>
      <c r="AK172" s="421"/>
      <c r="AL172" s="421"/>
      <c r="AM172" s="421"/>
      <c r="AN172" s="421"/>
      <c r="AO172" s="421"/>
      <c r="AP172" s="421"/>
      <c r="AQ172" s="421"/>
      <c r="AR172" s="421"/>
      <c r="AS172" s="421"/>
      <c r="AT172" s="421"/>
      <c r="AU172" s="421"/>
      <c r="AV172" s="421"/>
      <c r="AW172" s="421"/>
      <c r="AX172" s="421"/>
      <c r="AY172" s="421"/>
      <c r="AZ172" s="421"/>
      <c r="BA172" s="421"/>
    </row>
    <row r="173">
      <c r="A173" s="421"/>
      <c r="B173" s="421"/>
      <c r="C173" s="268"/>
      <c r="D173" s="431"/>
      <c r="E173" s="276"/>
      <c r="F173" s="265"/>
      <c r="G173" s="265"/>
      <c r="H173" s="432"/>
      <c r="I173" s="432"/>
      <c r="J173" s="283"/>
      <c r="K173" s="276"/>
      <c r="L173" s="417" t="str">
        <f t="shared" si="1"/>
        <v/>
      </c>
      <c r="M173" s="425"/>
      <c r="N173" s="426"/>
      <c r="O173" s="427"/>
      <c r="P173" s="425"/>
      <c r="Q173" s="425"/>
      <c r="R173" s="425"/>
      <c r="S173" s="421"/>
      <c r="T173" s="421"/>
      <c r="U173" s="421"/>
      <c r="V173" s="421"/>
      <c r="W173" s="421"/>
      <c r="X173" s="425"/>
      <c r="Y173" s="421"/>
      <c r="Z173" s="421"/>
      <c r="AA173" s="421"/>
      <c r="AB173" s="421"/>
      <c r="AC173" s="421"/>
      <c r="AD173" s="421"/>
      <c r="AE173" s="421"/>
      <c r="AF173" s="421"/>
      <c r="AG173" s="421"/>
      <c r="AH173" s="421"/>
      <c r="AI173" s="421"/>
      <c r="AJ173" s="421"/>
      <c r="AK173" s="421"/>
      <c r="AL173" s="421"/>
      <c r="AM173" s="421"/>
      <c r="AN173" s="421"/>
      <c r="AO173" s="421"/>
      <c r="AP173" s="421"/>
      <c r="AQ173" s="421"/>
      <c r="AR173" s="421"/>
      <c r="AS173" s="421"/>
      <c r="AT173" s="421"/>
      <c r="AU173" s="421"/>
      <c r="AV173" s="421"/>
      <c r="AW173" s="421"/>
      <c r="AX173" s="421"/>
      <c r="AY173" s="421"/>
      <c r="AZ173" s="421"/>
      <c r="BA173" s="421"/>
    </row>
    <row r="174">
      <c r="A174" s="421"/>
      <c r="B174" s="421"/>
      <c r="C174" s="268"/>
      <c r="D174" s="431"/>
      <c r="E174" s="276"/>
      <c r="F174" s="265"/>
      <c r="G174" s="265"/>
      <c r="H174" s="432"/>
      <c r="I174" s="432"/>
      <c r="J174" s="283"/>
      <c r="K174" s="276"/>
      <c r="L174" s="417" t="str">
        <f t="shared" si="1"/>
        <v/>
      </c>
      <c r="M174" s="425"/>
      <c r="N174" s="426"/>
      <c r="O174" s="427"/>
      <c r="P174" s="425"/>
      <c r="Q174" s="425"/>
      <c r="R174" s="425"/>
      <c r="S174" s="421"/>
      <c r="T174" s="421"/>
      <c r="U174" s="421"/>
      <c r="V174" s="421"/>
      <c r="W174" s="421"/>
      <c r="X174" s="425"/>
      <c r="Y174" s="421"/>
      <c r="Z174" s="421"/>
      <c r="AA174" s="421"/>
      <c r="AB174" s="421"/>
      <c r="AC174" s="421"/>
      <c r="AD174" s="421"/>
      <c r="AE174" s="421"/>
      <c r="AF174" s="421"/>
      <c r="AG174" s="421"/>
      <c r="AH174" s="421"/>
      <c r="AI174" s="421"/>
      <c r="AJ174" s="421"/>
      <c r="AK174" s="421"/>
      <c r="AL174" s="421"/>
      <c r="AM174" s="421"/>
      <c r="AN174" s="421"/>
      <c r="AO174" s="421"/>
      <c r="AP174" s="421"/>
      <c r="AQ174" s="421"/>
      <c r="AR174" s="421"/>
      <c r="AS174" s="421"/>
      <c r="AT174" s="421"/>
      <c r="AU174" s="421"/>
      <c r="AV174" s="421"/>
      <c r="AW174" s="421"/>
      <c r="AX174" s="421"/>
      <c r="AY174" s="421"/>
      <c r="AZ174" s="421"/>
      <c r="BA174" s="421"/>
    </row>
    <row r="175">
      <c r="A175" s="421"/>
      <c r="B175" s="421"/>
      <c r="C175" s="268"/>
      <c r="D175" s="431"/>
      <c r="E175" s="276"/>
      <c r="F175" s="265"/>
      <c r="G175" s="265"/>
      <c r="H175" s="432"/>
      <c r="I175" s="432"/>
      <c r="J175" s="283"/>
      <c r="K175" s="276"/>
      <c r="L175" s="417" t="str">
        <f t="shared" si="1"/>
        <v/>
      </c>
      <c r="M175" s="425"/>
      <c r="N175" s="426"/>
      <c r="O175" s="427"/>
      <c r="P175" s="425"/>
      <c r="Q175" s="425"/>
      <c r="R175" s="425"/>
      <c r="S175" s="421"/>
      <c r="T175" s="421"/>
      <c r="U175" s="421"/>
      <c r="V175" s="421"/>
      <c r="W175" s="421"/>
      <c r="X175" s="425"/>
      <c r="Y175" s="421"/>
      <c r="Z175" s="421"/>
      <c r="AA175" s="421"/>
      <c r="AB175" s="421"/>
      <c r="AC175" s="421"/>
      <c r="AD175" s="421"/>
      <c r="AE175" s="421"/>
      <c r="AF175" s="421"/>
      <c r="AG175" s="421"/>
      <c r="AH175" s="421"/>
      <c r="AI175" s="421"/>
      <c r="AJ175" s="421"/>
      <c r="AK175" s="421"/>
      <c r="AL175" s="421"/>
      <c r="AM175" s="421"/>
      <c r="AN175" s="421"/>
      <c r="AO175" s="421"/>
      <c r="AP175" s="421"/>
      <c r="AQ175" s="421"/>
      <c r="AR175" s="421"/>
      <c r="AS175" s="421"/>
      <c r="AT175" s="421"/>
      <c r="AU175" s="421"/>
      <c r="AV175" s="421"/>
      <c r="AW175" s="421"/>
      <c r="AX175" s="421"/>
      <c r="AY175" s="421"/>
      <c r="AZ175" s="421"/>
      <c r="BA175" s="421"/>
    </row>
    <row r="176">
      <c r="A176" s="421"/>
      <c r="B176" s="421"/>
      <c r="C176" s="268"/>
      <c r="D176" s="431"/>
      <c r="E176" s="276"/>
      <c r="F176" s="265"/>
      <c r="G176" s="265"/>
      <c r="H176" s="432"/>
      <c r="I176" s="432"/>
      <c r="J176" s="283"/>
      <c r="K176" s="276"/>
      <c r="L176" s="417" t="str">
        <f t="shared" si="1"/>
        <v/>
      </c>
      <c r="M176" s="425"/>
      <c r="N176" s="426"/>
      <c r="O176" s="427"/>
      <c r="P176" s="425"/>
      <c r="Q176" s="425"/>
      <c r="R176" s="425"/>
      <c r="S176" s="421"/>
      <c r="T176" s="421"/>
      <c r="U176" s="421"/>
      <c r="V176" s="421"/>
      <c r="W176" s="421"/>
      <c r="X176" s="425"/>
      <c r="Y176" s="421"/>
      <c r="Z176" s="421"/>
      <c r="AA176" s="421"/>
      <c r="AB176" s="421"/>
      <c r="AC176" s="421"/>
      <c r="AD176" s="421"/>
      <c r="AE176" s="421"/>
      <c r="AF176" s="421"/>
      <c r="AG176" s="421"/>
      <c r="AH176" s="421"/>
      <c r="AI176" s="421"/>
      <c r="AJ176" s="421"/>
      <c r="AK176" s="421"/>
      <c r="AL176" s="421"/>
      <c r="AM176" s="421"/>
      <c r="AN176" s="421"/>
      <c r="AO176" s="421"/>
      <c r="AP176" s="421"/>
      <c r="AQ176" s="421"/>
      <c r="AR176" s="421"/>
      <c r="AS176" s="421"/>
      <c r="AT176" s="421"/>
      <c r="AU176" s="421"/>
      <c r="AV176" s="421"/>
      <c r="AW176" s="421"/>
      <c r="AX176" s="421"/>
      <c r="AY176" s="421"/>
      <c r="AZ176" s="421"/>
      <c r="BA176" s="421"/>
    </row>
    <row r="177">
      <c r="A177" s="421"/>
      <c r="B177" s="421"/>
      <c r="C177" s="268"/>
      <c r="D177" s="431"/>
      <c r="E177" s="276"/>
      <c r="F177" s="265"/>
      <c r="G177" s="265"/>
      <c r="H177" s="432"/>
      <c r="I177" s="432"/>
      <c r="J177" s="283"/>
      <c r="K177" s="276"/>
      <c r="L177" s="417" t="str">
        <f t="shared" si="1"/>
        <v/>
      </c>
      <c r="M177" s="425"/>
      <c r="N177" s="426"/>
      <c r="O177" s="427"/>
      <c r="P177" s="425"/>
      <c r="Q177" s="425"/>
      <c r="R177" s="425"/>
      <c r="S177" s="421"/>
      <c r="T177" s="421"/>
      <c r="U177" s="421"/>
      <c r="V177" s="421"/>
      <c r="W177" s="421"/>
      <c r="X177" s="425"/>
      <c r="Y177" s="421"/>
      <c r="Z177" s="421"/>
      <c r="AA177" s="421"/>
      <c r="AB177" s="421"/>
      <c r="AC177" s="421"/>
      <c r="AD177" s="421"/>
      <c r="AE177" s="421"/>
      <c r="AF177" s="421"/>
      <c r="AG177" s="421"/>
      <c r="AH177" s="421"/>
      <c r="AI177" s="421"/>
      <c r="AJ177" s="421"/>
      <c r="AK177" s="421"/>
      <c r="AL177" s="421"/>
      <c r="AM177" s="421"/>
      <c r="AN177" s="421"/>
      <c r="AO177" s="421"/>
      <c r="AP177" s="421"/>
      <c r="AQ177" s="421"/>
      <c r="AR177" s="421"/>
      <c r="AS177" s="421"/>
      <c r="AT177" s="421"/>
      <c r="AU177" s="421"/>
      <c r="AV177" s="421"/>
      <c r="AW177" s="421"/>
      <c r="AX177" s="421"/>
      <c r="AY177" s="421"/>
      <c r="AZ177" s="421"/>
      <c r="BA177" s="421"/>
    </row>
    <row r="178">
      <c r="A178" s="421"/>
      <c r="B178" s="421"/>
      <c r="C178" s="268"/>
      <c r="D178" s="431"/>
      <c r="E178" s="276"/>
      <c r="F178" s="265"/>
      <c r="G178" s="265"/>
      <c r="H178" s="432"/>
      <c r="I178" s="432"/>
      <c r="J178" s="283"/>
      <c r="K178" s="276"/>
      <c r="L178" s="417" t="str">
        <f t="shared" si="1"/>
        <v/>
      </c>
      <c r="M178" s="425"/>
      <c r="N178" s="426"/>
      <c r="O178" s="427"/>
      <c r="P178" s="425"/>
      <c r="Q178" s="425"/>
      <c r="R178" s="425"/>
      <c r="S178" s="421"/>
      <c r="T178" s="421"/>
      <c r="U178" s="421"/>
      <c r="V178" s="421"/>
      <c r="W178" s="421"/>
      <c r="X178" s="425"/>
      <c r="Y178" s="421"/>
      <c r="Z178" s="421"/>
      <c r="AA178" s="421"/>
      <c r="AB178" s="421"/>
      <c r="AC178" s="421"/>
      <c r="AD178" s="421"/>
      <c r="AE178" s="421"/>
      <c r="AF178" s="421"/>
      <c r="AG178" s="421"/>
      <c r="AH178" s="421"/>
      <c r="AI178" s="421"/>
      <c r="AJ178" s="421"/>
      <c r="AK178" s="421"/>
      <c r="AL178" s="421"/>
      <c r="AM178" s="421"/>
      <c r="AN178" s="421"/>
      <c r="AO178" s="421"/>
      <c r="AP178" s="421"/>
      <c r="AQ178" s="421"/>
      <c r="AR178" s="421"/>
      <c r="AS178" s="421"/>
      <c r="AT178" s="421"/>
      <c r="AU178" s="421"/>
      <c r="AV178" s="421"/>
      <c r="AW178" s="421"/>
      <c r="AX178" s="421"/>
      <c r="AY178" s="421"/>
      <c r="AZ178" s="421"/>
      <c r="BA178" s="421"/>
    </row>
    <row r="179">
      <c r="A179" s="421"/>
      <c r="B179" s="421"/>
      <c r="C179" s="268"/>
      <c r="D179" s="431"/>
      <c r="E179" s="276"/>
      <c r="F179" s="265"/>
      <c r="G179" s="265"/>
      <c r="H179" s="432"/>
      <c r="I179" s="432"/>
      <c r="J179" s="283"/>
      <c r="K179" s="276"/>
      <c r="L179" s="417" t="str">
        <f t="shared" si="1"/>
        <v/>
      </c>
      <c r="M179" s="425"/>
      <c r="N179" s="426"/>
      <c r="O179" s="427"/>
      <c r="P179" s="425"/>
      <c r="Q179" s="425"/>
      <c r="R179" s="425"/>
      <c r="S179" s="421"/>
      <c r="T179" s="421"/>
      <c r="U179" s="421"/>
      <c r="V179" s="421"/>
      <c r="W179" s="421"/>
      <c r="X179" s="425"/>
      <c r="Y179" s="421"/>
      <c r="Z179" s="421"/>
      <c r="AA179" s="421"/>
      <c r="AB179" s="421"/>
      <c r="AC179" s="421"/>
      <c r="AD179" s="421"/>
      <c r="AE179" s="421"/>
      <c r="AF179" s="421"/>
      <c r="AG179" s="421"/>
      <c r="AH179" s="421"/>
      <c r="AI179" s="421"/>
      <c r="AJ179" s="421"/>
      <c r="AK179" s="421"/>
      <c r="AL179" s="421"/>
      <c r="AM179" s="421"/>
      <c r="AN179" s="421"/>
      <c r="AO179" s="421"/>
      <c r="AP179" s="421"/>
      <c r="AQ179" s="421"/>
      <c r="AR179" s="421"/>
      <c r="AS179" s="421"/>
      <c r="AT179" s="421"/>
      <c r="AU179" s="421"/>
      <c r="AV179" s="421"/>
      <c r="AW179" s="421"/>
      <c r="AX179" s="421"/>
      <c r="AY179" s="421"/>
      <c r="AZ179" s="421"/>
      <c r="BA179" s="421"/>
    </row>
    <row r="180">
      <c r="A180" s="421"/>
      <c r="B180" s="421"/>
      <c r="C180" s="268"/>
      <c r="D180" s="431"/>
      <c r="E180" s="276"/>
      <c r="F180" s="265"/>
      <c r="G180" s="265"/>
      <c r="H180" s="432"/>
      <c r="I180" s="432"/>
      <c r="J180" s="283"/>
      <c r="K180" s="276"/>
      <c r="L180" s="417" t="str">
        <f t="shared" si="1"/>
        <v/>
      </c>
      <c r="M180" s="425"/>
      <c r="N180" s="426"/>
      <c r="O180" s="427"/>
      <c r="P180" s="425"/>
      <c r="Q180" s="425"/>
      <c r="R180" s="425"/>
      <c r="S180" s="421"/>
      <c r="T180" s="421"/>
      <c r="U180" s="421"/>
      <c r="V180" s="421"/>
      <c r="W180" s="421"/>
      <c r="X180" s="425"/>
      <c r="Y180" s="421"/>
      <c r="Z180" s="421"/>
      <c r="AA180" s="421"/>
      <c r="AB180" s="421"/>
      <c r="AC180" s="421"/>
      <c r="AD180" s="421"/>
      <c r="AE180" s="421"/>
      <c r="AF180" s="421"/>
      <c r="AG180" s="421"/>
      <c r="AH180" s="421"/>
      <c r="AI180" s="421"/>
      <c r="AJ180" s="421"/>
      <c r="AK180" s="421"/>
      <c r="AL180" s="421"/>
      <c r="AM180" s="421"/>
      <c r="AN180" s="421"/>
      <c r="AO180" s="421"/>
      <c r="AP180" s="421"/>
      <c r="AQ180" s="421"/>
      <c r="AR180" s="421"/>
      <c r="AS180" s="421"/>
      <c r="AT180" s="421"/>
      <c r="AU180" s="421"/>
      <c r="AV180" s="421"/>
      <c r="AW180" s="421"/>
      <c r="AX180" s="421"/>
      <c r="AY180" s="421"/>
      <c r="AZ180" s="421"/>
      <c r="BA180" s="421"/>
    </row>
    <row r="181">
      <c r="A181" s="421"/>
      <c r="B181" s="421"/>
      <c r="C181" s="268"/>
      <c r="D181" s="431"/>
      <c r="E181" s="276"/>
      <c r="F181" s="265"/>
      <c r="G181" s="265"/>
      <c r="H181" s="432"/>
      <c r="I181" s="432"/>
      <c r="J181" s="283"/>
      <c r="K181" s="276"/>
      <c r="L181" s="417" t="str">
        <f t="shared" si="1"/>
        <v/>
      </c>
      <c r="M181" s="425"/>
      <c r="N181" s="426"/>
      <c r="O181" s="427"/>
      <c r="P181" s="425"/>
      <c r="Q181" s="425"/>
      <c r="R181" s="425"/>
      <c r="S181" s="421"/>
      <c r="T181" s="421"/>
      <c r="U181" s="421"/>
      <c r="V181" s="421"/>
      <c r="W181" s="421"/>
      <c r="X181" s="425"/>
      <c r="Y181" s="421"/>
      <c r="Z181" s="421"/>
      <c r="AA181" s="421"/>
      <c r="AB181" s="421"/>
      <c r="AC181" s="421"/>
      <c r="AD181" s="421"/>
      <c r="AE181" s="421"/>
      <c r="AF181" s="421"/>
      <c r="AG181" s="421"/>
      <c r="AH181" s="421"/>
      <c r="AI181" s="421"/>
      <c r="AJ181" s="421"/>
      <c r="AK181" s="421"/>
      <c r="AL181" s="421"/>
      <c r="AM181" s="421"/>
      <c r="AN181" s="421"/>
      <c r="AO181" s="421"/>
      <c r="AP181" s="421"/>
      <c r="AQ181" s="421"/>
      <c r="AR181" s="421"/>
      <c r="AS181" s="421"/>
      <c r="AT181" s="421"/>
      <c r="AU181" s="421"/>
      <c r="AV181" s="421"/>
      <c r="AW181" s="421"/>
      <c r="AX181" s="421"/>
      <c r="AY181" s="421"/>
      <c r="AZ181" s="421"/>
      <c r="BA181" s="421"/>
    </row>
    <row r="182">
      <c r="A182" s="421"/>
      <c r="B182" s="421"/>
      <c r="C182" s="268"/>
      <c r="D182" s="431"/>
      <c r="E182" s="276"/>
      <c r="F182" s="265"/>
      <c r="G182" s="265"/>
      <c r="H182" s="432"/>
      <c r="I182" s="432"/>
      <c r="J182" s="283"/>
      <c r="K182" s="276"/>
      <c r="L182" s="417" t="str">
        <f t="shared" si="1"/>
        <v/>
      </c>
      <c r="M182" s="425"/>
      <c r="N182" s="426"/>
      <c r="O182" s="427"/>
      <c r="P182" s="425"/>
      <c r="Q182" s="425"/>
      <c r="R182" s="425"/>
      <c r="S182" s="421"/>
      <c r="T182" s="421"/>
      <c r="U182" s="421"/>
      <c r="V182" s="421"/>
      <c r="W182" s="421"/>
      <c r="X182" s="425"/>
      <c r="Y182" s="421"/>
      <c r="Z182" s="421"/>
      <c r="AA182" s="421"/>
      <c r="AB182" s="421"/>
      <c r="AC182" s="421"/>
      <c r="AD182" s="421"/>
      <c r="AE182" s="421"/>
      <c r="AF182" s="421"/>
      <c r="AG182" s="421"/>
      <c r="AH182" s="421"/>
      <c r="AI182" s="421"/>
      <c r="AJ182" s="421"/>
      <c r="AK182" s="421"/>
      <c r="AL182" s="421"/>
      <c r="AM182" s="421"/>
      <c r="AN182" s="421"/>
      <c r="AO182" s="421"/>
      <c r="AP182" s="421"/>
      <c r="AQ182" s="421"/>
      <c r="AR182" s="421"/>
      <c r="AS182" s="421"/>
      <c r="AT182" s="421"/>
      <c r="AU182" s="421"/>
      <c r="AV182" s="421"/>
      <c r="AW182" s="421"/>
      <c r="AX182" s="421"/>
      <c r="AY182" s="421"/>
      <c r="AZ182" s="421"/>
      <c r="BA182" s="421"/>
    </row>
    <row r="183">
      <c r="A183" s="421"/>
      <c r="B183" s="421"/>
      <c r="C183" s="268"/>
      <c r="D183" s="431"/>
      <c r="E183" s="276"/>
      <c r="F183" s="265"/>
      <c r="G183" s="265"/>
      <c r="H183" s="432"/>
      <c r="I183" s="432"/>
      <c r="J183" s="283"/>
      <c r="K183" s="276"/>
      <c r="L183" s="417" t="str">
        <f t="shared" si="1"/>
        <v/>
      </c>
      <c r="M183" s="425"/>
      <c r="N183" s="426"/>
      <c r="O183" s="427"/>
      <c r="P183" s="425"/>
      <c r="Q183" s="425"/>
      <c r="R183" s="425"/>
      <c r="S183" s="421"/>
      <c r="T183" s="421"/>
      <c r="U183" s="421"/>
      <c r="V183" s="421"/>
      <c r="W183" s="421"/>
      <c r="X183" s="425"/>
      <c r="Y183" s="421"/>
      <c r="Z183" s="421"/>
      <c r="AA183" s="421"/>
      <c r="AB183" s="421"/>
      <c r="AC183" s="421"/>
      <c r="AD183" s="421"/>
      <c r="AE183" s="421"/>
      <c r="AF183" s="421"/>
      <c r="AG183" s="421"/>
      <c r="AH183" s="421"/>
      <c r="AI183" s="421"/>
      <c r="AJ183" s="421"/>
      <c r="AK183" s="421"/>
      <c r="AL183" s="421"/>
      <c r="AM183" s="421"/>
      <c r="AN183" s="421"/>
      <c r="AO183" s="421"/>
      <c r="AP183" s="421"/>
      <c r="AQ183" s="421"/>
      <c r="AR183" s="421"/>
      <c r="AS183" s="421"/>
      <c r="AT183" s="421"/>
      <c r="AU183" s="421"/>
      <c r="AV183" s="421"/>
      <c r="AW183" s="421"/>
      <c r="AX183" s="421"/>
      <c r="AY183" s="421"/>
      <c r="AZ183" s="421"/>
      <c r="BA183" s="421"/>
    </row>
    <row r="184">
      <c r="A184" s="421"/>
      <c r="B184" s="421"/>
      <c r="C184" s="268"/>
      <c r="D184" s="431"/>
      <c r="E184" s="276"/>
      <c r="F184" s="265"/>
      <c r="G184" s="265"/>
      <c r="H184" s="432"/>
      <c r="I184" s="432"/>
      <c r="J184" s="283"/>
      <c r="K184" s="276"/>
      <c r="L184" s="417" t="str">
        <f t="shared" si="1"/>
        <v/>
      </c>
      <c r="M184" s="425"/>
      <c r="N184" s="426"/>
      <c r="O184" s="427"/>
      <c r="P184" s="425"/>
      <c r="Q184" s="425"/>
      <c r="R184" s="425"/>
      <c r="S184" s="421"/>
      <c r="T184" s="421"/>
      <c r="U184" s="421"/>
      <c r="V184" s="421"/>
      <c r="W184" s="421"/>
      <c r="X184" s="425"/>
      <c r="Y184" s="421"/>
      <c r="Z184" s="421"/>
      <c r="AA184" s="421"/>
      <c r="AB184" s="421"/>
      <c r="AC184" s="421"/>
      <c r="AD184" s="421"/>
      <c r="AE184" s="421"/>
      <c r="AF184" s="421"/>
      <c r="AG184" s="421"/>
      <c r="AH184" s="421"/>
      <c r="AI184" s="421"/>
      <c r="AJ184" s="421"/>
      <c r="AK184" s="421"/>
      <c r="AL184" s="421"/>
      <c r="AM184" s="421"/>
      <c r="AN184" s="421"/>
      <c r="AO184" s="421"/>
      <c r="AP184" s="421"/>
      <c r="AQ184" s="421"/>
      <c r="AR184" s="421"/>
      <c r="AS184" s="421"/>
      <c r="AT184" s="421"/>
      <c r="AU184" s="421"/>
      <c r="AV184" s="421"/>
      <c r="AW184" s="421"/>
      <c r="AX184" s="421"/>
      <c r="AY184" s="421"/>
      <c r="AZ184" s="421"/>
      <c r="BA184" s="421"/>
    </row>
    <row r="185">
      <c r="A185" s="421"/>
      <c r="B185" s="421"/>
      <c r="C185" s="268"/>
      <c r="D185" s="431"/>
      <c r="E185" s="276"/>
      <c r="F185" s="265"/>
      <c r="G185" s="265"/>
      <c r="H185" s="432"/>
      <c r="I185" s="432"/>
      <c r="J185" s="283"/>
      <c r="K185" s="276"/>
      <c r="L185" s="417" t="str">
        <f t="shared" si="1"/>
        <v/>
      </c>
      <c r="M185" s="425"/>
      <c r="N185" s="426"/>
      <c r="O185" s="427"/>
      <c r="P185" s="425"/>
      <c r="Q185" s="425"/>
      <c r="R185" s="425"/>
      <c r="S185" s="421"/>
      <c r="T185" s="421"/>
      <c r="U185" s="421"/>
      <c r="V185" s="421"/>
      <c r="W185" s="421"/>
      <c r="X185" s="425"/>
      <c r="Y185" s="421"/>
      <c r="Z185" s="421"/>
      <c r="AA185" s="421"/>
      <c r="AB185" s="421"/>
      <c r="AC185" s="421"/>
      <c r="AD185" s="421"/>
      <c r="AE185" s="421"/>
      <c r="AF185" s="421"/>
      <c r="AG185" s="421"/>
      <c r="AH185" s="421"/>
      <c r="AI185" s="421"/>
      <c r="AJ185" s="421"/>
      <c r="AK185" s="421"/>
      <c r="AL185" s="421"/>
      <c r="AM185" s="421"/>
      <c r="AN185" s="421"/>
      <c r="AO185" s="421"/>
      <c r="AP185" s="421"/>
      <c r="AQ185" s="421"/>
      <c r="AR185" s="421"/>
      <c r="AS185" s="421"/>
      <c r="AT185" s="421"/>
      <c r="AU185" s="421"/>
      <c r="AV185" s="421"/>
      <c r="AW185" s="421"/>
      <c r="AX185" s="421"/>
      <c r="AY185" s="421"/>
      <c r="AZ185" s="421"/>
      <c r="BA185" s="421"/>
    </row>
    <row r="186">
      <c r="A186" s="421"/>
      <c r="B186" s="421"/>
      <c r="C186" s="268"/>
      <c r="D186" s="431"/>
      <c r="E186" s="276"/>
      <c r="F186" s="265"/>
      <c r="G186" s="265"/>
      <c r="H186" s="432"/>
      <c r="I186" s="432"/>
      <c r="J186" s="283"/>
      <c r="K186" s="276"/>
      <c r="L186" s="417" t="str">
        <f t="shared" si="1"/>
        <v/>
      </c>
      <c r="M186" s="425"/>
      <c r="N186" s="426"/>
      <c r="O186" s="427"/>
      <c r="P186" s="425"/>
      <c r="Q186" s="425"/>
      <c r="R186" s="425"/>
      <c r="S186" s="421"/>
      <c r="T186" s="421"/>
      <c r="U186" s="421"/>
      <c r="V186" s="421"/>
      <c r="W186" s="421"/>
      <c r="X186" s="425"/>
      <c r="Y186" s="421"/>
      <c r="Z186" s="421"/>
      <c r="AA186" s="421"/>
      <c r="AB186" s="421"/>
      <c r="AC186" s="421"/>
      <c r="AD186" s="421"/>
      <c r="AE186" s="421"/>
      <c r="AF186" s="421"/>
      <c r="AG186" s="421"/>
      <c r="AH186" s="421"/>
      <c r="AI186" s="421"/>
      <c r="AJ186" s="421"/>
      <c r="AK186" s="421"/>
      <c r="AL186" s="421"/>
      <c r="AM186" s="421"/>
      <c r="AN186" s="421"/>
      <c r="AO186" s="421"/>
      <c r="AP186" s="421"/>
      <c r="AQ186" s="421"/>
      <c r="AR186" s="421"/>
      <c r="AS186" s="421"/>
      <c r="AT186" s="421"/>
      <c r="AU186" s="421"/>
      <c r="AV186" s="421"/>
      <c r="AW186" s="421"/>
      <c r="AX186" s="421"/>
      <c r="AY186" s="421"/>
      <c r="AZ186" s="421"/>
      <c r="BA186" s="421"/>
    </row>
    <row r="187">
      <c r="A187" s="421"/>
      <c r="B187" s="421"/>
      <c r="C187" s="268"/>
      <c r="D187" s="431"/>
      <c r="E187" s="276"/>
      <c r="F187" s="265"/>
      <c r="G187" s="265"/>
      <c r="H187" s="432"/>
      <c r="I187" s="432"/>
      <c r="J187" s="283"/>
      <c r="K187" s="276"/>
      <c r="L187" s="417" t="str">
        <f t="shared" si="1"/>
        <v/>
      </c>
      <c r="M187" s="425"/>
      <c r="N187" s="426"/>
      <c r="O187" s="427"/>
      <c r="P187" s="425"/>
      <c r="Q187" s="425"/>
      <c r="R187" s="425"/>
      <c r="S187" s="421"/>
      <c r="T187" s="421"/>
      <c r="U187" s="421"/>
      <c r="V187" s="421"/>
      <c r="W187" s="421"/>
      <c r="X187" s="425"/>
      <c r="Y187" s="421"/>
      <c r="Z187" s="421"/>
      <c r="AA187" s="421"/>
      <c r="AB187" s="421"/>
      <c r="AC187" s="421"/>
      <c r="AD187" s="421"/>
      <c r="AE187" s="421"/>
      <c r="AF187" s="421"/>
      <c r="AG187" s="421"/>
      <c r="AH187" s="421"/>
      <c r="AI187" s="421"/>
      <c r="AJ187" s="421"/>
      <c r="AK187" s="421"/>
      <c r="AL187" s="421"/>
      <c r="AM187" s="421"/>
      <c r="AN187" s="421"/>
      <c r="AO187" s="421"/>
      <c r="AP187" s="421"/>
      <c r="AQ187" s="421"/>
      <c r="AR187" s="421"/>
      <c r="AS187" s="421"/>
      <c r="AT187" s="421"/>
      <c r="AU187" s="421"/>
      <c r="AV187" s="421"/>
      <c r="AW187" s="421"/>
      <c r="AX187" s="421"/>
      <c r="AY187" s="421"/>
      <c r="AZ187" s="421"/>
      <c r="BA187" s="421"/>
    </row>
    <row r="188">
      <c r="A188" s="421"/>
      <c r="B188" s="421"/>
      <c r="C188" s="268"/>
      <c r="D188" s="431"/>
      <c r="E188" s="276"/>
      <c r="F188" s="265"/>
      <c r="G188" s="265"/>
      <c r="H188" s="432"/>
      <c r="I188" s="432"/>
      <c r="J188" s="283"/>
      <c r="K188" s="276"/>
      <c r="L188" s="417" t="str">
        <f t="shared" si="1"/>
        <v/>
      </c>
      <c r="M188" s="425"/>
      <c r="N188" s="426"/>
      <c r="O188" s="427"/>
      <c r="P188" s="425"/>
      <c r="Q188" s="425"/>
      <c r="R188" s="425"/>
      <c r="S188" s="421"/>
      <c r="T188" s="421"/>
      <c r="U188" s="421"/>
      <c r="V188" s="421"/>
      <c r="W188" s="421"/>
      <c r="X188" s="425"/>
      <c r="Y188" s="421"/>
      <c r="Z188" s="421"/>
      <c r="AA188" s="421"/>
      <c r="AB188" s="421"/>
      <c r="AC188" s="421"/>
      <c r="AD188" s="421"/>
      <c r="AE188" s="421"/>
      <c r="AF188" s="421"/>
      <c r="AG188" s="421"/>
      <c r="AH188" s="421"/>
      <c r="AI188" s="421"/>
      <c r="AJ188" s="421"/>
      <c r="AK188" s="421"/>
      <c r="AL188" s="421"/>
      <c r="AM188" s="421"/>
      <c r="AN188" s="421"/>
      <c r="AO188" s="421"/>
      <c r="AP188" s="421"/>
      <c r="AQ188" s="421"/>
      <c r="AR188" s="421"/>
      <c r="AS188" s="421"/>
      <c r="AT188" s="421"/>
      <c r="AU188" s="421"/>
      <c r="AV188" s="421"/>
      <c r="AW188" s="421"/>
      <c r="AX188" s="421"/>
      <c r="AY188" s="421"/>
      <c r="AZ188" s="421"/>
      <c r="BA188" s="421"/>
    </row>
    <row r="189">
      <c r="A189" s="421"/>
      <c r="B189" s="421"/>
      <c r="C189" s="268"/>
      <c r="D189" s="431"/>
      <c r="E189" s="276"/>
      <c r="F189" s="265"/>
      <c r="G189" s="265"/>
      <c r="H189" s="432"/>
      <c r="I189" s="432"/>
      <c r="J189" s="283"/>
      <c r="K189" s="276"/>
      <c r="L189" s="417" t="str">
        <f t="shared" si="1"/>
        <v/>
      </c>
      <c r="M189" s="425"/>
      <c r="N189" s="426"/>
      <c r="O189" s="427"/>
      <c r="P189" s="425"/>
      <c r="Q189" s="425"/>
      <c r="R189" s="425"/>
      <c r="S189" s="421"/>
      <c r="T189" s="421"/>
      <c r="U189" s="421"/>
      <c r="V189" s="421"/>
      <c r="W189" s="421"/>
      <c r="X189" s="425"/>
      <c r="Y189" s="421"/>
      <c r="Z189" s="421"/>
      <c r="AA189" s="421"/>
      <c r="AB189" s="421"/>
      <c r="AC189" s="421"/>
      <c r="AD189" s="421"/>
      <c r="AE189" s="421"/>
      <c r="AF189" s="421"/>
      <c r="AG189" s="421"/>
      <c r="AH189" s="421"/>
      <c r="AI189" s="421"/>
      <c r="AJ189" s="421"/>
      <c r="AK189" s="421"/>
      <c r="AL189" s="421"/>
      <c r="AM189" s="421"/>
      <c r="AN189" s="421"/>
      <c r="AO189" s="421"/>
      <c r="AP189" s="421"/>
      <c r="AQ189" s="421"/>
      <c r="AR189" s="421"/>
      <c r="AS189" s="421"/>
      <c r="AT189" s="421"/>
      <c r="AU189" s="421"/>
      <c r="AV189" s="421"/>
      <c r="AW189" s="421"/>
      <c r="AX189" s="421"/>
      <c r="AY189" s="421"/>
      <c r="AZ189" s="421"/>
      <c r="BA189" s="421"/>
    </row>
    <row r="190">
      <c r="A190" s="421"/>
      <c r="B190" s="421"/>
      <c r="C190" s="268"/>
      <c r="D190" s="431"/>
      <c r="E190" s="276"/>
      <c r="F190" s="265"/>
      <c r="G190" s="265"/>
      <c r="H190" s="432"/>
      <c r="I190" s="432"/>
      <c r="J190" s="283"/>
      <c r="K190" s="276"/>
      <c r="L190" s="417" t="str">
        <f t="shared" si="1"/>
        <v/>
      </c>
      <c r="M190" s="425"/>
      <c r="N190" s="426"/>
      <c r="O190" s="427"/>
      <c r="P190" s="425"/>
      <c r="Q190" s="425"/>
      <c r="R190" s="425"/>
      <c r="S190" s="421"/>
      <c r="T190" s="421"/>
      <c r="U190" s="421"/>
      <c r="V190" s="421"/>
      <c r="W190" s="421"/>
      <c r="X190" s="425"/>
      <c r="Y190" s="421"/>
      <c r="Z190" s="421"/>
      <c r="AA190" s="421"/>
      <c r="AB190" s="421"/>
      <c r="AC190" s="421"/>
      <c r="AD190" s="421"/>
      <c r="AE190" s="421"/>
      <c r="AF190" s="421"/>
      <c r="AG190" s="421"/>
      <c r="AH190" s="421"/>
      <c r="AI190" s="421"/>
      <c r="AJ190" s="421"/>
      <c r="AK190" s="421"/>
      <c r="AL190" s="421"/>
      <c r="AM190" s="421"/>
      <c r="AN190" s="421"/>
      <c r="AO190" s="421"/>
      <c r="AP190" s="421"/>
      <c r="AQ190" s="421"/>
      <c r="AR190" s="421"/>
      <c r="AS190" s="421"/>
      <c r="AT190" s="421"/>
      <c r="AU190" s="421"/>
      <c r="AV190" s="421"/>
      <c r="AW190" s="421"/>
      <c r="AX190" s="421"/>
      <c r="AY190" s="421"/>
      <c r="AZ190" s="421"/>
      <c r="BA190" s="421"/>
    </row>
    <row r="191">
      <c r="A191" s="421"/>
      <c r="B191" s="421"/>
      <c r="C191" s="268"/>
      <c r="D191" s="431"/>
      <c r="E191" s="276"/>
      <c r="F191" s="265"/>
      <c r="G191" s="265"/>
      <c r="H191" s="432"/>
      <c r="I191" s="432"/>
      <c r="J191" s="283"/>
      <c r="K191" s="276"/>
      <c r="L191" s="417" t="str">
        <f t="shared" si="1"/>
        <v/>
      </c>
      <c r="M191" s="425"/>
      <c r="N191" s="426"/>
      <c r="O191" s="427"/>
      <c r="P191" s="425"/>
      <c r="Q191" s="425"/>
      <c r="R191" s="425"/>
      <c r="S191" s="421"/>
      <c r="T191" s="421"/>
      <c r="U191" s="421"/>
      <c r="V191" s="421"/>
      <c r="W191" s="421"/>
      <c r="X191" s="425"/>
      <c r="Y191" s="421"/>
      <c r="Z191" s="421"/>
      <c r="AA191" s="421"/>
      <c r="AB191" s="421"/>
      <c r="AC191" s="421"/>
      <c r="AD191" s="421"/>
      <c r="AE191" s="421"/>
      <c r="AF191" s="421"/>
      <c r="AG191" s="421"/>
      <c r="AH191" s="421"/>
      <c r="AI191" s="421"/>
      <c r="AJ191" s="421"/>
      <c r="AK191" s="421"/>
      <c r="AL191" s="421"/>
      <c r="AM191" s="421"/>
      <c r="AN191" s="421"/>
      <c r="AO191" s="421"/>
      <c r="AP191" s="421"/>
      <c r="AQ191" s="421"/>
      <c r="AR191" s="421"/>
      <c r="AS191" s="421"/>
      <c r="AT191" s="421"/>
      <c r="AU191" s="421"/>
      <c r="AV191" s="421"/>
      <c r="AW191" s="421"/>
      <c r="AX191" s="421"/>
      <c r="AY191" s="421"/>
      <c r="AZ191" s="421"/>
      <c r="BA191" s="421"/>
    </row>
    <row r="192">
      <c r="A192" s="421"/>
      <c r="B192" s="421"/>
      <c r="C192" s="268"/>
      <c r="D192" s="431"/>
      <c r="E192" s="276"/>
      <c r="F192" s="265"/>
      <c r="G192" s="265"/>
      <c r="H192" s="432"/>
      <c r="I192" s="432"/>
      <c r="J192" s="283"/>
      <c r="K192" s="276"/>
      <c r="L192" s="417" t="str">
        <f t="shared" si="1"/>
        <v/>
      </c>
      <c r="M192" s="425"/>
      <c r="N192" s="426"/>
      <c r="O192" s="427"/>
      <c r="P192" s="425"/>
      <c r="Q192" s="425"/>
      <c r="R192" s="425"/>
      <c r="S192" s="421"/>
      <c r="T192" s="421"/>
      <c r="U192" s="421"/>
      <c r="V192" s="421"/>
      <c r="W192" s="421"/>
      <c r="X192" s="425"/>
      <c r="Y192" s="421"/>
      <c r="Z192" s="421"/>
      <c r="AA192" s="421"/>
      <c r="AB192" s="421"/>
      <c r="AC192" s="421"/>
      <c r="AD192" s="421"/>
      <c r="AE192" s="421"/>
      <c r="AF192" s="421"/>
      <c r="AG192" s="421"/>
      <c r="AH192" s="421"/>
      <c r="AI192" s="421"/>
      <c r="AJ192" s="421"/>
      <c r="AK192" s="421"/>
      <c r="AL192" s="421"/>
      <c r="AM192" s="421"/>
      <c r="AN192" s="421"/>
      <c r="AO192" s="421"/>
      <c r="AP192" s="421"/>
      <c r="AQ192" s="421"/>
      <c r="AR192" s="421"/>
      <c r="AS192" s="421"/>
      <c r="AT192" s="421"/>
      <c r="AU192" s="421"/>
      <c r="AV192" s="421"/>
      <c r="AW192" s="421"/>
      <c r="AX192" s="421"/>
      <c r="AY192" s="421"/>
      <c r="AZ192" s="421"/>
      <c r="BA192" s="421"/>
    </row>
    <row r="193">
      <c r="A193" s="421"/>
      <c r="B193" s="421"/>
      <c r="C193" s="268"/>
      <c r="D193" s="431"/>
      <c r="E193" s="276"/>
      <c r="F193" s="265"/>
      <c r="G193" s="265"/>
      <c r="H193" s="432"/>
      <c r="I193" s="432"/>
      <c r="J193" s="283"/>
      <c r="K193" s="276"/>
      <c r="L193" s="417" t="str">
        <f t="shared" si="1"/>
        <v/>
      </c>
      <c r="M193" s="425"/>
      <c r="N193" s="426"/>
      <c r="O193" s="427"/>
      <c r="P193" s="425"/>
      <c r="Q193" s="425"/>
      <c r="R193" s="425"/>
      <c r="S193" s="421"/>
      <c r="T193" s="421"/>
      <c r="U193" s="421"/>
      <c r="V193" s="421"/>
      <c r="W193" s="421"/>
      <c r="X193" s="425"/>
      <c r="Y193" s="421"/>
      <c r="Z193" s="421"/>
      <c r="AA193" s="421"/>
      <c r="AB193" s="421"/>
      <c r="AC193" s="421"/>
      <c r="AD193" s="421"/>
      <c r="AE193" s="421"/>
      <c r="AF193" s="421"/>
      <c r="AG193" s="421"/>
      <c r="AH193" s="421"/>
      <c r="AI193" s="421"/>
      <c r="AJ193" s="421"/>
      <c r="AK193" s="421"/>
      <c r="AL193" s="421"/>
      <c r="AM193" s="421"/>
      <c r="AN193" s="421"/>
      <c r="AO193" s="421"/>
      <c r="AP193" s="421"/>
      <c r="AQ193" s="421"/>
      <c r="AR193" s="421"/>
      <c r="AS193" s="421"/>
      <c r="AT193" s="421"/>
      <c r="AU193" s="421"/>
      <c r="AV193" s="421"/>
      <c r="AW193" s="421"/>
      <c r="AX193" s="421"/>
      <c r="AY193" s="421"/>
      <c r="AZ193" s="421"/>
      <c r="BA193" s="421"/>
    </row>
    <row r="194">
      <c r="A194" s="421"/>
      <c r="B194" s="421"/>
      <c r="C194" s="268"/>
      <c r="D194" s="431"/>
      <c r="E194" s="276"/>
      <c r="F194" s="265"/>
      <c r="G194" s="265"/>
      <c r="H194" s="432"/>
      <c r="I194" s="432"/>
      <c r="J194" s="283"/>
      <c r="K194" s="276"/>
      <c r="L194" s="417" t="str">
        <f t="shared" si="1"/>
        <v/>
      </c>
      <c r="M194" s="425"/>
      <c r="N194" s="426"/>
      <c r="O194" s="427"/>
      <c r="P194" s="425"/>
      <c r="Q194" s="425"/>
      <c r="R194" s="425"/>
      <c r="S194" s="421"/>
      <c r="T194" s="421"/>
      <c r="U194" s="421"/>
      <c r="V194" s="421"/>
      <c r="W194" s="421"/>
      <c r="X194" s="425"/>
      <c r="Y194" s="421"/>
      <c r="Z194" s="421"/>
      <c r="AA194" s="421"/>
      <c r="AB194" s="421"/>
      <c r="AC194" s="421"/>
      <c r="AD194" s="421"/>
      <c r="AE194" s="421"/>
      <c r="AF194" s="421"/>
      <c r="AG194" s="421"/>
      <c r="AH194" s="421"/>
      <c r="AI194" s="421"/>
      <c r="AJ194" s="421"/>
      <c r="AK194" s="421"/>
      <c r="AL194" s="421"/>
      <c r="AM194" s="421"/>
      <c r="AN194" s="421"/>
      <c r="AO194" s="421"/>
      <c r="AP194" s="421"/>
      <c r="AQ194" s="421"/>
      <c r="AR194" s="421"/>
      <c r="AS194" s="421"/>
      <c r="AT194" s="421"/>
      <c r="AU194" s="421"/>
      <c r="AV194" s="421"/>
      <c r="AW194" s="421"/>
      <c r="AX194" s="421"/>
      <c r="AY194" s="421"/>
      <c r="AZ194" s="421"/>
      <c r="BA194" s="421"/>
    </row>
    <row r="195">
      <c r="A195" s="421"/>
      <c r="B195" s="421"/>
      <c r="C195" s="268"/>
      <c r="D195" s="431"/>
      <c r="E195" s="276"/>
      <c r="F195" s="265"/>
      <c r="G195" s="265"/>
      <c r="H195" s="432"/>
      <c r="I195" s="432"/>
      <c r="J195" s="283"/>
      <c r="K195" s="276"/>
      <c r="L195" s="417" t="str">
        <f t="shared" si="1"/>
        <v/>
      </c>
      <c r="M195" s="425"/>
      <c r="N195" s="426"/>
      <c r="O195" s="427"/>
      <c r="P195" s="425"/>
      <c r="Q195" s="425"/>
      <c r="R195" s="425"/>
      <c r="S195" s="421"/>
      <c r="T195" s="421"/>
      <c r="U195" s="421"/>
      <c r="V195" s="421"/>
      <c r="W195" s="421"/>
      <c r="X195" s="425"/>
      <c r="Y195" s="421"/>
      <c r="Z195" s="421"/>
      <c r="AA195" s="421"/>
      <c r="AB195" s="421"/>
      <c r="AC195" s="421"/>
      <c r="AD195" s="421"/>
      <c r="AE195" s="421"/>
      <c r="AF195" s="421"/>
      <c r="AG195" s="421"/>
      <c r="AH195" s="421"/>
      <c r="AI195" s="421"/>
      <c r="AJ195" s="421"/>
      <c r="AK195" s="421"/>
      <c r="AL195" s="421"/>
      <c r="AM195" s="421"/>
      <c r="AN195" s="421"/>
      <c r="AO195" s="421"/>
      <c r="AP195" s="421"/>
      <c r="AQ195" s="421"/>
      <c r="AR195" s="421"/>
      <c r="AS195" s="421"/>
      <c r="AT195" s="421"/>
      <c r="AU195" s="421"/>
      <c r="AV195" s="421"/>
      <c r="AW195" s="421"/>
      <c r="AX195" s="421"/>
      <c r="AY195" s="421"/>
      <c r="AZ195" s="421"/>
      <c r="BA195" s="421"/>
    </row>
    <row r="196">
      <c r="A196" s="421"/>
      <c r="B196" s="421"/>
      <c r="C196" s="268"/>
      <c r="D196" s="431"/>
      <c r="E196" s="276"/>
      <c r="F196" s="265"/>
      <c r="G196" s="265"/>
      <c r="H196" s="432"/>
      <c r="I196" s="432"/>
      <c r="J196" s="283"/>
      <c r="K196" s="276"/>
      <c r="L196" s="417" t="str">
        <f t="shared" si="1"/>
        <v/>
      </c>
      <c r="M196" s="425"/>
      <c r="N196" s="426"/>
      <c r="O196" s="427"/>
      <c r="P196" s="425"/>
      <c r="Q196" s="425"/>
      <c r="R196" s="425"/>
      <c r="S196" s="421"/>
      <c r="T196" s="421"/>
      <c r="U196" s="421"/>
      <c r="V196" s="421"/>
      <c r="W196" s="421"/>
      <c r="X196" s="425"/>
      <c r="Y196" s="421"/>
      <c r="Z196" s="421"/>
      <c r="AA196" s="421"/>
      <c r="AB196" s="421"/>
      <c r="AC196" s="421"/>
      <c r="AD196" s="421"/>
      <c r="AE196" s="421"/>
      <c r="AF196" s="421"/>
      <c r="AG196" s="421"/>
      <c r="AH196" s="421"/>
      <c r="AI196" s="421"/>
      <c r="AJ196" s="421"/>
      <c r="AK196" s="421"/>
      <c r="AL196" s="421"/>
      <c r="AM196" s="421"/>
      <c r="AN196" s="421"/>
      <c r="AO196" s="421"/>
      <c r="AP196" s="421"/>
      <c r="AQ196" s="421"/>
      <c r="AR196" s="421"/>
      <c r="AS196" s="421"/>
      <c r="AT196" s="421"/>
      <c r="AU196" s="421"/>
      <c r="AV196" s="421"/>
      <c r="AW196" s="421"/>
      <c r="AX196" s="421"/>
      <c r="AY196" s="421"/>
      <c r="AZ196" s="421"/>
      <c r="BA196" s="421"/>
    </row>
    <row r="197">
      <c r="A197" s="421"/>
      <c r="B197" s="421"/>
      <c r="C197" s="268"/>
      <c r="D197" s="431"/>
      <c r="E197" s="276"/>
      <c r="F197" s="265"/>
      <c r="G197" s="265"/>
      <c r="H197" s="432"/>
      <c r="I197" s="432"/>
      <c r="J197" s="283"/>
      <c r="K197" s="276"/>
      <c r="L197" s="417" t="str">
        <f t="shared" si="1"/>
        <v/>
      </c>
      <c r="M197" s="425"/>
      <c r="N197" s="426"/>
      <c r="O197" s="427"/>
      <c r="P197" s="425"/>
      <c r="Q197" s="425"/>
      <c r="R197" s="425"/>
      <c r="S197" s="421"/>
      <c r="T197" s="421"/>
      <c r="U197" s="421"/>
      <c r="V197" s="421"/>
      <c r="W197" s="421"/>
      <c r="X197" s="425"/>
      <c r="Y197" s="421"/>
      <c r="Z197" s="421"/>
      <c r="AA197" s="421"/>
      <c r="AB197" s="421"/>
      <c r="AC197" s="421"/>
      <c r="AD197" s="421"/>
      <c r="AE197" s="421"/>
      <c r="AF197" s="421"/>
      <c r="AG197" s="421"/>
      <c r="AH197" s="421"/>
      <c r="AI197" s="421"/>
      <c r="AJ197" s="421"/>
      <c r="AK197" s="421"/>
      <c r="AL197" s="421"/>
      <c r="AM197" s="421"/>
      <c r="AN197" s="421"/>
      <c r="AO197" s="421"/>
      <c r="AP197" s="421"/>
      <c r="AQ197" s="421"/>
      <c r="AR197" s="421"/>
      <c r="AS197" s="421"/>
      <c r="AT197" s="421"/>
      <c r="AU197" s="421"/>
      <c r="AV197" s="421"/>
      <c r="AW197" s="421"/>
      <c r="AX197" s="421"/>
      <c r="AY197" s="421"/>
      <c r="AZ197" s="421"/>
      <c r="BA197" s="421"/>
    </row>
    <row r="198">
      <c r="A198" s="421"/>
      <c r="B198" s="421"/>
      <c r="C198" s="268"/>
      <c r="D198" s="431"/>
      <c r="E198" s="276"/>
      <c r="F198" s="265"/>
      <c r="G198" s="265"/>
      <c r="H198" s="432"/>
      <c r="I198" s="432"/>
      <c r="J198" s="283"/>
      <c r="K198" s="276"/>
      <c r="L198" s="417" t="str">
        <f t="shared" si="1"/>
        <v/>
      </c>
      <c r="M198" s="425"/>
      <c r="N198" s="426"/>
      <c r="O198" s="427"/>
      <c r="P198" s="425"/>
      <c r="Q198" s="425"/>
      <c r="R198" s="425"/>
      <c r="S198" s="421"/>
      <c r="T198" s="421"/>
      <c r="U198" s="421"/>
      <c r="V198" s="421"/>
      <c r="W198" s="421"/>
      <c r="X198" s="425"/>
      <c r="Y198" s="421"/>
      <c r="Z198" s="421"/>
      <c r="AA198" s="421"/>
      <c r="AB198" s="421"/>
      <c r="AC198" s="421"/>
      <c r="AD198" s="421"/>
      <c r="AE198" s="421"/>
      <c r="AF198" s="421"/>
      <c r="AG198" s="421"/>
      <c r="AH198" s="421"/>
      <c r="AI198" s="421"/>
      <c r="AJ198" s="421"/>
      <c r="AK198" s="421"/>
      <c r="AL198" s="421"/>
      <c r="AM198" s="421"/>
      <c r="AN198" s="421"/>
      <c r="AO198" s="421"/>
      <c r="AP198" s="421"/>
      <c r="AQ198" s="421"/>
      <c r="AR198" s="421"/>
      <c r="AS198" s="421"/>
      <c r="AT198" s="421"/>
      <c r="AU198" s="421"/>
      <c r="AV198" s="421"/>
      <c r="AW198" s="421"/>
      <c r="AX198" s="421"/>
      <c r="AY198" s="421"/>
      <c r="AZ198" s="421"/>
      <c r="BA198" s="421"/>
    </row>
    <row r="199">
      <c r="A199" s="421"/>
      <c r="B199" s="421"/>
      <c r="C199" s="268"/>
      <c r="D199" s="431"/>
      <c r="E199" s="276"/>
      <c r="F199" s="265"/>
      <c r="G199" s="265"/>
      <c r="H199" s="432"/>
      <c r="I199" s="432"/>
      <c r="J199" s="283"/>
      <c r="K199" s="276"/>
      <c r="L199" s="417" t="str">
        <f t="shared" si="1"/>
        <v/>
      </c>
      <c r="M199" s="425"/>
      <c r="N199" s="426"/>
      <c r="O199" s="427"/>
      <c r="P199" s="425"/>
      <c r="Q199" s="425"/>
      <c r="R199" s="425"/>
      <c r="S199" s="421"/>
      <c r="T199" s="421"/>
      <c r="U199" s="421"/>
      <c r="V199" s="421"/>
      <c r="W199" s="421"/>
      <c r="X199" s="425"/>
      <c r="Y199" s="421"/>
      <c r="Z199" s="421"/>
      <c r="AA199" s="421"/>
      <c r="AB199" s="421"/>
      <c r="AC199" s="421"/>
      <c r="AD199" s="421"/>
      <c r="AE199" s="421"/>
      <c r="AF199" s="421"/>
      <c r="AG199" s="421"/>
      <c r="AH199" s="421"/>
      <c r="AI199" s="421"/>
      <c r="AJ199" s="421"/>
      <c r="AK199" s="421"/>
      <c r="AL199" s="421"/>
      <c r="AM199" s="421"/>
      <c r="AN199" s="421"/>
      <c r="AO199" s="421"/>
      <c r="AP199" s="421"/>
      <c r="AQ199" s="421"/>
      <c r="AR199" s="421"/>
      <c r="AS199" s="421"/>
      <c r="AT199" s="421"/>
      <c r="AU199" s="421"/>
      <c r="AV199" s="421"/>
      <c r="AW199" s="421"/>
      <c r="AX199" s="421"/>
      <c r="AY199" s="421"/>
      <c r="AZ199" s="421"/>
      <c r="BA199" s="421"/>
    </row>
    <row r="200">
      <c r="A200" s="421"/>
      <c r="B200" s="421"/>
      <c r="C200" s="268"/>
      <c r="D200" s="431"/>
      <c r="E200" s="276"/>
      <c r="F200" s="265"/>
      <c r="G200" s="265"/>
      <c r="H200" s="432"/>
      <c r="I200" s="432"/>
      <c r="J200" s="283"/>
      <c r="K200" s="276"/>
      <c r="L200" s="417" t="str">
        <f t="shared" si="1"/>
        <v/>
      </c>
      <c r="M200" s="425"/>
      <c r="N200" s="426"/>
      <c r="O200" s="427"/>
      <c r="P200" s="425"/>
      <c r="Q200" s="425"/>
      <c r="R200" s="425"/>
      <c r="S200" s="421"/>
      <c r="T200" s="421"/>
      <c r="U200" s="421"/>
      <c r="V200" s="421"/>
      <c r="W200" s="421"/>
      <c r="X200" s="425"/>
      <c r="Y200" s="421"/>
      <c r="Z200" s="421"/>
      <c r="AA200" s="421"/>
      <c r="AB200" s="421"/>
      <c r="AC200" s="421"/>
      <c r="AD200" s="421"/>
      <c r="AE200" s="421"/>
      <c r="AF200" s="421"/>
      <c r="AG200" s="421"/>
      <c r="AH200" s="421"/>
      <c r="AI200" s="421"/>
      <c r="AJ200" s="421"/>
      <c r="AK200" s="421"/>
      <c r="AL200" s="421"/>
      <c r="AM200" s="421"/>
      <c r="AN200" s="421"/>
      <c r="AO200" s="421"/>
      <c r="AP200" s="421"/>
      <c r="AQ200" s="421"/>
      <c r="AR200" s="421"/>
      <c r="AS200" s="421"/>
      <c r="AT200" s="421"/>
      <c r="AU200" s="421"/>
      <c r="AV200" s="421"/>
      <c r="AW200" s="421"/>
      <c r="AX200" s="421"/>
      <c r="AY200" s="421"/>
      <c r="AZ200" s="421"/>
      <c r="BA200" s="421"/>
    </row>
    <row r="201">
      <c r="A201" s="421"/>
      <c r="B201" s="421"/>
      <c r="C201" s="268"/>
      <c r="D201" s="431"/>
      <c r="E201" s="276"/>
      <c r="F201" s="265"/>
      <c r="G201" s="265"/>
      <c r="H201" s="432"/>
      <c r="I201" s="432"/>
      <c r="J201" s="283"/>
      <c r="K201" s="276"/>
      <c r="L201" s="417" t="str">
        <f t="shared" si="1"/>
        <v/>
      </c>
      <c r="M201" s="425"/>
      <c r="N201" s="426"/>
      <c r="O201" s="427"/>
      <c r="P201" s="425"/>
      <c r="Q201" s="425"/>
      <c r="R201" s="425"/>
      <c r="S201" s="421"/>
      <c r="T201" s="421"/>
      <c r="U201" s="421"/>
      <c r="V201" s="421"/>
      <c r="W201" s="421"/>
      <c r="X201" s="425"/>
      <c r="Y201" s="421"/>
      <c r="Z201" s="421"/>
      <c r="AA201" s="421"/>
      <c r="AB201" s="421"/>
      <c r="AC201" s="421"/>
      <c r="AD201" s="421"/>
      <c r="AE201" s="421"/>
      <c r="AF201" s="421"/>
      <c r="AG201" s="421"/>
      <c r="AH201" s="421"/>
      <c r="AI201" s="421"/>
      <c r="AJ201" s="421"/>
      <c r="AK201" s="421"/>
      <c r="AL201" s="421"/>
      <c r="AM201" s="421"/>
      <c r="AN201" s="421"/>
      <c r="AO201" s="421"/>
      <c r="AP201" s="421"/>
      <c r="AQ201" s="421"/>
      <c r="AR201" s="421"/>
      <c r="AS201" s="421"/>
      <c r="AT201" s="421"/>
      <c r="AU201" s="421"/>
      <c r="AV201" s="421"/>
      <c r="AW201" s="421"/>
      <c r="AX201" s="421"/>
      <c r="AY201" s="421"/>
      <c r="AZ201" s="421"/>
      <c r="BA201" s="421"/>
    </row>
    <row r="202">
      <c r="A202" s="421"/>
      <c r="B202" s="421"/>
      <c r="C202" s="268"/>
      <c r="D202" s="431"/>
      <c r="E202" s="276"/>
      <c r="F202" s="265"/>
      <c r="G202" s="265"/>
      <c r="H202" s="432"/>
      <c r="I202" s="432"/>
      <c r="J202" s="283"/>
      <c r="K202" s="276"/>
      <c r="L202" s="417" t="str">
        <f t="shared" si="1"/>
        <v/>
      </c>
      <c r="M202" s="425"/>
      <c r="N202" s="426"/>
      <c r="O202" s="427"/>
      <c r="P202" s="425"/>
      <c r="Q202" s="425"/>
      <c r="R202" s="425"/>
      <c r="S202" s="421"/>
      <c r="T202" s="421"/>
      <c r="U202" s="421"/>
      <c r="V202" s="421"/>
      <c r="W202" s="421"/>
      <c r="X202" s="425"/>
      <c r="Y202" s="421"/>
      <c r="Z202" s="421"/>
      <c r="AA202" s="421"/>
      <c r="AB202" s="421"/>
      <c r="AC202" s="421"/>
      <c r="AD202" s="421"/>
      <c r="AE202" s="421"/>
      <c r="AF202" s="421"/>
      <c r="AG202" s="421"/>
      <c r="AH202" s="421"/>
      <c r="AI202" s="421"/>
      <c r="AJ202" s="421"/>
      <c r="AK202" s="421"/>
      <c r="AL202" s="421"/>
      <c r="AM202" s="421"/>
      <c r="AN202" s="421"/>
      <c r="AO202" s="421"/>
      <c r="AP202" s="421"/>
      <c r="AQ202" s="421"/>
      <c r="AR202" s="421"/>
      <c r="AS202" s="421"/>
      <c r="AT202" s="421"/>
      <c r="AU202" s="421"/>
      <c r="AV202" s="421"/>
      <c r="AW202" s="421"/>
      <c r="AX202" s="421"/>
      <c r="AY202" s="421"/>
      <c r="AZ202" s="421"/>
      <c r="BA202" s="421"/>
    </row>
    <row r="203">
      <c r="A203" s="421"/>
      <c r="B203" s="421"/>
      <c r="C203" s="268"/>
      <c r="D203" s="431"/>
      <c r="E203" s="276"/>
      <c r="F203" s="265"/>
      <c r="G203" s="265"/>
      <c r="H203" s="432"/>
      <c r="I203" s="432"/>
      <c r="J203" s="283"/>
      <c r="K203" s="276"/>
      <c r="L203" s="417" t="str">
        <f t="shared" si="1"/>
        <v/>
      </c>
      <c r="M203" s="425"/>
      <c r="N203" s="426"/>
      <c r="O203" s="427"/>
      <c r="P203" s="425"/>
      <c r="Q203" s="425"/>
      <c r="R203" s="425"/>
      <c r="S203" s="421"/>
      <c r="T203" s="421"/>
      <c r="U203" s="421"/>
      <c r="V203" s="421"/>
      <c r="W203" s="421"/>
      <c r="X203" s="425"/>
      <c r="Y203" s="421"/>
      <c r="Z203" s="421"/>
      <c r="AA203" s="421"/>
      <c r="AB203" s="421"/>
      <c r="AC203" s="421"/>
      <c r="AD203" s="421"/>
      <c r="AE203" s="421"/>
      <c r="AF203" s="421"/>
      <c r="AG203" s="421"/>
      <c r="AH203" s="421"/>
      <c r="AI203" s="421"/>
      <c r="AJ203" s="421"/>
      <c r="AK203" s="421"/>
      <c r="AL203" s="421"/>
      <c r="AM203" s="421"/>
      <c r="AN203" s="421"/>
      <c r="AO203" s="421"/>
      <c r="AP203" s="421"/>
      <c r="AQ203" s="421"/>
      <c r="AR203" s="421"/>
      <c r="AS203" s="421"/>
      <c r="AT203" s="421"/>
      <c r="AU203" s="421"/>
      <c r="AV203" s="421"/>
      <c r="AW203" s="421"/>
      <c r="AX203" s="421"/>
      <c r="AY203" s="421"/>
      <c r="AZ203" s="421"/>
      <c r="BA203" s="421"/>
    </row>
    <row r="204">
      <c r="A204" s="421"/>
      <c r="B204" s="421"/>
      <c r="C204" s="268"/>
      <c r="D204" s="431"/>
      <c r="E204" s="276"/>
      <c r="F204" s="265"/>
      <c r="G204" s="265"/>
      <c r="H204" s="432"/>
      <c r="I204" s="432"/>
      <c r="J204" s="283"/>
      <c r="K204" s="276"/>
      <c r="L204" s="417" t="str">
        <f t="shared" si="1"/>
        <v/>
      </c>
      <c r="M204" s="425"/>
      <c r="N204" s="426"/>
      <c r="O204" s="427"/>
      <c r="P204" s="425"/>
      <c r="Q204" s="425"/>
      <c r="R204" s="425"/>
      <c r="S204" s="421"/>
      <c r="T204" s="421"/>
      <c r="U204" s="421"/>
      <c r="V204" s="421"/>
      <c r="W204" s="421"/>
      <c r="X204" s="425"/>
      <c r="Y204" s="421"/>
      <c r="Z204" s="421"/>
      <c r="AA204" s="421"/>
      <c r="AB204" s="421"/>
      <c r="AC204" s="421"/>
      <c r="AD204" s="421"/>
      <c r="AE204" s="421"/>
      <c r="AF204" s="421"/>
      <c r="AG204" s="421"/>
      <c r="AH204" s="421"/>
      <c r="AI204" s="421"/>
      <c r="AJ204" s="421"/>
      <c r="AK204" s="421"/>
      <c r="AL204" s="421"/>
      <c r="AM204" s="421"/>
      <c r="AN204" s="421"/>
      <c r="AO204" s="421"/>
      <c r="AP204" s="421"/>
      <c r="AQ204" s="421"/>
      <c r="AR204" s="421"/>
      <c r="AS204" s="421"/>
      <c r="AT204" s="421"/>
      <c r="AU204" s="421"/>
      <c r="AV204" s="421"/>
      <c r="AW204" s="421"/>
      <c r="AX204" s="421"/>
      <c r="AY204" s="421"/>
      <c r="AZ204" s="421"/>
      <c r="BA204" s="421"/>
    </row>
    <row r="205">
      <c r="A205" s="421"/>
      <c r="B205" s="421"/>
      <c r="C205" s="268"/>
      <c r="D205" s="431"/>
      <c r="E205" s="276"/>
      <c r="F205" s="265"/>
      <c r="G205" s="265"/>
      <c r="H205" s="432"/>
      <c r="I205" s="432"/>
      <c r="J205" s="283"/>
      <c r="K205" s="276"/>
      <c r="L205" s="417" t="str">
        <f t="shared" si="1"/>
        <v/>
      </c>
      <c r="M205" s="425"/>
      <c r="N205" s="426"/>
      <c r="O205" s="427"/>
      <c r="P205" s="425"/>
      <c r="Q205" s="425"/>
      <c r="R205" s="425"/>
      <c r="S205" s="421"/>
      <c r="T205" s="421"/>
      <c r="U205" s="421"/>
      <c r="V205" s="421"/>
      <c r="W205" s="421"/>
      <c r="X205" s="425"/>
      <c r="Y205" s="421"/>
      <c r="Z205" s="421"/>
      <c r="AA205" s="421"/>
      <c r="AB205" s="421"/>
      <c r="AC205" s="421"/>
      <c r="AD205" s="421"/>
      <c r="AE205" s="421"/>
      <c r="AF205" s="421"/>
      <c r="AG205" s="421"/>
      <c r="AH205" s="421"/>
      <c r="AI205" s="421"/>
      <c r="AJ205" s="421"/>
      <c r="AK205" s="421"/>
      <c r="AL205" s="421"/>
      <c r="AM205" s="421"/>
      <c r="AN205" s="421"/>
      <c r="AO205" s="421"/>
      <c r="AP205" s="421"/>
      <c r="AQ205" s="421"/>
      <c r="AR205" s="421"/>
      <c r="AS205" s="421"/>
      <c r="AT205" s="421"/>
      <c r="AU205" s="421"/>
      <c r="AV205" s="421"/>
      <c r="AW205" s="421"/>
      <c r="AX205" s="421"/>
      <c r="AY205" s="421"/>
      <c r="AZ205" s="421"/>
      <c r="BA205" s="421"/>
    </row>
    <row r="206">
      <c r="A206" s="421"/>
      <c r="B206" s="421"/>
      <c r="C206" s="268"/>
      <c r="D206" s="431"/>
      <c r="E206" s="276"/>
      <c r="F206" s="265"/>
      <c r="G206" s="265"/>
      <c r="H206" s="432"/>
      <c r="I206" s="432"/>
      <c r="J206" s="283"/>
      <c r="K206" s="276"/>
      <c r="L206" s="417" t="str">
        <f t="shared" si="1"/>
        <v/>
      </c>
      <c r="M206" s="425"/>
      <c r="N206" s="426"/>
      <c r="O206" s="427"/>
      <c r="P206" s="425"/>
      <c r="Q206" s="425"/>
      <c r="R206" s="425"/>
      <c r="S206" s="421"/>
      <c r="T206" s="421"/>
      <c r="U206" s="421"/>
      <c r="V206" s="421"/>
      <c r="W206" s="421"/>
      <c r="X206" s="425"/>
      <c r="Y206" s="421"/>
      <c r="Z206" s="421"/>
      <c r="AA206" s="421"/>
      <c r="AB206" s="421"/>
      <c r="AC206" s="421"/>
      <c r="AD206" s="421"/>
      <c r="AE206" s="421"/>
      <c r="AF206" s="421"/>
      <c r="AG206" s="421"/>
      <c r="AH206" s="421"/>
      <c r="AI206" s="421"/>
      <c r="AJ206" s="421"/>
      <c r="AK206" s="421"/>
      <c r="AL206" s="421"/>
      <c r="AM206" s="421"/>
      <c r="AN206" s="421"/>
      <c r="AO206" s="421"/>
      <c r="AP206" s="421"/>
      <c r="AQ206" s="421"/>
      <c r="AR206" s="421"/>
      <c r="AS206" s="421"/>
      <c r="AT206" s="421"/>
      <c r="AU206" s="421"/>
      <c r="AV206" s="421"/>
      <c r="AW206" s="421"/>
      <c r="AX206" s="421"/>
      <c r="AY206" s="421"/>
      <c r="AZ206" s="421"/>
      <c r="BA206" s="421"/>
    </row>
    <row r="207">
      <c r="A207" s="421"/>
      <c r="B207" s="421"/>
      <c r="C207" s="268"/>
      <c r="D207" s="431"/>
      <c r="E207" s="276"/>
      <c r="F207" s="265"/>
      <c r="G207" s="265"/>
      <c r="H207" s="432"/>
      <c r="I207" s="432"/>
      <c r="J207" s="283"/>
      <c r="K207" s="276"/>
      <c r="L207" s="417" t="str">
        <f t="shared" si="1"/>
        <v/>
      </c>
      <c r="M207" s="425"/>
      <c r="N207" s="426"/>
      <c r="O207" s="427"/>
      <c r="P207" s="425"/>
      <c r="Q207" s="425"/>
      <c r="R207" s="425"/>
      <c r="S207" s="421"/>
      <c r="T207" s="421"/>
      <c r="U207" s="421"/>
      <c r="V207" s="421"/>
      <c r="W207" s="421"/>
      <c r="X207" s="425"/>
      <c r="Y207" s="421"/>
      <c r="Z207" s="421"/>
      <c r="AA207" s="421"/>
      <c r="AB207" s="421"/>
      <c r="AC207" s="421"/>
      <c r="AD207" s="421"/>
      <c r="AE207" s="421"/>
      <c r="AF207" s="421"/>
      <c r="AG207" s="421"/>
      <c r="AH207" s="421"/>
      <c r="AI207" s="421"/>
      <c r="AJ207" s="421"/>
      <c r="AK207" s="421"/>
      <c r="AL207" s="421"/>
      <c r="AM207" s="421"/>
      <c r="AN207" s="421"/>
      <c r="AO207" s="421"/>
      <c r="AP207" s="421"/>
      <c r="AQ207" s="421"/>
      <c r="AR207" s="421"/>
      <c r="AS207" s="421"/>
      <c r="AT207" s="421"/>
      <c r="AU207" s="421"/>
      <c r="AV207" s="421"/>
      <c r="AW207" s="421"/>
      <c r="AX207" s="421"/>
      <c r="AY207" s="421"/>
      <c r="AZ207" s="421"/>
      <c r="BA207" s="421"/>
    </row>
    <row r="208">
      <c r="A208" s="421"/>
      <c r="B208" s="421"/>
      <c r="C208" s="268"/>
      <c r="D208" s="431"/>
      <c r="E208" s="276"/>
      <c r="F208" s="265"/>
      <c r="G208" s="265"/>
      <c r="H208" s="432"/>
      <c r="I208" s="432"/>
      <c r="J208" s="283"/>
      <c r="K208" s="276"/>
      <c r="L208" s="417" t="str">
        <f t="shared" si="1"/>
        <v/>
      </c>
      <c r="M208" s="425"/>
      <c r="N208" s="426"/>
      <c r="O208" s="427"/>
      <c r="P208" s="425"/>
      <c r="Q208" s="425"/>
      <c r="R208" s="425"/>
      <c r="S208" s="421"/>
      <c r="T208" s="421"/>
      <c r="U208" s="421"/>
      <c r="V208" s="421"/>
      <c r="W208" s="421"/>
      <c r="X208" s="425"/>
      <c r="Y208" s="421"/>
      <c r="Z208" s="421"/>
      <c r="AA208" s="421"/>
      <c r="AB208" s="421"/>
      <c r="AC208" s="421"/>
      <c r="AD208" s="421"/>
      <c r="AE208" s="421"/>
      <c r="AF208" s="421"/>
      <c r="AG208" s="421"/>
      <c r="AH208" s="421"/>
      <c r="AI208" s="421"/>
      <c r="AJ208" s="421"/>
      <c r="AK208" s="421"/>
      <c r="AL208" s="421"/>
      <c r="AM208" s="421"/>
      <c r="AN208" s="421"/>
      <c r="AO208" s="421"/>
      <c r="AP208" s="421"/>
      <c r="AQ208" s="421"/>
      <c r="AR208" s="421"/>
      <c r="AS208" s="421"/>
      <c r="AT208" s="421"/>
      <c r="AU208" s="421"/>
      <c r="AV208" s="421"/>
      <c r="AW208" s="421"/>
      <c r="AX208" s="421"/>
      <c r="AY208" s="421"/>
      <c r="AZ208" s="421"/>
      <c r="BA208" s="421"/>
    </row>
    <row r="209">
      <c r="A209" s="421"/>
      <c r="B209" s="421"/>
      <c r="C209" s="268"/>
      <c r="D209" s="431"/>
      <c r="E209" s="276"/>
      <c r="F209" s="265"/>
      <c r="G209" s="265"/>
      <c r="H209" s="432"/>
      <c r="I209" s="432"/>
      <c r="J209" s="283"/>
      <c r="K209" s="276"/>
      <c r="L209" s="417" t="str">
        <f t="shared" si="1"/>
        <v/>
      </c>
      <c r="M209" s="425"/>
      <c r="N209" s="426"/>
      <c r="O209" s="427"/>
      <c r="P209" s="425"/>
      <c r="Q209" s="425"/>
      <c r="R209" s="425"/>
      <c r="S209" s="421"/>
      <c r="T209" s="421"/>
      <c r="U209" s="421"/>
      <c r="V209" s="421"/>
      <c r="W209" s="421"/>
      <c r="X209" s="425"/>
      <c r="Y209" s="421"/>
      <c r="Z209" s="421"/>
      <c r="AA209" s="421"/>
      <c r="AB209" s="421"/>
      <c r="AC209" s="421"/>
      <c r="AD209" s="421"/>
      <c r="AE209" s="421"/>
      <c r="AF209" s="421"/>
      <c r="AG209" s="421"/>
      <c r="AH209" s="421"/>
      <c r="AI209" s="421"/>
      <c r="AJ209" s="421"/>
      <c r="AK209" s="421"/>
      <c r="AL209" s="421"/>
      <c r="AM209" s="421"/>
      <c r="AN209" s="421"/>
      <c r="AO209" s="421"/>
      <c r="AP209" s="421"/>
      <c r="AQ209" s="421"/>
      <c r="AR209" s="421"/>
      <c r="AS209" s="421"/>
      <c r="AT209" s="421"/>
      <c r="AU209" s="421"/>
      <c r="AV209" s="421"/>
      <c r="AW209" s="421"/>
      <c r="AX209" s="421"/>
      <c r="AY209" s="421"/>
      <c r="AZ209" s="421"/>
      <c r="BA209" s="421"/>
    </row>
    <row r="210">
      <c r="A210" s="421"/>
      <c r="B210" s="421"/>
      <c r="C210" s="268"/>
      <c r="D210" s="431"/>
      <c r="E210" s="276"/>
      <c r="F210" s="265"/>
      <c r="G210" s="265"/>
      <c r="H210" s="432"/>
      <c r="I210" s="432"/>
      <c r="J210" s="283"/>
      <c r="K210" s="276"/>
      <c r="L210" s="417" t="str">
        <f t="shared" si="1"/>
        <v/>
      </c>
      <c r="M210" s="425"/>
      <c r="N210" s="426"/>
      <c r="O210" s="427"/>
      <c r="P210" s="425"/>
      <c r="Q210" s="425"/>
      <c r="R210" s="425"/>
      <c r="S210" s="421"/>
      <c r="T210" s="421"/>
      <c r="U210" s="421"/>
      <c r="V210" s="421"/>
      <c r="W210" s="421"/>
      <c r="X210" s="425"/>
      <c r="Y210" s="421"/>
      <c r="Z210" s="421"/>
      <c r="AA210" s="421"/>
      <c r="AB210" s="421"/>
      <c r="AC210" s="421"/>
      <c r="AD210" s="421"/>
      <c r="AE210" s="421"/>
      <c r="AF210" s="421"/>
      <c r="AG210" s="421"/>
      <c r="AH210" s="421"/>
      <c r="AI210" s="421"/>
      <c r="AJ210" s="421"/>
      <c r="AK210" s="421"/>
      <c r="AL210" s="421"/>
      <c r="AM210" s="421"/>
      <c r="AN210" s="421"/>
      <c r="AO210" s="421"/>
      <c r="AP210" s="421"/>
      <c r="AQ210" s="421"/>
      <c r="AR210" s="421"/>
      <c r="AS210" s="421"/>
      <c r="AT210" s="421"/>
      <c r="AU210" s="421"/>
      <c r="AV210" s="421"/>
      <c r="AW210" s="421"/>
      <c r="AX210" s="421"/>
      <c r="AY210" s="421"/>
      <c r="AZ210" s="421"/>
      <c r="BA210" s="421"/>
    </row>
    <row r="211">
      <c r="A211" s="421"/>
      <c r="B211" s="421"/>
      <c r="C211" s="268"/>
      <c r="D211" s="431"/>
      <c r="E211" s="276"/>
      <c r="F211" s="265"/>
      <c r="G211" s="265"/>
      <c r="H211" s="432"/>
      <c r="I211" s="432"/>
      <c r="J211" s="283"/>
      <c r="K211" s="276"/>
      <c r="L211" s="417" t="str">
        <f t="shared" si="1"/>
        <v/>
      </c>
      <c r="M211" s="425"/>
      <c r="N211" s="426"/>
      <c r="O211" s="427"/>
      <c r="P211" s="425"/>
      <c r="Q211" s="425"/>
      <c r="R211" s="425"/>
      <c r="S211" s="421"/>
      <c r="T211" s="421"/>
      <c r="U211" s="421"/>
      <c r="V211" s="421"/>
      <c r="W211" s="421"/>
      <c r="X211" s="425"/>
      <c r="Y211" s="421"/>
      <c r="Z211" s="421"/>
      <c r="AA211" s="421"/>
      <c r="AB211" s="421"/>
      <c r="AC211" s="421"/>
      <c r="AD211" s="421"/>
      <c r="AE211" s="421"/>
      <c r="AF211" s="421"/>
      <c r="AG211" s="421"/>
      <c r="AH211" s="421"/>
      <c r="AI211" s="421"/>
      <c r="AJ211" s="421"/>
      <c r="AK211" s="421"/>
      <c r="AL211" s="421"/>
      <c r="AM211" s="421"/>
      <c r="AN211" s="421"/>
      <c r="AO211" s="421"/>
      <c r="AP211" s="421"/>
      <c r="AQ211" s="421"/>
      <c r="AR211" s="421"/>
      <c r="AS211" s="421"/>
      <c r="AT211" s="421"/>
      <c r="AU211" s="421"/>
      <c r="AV211" s="421"/>
      <c r="AW211" s="421"/>
      <c r="AX211" s="421"/>
      <c r="AY211" s="421"/>
      <c r="AZ211" s="421"/>
      <c r="BA211" s="421"/>
    </row>
    <row r="212">
      <c r="A212" s="421"/>
      <c r="B212" s="421"/>
      <c r="C212" s="268"/>
      <c r="D212" s="431"/>
      <c r="E212" s="276"/>
      <c r="F212" s="265"/>
      <c r="G212" s="265"/>
      <c r="H212" s="432"/>
      <c r="I212" s="432"/>
      <c r="J212" s="283"/>
      <c r="K212" s="276"/>
      <c r="L212" s="417" t="str">
        <f t="shared" si="1"/>
        <v/>
      </c>
      <c r="M212" s="425"/>
      <c r="N212" s="426"/>
      <c r="O212" s="427"/>
      <c r="P212" s="425"/>
      <c r="Q212" s="425"/>
      <c r="R212" s="425"/>
      <c r="S212" s="421"/>
      <c r="T212" s="421"/>
      <c r="U212" s="421"/>
      <c r="V212" s="421"/>
      <c r="W212" s="421"/>
      <c r="X212" s="425"/>
      <c r="Y212" s="421"/>
      <c r="Z212" s="421"/>
      <c r="AA212" s="421"/>
      <c r="AB212" s="421"/>
      <c r="AC212" s="421"/>
      <c r="AD212" s="421"/>
      <c r="AE212" s="421"/>
      <c r="AF212" s="421"/>
      <c r="AG212" s="421"/>
      <c r="AH212" s="421"/>
      <c r="AI212" s="421"/>
      <c r="AJ212" s="421"/>
      <c r="AK212" s="421"/>
      <c r="AL212" s="421"/>
      <c r="AM212" s="421"/>
      <c r="AN212" s="421"/>
      <c r="AO212" s="421"/>
      <c r="AP212" s="421"/>
      <c r="AQ212" s="421"/>
      <c r="AR212" s="421"/>
      <c r="AS212" s="421"/>
      <c r="AT212" s="421"/>
      <c r="AU212" s="421"/>
      <c r="AV212" s="421"/>
      <c r="AW212" s="421"/>
      <c r="AX212" s="421"/>
      <c r="AY212" s="421"/>
      <c r="AZ212" s="421"/>
      <c r="BA212" s="421"/>
    </row>
    <row r="213">
      <c r="A213" s="421"/>
      <c r="B213" s="421"/>
      <c r="C213" s="268"/>
      <c r="D213" s="431"/>
      <c r="E213" s="276"/>
      <c r="F213" s="265"/>
      <c r="G213" s="265"/>
      <c r="H213" s="432"/>
      <c r="I213" s="432"/>
      <c r="J213" s="283"/>
      <c r="K213" s="276"/>
      <c r="L213" s="417" t="str">
        <f t="shared" si="1"/>
        <v/>
      </c>
      <c r="M213" s="425"/>
      <c r="N213" s="426"/>
      <c r="O213" s="427"/>
      <c r="P213" s="425"/>
      <c r="Q213" s="425"/>
      <c r="R213" s="425"/>
      <c r="S213" s="421"/>
      <c r="T213" s="421"/>
      <c r="U213" s="421"/>
      <c r="V213" s="421"/>
      <c r="W213" s="421"/>
      <c r="X213" s="425"/>
      <c r="Y213" s="421"/>
      <c r="Z213" s="421"/>
      <c r="AA213" s="421"/>
      <c r="AB213" s="421"/>
      <c r="AC213" s="421"/>
      <c r="AD213" s="421"/>
      <c r="AE213" s="421"/>
      <c r="AF213" s="421"/>
      <c r="AG213" s="421"/>
      <c r="AH213" s="421"/>
      <c r="AI213" s="421"/>
      <c r="AJ213" s="421"/>
      <c r="AK213" s="421"/>
      <c r="AL213" s="421"/>
      <c r="AM213" s="421"/>
      <c r="AN213" s="421"/>
      <c r="AO213" s="421"/>
      <c r="AP213" s="421"/>
      <c r="AQ213" s="421"/>
      <c r="AR213" s="421"/>
      <c r="AS213" s="421"/>
      <c r="AT213" s="421"/>
      <c r="AU213" s="421"/>
      <c r="AV213" s="421"/>
      <c r="AW213" s="421"/>
      <c r="AX213" s="421"/>
      <c r="AY213" s="421"/>
      <c r="AZ213" s="421"/>
      <c r="BA213" s="421"/>
    </row>
    <row r="214">
      <c r="A214" s="421"/>
      <c r="B214" s="421"/>
      <c r="C214" s="268"/>
      <c r="D214" s="431"/>
      <c r="E214" s="276"/>
      <c r="F214" s="265"/>
      <c r="G214" s="265"/>
      <c r="H214" s="432"/>
      <c r="I214" s="432"/>
      <c r="J214" s="283"/>
      <c r="K214" s="276"/>
      <c r="L214" s="417" t="str">
        <f t="shared" si="1"/>
        <v/>
      </c>
      <c r="M214" s="425"/>
      <c r="N214" s="426"/>
      <c r="O214" s="427"/>
      <c r="P214" s="425"/>
      <c r="Q214" s="425"/>
      <c r="R214" s="425"/>
      <c r="S214" s="421"/>
      <c r="T214" s="421"/>
      <c r="U214" s="421"/>
      <c r="V214" s="421"/>
      <c r="W214" s="421"/>
      <c r="X214" s="425"/>
      <c r="Y214" s="421"/>
      <c r="Z214" s="421"/>
      <c r="AA214" s="421"/>
      <c r="AB214" s="421"/>
      <c r="AC214" s="421"/>
      <c r="AD214" s="421"/>
      <c r="AE214" s="421"/>
      <c r="AF214" s="421"/>
      <c r="AG214" s="421"/>
      <c r="AH214" s="421"/>
      <c r="AI214" s="421"/>
      <c r="AJ214" s="421"/>
      <c r="AK214" s="421"/>
      <c r="AL214" s="421"/>
      <c r="AM214" s="421"/>
      <c r="AN214" s="421"/>
      <c r="AO214" s="421"/>
      <c r="AP214" s="421"/>
      <c r="AQ214" s="421"/>
      <c r="AR214" s="421"/>
      <c r="AS214" s="421"/>
      <c r="AT214" s="421"/>
      <c r="AU214" s="421"/>
      <c r="AV214" s="421"/>
      <c r="AW214" s="421"/>
      <c r="AX214" s="421"/>
      <c r="AY214" s="421"/>
      <c r="AZ214" s="421"/>
      <c r="BA214" s="421"/>
    </row>
    <row r="215">
      <c r="A215" s="421"/>
      <c r="B215" s="421"/>
      <c r="C215" s="268"/>
      <c r="D215" s="431"/>
      <c r="E215" s="276"/>
      <c r="F215" s="265"/>
      <c r="G215" s="265"/>
      <c r="H215" s="432"/>
      <c r="I215" s="432"/>
      <c r="J215" s="283"/>
      <c r="K215" s="276"/>
      <c r="L215" s="417" t="str">
        <f t="shared" si="1"/>
        <v/>
      </c>
      <c r="M215" s="425"/>
      <c r="N215" s="426"/>
      <c r="O215" s="427"/>
      <c r="P215" s="425"/>
      <c r="Q215" s="425"/>
      <c r="R215" s="425"/>
      <c r="S215" s="421"/>
      <c r="T215" s="421"/>
      <c r="U215" s="421"/>
      <c r="V215" s="421"/>
      <c r="W215" s="421"/>
      <c r="X215" s="425"/>
      <c r="Y215" s="421"/>
      <c r="Z215" s="421"/>
      <c r="AA215" s="421"/>
      <c r="AB215" s="421"/>
      <c r="AC215" s="421"/>
      <c r="AD215" s="421"/>
      <c r="AE215" s="421"/>
      <c r="AF215" s="421"/>
      <c r="AG215" s="421"/>
      <c r="AH215" s="421"/>
      <c r="AI215" s="421"/>
      <c r="AJ215" s="421"/>
      <c r="AK215" s="421"/>
      <c r="AL215" s="421"/>
      <c r="AM215" s="421"/>
      <c r="AN215" s="421"/>
      <c r="AO215" s="421"/>
      <c r="AP215" s="421"/>
      <c r="AQ215" s="421"/>
      <c r="AR215" s="421"/>
      <c r="AS215" s="421"/>
      <c r="AT215" s="421"/>
      <c r="AU215" s="421"/>
      <c r="AV215" s="421"/>
      <c r="AW215" s="421"/>
      <c r="AX215" s="421"/>
      <c r="AY215" s="421"/>
      <c r="AZ215" s="421"/>
      <c r="BA215" s="421"/>
    </row>
    <row r="216">
      <c r="A216" s="421"/>
      <c r="B216" s="421"/>
      <c r="C216" s="268"/>
      <c r="D216" s="431"/>
      <c r="E216" s="276"/>
      <c r="F216" s="265"/>
      <c r="G216" s="265"/>
      <c r="H216" s="432"/>
      <c r="I216" s="432"/>
      <c r="J216" s="283"/>
      <c r="K216" s="276"/>
      <c r="L216" s="417" t="str">
        <f t="shared" si="1"/>
        <v/>
      </c>
      <c r="M216" s="425"/>
      <c r="N216" s="426"/>
      <c r="O216" s="427"/>
      <c r="P216" s="425"/>
      <c r="Q216" s="425"/>
      <c r="R216" s="425"/>
      <c r="S216" s="421"/>
      <c r="T216" s="421"/>
      <c r="U216" s="421"/>
      <c r="V216" s="421"/>
      <c r="W216" s="421"/>
      <c r="X216" s="425"/>
      <c r="Y216" s="421"/>
      <c r="Z216" s="421"/>
      <c r="AA216" s="421"/>
      <c r="AB216" s="421"/>
      <c r="AC216" s="421"/>
      <c r="AD216" s="421"/>
      <c r="AE216" s="421"/>
      <c r="AF216" s="421"/>
      <c r="AG216" s="421"/>
      <c r="AH216" s="421"/>
      <c r="AI216" s="421"/>
      <c r="AJ216" s="421"/>
      <c r="AK216" s="421"/>
      <c r="AL216" s="421"/>
      <c r="AM216" s="421"/>
      <c r="AN216" s="421"/>
      <c r="AO216" s="421"/>
      <c r="AP216" s="421"/>
      <c r="AQ216" s="421"/>
      <c r="AR216" s="421"/>
      <c r="AS216" s="421"/>
      <c r="AT216" s="421"/>
      <c r="AU216" s="421"/>
      <c r="AV216" s="421"/>
      <c r="AW216" s="421"/>
      <c r="AX216" s="421"/>
      <c r="AY216" s="421"/>
      <c r="AZ216" s="421"/>
      <c r="BA216" s="421"/>
    </row>
    <row r="217">
      <c r="A217" s="421"/>
      <c r="B217" s="421"/>
      <c r="C217" s="268"/>
      <c r="D217" s="431"/>
      <c r="E217" s="276"/>
      <c r="F217" s="265"/>
      <c r="G217" s="265"/>
      <c r="H217" s="432"/>
      <c r="I217" s="432"/>
      <c r="J217" s="283"/>
      <c r="K217" s="276"/>
      <c r="L217" s="417" t="str">
        <f t="shared" si="1"/>
        <v/>
      </c>
      <c r="M217" s="425"/>
      <c r="N217" s="426"/>
      <c r="O217" s="427"/>
      <c r="P217" s="425"/>
      <c r="Q217" s="425"/>
      <c r="R217" s="425"/>
      <c r="S217" s="421"/>
      <c r="T217" s="421"/>
      <c r="U217" s="421"/>
      <c r="V217" s="421"/>
      <c r="W217" s="421"/>
      <c r="X217" s="425"/>
      <c r="Y217" s="421"/>
      <c r="Z217" s="421"/>
      <c r="AA217" s="421"/>
      <c r="AB217" s="421"/>
      <c r="AC217" s="421"/>
      <c r="AD217" s="421"/>
      <c r="AE217" s="421"/>
      <c r="AF217" s="421"/>
      <c r="AG217" s="421"/>
      <c r="AH217" s="421"/>
      <c r="AI217" s="421"/>
      <c r="AJ217" s="421"/>
      <c r="AK217" s="421"/>
      <c r="AL217" s="421"/>
      <c r="AM217" s="421"/>
      <c r="AN217" s="421"/>
      <c r="AO217" s="421"/>
      <c r="AP217" s="421"/>
      <c r="AQ217" s="421"/>
      <c r="AR217" s="421"/>
      <c r="AS217" s="421"/>
      <c r="AT217" s="421"/>
      <c r="AU217" s="421"/>
      <c r="AV217" s="421"/>
      <c r="AW217" s="421"/>
      <c r="AX217" s="421"/>
      <c r="AY217" s="421"/>
      <c r="AZ217" s="421"/>
      <c r="BA217" s="421"/>
    </row>
    <row r="218">
      <c r="A218" s="421"/>
      <c r="B218" s="421"/>
      <c r="C218" s="268"/>
      <c r="D218" s="431"/>
      <c r="E218" s="276"/>
      <c r="F218" s="265"/>
      <c r="G218" s="265"/>
      <c r="H218" s="432"/>
      <c r="I218" s="432"/>
      <c r="J218" s="283"/>
      <c r="K218" s="276"/>
      <c r="L218" s="417" t="str">
        <f t="shared" si="1"/>
        <v/>
      </c>
      <c r="M218" s="425"/>
      <c r="N218" s="426"/>
      <c r="O218" s="427"/>
      <c r="P218" s="425"/>
      <c r="Q218" s="425"/>
      <c r="R218" s="425"/>
      <c r="S218" s="421"/>
      <c r="T218" s="421"/>
      <c r="U218" s="421"/>
      <c r="V218" s="421"/>
      <c r="W218" s="421"/>
      <c r="X218" s="425"/>
      <c r="Y218" s="421"/>
      <c r="Z218" s="421"/>
      <c r="AA218" s="421"/>
      <c r="AB218" s="421"/>
      <c r="AC218" s="421"/>
      <c r="AD218" s="421"/>
      <c r="AE218" s="421"/>
      <c r="AF218" s="421"/>
      <c r="AG218" s="421"/>
      <c r="AH218" s="421"/>
      <c r="AI218" s="421"/>
      <c r="AJ218" s="421"/>
      <c r="AK218" s="421"/>
      <c r="AL218" s="421"/>
      <c r="AM218" s="421"/>
      <c r="AN218" s="421"/>
      <c r="AO218" s="421"/>
      <c r="AP218" s="421"/>
      <c r="AQ218" s="421"/>
      <c r="AR218" s="421"/>
      <c r="AS218" s="421"/>
      <c r="AT218" s="421"/>
      <c r="AU218" s="421"/>
      <c r="AV218" s="421"/>
      <c r="AW218" s="421"/>
      <c r="AX218" s="421"/>
      <c r="AY218" s="421"/>
      <c r="AZ218" s="421"/>
      <c r="BA218" s="421"/>
    </row>
    <row r="219">
      <c r="A219" s="421"/>
      <c r="B219" s="421"/>
      <c r="C219" s="268"/>
      <c r="D219" s="431"/>
      <c r="E219" s="276"/>
      <c r="F219" s="265"/>
      <c r="G219" s="265"/>
      <c r="H219" s="432"/>
      <c r="I219" s="432"/>
      <c r="J219" s="283"/>
      <c r="K219" s="276"/>
      <c r="L219" s="417" t="str">
        <f t="shared" si="1"/>
        <v/>
      </c>
      <c r="M219" s="425"/>
      <c r="N219" s="426"/>
      <c r="O219" s="427"/>
      <c r="P219" s="425"/>
      <c r="Q219" s="425"/>
      <c r="R219" s="425"/>
      <c r="S219" s="421"/>
      <c r="T219" s="421"/>
      <c r="U219" s="421"/>
      <c r="V219" s="421"/>
      <c r="W219" s="421"/>
      <c r="X219" s="425"/>
      <c r="Y219" s="421"/>
      <c r="Z219" s="421"/>
      <c r="AA219" s="421"/>
      <c r="AB219" s="421"/>
      <c r="AC219" s="421"/>
      <c r="AD219" s="421"/>
      <c r="AE219" s="421"/>
      <c r="AF219" s="421"/>
      <c r="AG219" s="421"/>
      <c r="AH219" s="421"/>
      <c r="AI219" s="421"/>
      <c r="AJ219" s="421"/>
      <c r="AK219" s="421"/>
      <c r="AL219" s="421"/>
      <c r="AM219" s="421"/>
      <c r="AN219" s="421"/>
      <c r="AO219" s="421"/>
      <c r="AP219" s="421"/>
      <c r="AQ219" s="421"/>
      <c r="AR219" s="421"/>
      <c r="AS219" s="421"/>
      <c r="AT219" s="421"/>
      <c r="AU219" s="421"/>
      <c r="AV219" s="421"/>
      <c r="AW219" s="421"/>
      <c r="AX219" s="421"/>
      <c r="AY219" s="421"/>
      <c r="AZ219" s="421"/>
      <c r="BA219" s="421"/>
    </row>
    <row r="220">
      <c r="A220" s="421"/>
      <c r="B220" s="421"/>
      <c r="C220" s="268"/>
      <c r="D220" s="431"/>
      <c r="E220" s="276"/>
      <c r="F220" s="265"/>
      <c r="G220" s="265"/>
      <c r="H220" s="432"/>
      <c r="I220" s="432"/>
      <c r="J220" s="283"/>
      <c r="K220" s="276"/>
      <c r="L220" s="417" t="str">
        <f t="shared" si="1"/>
        <v/>
      </c>
      <c r="M220" s="425"/>
      <c r="N220" s="426"/>
      <c r="O220" s="427"/>
      <c r="P220" s="425"/>
      <c r="Q220" s="425"/>
      <c r="R220" s="425"/>
      <c r="S220" s="421"/>
      <c r="T220" s="421"/>
      <c r="U220" s="421"/>
      <c r="V220" s="421"/>
      <c r="W220" s="421"/>
      <c r="X220" s="425"/>
      <c r="Y220" s="421"/>
      <c r="Z220" s="421"/>
      <c r="AA220" s="421"/>
      <c r="AB220" s="421"/>
      <c r="AC220" s="421"/>
      <c r="AD220" s="421"/>
      <c r="AE220" s="421"/>
      <c r="AF220" s="421"/>
      <c r="AG220" s="421"/>
      <c r="AH220" s="421"/>
      <c r="AI220" s="421"/>
      <c r="AJ220" s="421"/>
      <c r="AK220" s="421"/>
      <c r="AL220" s="421"/>
      <c r="AM220" s="421"/>
      <c r="AN220" s="421"/>
      <c r="AO220" s="421"/>
      <c r="AP220" s="421"/>
      <c r="AQ220" s="421"/>
      <c r="AR220" s="421"/>
      <c r="AS220" s="421"/>
      <c r="AT220" s="421"/>
      <c r="AU220" s="421"/>
      <c r="AV220" s="421"/>
      <c r="AW220" s="421"/>
      <c r="AX220" s="421"/>
      <c r="AY220" s="421"/>
      <c r="AZ220" s="421"/>
      <c r="BA220" s="421"/>
    </row>
    <row r="221">
      <c r="A221" s="421"/>
      <c r="B221" s="421"/>
      <c r="C221" s="268"/>
      <c r="D221" s="431"/>
      <c r="E221" s="276"/>
      <c r="F221" s="265"/>
      <c r="G221" s="265"/>
      <c r="H221" s="432"/>
      <c r="I221" s="432"/>
      <c r="J221" s="283"/>
      <c r="K221" s="276"/>
      <c r="L221" s="417" t="str">
        <f t="shared" si="1"/>
        <v/>
      </c>
      <c r="M221" s="425"/>
      <c r="N221" s="426"/>
      <c r="O221" s="427"/>
      <c r="P221" s="425"/>
      <c r="Q221" s="425"/>
      <c r="R221" s="425"/>
      <c r="S221" s="421"/>
      <c r="T221" s="421"/>
      <c r="U221" s="421"/>
      <c r="V221" s="421"/>
      <c r="W221" s="421"/>
      <c r="X221" s="425"/>
      <c r="Y221" s="421"/>
      <c r="Z221" s="421"/>
      <c r="AA221" s="421"/>
      <c r="AB221" s="421"/>
      <c r="AC221" s="421"/>
      <c r="AD221" s="421"/>
      <c r="AE221" s="421"/>
      <c r="AF221" s="421"/>
      <c r="AG221" s="421"/>
      <c r="AH221" s="421"/>
      <c r="AI221" s="421"/>
      <c r="AJ221" s="421"/>
      <c r="AK221" s="421"/>
      <c r="AL221" s="421"/>
      <c r="AM221" s="421"/>
      <c r="AN221" s="421"/>
      <c r="AO221" s="421"/>
      <c r="AP221" s="421"/>
      <c r="AQ221" s="421"/>
      <c r="AR221" s="421"/>
      <c r="AS221" s="421"/>
      <c r="AT221" s="421"/>
      <c r="AU221" s="421"/>
      <c r="AV221" s="421"/>
      <c r="AW221" s="421"/>
      <c r="AX221" s="421"/>
      <c r="AY221" s="421"/>
      <c r="AZ221" s="421"/>
      <c r="BA221" s="421"/>
    </row>
    <row r="222">
      <c r="A222" s="421"/>
      <c r="B222" s="421"/>
      <c r="C222" s="268"/>
      <c r="D222" s="431"/>
      <c r="E222" s="276"/>
      <c r="F222" s="265"/>
      <c r="G222" s="265"/>
      <c r="H222" s="432"/>
      <c r="I222" s="432"/>
      <c r="J222" s="283"/>
      <c r="K222" s="276"/>
      <c r="L222" s="417" t="str">
        <f t="shared" si="1"/>
        <v/>
      </c>
      <c r="M222" s="425"/>
      <c r="N222" s="426"/>
      <c r="O222" s="427"/>
      <c r="P222" s="425"/>
      <c r="Q222" s="425"/>
      <c r="R222" s="425"/>
      <c r="S222" s="421"/>
      <c r="T222" s="421"/>
      <c r="U222" s="421"/>
      <c r="V222" s="421"/>
      <c r="W222" s="421"/>
      <c r="X222" s="425"/>
      <c r="Y222" s="421"/>
      <c r="Z222" s="421"/>
      <c r="AA222" s="421"/>
      <c r="AB222" s="421"/>
      <c r="AC222" s="421"/>
      <c r="AD222" s="421"/>
      <c r="AE222" s="421"/>
      <c r="AF222" s="421"/>
      <c r="AG222" s="421"/>
      <c r="AH222" s="421"/>
      <c r="AI222" s="421"/>
      <c r="AJ222" s="421"/>
      <c r="AK222" s="421"/>
      <c r="AL222" s="421"/>
      <c r="AM222" s="421"/>
      <c r="AN222" s="421"/>
      <c r="AO222" s="421"/>
      <c r="AP222" s="421"/>
      <c r="AQ222" s="421"/>
      <c r="AR222" s="421"/>
      <c r="AS222" s="421"/>
      <c r="AT222" s="421"/>
      <c r="AU222" s="421"/>
      <c r="AV222" s="421"/>
      <c r="AW222" s="421"/>
      <c r="AX222" s="421"/>
      <c r="AY222" s="421"/>
      <c r="AZ222" s="421"/>
      <c r="BA222" s="421"/>
    </row>
    <row r="223">
      <c r="A223" s="421"/>
      <c r="B223" s="421"/>
      <c r="C223" s="268"/>
      <c r="D223" s="431"/>
      <c r="E223" s="276"/>
      <c r="F223" s="265"/>
      <c r="G223" s="265"/>
      <c r="H223" s="432"/>
      <c r="I223" s="432"/>
      <c r="J223" s="283"/>
      <c r="K223" s="276"/>
      <c r="L223" s="417" t="str">
        <f t="shared" si="1"/>
        <v/>
      </c>
      <c r="M223" s="425"/>
      <c r="N223" s="426"/>
      <c r="O223" s="427"/>
      <c r="P223" s="425"/>
      <c r="Q223" s="425"/>
      <c r="R223" s="425"/>
      <c r="S223" s="421"/>
      <c r="T223" s="421"/>
      <c r="U223" s="421"/>
      <c r="V223" s="421"/>
      <c r="W223" s="421"/>
      <c r="X223" s="425"/>
      <c r="Y223" s="421"/>
      <c r="Z223" s="421"/>
      <c r="AA223" s="421"/>
      <c r="AB223" s="421"/>
      <c r="AC223" s="421"/>
      <c r="AD223" s="421"/>
      <c r="AE223" s="421"/>
      <c r="AF223" s="421"/>
      <c r="AG223" s="421"/>
      <c r="AH223" s="421"/>
      <c r="AI223" s="421"/>
      <c r="AJ223" s="421"/>
      <c r="AK223" s="421"/>
      <c r="AL223" s="421"/>
      <c r="AM223" s="421"/>
      <c r="AN223" s="421"/>
      <c r="AO223" s="421"/>
      <c r="AP223" s="421"/>
      <c r="AQ223" s="421"/>
      <c r="AR223" s="421"/>
      <c r="AS223" s="421"/>
      <c r="AT223" s="421"/>
      <c r="AU223" s="421"/>
      <c r="AV223" s="421"/>
      <c r="AW223" s="421"/>
      <c r="AX223" s="421"/>
      <c r="AY223" s="421"/>
      <c r="AZ223" s="421"/>
      <c r="BA223" s="421"/>
    </row>
    <row r="224">
      <c r="A224" s="421"/>
      <c r="B224" s="421"/>
      <c r="C224" s="268"/>
      <c r="D224" s="431"/>
      <c r="E224" s="276"/>
      <c r="F224" s="265"/>
      <c r="G224" s="265"/>
      <c r="H224" s="432"/>
      <c r="I224" s="432"/>
      <c r="J224" s="283"/>
      <c r="K224" s="276"/>
      <c r="L224" s="417" t="str">
        <f t="shared" si="1"/>
        <v/>
      </c>
      <c r="M224" s="425"/>
      <c r="N224" s="426"/>
      <c r="O224" s="427"/>
      <c r="P224" s="425"/>
      <c r="Q224" s="425"/>
      <c r="R224" s="425"/>
      <c r="S224" s="421"/>
      <c r="T224" s="421"/>
      <c r="U224" s="421"/>
      <c r="V224" s="421"/>
      <c r="W224" s="421"/>
      <c r="X224" s="425"/>
      <c r="Y224" s="421"/>
      <c r="Z224" s="421"/>
      <c r="AA224" s="421"/>
      <c r="AB224" s="421"/>
      <c r="AC224" s="421"/>
      <c r="AD224" s="421"/>
      <c r="AE224" s="421"/>
      <c r="AF224" s="421"/>
      <c r="AG224" s="421"/>
      <c r="AH224" s="421"/>
      <c r="AI224" s="421"/>
      <c r="AJ224" s="421"/>
      <c r="AK224" s="421"/>
      <c r="AL224" s="421"/>
      <c r="AM224" s="421"/>
      <c r="AN224" s="421"/>
      <c r="AO224" s="421"/>
      <c r="AP224" s="421"/>
      <c r="AQ224" s="421"/>
      <c r="AR224" s="421"/>
      <c r="AS224" s="421"/>
      <c r="AT224" s="421"/>
      <c r="AU224" s="421"/>
      <c r="AV224" s="421"/>
      <c r="AW224" s="421"/>
      <c r="AX224" s="421"/>
      <c r="AY224" s="421"/>
      <c r="AZ224" s="421"/>
      <c r="BA224" s="421"/>
    </row>
    <row r="225">
      <c r="A225" s="421"/>
      <c r="B225" s="421"/>
      <c r="C225" s="268"/>
      <c r="D225" s="431"/>
      <c r="E225" s="276"/>
      <c r="F225" s="265"/>
      <c r="G225" s="265"/>
      <c r="H225" s="432"/>
      <c r="I225" s="432"/>
      <c r="J225" s="283"/>
      <c r="K225" s="276"/>
      <c r="L225" s="417" t="str">
        <f t="shared" si="1"/>
        <v/>
      </c>
      <c r="M225" s="425"/>
      <c r="N225" s="426"/>
      <c r="O225" s="427"/>
      <c r="P225" s="425"/>
      <c r="Q225" s="425"/>
      <c r="R225" s="425"/>
      <c r="S225" s="421"/>
      <c r="T225" s="421"/>
      <c r="U225" s="421"/>
      <c r="V225" s="421"/>
      <c r="W225" s="421"/>
      <c r="X225" s="425"/>
      <c r="Y225" s="421"/>
      <c r="Z225" s="421"/>
      <c r="AA225" s="421"/>
      <c r="AB225" s="421"/>
      <c r="AC225" s="421"/>
      <c r="AD225" s="421"/>
      <c r="AE225" s="421"/>
      <c r="AF225" s="421"/>
      <c r="AG225" s="421"/>
      <c r="AH225" s="421"/>
      <c r="AI225" s="421"/>
      <c r="AJ225" s="421"/>
      <c r="AK225" s="421"/>
      <c r="AL225" s="421"/>
      <c r="AM225" s="421"/>
      <c r="AN225" s="421"/>
      <c r="AO225" s="421"/>
      <c r="AP225" s="421"/>
      <c r="AQ225" s="421"/>
      <c r="AR225" s="421"/>
      <c r="AS225" s="421"/>
      <c r="AT225" s="421"/>
      <c r="AU225" s="421"/>
      <c r="AV225" s="421"/>
      <c r="AW225" s="421"/>
      <c r="AX225" s="421"/>
      <c r="AY225" s="421"/>
      <c r="AZ225" s="421"/>
      <c r="BA225" s="421"/>
    </row>
    <row r="226">
      <c r="A226" s="421"/>
      <c r="B226" s="421"/>
      <c r="C226" s="268"/>
      <c r="D226" s="431"/>
      <c r="E226" s="276"/>
      <c r="F226" s="265"/>
      <c r="G226" s="265"/>
      <c r="H226" s="432"/>
      <c r="I226" s="432"/>
      <c r="J226" s="283"/>
      <c r="K226" s="276"/>
      <c r="L226" s="417" t="str">
        <f t="shared" si="1"/>
        <v/>
      </c>
      <c r="M226" s="425"/>
      <c r="N226" s="426"/>
      <c r="O226" s="427"/>
      <c r="P226" s="425"/>
      <c r="Q226" s="425"/>
      <c r="R226" s="425"/>
      <c r="S226" s="421"/>
      <c r="T226" s="421"/>
      <c r="U226" s="421"/>
      <c r="V226" s="421"/>
      <c r="W226" s="421"/>
      <c r="X226" s="425"/>
      <c r="Y226" s="421"/>
      <c r="Z226" s="421"/>
      <c r="AA226" s="421"/>
      <c r="AB226" s="421"/>
      <c r="AC226" s="421"/>
      <c r="AD226" s="421"/>
      <c r="AE226" s="421"/>
      <c r="AF226" s="421"/>
      <c r="AG226" s="421"/>
      <c r="AH226" s="421"/>
      <c r="AI226" s="421"/>
      <c r="AJ226" s="421"/>
      <c r="AK226" s="421"/>
      <c r="AL226" s="421"/>
      <c r="AM226" s="421"/>
      <c r="AN226" s="421"/>
      <c r="AO226" s="421"/>
      <c r="AP226" s="421"/>
      <c r="AQ226" s="421"/>
      <c r="AR226" s="421"/>
      <c r="AS226" s="421"/>
      <c r="AT226" s="421"/>
      <c r="AU226" s="421"/>
      <c r="AV226" s="421"/>
      <c r="AW226" s="421"/>
      <c r="AX226" s="421"/>
      <c r="AY226" s="421"/>
      <c r="AZ226" s="421"/>
      <c r="BA226" s="421"/>
    </row>
    <row r="227">
      <c r="A227" s="421"/>
      <c r="B227" s="421"/>
      <c r="C227" s="268"/>
      <c r="D227" s="431"/>
      <c r="E227" s="276"/>
      <c r="F227" s="265"/>
      <c r="G227" s="265"/>
      <c r="H227" s="432"/>
      <c r="I227" s="432"/>
      <c r="J227" s="283"/>
      <c r="K227" s="276"/>
      <c r="L227" s="417" t="str">
        <f t="shared" si="1"/>
        <v/>
      </c>
      <c r="M227" s="425"/>
      <c r="N227" s="426"/>
      <c r="O227" s="427"/>
      <c r="P227" s="425"/>
      <c r="Q227" s="425"/>
      <c r="R227" s="425"/>
      <c r="S227" s="421"/>
      <c r="T227" s="421"/>
      <c r="U227" s="421"/>
      <c r="V227" s="421"/>
      <c r="W227" s="421"/>
      <c r="X227" s="425"/>
      <c r="Y227" s="421"/>
      <c r="Z227" s="421"/>
      <c r="AA227" s="421"/>
      <c r="AB227" s="421"/>
      <c r="AC227" s="421"/>
      <c r="AD227" s="421"/>
      <c r="AE227" s="421"/>
      <c r="AF227" s="421"/>
      <c r="AG227" s="421"/>
      <c r="AH227" s="421"/>
      <c r="AI227" s="421"/>
      <c r="AJ227" s="421"/>
      <c r="AK227" s="421"/>
      <c r="AL227" s="421"/>
      <c r="AM227" s="421"/>
      <c r="AN227" s="421"/>
      <c r="AO227" s="421"/>
      <c r="AP227" s="421"/>
      <c r="AQ227" s="421"/>
      <c r="AR227" s="421"/>
      <c r="AS227" s="421"/>
      <c r="AT227" s="421"/>
      <c r="AU227" s="421"/>
      <c r="AV227" s="421"/>
      <c r="AW227" s="421"/>
      <c r="AX227" s="421"/>
      <c r="AY227" s="421"/>
      <c r="AZ227" s="421"/>
      <c r="BA227" s="421"/>
    </row>
    <row r="228">
      <c r="A228" s="421"/>
      <c r="B228" s="421"/>
      <c r="C228" s="268"/>
      <c r="D228" s="431"/>
      <c r="E228" s="276"/>
      <c r="F228" s="265"/>
      <c r="G228" s="265"/>
      <c r="H228" s="432"/>
      <c r="I228" s="432"/>
      <c r="J228" s="283"/>
      <c r="K228" s="276"/>
      <c r="L228" s="417" t="str">
        <f t="shared" si="1"/>
        <v/>
      </c>
      <c r="M228" s="425"/>
      <c r="N228" s="426"/>
      <c r="O228" s="427"/>
      <c r="P228" s="425"/>
      <c r="Q228" s="425"/>
      <c r="R228" s="425"/>
      <c r="S228" s="421"/>
      <c r="T228" s="421"/>
      <c r="U228" s="421"/>
      <c r="V228" s="421"/>
      <c r="W228" s="421"/>
      <c r="X228" s="425"/>
      <c r="Y228" s="421"/>
      <c r="Z228" s="421"/>
      <c r="AA228" s="421"/>
      <c r="AB228" s="421"/>
      <c r="AC228" s="421"/>
      <c r="AD228" s="421"/>
      <c r="AE228" s="421"/>
      <c r="AF228" s="421"/>
      <c r="AG228" s="421"/>
      <c r="AH228" s="421"/>
      <c r="AI228" s="421"/>
      <c r="AJ228" s="421"/>
      <c r="AK228" s="421"/>
      <c r="AL228" s="421"/>
      <c r="AM228" s="421"/>
      <c r="AN228" s="421"/>
      <c r="AO228" s="421"/>
      <c r="AP228" s="421"/>
      <c r="AQ228" s="421"/>
      <c r="AR228" s="421"/>
      <c r="AS228" s="421"/>
      <c r="AT228" s="421"/>
      <c r="AU228" s="421"/>
      <c r="AV228" s="421"/>
      <c r="AW228" s="421"/>
      <c r="AX228" s="421"/>
      <c r="AY228" s="421"/>
      <c r="AZ228" s="421"/>
      <c r="BA228" s="421"/>
    </row>
    <row r="229">
      <c r="A229" s="421"/>
      <c r="B229" s="421"/>
      <c r="C229" s="268"/>
      <c r="D229" s="431"/>
      <c r="E229" s="276"/>
      <c r="F229" s="265"/>
      <c r="G229" s="265"/>
      <c r="H229" s="432"/>
      <c r="I229" s="432"/>
      <c r="J229" s="283"/>
      <c r="K229" s="276"/>
      <c r="L229" s="417" t="str">
        <f t="shared" si="1"/>
        <v/>
      </c>
      <c r="M229" s="425"/>
      <c r="N229" s="426"/>
      <c r="O229" s="427"/>
      <c r="P229" s="425"/>
      <c r="Q229" s="425"/>
      <c r="R229" s="425"/>
      <c r="S229" s="421"/>
      <c r="T229" s="421"/>
      <c r="U229" s="421"/>
      <c r="V229" s="421"/>
      <c r="W229" s="421"/>
      <c r="X229" s="425"/>
      <c r="Y229" s="421"/>
      <c r="Z229" s="421"/>
      <c r="AA229" s="421"/>
      <c r="AB229" s="421"/>
      <c r="AC229" s="421"/>
      <c r="AD229" s="421"/>
      <c r="AE229" s="421"/>
      <c r="AF229" s="421"/>
      <c r="AG229" s="421"/>
      <c r="AH229" s="421"/>
      <c r="AI229" s="421"/>
      <c r="AJ229" s="421"/>
      <c r="AK229" s="421"/>
      <c r="AL229" s="421"/>
      <c r="AM229" s="421"/>
      <c r="AN229" s="421"/>
      <c r="AO229" s="421"/>
      <c r="AP229" s="421"/>
      <c r="AQ229" s="421"/>
      <c r="AR229" s="421"/>
      <c r="AS229" s="421"/>
      <c r="AT229" s="421"/>
      <c r="AU229" s="421"/>
      <c r="AV229" s="421"/>
      <c r="AW229" s="421"/>
      <c r="AX229" s="421"/>
      <c r="AY229" s="421"/>
      <c r="AZ229" s="421"/>
      <c r="BA229" s="421"/>
    </row>
    <row r="230">
      <c r="A230" s="421"/>
      <c r="B230" s="421"/>
      <c r="C230" s="268"/>
      <c r="D230" s="431"/>
      <c r="E230" s="276"/>
      <c r="F230" s="265"/>
      <c r="G230" s="265"/>
      <c r="H230" s="432"/>
      <c r="I230" s="432"/>
      <c r="J230" s="283"/>
      <c r="K230" s="276"/>
      <c r="L230" s="417" t="str">
        <f t="shared" si="1"/>
        <v/>
      </c>
      <c r="M230" s="425"/>
      <c r="N230" s="426"/>
      <c r="O230" s="427"/>
      <c r="P230" s="425"/>
      <c r="Q230" s="425"/>
      <c r="R230" s="425"/>
      <c r="S230" s="421"/>
      <c r="T230" s="421"/>
      <c r="U230" s="421"/>
      <c r="V230" s="421"/>
      <c r="W230" s="421"/>
      <c r="X230" s="425"/>
      <c r="Y230" s="421"/>
      <c r="Z230" s="421"/>
      <c r="AA230" s="421"/>
      <c r="AB230" s="421"/>
      <c r="AC230" s="421"/>
      <c r="AD230" s="421"/>
      <c r="AE230" s="421"/>
      <c r="AF230" s="421"/>
      <c r="AG230" s="421"/>
      <c r="AH230" s="421"/>
      <c r="AI230" s="421"/>
      <c r="AJ230" s="421"/>
      <c r="AK230" s="421"/>
      <c r="AL230" s="421"/>
      <c r="AM230" s="421"/>
      <c r="AN230" s="421"/>
      <c r="AO230" s="421"/>
      <c r="AP230" s="421"/>
      <c r="AQ230" s="421"/>
      <c r="AR230" s="421"/>
      <c r="AS230" s="421"/>
      <c r="AT230" s="421"/>
      <c r="AU230" s="421"/>
      <c r="AV230" s="421"/>
      <c r="AW230" s="421"/>
      <c r="AX230" s="421"/>
      <c r="AY230" s="421"/>
      <c r="AZ230" s="421"/>
      <c r="BA230" s="421"/>
    </row>
    <row r="231">
      <c r="A231" s="421"/>
      <c r="B231" s="421"/>
      <c r="C231" s="268"/>
      <c r="D231" s="431"/>
      <c r="E231" s="276"/>
      <c r="F231" s="265"/>
      <c r="G231" s="265"/>
      <c r="H231" s="432"/>
      <c r="I231" s="432"/>
      <c r="J231" s="283"/>
      <c r="K231" s="276"/>
      <c r="L231" s="417" t="str">
        <f t="shared" si="1"/>
        <v/>
      </c>
      <c r="M231" s="425"/>
      <c r="N231" s="426"/>
      <c r="O231" s="427"/>
      <c r="P231" s="425"/>
      <c r="Q231" s="425"/>
      <c r="R231" s="425"/>
      <c r="S231" s="421"/>
      <c r="T231" s="421"/>
      <c r="U231" s="421"/>
      <c r="V231" s="421"/>
      <c r="W231" s="421"/>
      <c r="X231" s="425"/>
      <c r="Y231" s="421"/>
      <c r="Z231" s="421"/>
      <c r="AA231" s="421"/>
      <c r="AB231" s="421"/>
      <c r="AC231" s="421"/>
      <c r="AD231" s="421"/>
      <c r="AE231" s="421"/>
      <c r="AF231" s="421"/>
      <c r="AG231" s="421"/>
      <c r="AH231" s="421"/>
      <c r="AI231" s="421"/>
      <c r="AJ231" s="421"/>
      <c r="AK231" s="421"/>
      <c r="AL231" s="421"/>
      <c r="AM231" s="421"/>
      <c r="AN231" s="421"/>
      <c r="AO231" s="421"/>
      <c r="AP231" s="421"/>
      <c r="AQ231" s="421"/>
      <c r="AR231" s="421"/>
      <c r="AS231" s="421"/>
      <c r="AT231" s="421"/>
      <c r="AU231" s="421"/>
      <c r="AV231" s="421"/>
      <c r="AW231" s="421"/>
      <c r="AX231" s="421"/>
      <c r="AY231" s="421"/>
      <c r="AZ231" s="421"/>
      <c r="BA231" s="421"/>
    </row>
    <row r="232">
      <c r="A232" s="421"/>
      <c r="B232" s="421"/>
      <c r="C232" s="268"/>
      <c r="D232" s="431"/>
      <c r="E232" s="276"/>
      <c r="F232" s="265"/>
      <c r="G232" s="265"/>
      <c r="H232" s="432"/>
      <c r="I232" s="432"/>
      <c r="J232" s="283"/>
      <c r="K232" s="276"/>
      <c r="L232" s="417" t="str">
        <f t="shared" si="1"/>
        <v/>
      </c>
      <c r="M232" s="425"/>
      <c r="N232" s="426"/>
      <c r="O232" s="427"/>
      <c r="P232" s="425"/>
      <c r="Q232" s="425"/>
      <c r="R232" s="425"/>
      <c r="S232" s="421"/>
      <c r="T232" s="421"/>
      <c r="U232" s="421"/>
      <c r="V232" s="421"/>
      <c r="W232" s="421"/>
      <c r="X232" s="425"/>
      <c r="Y232" s="421"/>
      <c r="Z232" s="421"/>
      <c r="AA232" s="421"/>
      <c r="AB232" s="421"/>
      <c r="AC232" s="421"/>
      <c r="AD232" s="421"/>
      <c r="AE232" s="421"/>
      <c r="AF232" s="421"/>
      <c r="AG232" s="421"/>
      <c r="AH232" s="421"/>
      <c r="AI232" s="421"/>
      <c r="AJ232" s="421"/>
      <c r="AK232" s="421"/>
      <c r="AL232" s="421"/>
      <c r="AM232" s="421"/>
      <c r="AN232" s="421"/>
      <c r="AO232" s="421"/>
      <c r="AP232" s="421"/>
      <c r="AQ232" s="421"/>
      <c r="AR232" s="421"/>
      <c r="AS232" s="421"/>
      <c r="AT232" s="421"/>
      <c r="AU232" s="421"/>
      <c r="AV232" s="421"/>
      <c r="AW232" s="421"/>
      <c r="AX232" s="421"/>
      <c r="AY232" s="421"/>
      <c r="AZ232" s="421"/>
      <c r="BA232" s="421"/>
    </row>
    <row r="233">
      <c r="A233" s="421"/>
      <c r="B233" s="421"/>
      <c r="C233" s="268"/>
      <c r="D233" s="431"/>
      <c r="E233" s="276"/>
      <c r="F233" s="265"/>
      <c r="G233" s="265"/>
      <c r="H233" s="432"/>
      <c r="I233" s="432"/>
      <c r="J233" s="283"/>
      <c r="K233" s="276"/>
      <c r="L233" s="417" t="str">
        <f t="shared" si="1"/>
        <v/>
      </c>
      <c r="M233" s="425"/>
      <c r="N233" s="426"/>
      <c r="O233" s="427"/>
      <c r="P233" s="425"/>
      <c r="Q233" s="425"/>
      <c r="R233" s="425"/>
      <c r="S233" s="421"/>
      <c r="T233" s="421"/>
      <c r="U233" s="421"/>
      <c r="V233" s="421"/>
      <c r="W233" s="421"/>
      <c r="X233" s="425"/>
      <c r="Y233" s="421"/>
      <c r="Z233" s="421"/>
      <c r="AA233" s="421"/>
      <c r="AB233" s="421"/>
      <c r="AC233" s="421"/>
      <c r="AD233" s="421"/>
      <c r="AE233" s="421"/>
      <c r="AF233" s="421"/>
      <c r="AG233" s="421"/>
      <c r="AH233" s="421"/>
      <c r="AI233" s="421"/>
      <c r="AJ233" s="421"/>
      <c r="AK233" s="421"/>
      <c r="AL233" s="421"/>
      <c r="AM233" s="421"/>
      <c r="AN233" s="421"/>
      <c r="AO233" s="421"/>
      <c r="AP233" s="421"/>
      <c r="AQ233" s="421"/>
      <c r="AR233" s="421"/>
      <c r="AS233" s="421"/>
      <c r="AT233" s="421"/>
      <c r="AU233" s="421"/>
      <c r="AV233" s="421"/>
      <c r="AW233" s="421"/>
      <c r="AX233" s="421"/>
      <c r="AY233" s="421"/>
      <c r="AZ233" s="421"/>
      <c r="BA233" s="421"/>
    </row>
    <row r="234">
      <c r="A234" s="421"/>
      <c r="B234" s="421"/>
      <c r="C234" s="268"/>
      <c r="D234" s="431"/>
      <c r="E234" s="276"/>
      <c r="F234" s="265"/>
      <c r="G234" s="265"/>
      <c r="H234" s="432"/>
      <c r="I234" s="432"/>
      <c r="J234" s="283"/>
      <c r="K234" s="276"/>
      <c r="L234" s="417" t="str">
        <f t="shared" si="1"/>
        <v/>
      </c>
      <c r="M234" s="425"/>
      <c r="N234" s="426"/>
      <c r="O234" s="427"/>
      <c r="P234" s="425"/>
      <c r="Q234" s="425"/>
      <c r="R234" s="425"/>
      <c r="S234" s="421"/>
      <c r="T234" s="421"/>
      <c r="U234" s="421"/>
      <c r="V234" s="421"/>
      <c r="W234" s="421"/>
      <c r="X234" s="425"/>
      <c r="Y234" s="421"/>
      <c r="Z234" s="421"/>
      <c r="AA234" s="421"/>
      <c r="AB234" s="421"/>
      <c r="AC234" s="421"/>
      <c r="AD234" s="421"/>
      <c r="AE234" s="421"/>
      <c r="AF234" s="421"/>
      <c r="AG234" s="421"/>
      <c r="AH234" s="421"/>
      <c r="AI234" s="421"/>
      <c r="AJ234" s="421"/>
      <c r="AK234" s="421"/>
      <c r="AL234" s="421"/>
      <c r="AM234" s="421"/>
      <c r="AN234" s="421"/>
      <c r="AO234" s="421"/>
      <c r="AP234" s="421"/>
      <c r="AQ234" s="421"/>
      <c r="AR234" s="421"/>
      <c r="AS234" s="421"/>
      <c r="AT234" s="421"/>
      <c r="AU234" s="421"/>
      <c r="AV234" s="421"/>
      <c r="AW234" s="421"/>
      <c r="AX234" s="421"/>
      <c r="AY234" s="421"/>
      <c r="AZ234" s="421"/>
      <c r="BA234" s="421"/>
    </row>
    <row r="235">
      <c r="A235" s="421"/>
      <c r="B235" s="421"/>
      <c r="C235" s="268"/>
      <c r="D235" s="431"/>
      <c r="E235" s="276"/>
      <c r="F235" s="265"/>
      <c r="G235" s="265"/>
      <c r="H235" s="432"/>
      <c r="I235" s="432"/>
      <c r="J235" s="283"/>
      <c r="K235" s="276"/>
      <c r="L235" s="417" t="str">
        <f t="shared" si="1"/>
        <v/>
      </c>
      <c r="M235" s="425"/>
      <c r="N235" s="426"/>
      <c r="O235" s="427"/>
      <c r="P235" s="425"/>
      <c r="Q235" s="425"/>
      <c r="R235" s="425"/>
      <c r="S235" s="421"/>
      <c r="T235" s="421"/>
      <c r="U235" s="421"/>
      <c r="V235" s="421"/>
      <c r="W235" s="421"/>
      <c r="X235" s="425"/>
      <c r="Y235" s="421"/>
      <c r="Z235" s="421"/>
      <c r="AA235" s="421"/>
      <c r="AB235" s="421"/>
      <c r="AC235" s="421"/>
      <c r="AD235" s="421"/>
      <c r="AE235" s="421"/>
      <c r="AF235" s="421"/>
      <c r="AG235" s="421"/>
      <c r="AH235" s="421"/>
      <c r="AI235" s="421"/>
      <c r="AJ235" s="421"/>
      <c r="AK235" s="421"/>
      <c r="AL235" s="421"/>
      <c r="AM235" s="421"/>
      <c r="AN235" s="421"/>
      <c r="AO235" s="421"/>
      <c r="AP235" s="421"/>
      <c r="AQ235" s="421"/>
      <c r="AR235" s="421"/>
      <c r="AS235" s="421"/>
      <c r="AT235" s="421"/>
      <c r="AU235" s="421"/>
      <c r="AV235" s="421"/>
      <c r="AW235" s="421"/>
      <c r="AX235" s="421"/>
      <c r="AY235" s="421"/>
      <c r="AZ235" s="421"/>
      <c r="BA235" s="421"/>
    </row>
    <row r="236">
      <c r="A236" s="421"/>
      <c r="B236" s="421"/>
      <c r="C236" s="268"/>
      <c r="D236" s="431"/>
      <c r="E236" s="276"/>
      <c r="F236" s="265"/>
      <c r="G236" s="265"/>
      <c r="H236" s="432"/>
      <c r="I236" s="432"/>
      <c r="J236" s="283"/>
      <c r="K236" s="276"/>
      <c r="L236" s="417" t="str">
        <f t="shared" si="1"/>
        <v/>
      </c>
      <c r="M236" s="425"/>
      <c r="N236" s="426"/>
      <c r="O236" s="427"/>
      <c r="P236" s="425"/>
      <c r="Q236" s="425"/>
      <c r="R236" s="425"/>
      <c r="S236" s="421"/>
      <c r="T236" s="421"/>
      <c r="U236" s="421"/>
      <c r="V236" s="421"/>
      <c r="W236" s="421"/>
      <c r="X236" s="425"/>
      <c r="Y236" s="421"/>
      <c r="Z236" s="421"/>
      <c r="AA236" s="421"/>
      <c r="AB236" s="421"/>
      <c r="AC236" s="421"/>
      <c r="AD236" s="421"/>
      <c r="AE236" s="421"/>
      <c r="AF236" s="421"/>
      <c r="AG236" s="421"/>
      <c r="AH236" s="421"/>
      <c r="AI236" s="421"/>
      <c r="AJ236" s="421"/>
      <c r="AK236" s="421"/>
      <c r="AL236" s="421"/>
      <c r="AM236" s="421"/>
      <c r="AN236" s="421"/>
      <c r="AO236" s="421"/>
      <c r="AP236" s="421"/>
      <c r="AQ236" s="421"/>
      <c r="AR236" s="421"/>
      <c r="AS236" s="421"/>
      <c r="AT236" s="421"/>
      <c r="AU236" s="421"/>
      <c r="AV236" s="421"/>
      <c r="AW236" s="421"/>
      <c r="AX236" s="421"/>
      <c r="AY236" s="421"/>
      <c r="AZ236" s="421"/>
      <c r="BA236" s="421"/>
    </row>
    <row r="237">
      <c r="A237" s="421"/>
      <c r="B237" s="421"/>
      <c r="C237" s="268"/>
      <c r="D237" s="431"/>
      <c r="E237" s="276"/>
      <c r="F237" s="265"/>
      <c r="G237" s="265"/>
      <c r="H237" s="432"/>
      <c r="I237" s="432"/>
      <c r="J237" s="283"/>
      <c r="K237" s="276"/>
      <c r="L237" s="417" t="str">
        <f t="shared" si="1"/>
        <v/>
      </c>
      <c r="M237" s="425"/>
      <c r="N237" s="426"/>
      <c r="O237" s="427"/>
      <c r="P237" s="425"/>
      <c r="Q237" s="425"/>
      <c r="R237" s="425"/>
      <c r="S237" s="421"/>
      <c r="T237" s="421"/>
      <c r="U237" s="421"/>
      <c r="V237" s="421"/>
      <c r="W237" s="421"/>
      <c r="X237" s="425"/>
      <c r="Y237" s="421"/>
      <c r="Z237" s="421"/>
      <c r="AA237" s="421"/>
      <c r="AB237" s="421"/>
      <c r="AC237" s="421"/>
      <c r="AD237" s="421"/>
      <c r="AE237" s="421"/>
      <c r="AF237" s="421"/>
      <c r="AG237" s="421"/>
      <c r="AH237" s="421"/>
      <c r="AI237" s="421"/>
      <c r="AJ237" s="421"/>
      <c r="AK237" s="421"/>
      <c r="AL237" s="421"/>
      <c r="AM237" s="421"/>
      <c r="AN237" s="421"/>
      <c r="AO237" s="421"/>
      <c r="AP237" s="421"/>
      <c r="AQ237" s="421"/>
      <c r="AR237" s="421"/>
      <c r="AS237" s="421"/>
      <c r="AT237" s="421"/>
      <c r="AU237" s="421"/>
      <c r="AV237" s="421"/>
      <c r="AW237" s="421"/>
      <c r="AX237" s="421"/>
      <c r="AY237" s="421"/>
      <c r="AZ237" s="421"/>
      <c r="BA237" s="421"/>
    </row>
    <row r="238">
      <c r="A238" s="421"/>
      <c r="B238" s="421"/>
      <c r="C238" s="268"/>
      <c r="D238" s="431"/>
      <c r="E238" s="276"/>
      <c r="F238" s="265"/>
      <c r="G238" s="265"/>
      <c r="H238" s="432"/>
      <c r="I238" s="432"/>
      <c r="J238" s="283"/>
      <c r="K238" s="276"/>
      <c r="L238" s="417" t="str">
        <f t="shared" si="1"/>
        <v/>
      </c>
      <c r="M238" s="425"/>
      <c r="N238" s="426"/>
      <c r="O238" s="427"/>
      <c r="P238" s="425"/>
      <c r="Q238" s="425"/>
      <c r="R238" s="425"/>
      <c r="S238" s="421"/>
      <c r="T238" s="421"/>
      <c r="U238" s="421"/>
      <c r="V238" s="421"/>
      <c r="W238" s="421"/>
      <c r="X238" s="425"/>
      <c r="Y238" s="421"/>
      <c r="Z238" s="421"/>
      <c r="AA238" s="421"/>
      <c r="AB238" s="421"/>
      <c r="AC238" s="421"/>
      <c r="AD238" s="421"/>
      <c r="AE238" s="421"/>
      <c r="AF238" s="421"/>
      <c r="AG238" s="421"/>
      <c r="AH238" s="421"/>
      <c r="AI238" s="421"/>
      <c r="AJ238" s="421"/>
      <c r="AK238" s="421"/>
      <c r="AL238" s="421"/>
      <c r="AM238" s="421"/>
      <c r="AN238" s="421"/>
      <c r="AO238" s="421"/>
      <c r="AP238" s="421"/>
      <c r="AQ238" s="421"/>
      <c r="AR238" s="421"/>
      <c r="AS238" s="421"/>
      <c r="AT238" s="421"/>
      <c r="AU238" s="421"/>
      <c r="AV238" s="421"/>
      <c r="AW238" s="421"/>
      <c r="AX238" s="421"/>
      <c r="AY238" s="421"/>
      <c r="AZ238" s="421"/>
      <c r="BA238" s="421"/>
    </row>
    <row r="239">
      <c r="A239" s="421"/>
      <c r="B239" s="421"/>
      <c r="C239" s="268"/>
      <c r="D239" s="431"/>
      <c r="E239" s="276"/>
      <c r="F239" s="265"/>
      <c r="G239" s="265"/>
      <c r="H239" s="432"/>
      <c r="I239" s="432"/>
      <c r="J239" s="283"/>
      <c r="K239" s="276"/>
      <c r="L239" s="417" t="str">
        <f t="shared" si="1"/>
        <v/>
      </c>
      <c r="M239" s="425"/>
      <c r="N239" s="426"/>
      <c r="O239" s="427"/>
      <c r="P239" s="425"/>
      <c r="Q239" s="425"/>
      <c r="R239" s="425"/>
      <c r="S239" s="421"/>
      <c r="T239" s="421"/>
      <c r="U239" s="421"/>
      <c r="V239" s="421"/>
      <c r="W239" s="421"/>
      <c r="X239" s="425"/>
      <c r="Y239" s="421"/>
      <c r="Z239" s="421"/>
      <c r="AA239" s="421"/>
      <c r="AB239" s="421"/>
      <c r="AC239" s="421"/>
      <c r="AD239" s="421"/>
      <c r="AE239" s="421"/>
      <c r="AF239" s="421"/>
      <c r="AG239" s="421"/>
      <c r="AH239" s="421"/>
      <c r="AI239" s="421"/>
      <c r="AJ239" s="421"/>
      <c r="AK239" s="421"/>
      <c r="AL239" s="421"/>
      <c r="AM239" s="421"/>
      <c r="AN239" s="421"/>
      <c r="AO239" s="421"/>
      <c r="AP239" s="421"/>
      <c r="AQ239" s="421"/>
      <c r="AR239" s="421"/>
      <c r="AS239" s="421"/>
      <c r="AT239" s="421"/>
      <c r="AU239" s="421"/>
      <c r="AV239" s="421"/>
      <c r="AW239" s="421"/>
      <c r="AX239" s="421"/>
      <c r="AY239" s="421"/>
      <c r="AZ239" s="421"/>
      <c r="BA239" s="421"/>
    </row>
    <row r="240">
      <c r="A240" s="421"/>
      <c r="B240" s="421"/>
      <c r="C240" s="268"/>
      <c r="D240" s="431"/>
      <c r="E240" s="276"/>
      <c r="F240" s="265"/>
      <c r="G240" s="265"/>
      <c r="H240" s="432"/>
      <c r="I240" s="432"/>
      <c r="J240" s="283"/>
      <c r="K240" s="276"/>
      <c r="L240" s="417" t="str">
        <f t="shared" si="1"/>
        <v/>
      </c>
      <c r="M240" s="425"/>
      <c r="N240" s="426"/>
      <c r="O240" s="427"/>
      <c r="P240" s="425"/>
      <c r="Q240" s="425"/>
      <c r="R240" s="425"/>
      <c r="S240" s="421"/>
      <c r="T240" s="421"/>
      <c r="U240" s="421"/>
      <c r="V240" s="421"/>
      <c r="W240" s="421"/>
      <c r="X240" s="425"/>
      <c r="Y240" s="421"/>
      <c r="Z240" s="421"/>
      <c r="AA240" s="421"/>
      <c r="AB240" s="421"/>
      <c r="AC240" s="421"/>
      <c r="AD240" s="421"/>
      <c r="AE240" s="421"/>
      <c r="AF240" s="421"/>
      <c r="AG240" s="421"/>
      <c r="AH240" s="421"/>
      <c r="AI240" s="421"/>
      <c r="AJ240" s="421"/>
      <c r="AK240" s="421"/>
      <c r="AL240" s="421"/>
      <c r="AM240" s="421"/>
      <c r="AN240" s="421"/>
      <c r="AO240" s="421"/>
      <c r="AP240" s="421"/>
      <c r="AQ240" s="421"/>
      <c r="AR240" s="421"/>
      <c r="AS240" s="421"/>
      <c r="AT240" s="421"/>
      <c r="AU240" s="421"/>
      <c r="AV240" s="421"/>
      <c r="AW240" s="421"/>
      <c r="AX240" s="421"/>
      <c r="AY240" s="421"/>
      <c r="AZ240" s="421"/>
      <c r="BA240" s="421"/>
    </row>
    <row r="241">
      <c r="A241" s="421"/>
      <c r="B241" s="421"/>
      <c r="C241" s="268"/>
      <c r="D241" s="431"/>
      <c r="E241" s="276"/>
      <c r="F241" s="265"/>
      <c r="G241" s="265"/>
      <c r="H241" s="432"/>
      <c r="I241" s="432"/>
      <c r="J241" s="283"/>
      <c r="K241" s="276"/>
      <c r="L241" s="417" t="str">
        <f t="shared" si="1"/>
        <v/>
      </c>
      <c r="M241" s="425"/>
      <c r="N241" s="426"/>
      <c r="O241" s="427"/>
      <c r="P241" s="425"/>
      <c r="Q241" s="425"/>
      <c r="R241" s="425"/>
      <c r="S241" s="421"/>
      <c r="T241" s="421"/>
      <c r="U241" s="421"/>
      <c r="V241" s="421"/>
      <c r="W241" s="421"/>
      <c r="X241" s="425"/>
      <c r="Y241" s="421"/>
      <c r="Z241" s="421"/>
      <c r="AA241" s="421"/>
      <c r="AB241" s="421"/>
      <c r="AC241" s="421"/>
      <c r="AD241" s="421"/>
      <c r="AE241" s="421"/>
      <c r="AF241" s="421"/>
      <c r="AG241" s="421"/>
      <c r="AH241" s="421"/>
      <c r="AI241" s="421"/>
      <c r="AJ241" s="421"/>
      <c r="AK241" s="421"/>
      <c r="AL241" s="421"/>
      <c r="AM241" s="421"/>
      <c r="AN241" s="421"/>
      <c r="AO241" s="421"/>
      <c r="AP241" s="421"/>
      <c r="AQ241" s="421"/>
      <c r="AR241" s="421"/>
      <c r="AS241" s="421"/>
      <c r="AT241" s="421"/>
      <c r="AU241" s="421"/>
      <c r="AV241" s="421"/>
      <c r="AW241" s="421"/>
      <c r="AX241" s="421"/>
      <c r="AY241" s="421"/>
      <c r="AZ241" s="421"/>
      <c r="BA241" s="421"/>
    </row>
    <row r="242">
      <c r="A242" s="421"/>
      <c r="B242" s="421"/>
      <c r="C242" s="268"/>
      <c r="D242" s="431"/>
      <c r="E242" s="276"/>
      <c r="F242" s="265"/>
      <c r="G242" s="265"/>
      <c r="H242" s="432"/>
      <c r="I242" s="432"/>
      <c r="J242" s="283"/>
      <c r="K242" s="276"/>
      <c r="L242" s="417" t="str">
        <f t="shared" si="1"/>
        <v/>
      </c>
      <c r="M242" s="425"/>
      <c r="N242" s="426"/>
      <c r="O242" s="427"/>
      <c r="P242" s="425"/>
      <c r="Q242" s="425"/>
      <c r="R242" s="425"/>
      <c r="S242" s="421"/>
      <c r="T242" s="421"/>
      <c r="U242" s="421"/>
      <c r="V242" s="421"/>
      <c r="W242" s="421"/>
      <c r="X242" s="425"/>
      <c r="Y242" s="421"/>
      <c r="Z242" s="421"/>
      <c r="AA242" s="421"/>
      <c r="AB242" s="421"/>
      <c r="AC242" s="421"/>
      <c r="AD242" s="421"/>
      <c r="AE242" s="421"/>
      <c r="AF242" s="421"/>
      <c r="AG242" s="421"/>
      <c r="AH242" s="421"/>
      <c r="AI242" s="421"/>
      <c r="AJ242" s="421"/>
      <c r="AK242" s="421"/>
      <c r="AL242" s="421"/>
      <c r="AM242" s="421"/>
      <c r="AN242" s="421"/>
      <c r="AO242" s="421"/>
      <c r="AP242" s="421"/>
      <c r="AQ242" s="421"/>
      <c r="AR242" s="421"/>
      <c r="AS242" s="421"/>
      <c r="AT242" s="421"/>
      <c r="AU242" s="421"/>
      <c r="AV242" s="421"/>
      <c r="AW242" s="421"/>
      <c r="AX242" s="421"/>
      <c r="AY242" s="421"/>
      <c r="AZ242" s="421"/>
      <c r="BA242" s="421"/>
    </row>
    <row r="243">
      <c r="A243" s="421"/>
      <c r="B243" s="421"/>
      <c r="C243" s="268"/>
      <c r="D243" s="431"/>
      <c r="E243" s="276"/>
      <c r="F243" s="265"/>
      <c r="G243" s="265"/>
      <c r="H243" s="432"/>
      <c r="I243" s="432"/>
      <c r="J243" s="283"/>
      <c r="K243" s="276"/>
      <c r="L243" s="417" t="str">
        <f t="shared" si="1"/>
        <v/>
      </c>
      <c r="M243" s="425"/>
      <c r="N243" s="426"/>
      <c r="O243" s="427"/>
      <c r="P243" s="425"/>
      <c r="Q243" s="425"/>
      <c r="R243" s="425"/>
      <c r="S243" s="421"/>
      <c r="T243" s="421"/>
      <c r="U243" s="421"/>
      <c r="V243" s="421"/>
      <c r="W243" s="421"/>
      <c r="X243" s="425"/>
      <c r="Y243" s="421"/>
      <c r="Z243" s="421"/>
      <c r="AA243" s="421"/>
      <c r="AB243" s="421"/>
      <c r="AC243" s="421"/>
      <c r="AD243" s="421"/>
      <c r="AE243" s="421"/>
      <c r="AF243" s="421"/>
      <c r="AG243" s="421"/>
      <c r="AH243" s="421"/>
      <c r="AI243" s="421"/>
      <c r="AJ243" s="421"/>
      <c r="AK243" s="421"/>
      <c r="AL243" s="421"/>
      <c r="AM243" s="421"/>
      <c r="AN243" s="421"/>
      <c r="AO243" s="421"/>
      <c r="AP243" s="421"/>
      <c r="AQ243" s="421"/>
      <c r="AR243" s="421"/>
      <c r="AS243" s="421"/>
      <c r="AT243" s="421"/>
      <c r="AU243" s="421"/>
      <c r="AV243" s="421"/>
      <c r="AW243" s="421"/>
      <c r="AX243" s="421"/>
      <c r="AY243" s="421"/>
      <c r="AZ243" s="421"/>
      <c r="BA243" s="421"/>
    </row>
    <row r="244">
      <c r="A244" s="421"/>
      <c r="B244" s="421"/>
      <c r="C244" s="268"/>
      <c r="D244" s="431"/>
      <c r="E244" s="276"/>
      <c r="F244" s="265"/>
      <c r="G244" s="265"/>
      <c r="H244" s="432"/>
      <c r="I244" s="432"/>
      <c r="J244" s="283"/>
      <c r="K244" s="276"/>
      <c r="L244" s="417" t="str">
        <f t="shared" si="1"/>
        <v/>
      </c>
      <c r="M244" s="425"/>
      <c r="N244" s="426"/>
      <c r="O244" s="427"/>
      <c r="P244" s="425"/>
      <c r="Q244" s="425"/>
      <c r="R244" s="425"/>
      <c r="S244" s="421"/>
      <c r="T244" s="421"/>
      <c r="U244" s="421"/>
      <c r="V244" s="421"/>
      <c r="W244" s="421"/>
      <c r="X244" s="425"/>
      <c r="Y244" s="421"/>
      <c r="Z244" s="421"/>
      <c r="AA244" s="421"/>
      <c r="AB244" s="421"/>
      <c r="AC244" s="421"/>
      <c r="AD244" s="421"/>
      <c r="AE244" s="421"/>
      <c r="AF244" s="421"/>
      <c r="AG244" s="421"/>
      <c r="AH244" s="421"/>
      <c r="AI244" s="421"/>
      <c r="AJ244" s="421"/>
      <c r="AK244" s="421"/>
      <c r="AL244" s="421"/>
      <c r="AM244" s="421"/>
      <c r="AN244" s="421"/>
      <c r="AO244" s="421"/>
      <c r="AP244" s="421"/>
      <c r="AQ244" s="421"/>
      <c r="AR244" s="421"/>
      <c r="AS244" s="421"/>
      <c r="AT244" s="421"/>
      <c r="AU244" s="421"/>
      <c r="AV244" s="421"/>
      <c r="AW244" s="421"/>
      <c r="AX244" s="421"/>
      <c r="AY244" s="421"/>
      <c r="AZ244" s="421"/>
      <c r="BA244" s="421"/>
    </row>
    <row r="245">
      <c r="A245" s="421"/>
      <c r="B245" s="421"/>
      <c r="C245" s="268"/>
      <c r="D245" s="431"/>
      <c r="E245" s="276"/>
      <c r="F245" s="265"/>
      <c r="G245" s="265"/>
      <c r="H245" s="432"/>
      <c r="I245" s="432"/>
      <c r="J245" s="283"/>
      <c r="K245" s="276"/>
      <c r="L245" s="417" t="str">
        <f t="shared" si="1"/>
        <v/>
      </c>
      <c r="M245" s="425"/>
      <c r="N245" s="426"/>
      <c r="O245" s="427"/>
      <c r="P245" s="425"/>
      <c r="Q245" s="425"/>
      <c r="R245" s="425"/>
      <c r="S245" s="421"/>
      <c r="T245" s="421"/>
      <c r="U245" s="421"/>
      <c r="V245" s="421"/>
      <c r="W245" s="421"/>
      <c r="X245" s="425"/>
      <c r="Y245" s="421"/>
      <c r="Z245" s="421"/>
      <c r="AA245" s="421"/>
      <c r="AB245" s="421"/>
      <c r="AC245" s="421"/>
      <c r="AD245" s="421"/>
      <c r="AE245" s="421"/>
      <c r="AF245" s="421"/>
      <c r="AG245" s="421"/>
      <c r="AH245" s="421"/>
      <c r="AI245" s="421"/>
      <c r="AJ245" s="421"/>
      <c r="AK245" s="421"/>
      <c r="AL245" s="421"/>
      <c r="AM245" s="421"/>
      <c r="AN245" s="421"/>
      <c r="AO245" s="421"/>
      <c r="AP245" s="421"/>
      <c r="AQ245" s="421"/>
      <c r="AR245" s="421"/>
      <c r="AS245" s="421"/>
      <c r="AT245" s="421"/>
      <c r="AU245" s="421"/>
      <c r="AV245" s="421"/>
      <c r="AW245" s="421"/>
      <c r="AX245" s="421"/>
      <c r="AY245" s="421"/>
      <c r="AZ245" s="421"/>
      <c r="BA245" s="421"/>
    </row>
    <row r="246">
      <c r="A246" s="421"/>
      <c r="B246" s="421"/>
      <c r="C246" s="268"/>
      <c r="D246" s="431"/>
      <c r="E246" s="276"/>
      <c r="F246" s="265"/>
      <c r="G246" s="265"/>
      <c r="H246" s="432"/>
      <c r="I246" s="432"/>
      <c r="J246" s="283"/>
      <c r="K246" s="276"/>
      <c r="L246" s="417" t="str">
        <f t="shared" si="1"/>
        <v/>
      </c>
      <c r="M246" s="425"/>
      <c r="N246" s="426"/>
      <c r="O246" s="427"/>
      <c r="P246" s="425"/>
      <c r="Q246" s="425"/>
      <c r="R246" s="425"/>
      <c r="S246" s="421"/>
      <c r="T246" s="421"/>
      <c r="U246" s="421"/>
      <c r="V246" s="421"/>
      <c r="W246" s="421"/>
      <c r="X246" s="425"/>
      <c r="Y246" s="421"/>
      <c r="Z246" s="421"/>
      <c r="AA246" s="421"/>
      <c r="AB246" s="421"/>
      <c r="AC246" s="421"/>
      <c r="AD246" s="421"/>
      <c r="AE246" s="421"/>
      <c r="AF246" s="421"/>
      <c r="AG246" s="421"/>
      <c r="AH246" s="421"/>
      <c r="AI246" s="421"/>
      <c r="AJ246" s="421"/>
      <c r="AK246" s="421"/>
      <c r="AL246" s="421"/>
      <c r="AM246" s="421"/>
      <c r="AN246" s="421"/>
      <c r="AO246" s="421"/>
      <c r="AP246" s="421"/>
      <c r="AQ246" s="421"/>
      <c r="AR246" s="421"/>
      <c r="AS246" s="421"/>
      <c r="AT246" s="421"/>
      <c r="AU246" s="421"/>
      <c r="AV246" s="421"/>
      <c r="AW246" s="421"/>
      <c r="AX246" s="421"/>
      <c r="AY246" s="421"/>
      <c r="AZ246" s="421"/>
      <c r="BA246" s="421"/>
    </row>
    <row r="247">
      <c r="A247" s="421"/>
      <c r="B247" s="421"/>
      <c r="C247" s="268"/>
      <c r="D247" s="431"/>
      <c r="E247" s="276"/>
      <c r="F247" s="265"/>
      <c r="G247" s="265"/>
      <c r="H247" s="432"/>
      <c r="I247" s="432"/>
      <c r="J247" s="283"/>
      <c r="K247" s="276"/>
      <c r="L247" s="417" t="str">
        <f t="shared" si="1"/>
        <v/>
      </c>
      <c r="M247" s="425"/>
      <c r="N247" s="426"/>
      <c r="O247" s="427"/>
      <c r="P247" s="425"/>
      <c r="Q247" s="425"/>
      <c r="R247" s="425"/>
      <c r="S247" s="421"/>
      <c r="T247" s="421"/>
      <c r="U247" s="421"/>
      <c r="V247" s="421"/>
      <c r="W247" s="421"/>
      <c r="X247" s="425"/>
      <c r="Y247" s="421"/>
      <c r="Z247" s="421"/>
      <c r="AA247" s="421"/>
      <c r="AB247" s="421"/>
      <c r="AC247" s="421"/>
      <c r="AD247" s="421"/>
      <c r="AE247" s="421"/>
      <c r="AF247" s="421"/>
      <c r="AG247" s="421"/>
      <c r="AH247" s="421"/>
      <c r="AI247" s="421"/>
      <c r="AJ247" s="421"/>
      <c r="AK247" s="421"/>
      <c r="AL247" s="421"/>
      <c r="AM247" s="421"/>
      <c r="AN247" s="421"/>
      <c r="AO247" s="421"/>
      <c r="AP247" s="421"/>
      <c r="AQ247" s="421"/>
      <c r="AR247" s="421"/>
      <c r="AS247" s="421"/>
      <c r="AT247" s="421"/>
      <c r="AU247" s="421"/>
      <c r="AV247" s="421"/>
      <c r="AW247" s="421"/>
      <c r="AX247" s="421"/>
      <c r="AY247" s="421"/>
      <c r="AZ247" s="421"/>
      <c r="BA247" s="421"/>
    </row>
    <row r="248">
      <c r="A248" s="421"/>
      <c r="B248" s="421"/>
      <c r="C248" s="268"/>
      <c r="D248" s="431"/>
      <c r="E248" s="276"/>
      <c r="F248" s="265"/>
      <c r="G248" s="265"/>
      <c r="H248" s="432"/>
      <c r="I248" s="432"/>
      <c r="J248" s="283"/>
      <c r="K248" s="276"/>
      <c r="L248" s="417" t="str">
        <f t="shared" si="1"/>
        <v/>
      </c>
      <c r="M248" s="425"/>
      <c r="N248" s="426"/>
      <c r="O248" s="427"/>
      <c r="P248" s="425"/>
      <c r="Q248" s="425"/>
      <c r="R248" s="425"/>
      <c r="S248" s="421"/>
      <c r="T248" s="421"/>
      <c r="U248" s="421"/>
      <c r="V248" s="421"/>
      <c r="W248" s="421"/>
      <c r="X248" s="425"/>
      <c r="Y248" s="421"/>
      <c r="Z248" s="421"/>
      <c r="AA248" s="421"/>
      <c r="AB248" s="421"/>
      <c r="AC248" s="421"/>
      <c r="AD248" s="421"/>
      <c r="AE248" s="421"/>
      <c r="AF248" s="421"/>
      <c r="AG248" s="421"/>
      <c r="AH248" s="421"/>
      <c r="AI248" s="421"/>
      <c r="AJ248" s="421"/>
      <c r="AK248" s="421"/>
      <c r="AL248" s="421"/>
      <c r="AM248" s="421"/>
      <c r="AN248" s="421"/>
      <c r="AO248" s="421"/>
      <c r="AP248" s="421"/>
      <c r="AQ248" s="421"/>
      <c r="AR248" s="421"/>
      <c r="AS248" s="421"/>
      <c r="AT248" s="421"/>
      <c r="AU248" s="421"/>
      <c r="AV248" s="421"/>
      <c r="AW248" s="421"/>
      <c r="AX248" s="421"/>
      <c r="AY248" s="421"/>
      <c r="AZ248" s="421"/>
      <c r="BA248" s="421"/>
    </row>
    <row r="249">
      <c r="A249" s="421"/>
      <c r="B249" s="421"/>
      <c r="C249" s="268"/>
      <c r="D249" s="431"/>
      <c r="E249" s="276"/>
      <c r="F249" s="265"/>
      <c r="G249" s="265"/>
      <c r="H249" s="432"/>
      <c r="I249" s="432"/>
      <c r="J249" s="283"/>
      <c r="K249" s="276"/>
      <c r="L249" s="417" t="str">
        <f t="shared" si="1"/>
        <v/>
      </c>
      <c r="M249" s="425"/>
      <c r="N249" s="426"/>
      <c r="O249" s="427"/>
      <c r="P249" s="425"/>
      <c r="Q249" s="425"/>
      <c r="R249" s="425"/>
      <c r="S249" s="421"/>
      <c r="T249" s="421"/>
      <c r="U249" s="421"/>
      <c r="V249" s="421"/>
      <c r="W249" s="421"/>
      <c r="X249" s="425"/>
      <c r="Y249" s="421"/>
      <c r="Z249" s="421"/>
      <c r="AA249" s="421"/>
      <c r="AB249" s="421"/>
      <c r="AC249" s="421"/>
      <c r="AD249" s="421"/>
      <c r="AE249" s="421"/>
      <c r="AF249" s="421"/>
      <c r="AG249" s="421"/>
      <c r="AH249" s="421"/>
      <c r="AI249" s="421"/>
      <c r="AJ249" s="421"/>
      <c r="AK249" s="421"/>
      <c r="AL249" s="421"/>
      <c r="AM249" s="421"/>
      <c r="AN249" s="421"/>
      <c r="AO249" s="421"/>
      <c r="AP249" s="421"/>
      <c r="AQ249" s="421"/>
      <c r="AR249" s="421"/>
      <c r="AS249" s="421"/>
      <c r="AT249" s="421"/>
      <c r="AU249" s="421"/>
      <c r="AV249" s="421"/>
      <c r="AW249" s="421"/>
      <c r="AX249" s="421"/>
      <c r="AY249" s="421"/>
      <c r="AZ249" s="421"/>
      <c r="BA249" s="421"/>
    </row>
    <row r="250">
      <c r="A250" s="421"/>
      <c r="B250" s="421"/>
      <c r="C250" s="268"/>
      <c r="D250" s="431"/>
      <c r="E250" s="276"/>
      <c r="F250" s="265"/>
      <c r="G250" s="265"/>
      <c r="H250" s="432"/>
      <c r="I250" s="432"/>
      <c r="J250" s="283"/>
      <c r="K250" s="276"/>
      <c r="L250" s="417" t="str">
        <f t="shared" si="1"/>
        <v/>
      </c>
      <c r="M250" s="425"/>
      <c r="N250" s="426"/>
      <c r="O250" s="427"/>
      <c r="P250" s="425"/>
      <c r="Q250" s="425"/>
      <c r="R250" s="425"/>
      <c r="S250" s="421"/>
      <c r="T250" s="421"/>
      <c r="U250" s="421"/>
      <c r="V250" s="421"/>
      <c r="W250" s="421"/>
      <c r="X250" s="425"/>
      <c r="Y250" s="421"/>
      <c r="Z250" s="421"/>
      <c r="AA250" s="421"/>
      <c r="AB250" s="421"/>
      <c r="AC250" s="421"/>
      <c r="AD250" s="421"/>
      <c r="AE250" s="421"/>
      <c r="AF250" s="421"/>
      <c r="AG250" s="421"/>
      <c r="AH250" s="421"/>
      <c r="AI250" s="421"/>
      <c r="AJ250" s="421"/>
      <c r="AK250" s="421"/>
      <c r="AL250" s="421"/>
      <c r="AM250" s="421"/>
      <c r="AN250" s="421"/>
      <c r="AO250" s="421"/>
      <c r="AP250" s="421"/>
      <c r="AQ250" s="421"/>
      <c r="AR250" s="421"/>
      <c r="AS250" s="421"/>
      <c r="AT250" s="421"/>
      <c r="AU250" s="421"/>
      <c r="AV250" s="421"/>
      <c r="AW250" s="421"/>
      <c r="AX250" s="421"/>
      <c r="AY250" s="421"/>
      <c r="AZ250" s="421"/>
      <c r="BA250" s="421"/>
    </row>
    <row r="251">
      <c r="A251" s="421"/>
      <c r="B251" s="421"/>
      <c r="C251" s="268"/>
      <c r="D251" s="431"/>
      <c r="E251" s="276"/>
      <c r="F251" s="265"/>
      <c r="G251" s="265"/>
      <c r="H251" s="432"/>
      <c r="I251" s="432"/>
      <c r="J251" s="283"/>
      <c r="K251" s="276"/>
      <c r="L251" s="417" t="str">
        <f t="shared" si="1"/>
        <v/>
      </c>
      <c r="M251" s="425"/>
      <c r="N251" s="426"/>
      <c r="O251" s="427"/>
      <c r="P251" s="425"/>
      <c r="Q251" s="425"/>
      <c r="R251" s="425"/>
      <c r="S251" s="421"/>
      <c r="T251" s="421"/>
      <c r="U251" s="421"/>
      <c r="V251" s="421"/>
      <c r="W251" s="421"/>
      <c r="X251" s="425"/>
      <c r="Y251" s="421"/>
      <c r="Z251" s="421"/>
      <c r="AA251" s="421"/>
      <c r="AB251" s="421"/>
      <c r="AC251" s="421"/>
      <c r="AD251" s="421"/>
      <c r="AE251" s="421"/>
      <c r="AF251" s="421"/>
      <c r="AG251" s="421"/>
      <c r="AH251" s="421"/>
      <c r="AI251" s="421"/>
      <c r="AJ251" s="421"/>
      <c r="AK251" s="421"/>
      <c r="AL251" s="421"/>
      <c r="AM251" s="421"/>
      <c r="AN251" s="421"/>
      <c r="AO251" s="421"/>
      <c r="AP251" s="421"/>
      <c r="AQ251" s="421"/>
      <c r="AR251" s="421"/>
      <c r="AS251" s="421"/>
      <c r="AT251" s="421"/>
      <c r="AU251" s="421"/>
      <c r="AV251" s="421"/>
      <c r="AW251" s="421"/>
      <c r="AX251" s="421"/>
      <c r="AY251" s="421"/>
      <c r="AZ251" s="421"/>
      <c r="BA251" s="421"/>
    </row>
    <row r="252">
      <c r="A252" s="421"/>
      <c r="B252" s="421"/>
      <c r="C252" s="268"/>
      <c r="D252" s="431"/>
      <c r="E252" s="276"/>
      <c r="F252" s="265"/>
      <c r="G252" s="265"/>
      <c r="H252" s="432"/>
      <c r="I252" s="432"/>
      <c r="J252" s="283"/>
      <c r="K252" s="276"/>
      <c r="L252" s="417" t="str">
        <f t="shared" si="1"/>
        <v/>
      </c>
      <c r="M252" s="425"/>
      <c r="N252" s="426"/>
      <c r="O252" s="427"/>
      <c r="P252" s="425"/>
      <c r="Q252" s="425"/>
      <c r="R252" s="425"/>
      <c r="S252" s="421"/>
      <c r="T252" s="421"/>
      <c r="U252" s="421"/>
      <c r="V252" s="421"/>
      <c r="W252" s="421"/>
      <c r="X252" s="425"/>
      <c r="Y252" s="421"/>
      <c r="Z252" s="421"/>
      <c r="AA252" s="421"/>
      <c r="AB252" s="421"/>
      <c r="AC252" s="421"/>
      <c r="AD252" s="421"/>
      <c r="AE252" s="421"/>
      <c r="AF252" s="421"/>
      <c r="AG252" s="421"/>
      <c r="AH252" s="421"/>
      <c r="AI252" s="421"/>
      <c r="AJ252" s="421"/>
      <c r="AK252" s="421"/>
      <c r="AL252" s="421"/>
      <c r="AM252" s="421"/>
      <c r="AN252" s="421"/>
      <c r="AO252" s="421"/>
      <c r="AP252" s="421"/>
      <c r="AQ252" s="421"/>
      <c r="AR252" s="421"/>
      <c r="AS252" s="421"/>
      <c r="AT252" s="421"/>
      <c r="AU252" s="421"/>
      <c r="AV252" s="421"/>
      <c r="AW252" s="421"/>
      <c r="AX252" s="421"/>
      <c r="AY252" s="421"/>
      <c r="AZ252" s="421"/>
      <c r="BA252" s="421"/>
    </row>
    <row r="253">
      <c r="A253" s="421"/>
      <c r="B253" s="421"/>
      <c r="C253" s="268"/>
      <c r="D253" s="431"/>
      <c r="E253" s="276"/>
      <c r="F253" s="265"/>
      <c r="G253" s="265"/>
      <c r="H253" s="432"/>
      <c r="I253" s="432"/>
      <c r="J253" s="283"/>
      <c r="K253" s="276"/>
      <c r="L253" s="417" t="str">
        <f t="shared" si="1"/>
        <v/>
      </c>
      <c r="M253" s="425"/>
      <c r="N253" s="426"/>
      <c r="O253" s="427"/>
      <c r="P253" s="425"/>
      <c r="Q253" s="425"/>
      <c r="R253" s="425"/>
      <c r="S253" s="421"/>
      <c r="T253" s="421"/>
      <c r="U253" s="421"/>
      <c r="V253" s="421"/>
      <c r="W253" s="421"/>
      <c r="X253" s="425"/>
      <c r="Y253" s="421"/>
      <c r="Z253" s="421"/>
      <c r="AA253" s="421"/>
      <c r="AB253" s="421"/>
      <c r="AC253" s="421"/>
      <c r="AD253" s="421"/>
      <c r="AE253" s="421"/>
      <c r="AF253" s="421"/>
      <c r="AG253" s="421"/>
      <c r="AH253" s="421"/>
      <c r="AI253" s="421"/>
      <c r="AJ253" s="421"/>
      <c r="AK253" s="421"/>
      <c r="AL253" s="421"/>
      <c r="AM253" s="421"/>
      <c r="AN253" s="421"/>
      <c r="AO253" s="421"/>
      <c r="AP253" s="421"/>
      <c r="AQ253" s="421"/>
      <c r="AR253" s="421"/>
      <c r="AS253" s="421"/>
      <c r="AT253" s="421"/>
      <c r="AU253" s="421"/>
      <c r="AV253" s="421"/>
      <c r="AW253" s="421"/>
      <c r="AX253" s="421"/>
      <c r="AY253" s="421"/>
      <c r="AZ253" s="421"/>
      <c r="BA253" s="421"/>
    </row>
    <row r="254">
      <c r="A254" s="421"/>
      <c r="B254" s="421"/>
      <c r="C254" s="268"/>
      <c r="D254" s="431"/>
      <c r="E254" s="276"/>
      <c r="F254" s="265"/>
      <c r="G254" s="265"/>
      <c r="H254" s="432"/>
      <c r="I254" s="432"/>
      <c r="J254" s="283"/>
      <c r="K254" s="276"/>
      <c r="L254" s="417" t="str">
        <f t="shared" si="1"/>
        <v/>
      </c>
      <c r="M254" s="425"/>
      <c r="N254" s="426"/>
      <c r="O254" s="427"/>
      <c r="P254" s="425"/>
      <c r="Q254" s="425"/>
      <c r="R254" s="425"/>
      <c r="S254" s="421"/>
      <c r="T254" s="421"/>
      <c r="U254" s="421"/>
      <c r="V254" s="421"/>
      <c r="W254" s="421"/>
      <c r="X254" s="425"/>
      <c r="Y254" s="421"/>
      <c r="Z254" s="421"/>
      <c r="AA254" s="421"/>
      <c r="AB254" s="421"/>
      <c r="AC254" s="421"/>
      <c r="AD254" s="421"/>
      <c r="AE254" s="421"/>
      <c r="AF254" s="421"/>
      <c r="AG254" s="421"/>
      <c r="AH254" s="421"/>
      <c r="AI254" s="421"/>
      <c r="AJ254" s="421"/>
      <c r="AK254" s="421"/>
      <c r="AL254" s="421"/>
      <c r="AM254" s="421"/>
      <c r="AN254" s="421"/>
      <c r="AO254" s="421"/>
      <c r="AP254" s="421"/>
      <c r="AQ254" s="421"/>
      <c r="AR254" s="421"/>
      <c r="AS254" s="421"/>
      <c r="AT254" s="421"/>
      <c r="AU254" s="421"/>
      <c r="AV254" s="421"/>
      <c r="AW254" s="421"/>
      <c r="AX254" s="421"/>
      <c r="AY254" s="421"/>
      <c r="AZ254" s="421"/>
      <c r="BA254" s="421"/>
    </row>
    <row r="255">
      <c r="A255" s="421"/>
      <c r="B255" s="421"/>
      <c r="C255" s="268"/>
      <c r="D255" s="431"/>
      <c r="E255" s="276"/>
      <c r="F255" s="265"/>
      <c r="G255" s="265"/>
      <c r="H255" s="432"/>
      <c r="I255" s="432"/>
      <c r="J255" s="283"/>
      <c r="K255" s="276"/>
      <c r="L255" s="417" t="str">
        <f t="shared" si="1"/>
        <v/>
      </c>
      <c r="M255" s="425"/>
      <c r="N255" s="426"/>
      <c r="O255" s="427"/>
      <c r="P255" s="425"/>
      <c r="Q255" s="425"/>
      <c r="R255" s="425"/>
      <c r="S255" s="421"/>
      <c r="T255" s="421"/>
      <c r="U255" s="421"/>
      <c r="V255" s="421"/>
      <c r="W255" s="421"/>
      <c r="X255" s="425"/>
      <c r="Y255" s="421"/>
      <c r="Z255" s="421"/>
      <c r="AA255" s="421"/>
      <c r="AB255" s="421"/>
      <c r="AC255" s="421"/>
      <c r="AD255" s="421"/>
      <c r="AE255" s="421"/>
      <c r="AF255" s="421"/>
      <c r="AG255" s="421"/>
      <c r="AH255" s="421"/>
      <c r="AI255" s="421"/>
      <c r="AJ255" s="421"/>
      <c r="AK255" s="421"/>
      <c r="AL255" s="421"/>
      <c r="AM255" s="421"/>
      <c r="AN255" s="421"/>
      <c r="AO255" s="421"/>
      <c r="AP255" s="421"/>
      <c r="AQ255" s="421"/>
      <c r="AR255" s="421"/>
      <c r="AS255" s="421"/>
      <c r="AT255" s="421"/>
      <c r="AU255" s="421"/>
      <c r="AV255" s="421"/>
      <c r="AW255" s="421"/>
      <c r="AX255" s="421"/>
      <c r="AY255" s="421"/>
      <c r="AZ255" s="421"/>
      <c r="BA255" s="421"/>
    </row>
    <row r="256">
      <c r="A256" s="421"/>
      <c r="B256" s="421"/>
      <c r="C256" s="268"/>
      <c r="D256" s="431"/>
      <c r="E256" s="276"/>
      <c r="F256" s="265"/>
      <c r="G256" s="265"/>
      <c r="H256" s="432"/>
      <c r="I256" s="432"/>
      <c r="J256" s="283"/>
      <c r="K256" s="276"/>
      <c r="L256" s="417" t="str">
        <f t="shared" si="1"/>
        <v/>
      </c>
      <c r="M256" s="425"/>
      <c r="N256" s="426"/>
      <c r="O256" s="427"/>
      <c r="P256" s="425"/>
      <c r="Q256" s="425"/>
      <c r="R256" s="425"/>
      <c r="S256" s="421"/>
      <c r="T256" s="421"/>
      <c r="U256" s="421"/>
      <c r="V256" s="421"/>
      <c r="W256" s="421"/>
      <c r="X256" s="425"/>
      <c r="Y256" s="421"/>
      <c r="Z256" s="421"/>
      <c r="AA256" s="421"/>
      <c r="AB256" s="421"/>
      <c r="AC256" s="421"/>
      <c r="AD256" s="421"/>
      <c r="AE256" s="421"/>
      <c r="AF256" s="421"/>
      <c r="AG256" s="421"/>
      <c r="AH256" s="421"/>
      <c r="AI256" s="421"/>
      <c r="AJ256" s="421"/>
      <c r="AK256" s="421"/>
      <c r="AL256" s="421"/>
      <c r="AM256" s="421"/>
      <c r="AN256" s="421"/>
      <c r="AO256" s="421"/>
      <c r="AP256" s="421"/>
      <c r="AQ256" s="421"/>
      <c r="AR256" s="421"/>
      <c r="AS256" s="421"/>
      <c r="AT256" s="421"/>
      <c r="AU256" s="421"/>
      <c r="AV256" s="421"/>
      <c r="AW256" s="421"/>
      <c r="AX256" s="421"/>
      <c r="AY256" s="421"/>
      <c r="AZ256" s="421"/>
      <c r="BA256" s="421"/>
    </row>
    <row r="257">
      <c r="A257" s="421"/>
      <c r="B257" s="421"/>
      <c r="C257" s="268"/>
      <c r="D257" s="431"/>
      <c r="E257" s="276"/>
      <c r="F257" s="265"/>
      <c r="G257" s="265"/>
      <c r="H257" s="432"/>
      <c r="I257" s="432"/>
      <c r="J257" s="283"/>
      <c r="K257" s="276"/>
      <c r="L257" s="417" t="str">
        <f t="shared" si="1"/>
        <v/>
      </c>
      <c r="M257" s="425"/>
      <c r="N257" s="426"/>
      <c r="O257" s="427"/>
      <c r="P257" s="425"/>
      <c r="Q257" s="425"/>
      <c r="R257" s="425"/>
      <c r="S257" s="421"/>
      <c r="T257" s="421"/>
      <c r="U257" s="421"/>
      <c r="V257" s="421"/>
      <c r="W257" s="421"/>
      <c r="X257" s="425"/>
      <c r="Y257" s="421"/>
      <c r="Z257" s="421"/>
      <c r="AA257" s="421"/>
      <c r="AB257" s="421"/>
      <c r="AC257" s="421"/>
      <c r="AD257" s="421"/>
      <c r="AE257" s="421"/>
      <c r="AF257" s="421"/>
      <c r="AG257" s="421"/>
      <c r="AH257" s="421"/>
      <c r="AI257" s="421"/>
      <c r="AJ257" s="421"/>
      <c r="AK257" s="421"/>
      <c r="AL257" s="421"/>
      <c r="AM257" s="421"/>
      <c r="AN257" s="421"/>
      <c r="AO257" s="421"/>
      <c r="AP257" s="421"/>
      <c r="AQ257" s="421"/>
      <c r="AR257" s="421"/>
      <c r="AS257" s="421"/>
      <c r="AT257" s="421"/>
      <c r="AU257" s="421"/>
      <c r="AV257" s="421"/>
      <c r="AW257" s="421"/>
      <c r="AX257" s="421"/>
      <c r="AY257" s="421"/>
      <c r="AZ257" s="421"/>
      <c r="BA257" s="421"/>
    </row>
    <row r="258">
      <c r="A258" s="421"/>
      <c r="B258" s="421"/>
      <c r="C258" s="268"/>
      <c r="D258" s="431"/>
      <c r="E258" s="276"/>
      <c r="F258" s="265"/>
      <c r="G258" s="265"/>
      <c r="H258" s="432"/>
      <c r="I258" s="432"/>
      <c r="J258" s="283"/>
      <c r="K258" s="276"/>
      <c r="L258" s="417" t="str">
        <f t="shared" si="1"/>
        <v/>
      </c>
      <c r="M258" s="425"/>
      <c r="N258" s="426"/>
      <c r="O258" s="427"/>
      <c r="P258" s="425"/>
      <c r="Q258" s="425"/>
      <c r="R258" s="425"/>
      <c r="S258" s="421"/>
      <c r="T258" s="421"/>
      <c r="U258" s="421"/>
      <c r="V258" s="421"/>
      <c r="W258" s="421"/>
      <c r="X258" s="425"/>
      <c r="Y258" s="421"/>
      <c r="Z258" s="421"/>
      <c r="AA258" s="421"/>
      <c r="AB258" s="421"/>
      <c r="AC258" s="421"/>
      <c r="AD258" s="421"/>
      <c r="AE258" s="421"/>
      <c r="AF258" s="421"/>
      <c r="AG258" s="421"/>
      <c r="AH258" s="421"/>
      <c r="AI258" s="421"/>
      <c r="AJ258" s="421"/>
      <c r="AK258" s="421"/>
      <c r="AL258" s="421"/>
      <c r="AM258" s="421"/>
      <c r="AN258" s="421"/>
      <c r="AO258" s="421"/>
      <c r="AP258" s="421"/>
      <c r="AQ258" s="421"/>
      <c r="AR258" s="421"/>
      <c r="AS258" s="421"/>
      <c r="AT258" s="421"/>
      <c r="AU258" s="421"/>
      <c r="AV258" s="421"/>
      <c r="AW258" s="421"/>
      <c r="AX258" s="421"/>
      <c r="AY258" s="421"/>
      <c r="AZ258" s="421"/>
      <c r="BA258" s="421"/>
    </row>
    <row r="259">
      <c r="A259" s="421"/>
      <c r="B259" s="421"/>
      <c r="C259" s="268"/>
      <c r="D259" s="431"/>
      <c r="E259" s="276"/>
      <c r="F259" s="265"/>
      <c r="G259" s="265"/>
      <c r="H259" s="432"/>
      <c r="I259" s="432"/>
      <c r="J259" s="283"/>
      <c r="K259" s="276"/>
      <c r="L259" s="417" t="str">
        <f t="shared" si="1"/>
        <v/>
      </c>
      <c r="M259" s="425"/>
      <c r="N259" s="426"/>
      <c r="O259" s="427"/>
      <c r="P259" s="425"/>
      <c r="Q259" s="425"/>
      <c r="R259" s="425"/>
      <c r="S259" s="421"/>
      <c r="T259" s="421"/>
      <c r="U259" s="421"/>
      <c r="V259" s="421"/>
      <c r="W259" s="421"/>
      <c r="X259" s="425"/>
      <c r="Y259" s="421"/>
      <c r="Z259" s="421"/>
      <c r="AA259" s="421"/>
      <c r="AB259" s="421"/>
      <c r="AC259" s="421"/>
      <c r="AD259" s="421"/>
      <c r="AE259" s="421"/>
      <c r="AF259" s="421"/>
      <c r="AG259" s="421"/>
      <c r="AH259" s="421"/>
      <c r="AI259" s="421"/>
      <c r="AJ259" s="421"/>
      <c r="AK259" s="421"/>
      <c r="AL259" s="421"/>
      <c r="AM259" s="421"/>
      <c r="AN259" s="421"/>
      <c r="AO259" s="421"/>
      <c r="AP259" s="421"/>
      <c r="AQ259" s="421"/>
      <c r="AR259" s="421"/>
      <c r="AS259" s="421"/>
      <c r="AT259" s="421"/>
      <c r="AU259" s="421"/>
      <c r="AV259" s="421"/>
      <c r="AW259" s="421"/>
      <c r="AX259" s="421"/>
      <c r="AY259" s="421"/>
      <c r="AZ259" s="421"/>
      <c r="BA259" s="421"/>
    </row>
    <row r="260">
      <c r="A260" s="421"/>
      <c r="B260" s="421"/>
      <c r="C260" s="268"/>
      <c r="D260" s="431"/>
      <c r="E260" s="276"/>
      <c r="F260" s="265"/>
      <c r="G260" s="265"/>
      <c r="H260" s="432"/>
      <c r="I260" s="432"/>
      <c r="J260" s="283"/>
      <c r="K260" s="276"/>
      <c r="L260" s="417" t="str">
        <f t="shared" si="1"/>
        <v/>
      </c>
      <c r="M260" s="425"/>
      <c r="N260" s="426"/>
      <c r="O260" s="427"/>
      <c r="P260" s="425"/>
      <c r="Q260" s="425"/>
      <c r="R260" s="425"/>
      <c r="S260" s="421"/>
      <c r="T260" s="421"/>
      <c r="U260" s="421"/>
      <c r="V260" s="421"/>
      <c r="W260" s="421"/>
      <c r="X260" s="425"/>
      <c r="Y260" s="421"/>
      <c r="Z260" s="421"/>
      <c r="AA260" s="421"/>
      <c r="AB260" s="421"/>
      <c r="AC260" s="421"/>
      <c r="AD260" s="421"/>
      <c r="AE260" s="421"/>
      <c r="AF260" s="421"/>
      <c r="AG260" s="421"/>
      <c r="AH260" s="421"/>
      <c r="AI260" s="421"/>
      <c r="AJ260" s="421"/>
      <c r="AK260" s="421"/>
      <c r="AL260" s="421"/>
      <c r="AM260" s="421"/>
      <c r="AN260" s="421"/>
      <c r="AO260" s="421"/>
      <c r="AP260" s="421"/>
      <c r="AQ260" s="421"/>
      <c r="AR260" s="421"/>
      <c r="AS260" s="421"/>
      <c r="AT260" s="421"/>
      <c r="AU260" s="421"/>
      <c r="AV260" s="421"/>
      <c r="AW260" s="421"/>
      <c r="AX260" s="421"/>
      <c r="AY260" s="421"/>
      <c r="AZ260" s="421"/>
      <c r="BA260" s="421"/>
    </row>
    <row r="261">
      <c r="A261" s="421"/>
      <c r="B261" s="421"/>
      <c r="C261" s="268"/>
      <c r="D261" s="431"/>
      <c r="E261" s="276"/>
      <c r="F261" s="265"/>
      <c r="G261" s="265"/>
      <c r="H261" s="432"/>
      <c r="I261" s="432"/>
      <c r="J261" s="283"/>
      <c r="K261" s="276"/>
      <c r="L261" s="417" t="str">
        <f t="shared" si="1"/>
        <v/>
      </c>
      <c r="M261" s="425"/>
      <c r="N261" s="426"/>
      <c r="O261" s="427"/>
      <c r="P261" s="425"/>
      <c r="Q261" s="425"/>
      <c r="R261" s="425"/>
      <c r="S261" s="421"/>
      <c r="T261" s="421"/>
      <c r="U261" s="421"/>
      <c r="V261" s="421"/>
      <c r="W261" s="421"/>
      <c r="X261" s="425"/>
      <c r="Y261" s="421"/>
      <c r="Z261" s="421"/>
      <c r="AA261" s="421"/>
      <c r="AB261" s="421"/>
      <c r="AC261" s="421"/>
      <c r="AD261" s="421"/>
      <c r="AE261" s="421"/>
      <c r="AF261" s="421"/>
      <c r="AG261" s="421"/>
      <c r="AH261" s="421"/>
      <c r="AI261" s="421"/>
      <c r="AJ261" s="421"/>
      <c r="AK261" s="421"/>
      <c r="AL261" s="421"/>
      <c r="AM261" s="421"/>
      <c r="AN261" s="421"/>
      <c r="AO261" s="421"/>
      <c r="AP261" s="421"/>
      <c r="AQ261" s="421"/>
      <c r="AR261" s="421"/>
      <c r="AS261" s="421"/>
      <c r="AT261" s="421"/>
      <c r="AU261" s="421"/>
      <c r="AV261" s="421"/>
      <c r="AW261" s="421"/>
      <c r="AX261" s="421"/>
      <c r="AY261" s="421"/>
      <c r="AZ261" s="421"/>
      <c r="BA261" s="421"/>
    </row>
    <row r="262">
      <c r="A262" s="421"/>
      <c r="B262" s="421"/>
      <c r="C262" s="268"/>
      <c r="D262" s="431"/>
      <c r="E262" s="276"/>
      <c r="F262" s="265"/>
      <c r="G262" s="265"/>
      <c r="H262" s="432"/>
      <c r="I262" s="432"/>
      <c r="J262" s="283"/>
      <c r="K262" s="276"/>
      <c r="L262" s="417" t="str">
        <f t="shared" si="1"/>
        <v/>
      </c>
      <c r="M262" s="425"/>
      <c r="N262" s="426"/>
      <c r="O262" s="427"/>
      <c r="P262" s="425"/>
      <c r="Q262" s="425"/>
      <c r="R262" s="425"/>
      <c r="S262" s="421"/>
      <c r="T262" s="421"/>
      <c r="U262" s="421"/>
      <c r="V262" s="421"/>
      <c r="W262" s="421"/>
      <c r="X262" s="425"/>
      <c r="Y262" s="421"/>
      <c r="Z262" s="421"/>
      <c r="AA262" s="421"/>
      <c r="AB262" s="421"/>
      <c r="AC262" s="421"/>
      <c r="AD262" s="421"/>
      <c r="AE262" s="421"/>
      <c r="AF262" s="421"/>
      <c r="AG262" s="421"/>
      <c r="AH262" s="421"/>
      <c r="AI262" s="421"/>
      <c r="AJ262" s="421"/>
      <c r="AK262" s="421"/>
      <c r="AL262" s="421"/>
      <c r="AM262" s="421"/>
      <c r="AN262" s="421"/>
      <c r="AO262" s="421"/>
      <c r="AP262" s="421"/>
      <c r="AQ262" s="421"/>
      <c r="AR262" s="421"/>
      <c r="AS262" s="421"/>
      <c r="AT262" s="421"/>
      <c r="AU262" s="421"/>
      <c r="AV262" s="421"/>
      <c r="AW262" s="421"/>
      <c r="AX262" s="421"/>
      <c r="AY262" s="421"/>
      <c r="AZ262" s="421"/>
      <c r="BA262" s="421"/>
    </row>
    <row r="263">
      <c r="A263" s="421"/>
      <c r="B263" s="421"/>
      <c r="C263" s="268"/>
      <c r="D263" s="431"/>
      <c r="E263" s="276"/>
      <c r="F263" s="265"/>
      <c r="G263" s="265"/>
      <c r="H263" s="432"/>
      <c r="I263" s="432"/>
      <c r="J263" s="283"/>
      <c r="K263" s="276"/>
      <c r="L263" s="417" t="str">
        <f t="shared" si="1"/>
        <v/>
      </c>
      <c r="M263" s="425"/>
      <c r="N263" s="426"/>
      <c r="O263" s="427"/>
      <c r="P263" s="425"/>
      <c r="Q263" s="425"/>
      <c r="R263" s="425"/>
      <c r="S263" s="421"/>
      <c r="T263" s="421"/>
      <c r="U263" s="421"/>
      <c r="V263" s="421"/>
      <c r="W263" s="421"/>
      <c r="X263" s="425"/>
      <c r="Y263" s="421"/>
      <c r="Z263" s="421"/>
      <c r="AA263" s="421"/>
      <c r="AB263" s="421"/>
      <c r="AC263" s="421"/>
      <c r="AD263" s="421"/>
      <c r="AE263" s="421"/>
      <c r="AF263" s="421"/>
      <c r="AG263" s="421"/>
      <c r="AH263" s="421"/>
      <c r="AI263" s="421"/>
      <c r="AJ263" s="421"/>
      <c r="AK263" s="421"/>
      <c r="AL263" s="421"/>
      <c r="AM263" s="421"/>
      <c r="AN263" s="421"/>
      <c r="AO263" s="421"/>
      <c r="AP263" s="421"/>
      <c r="AQ263" s="421"/>
      <c r="AR263" s="421"/>
      <c r="AS263" s="421"/>
      <c r="AT263" s="421"/>
      <c r="AU263" s="421"/>
      <c r="AV263" s="421"/>
      <c r="AW263" s="421"/>
      <c r="AX263" s="421"/>
      <c r="AY263" s="421"/>
      <c r="AZ263" s="421"/>
      <c r="BA263" s="421"/>
    </row>
    <row r="264">
      <c r="A264" s="421"/>
      <c r="B264" s="421"/>
      <c r="C264" s="268"/>
      <c r="D264" s="431"/>
      <c r="E264" s="276"/>
      <c r="F264" s="265"/>
      <c r="G264" s="265"/>
      <c r="H264" s="432"/>
      <c r="I264" s="432"/>
      <c r="J264" s="283"/>
      <c r="K264" s="276"/>
      <c r="L264" s="417" t="str">
        <f t="shared" si="1"/>
        <v/>
      </c>
      <c r="M264" s="425"/>
      <c r="N264" s="426"/>
      <c r="O264" s="427"/>
      <c r="P264" s="425"/>
      <c r="Q264" s="425"/>
      <c r="R264" s="425"/>
      <c r="S264" s="421"/>
      <c r="T264" s="421"/>
      <c r="U264" s="421"/>
      <c r="V264" s="421"/>
      <c r="W264" s="421"/>
      <c r="X264" s="425"/>
      <c r="Y264" s="421"/>
      <c r="Z264" s="421"/>
      <c r="AA264" s="421"/>
      <c r="AB264" s="421"/>
      <c r="AC264" s="421"/>
      <c r="AD264" s="421"/>
      <c r="AE264" s="421"/>
      <c r="AF264" s="421"/>
      <c r="AG264" s="421"/>
      <c r="AH264" s="421"/>
      <c r="AI264" s="421"/>
      <c r="AJ264" s="421"/>
      <c r="AK264" s="421"/>
      <c r="AL264" s="421"/>
      <c r="AM264" s="421"/>
      <c r="AN264" s="421"/>
      <c r="AO264" s="421"/>
      <c r="AP264" s="421"/>
      <c r="AQ264" s="421"/>
      <c r="AR264" s="421"/>
      <c r="AS264" s="421"/>
      <c r="AT264" s="421"/>
      <c r="AU264" s="421"/>
      <c r="AV264" s="421"/>
      <c r="AW264" s="421"/>
      <c r="AX264" s="421"/>
      <c r="AY264" s="421"/>
      <c r="AZ264" s="421"/>
      <c r="BA264" s="421"/>
    </row>
    <row r="265">
      <c r="A265" s="421"/>
      <c r="B265" s="421"/>
      <c r="C265" s="268"/>
      <c r="D265" s="431"/>
      <c r="E265" s="276"/>
      <c r="F265" s="265"/>
      <c r="G265" s="265"/>
      <c r="H265" s="432"/>
      <c r="I265" s="432"/>
      <c r="J265" s="283"/>
      <c r="K265" s="276"/>
      <c r="L265" s="417" t="str">
        <f t="shared" si="1"/>
        <v/>
      </c>
      <c r="M265" s="425"/>
      <c r="N265" s="426"/>
      <c r="O265" s="427"/>
      <c r="P265" s="425"/>
      <c r="Q265" s="425"/>
      <c r="R265" s="425"/>
      <c r="S265" s="421"/>
      <c r="T265" s="421"/>
      <c r="U265" s="421"/>
      <c r="V265" s="421"/>
      <c r="W265" s="421"/>
      <c r="X265" s="425"/>
      <c r="Y265" s="421"/>
      <c r="Z265" s="421"/>
      <c r="AA265" s="421"/>
      <c r="AB265" s="421"/>
      <c r="AC265" s="421"/>
      <c r="AD265" s="421"/>
      <c r="AE265" s="421"/>
      <c r="AF265" s="421"/>
      <c r="AG265" s="421"/>
      <c r="AH265" s="421"/>
      <c r="AI265" s="421"/>
      <c r="AJ265" s="421"/>
      <c r="AK265" s="421"/>
      <c r="AL265" s="421"/>
      <c r="AM265" s="421"/>
      <c r="AN265" s="421"/>
      <c r="AO265" s="421"/>
      <c r="AP265" s="421"/>
      <c r="AQ265" s="421"/>
      <c r="AR265" s="421"/>
      <c r="AS265" s="421"/>
      <c r="AT265" s="421"/>
      <c r="AU265" s="421"/>
      <c r="AV265" s="421"/>
      <c r="AW265" s="421"/>
      <c r="AX265" s="421"/>
      <c r="AY265" s="421"/>
      <c r="AZ265" s="421"/>
      <c r="BA265" s="421"/>
    </row>
    <row r="266">
      <c r="A266" s="421"/>
      <c r="B266" s="421"/>
      <c r="C266" s="268"/>
      <c r="D266" s="431"/>
      <c r="E266" s="276"/>
      <c r="F266" s="265"/>
      <c r="G266" s="265"/>
      <c r="H266" s="432"/>
      <c r="I266" s="432"/>
      <c r="J266" s="283"/>
      <c r="K266" s="276"/>
      <c r="L266" s="417" t="str">
        <f t="shared" si="1"/>
        <v/>
      </c>
      <c r="M266" s="425"/>
      <c r="N266" s="426"/>
      <c r="O266" s="427"/>
      <c r="P266" s="425"/>
      <c r="Q266" s="425"/>
      <c r="R266" s="425"/>
      <c r="S266" s="421"/>
      <c r="T266" s="421"/>
      <c r="U266" s="421"/>
      <c r="V266" s="421"/>
      <c r="W266" s="421"/>
      <c r="X266" s="425"/>
      <c r="Y266" s="421"/>
      <c r="Z266" s="421"/>
      <c r="AA266" s="421"/>
      <c r="AB266" s="421"/>
      <c r="AC266" s="421"/>
      <c r="AD266" s="421"/>
      <c r="AE266" s="421"/>
      <c r="AF266" s="421"/>
      <c r="AG266" s="421"/>
      <c r="AH266" s="421"/>
      <c r="AI266" s="421"/>
      <c r="AJ266" s="421"/>
      <c r="AK266" s="421"/>
      <c r="AL266" s="421"/>
      <c r="AM266" s="421"/>
      <c r="AN266" s="421"/>
      <c r="AO266" s="421"/>
      <c r="AP266" s="421"/>
      <c r="AQ266" s="421"/>
      <c r="AR266" s="421"/>
      <c r="AS266" s="421"/>
      <c r="AT266" s="421"/>
      <c r="AU266" s="421"/>
      <c r="AV266" s="421"/>
      <c r="AW266" s="421"/>
      <c r="AX266" s="421"/>
      <c r="AY266" s="421"/>
      <c r="AZ266" s="421"/>
      <c r="BA266" s="421"/>
    </row>
    <row r="267">
      <c r="A267" s="421"/>
      <c r="B267" s="421"/>
      <c r="C267" s="268"/>
      <c r="D267" s="431"/>
      <c r="E267" s="276"/>
      <c r="F267" s="265"/>
      <c r="G267" s="265"/>
      <c r="H267" s="432"/>
      <c r="I267" s="432"/>
      <c r="J267" s="283"/>
      <c r="K267" s="276"/>
      <c r="L267" s="417" t="str">
        <f t="shared" si="1"/>
        <v/>
      </c>
      <c r="M267" s="425"/>
      <c r="N267" s="426"/>
      <c r="O267" s="427"/>
      <c r="P267" s="425"/>
      <c r="Q267" s="425"/>
      <c r="R267" s="425"/>
      <c r="S267" s="421"/>
      <c r="T267" s="421"/>
      <c r="U267" s="421"/>
      <c r="V267" s="421"/>
      <c r="W267" s="421"/>
      <c r="X267" s="425"/>
      <c r="Y267" s="421"/>
      <c r="Z267" s="421"/>
      <c r="AA267" s="421"/>
      <c r="AB267" s="421"/>
      <c r="AC267" s="421"/>
      <c r="AD267" s="421"/>
      <c r="AE267" s="421"/>
      <c r="AF267" s="421"/>
      <c r="AG267" s="421"/>
      <c r="AH267" s="421"/>
      <c r="AI267" s="421"/>
      <c r="AJ267" s="421"/>
      <c r="AK267" s="421"/>
      <c r="AL267" s="421"/>
      <c r="AM267" s="421"/>
      <c r="AN267" s="421"/>
      <c r="AO267" s="421"/>
      <c r="AP267" s="421"/>
      <c r="AQ267" s="421"/>
      <c r="AR267" s="421"/>
      <c r="AS267" s="421"/>
      <c r="AT267" s="421"/>
      <c r="AU267" s="421"/>
      <c r="AV267" s="421"/>
      <c r="AW267" s="421"/>
      <c r="AX267" s="421"/>
      <c r="AY267" s="421"/>
      <c r="AZ267" s="421"/>
      <c r="BA267" s="421"/>
    </row>
    <row r="268">
      <c r="A268" s="421"/>
      <c r="B268" s="421"/>
      <c r="C268" s="268"/>
      <c r="D268" s="431"/>
      <c r="E268" s="276"/>
      <c r="F268" s="265"/>
      <c r="G268" s="265"/>
      <c r="H268" s="432"/>
      <c r="I268" s="432"/>
      <c r="J268" s="283"/>
      <c r="K268" s="276"/>
      <c r="L268" s="417" t="str">
        <f t="shared" si="1"/>
        <v/>
      </c>
      <c r="M268" s="425"/>
      <c r="N268" s="426"/>
      <c r="O268" s="427"/>
      <c r="P268" s="425"/>
      <c r="Q268" s="425"/>
      <c r="R268" s="425"/>
      <c r="S268" s="421"/>
      <c r="T268" s="421"/>
      <c r="U268" s="421"/>
      <c r="V268" s="421"/>
      <c r="W268" s="421"/>
      <c r="X268" s="425"/>
      <c r="Y268" s="421"/>
      <c r="Z268" s="421"/>
      <c r="AA268" s="421"/>
      <c r="AB268" s="421"/>
      <c r="AC268" s="421"/>
      <c r="AD268" s="421"/>
      <c r="AE268" s="421"/>
      <c r="AF268" s="421"/>
      <c r="AG268" s="421"/>
      <c r="AH268" s="421"/>
      <c r="AI268" s="421"/>
      <c r="AJ268" s="421"/>
      <c r="AK268" s="421"/>
      <c r="AL268" s="421"/>
      <c r="AM268" s="421"/>
      <c r="AN268" s="421"/>
      <c r="AO268" s="421"/>
      <c r="AP268" s="421"/>
      <c r="AQ268" s="421"/>
      <c r="AR268" s="421"/>
      <c r="AS268" s="421"/>
      <c r="AT268" s="421"/>
      <c r="AU268" s="421"/>
      <c r="AV268" s="421"/>
      <c r="AW268" s="421"/>
      <c r="AX268" s="421"/>
      <c r="AY268" s="421"/>
      <c r="AZ268" s="421"/>
      <c r="BA268" s="421"/>
    </row>
    <row r="269">
      <c r="A269" s="421"/>
      <c r="B269" s="421"/>
      <c r="C269" s="268"/>
      <c r="D269" s="431"/>
      <c r="E269" s="276"/>
      <c r="F269" s="265"/>
      <c r="G269" s="265"/>
      <c r="H269" s="432"/>
      <c r="I269" s="432"/>
      <c r="J269" s="283"/>
      <c r="K269" s="276"/>
      <c r="L269" s="417" t="str">
        <f t="shared" si="1"/>
        <v/>
      </c>
      <c r="M269" s="425"/>
      <c r="N269" s="426"/>
      <c r="O269" s="427"/>
      <c r="P269" s="425"/>
      <c r="Q269" s="425"/>
      <c r="R269" s="425"/>
      <c r="S269" s="421"/>
      <c r="T269" s="421"/>
      <c r="U269" s="421"/>
      <c r="V269" s="421"/>
      <c r="W269" s="421"/>
      <c r="X269" s="425"/>
      <c r="Y269" s="421"/>
      <c r="Z269" s="421"/>
      <c r="AA269" s="421"/>
      <c r="AB269" s="421"/>
      <c r="AC269" s="421"/>
      <c r="AD269" s="421"/>
      <c r="AE269" s="421"/>
      <c r="AF269" s="421"/>
      <c r="AG269" s="421"/>
      <c r="AH269" s="421"/>
      <c r="AI269" s="421"/>
      <c r="AJ269" s="421"/>
      <c r="AK269" s="421"/>
      <c r="AL269" s="421"/>
      <c r="AM269" s="421"/>
      <c r="AN269" s="421"/>
      <c r="AO269" s="421"/>
      <c r="AP269" s="421"/>
      <c r="AQ269" s="421"/>
      <c r="AR269" s="421"/>
      <c r="AS269" s="421"/>
      <c r="AT269" s="421"/>
      <c r="AU269" s="421"/>
      <c r="AV269" s="421"/>
      <c r="AW269" s="421"/>
      <c r="AX269" s="421"/>
      <c r="AY269" s="421"/>
      <c r="AZ269" s="421"/>
      <c r="BA269" s="421"/>
    </row>
    <row r="270">
      <c r="A270" s="421"/>
      <c r="B270" s="421"/>
      <c r="C270" s="268"/>
      <c r="D270" s="431"/>
      <c r="E270" s="276"/>
      <c r="F270" s="265"/>
      <c r="G270" s="265"/>
      <c r="H270" s="432"/>
      <c r="I270" s="432"/>
      <c r="J270" s="283"/>
      <c r="K270" s="276"/>
      <c r="L270" s="417" t="str">
        <f t="shared" si="1"/>
        <v/>
      </c>
      <c r="M270" s="425"/>
      <c r="N270" s="426"/>
      <c r="O270" s="427"/>
      <c r="P270" s="425"/>
      <c r="Q270" s="425"/>
      <c r="R270" s="425"/>
      <c r="S270" s="421"/>
      <c r="T270" s="421"/>
      <c r="U270" s="421"/>
      <c r="V270" s="421"/>
      <c r="W270" s="421"/>
      <c r="X270" s="425"/>
      <c r="Y270" s="421"/>
      <c r="Z270" s="421"/>
      <c r="AA270" s="421"/>
      <c r="AB270" s="421"/>
      <c r="AC270" s="421"/>
      <c r="AD270" s="421"/>
      <c r="AE270" s="421"/>
      <c r="AF270" s="421"/>
      <c r="AG270" s="421"/>
      <c r="AH270" s="421"/>
      <c r="AI270" s="421"/>
      <c r="AJ270" s="421"/>
      <c r="AK270" s="421"/>
      <c r="AL270" s="421"/>
      <c r="AM270" s="421"/>
      <c r="AN270" s="421"/>
      <c r="AO270" s="421"/>
      <c r="AP270" s="421"/>
      <c r="AQ270" s="421"/>
      <c r="AR270" s="421"/>
      <c r="AS270" s="421"/>
      <c r="AT270" s="421"/>
      <c r="AU270" s="421"/>
      <c r="AV270" s="421"/>
      <c r="AW270" s="421"/>
      <c r="AX270" s="421"/>
      <c r="AY270" s="421"/>
      <c r="AZ270" s="421"/>
      <c r="BA270" s="421"/>
    </row>
    <row r="271">
      <c r="A271" s="421"/>
      <c r="B271" s="421"/>
      <c r="C271" s="268"/>
      <c r="D271" s="431"/>
      <c r="E271" s="276"/>
      <c r="F271" s="265"/>
      <c r="G271" s="265"/>
      <c r="H271" s="432"/>
      <c r="I271" s="432"/>
      <c r="J271" s="283"/>
      <c r="K271" s="276"/>
      <c r="L271" s="417" t="str">
        <f t="shared" si="1"/>
        <v/>
      </c>
      <c r="M271" s="425"/>
      <c r="N271" s="426"/>
      <c r="O271" s="427"/>
      <c r="P271" s="425"/>
      <c r="Q271" s="425"/>
      <c r="R271" s="425"/>
      <c r="S271" s="421"/>
      <c r="T271" s="421"/>
      <c r="U271" s="421"/>
      <c r="V271" s="421"/>
      <c r="W271" s="421"/>
      <c r="X271" s="425"/>
      <c r="Y271" s="421"/>
      <c r="Z271" s="421"/>
      <c r="AA271" s="421"/>
      <c r="AB271" s="421"/>
      <c r="AC271" s="421"/>
      <c r="AD271" s="421"/>
      <c r="AE271" s="421"/>
      <c r="AF271" s="421"/>
      <c r="AG271" s="421"/>
      <c r="AH271" s="421"/>
      <c r="AI271" s="421"/>
      <c r="AJ271" s="421"/>
      <c r="AK271" s="421"/>
      <c r="AL271" s="421"/>
      <c r="AM271" s="421"/>
      <c r="AN271" s="421"/>
      <c r="AO271" s="421"/>
      <c r="AP271" s="421"/>
      <c r="AQ271" s="421"/>
      <c r="AR271" s="421"/>
      <c r="AS271" s="421"/>
      <c r="AT271" s="421"/>
      <c r="AU271" s="421"/>
      <c r="AV271" s="421"/>
      <c r="AW271" s="421"/>
      <c r="AX271" s="421"/>
      <c r="AY271" s="421"/>
      <c r="AZ271" s="421"/>
      <c r="BA271" s="421"/>
    </row>
    <row r="272">
      <c r="A272" s="421"/>
      <c r="B272" s="421"/>
      <c r="C272" s="268"/>
      <c r="D272" s="431"/>
      <c r="E272" s="276"/>
      <c r="F272" s="265"/>
      <c r="G272" s="265"/>
      <c r="H272" s="432"/>
      <c r="I272" s="432"/>
      <c r="J272" s="283"/>
      <c r="K272" s="276"/>
      <c r="L272" s="417" t="str">
        <f t="shared" si="1"/>
        <v/>
      </c>
      <c r="M272" s="425"/>
      <c r="N272" s="426"/>
      <c r="O272" s="427"/>
      <c r="P272" s="425"/>
      <c r="Q272" s="425"/>
      <c r="R272" s="425"/>
      <c r="S272" s="421"/>
      <c r="T272" s="421"/>
      <c r="U272" s="421"/>
      <c r="V272" s="421"/>
      <c r="W272" s="421"/>
      <c r="X272" s="425"/>
      <c r="Y272" s="421"/>
      <c r="Z272" s="421"/>
      <c r="AA272" s="421"/>
      <c r="AB272" s="421"/>
      <c r="AC272" s="421"/>
      <c r="AD272" s="421"/>
      <c r="AE272" s="421"/>
      <c r="AF272" s="421"/>
      <c r="AG272" s="421"/>
      <c r="AH272" s="421"/>
      <c r="AI272" s="421"/>
      <c r="AJ272" s="421"/>
      <c r="AK272" s="421"/>
      <c r="AL272" s="421"/>
      <c r="AM272" s="421"/>
      <c r="AN272" s="421"/>
      <c r="AO272" s="421"/>
      <c r="AP272" s="421"/>
      <c r="AQ272" s="421"/>
      <c r="AR272" s="421"/>
      <c r="AS272" s="421"/>
      <c r="AT272" s="421"/>
      <c r="AU272" s="421"/>
      <c r="AV272" s="421"/>
      <c r="AW272" s="421"/>
      <c r="AX272" s="421"/>
      <c r="AY272" s="421"/>
      <c r="AZ272" s="421"/>
      <c r="BA272" s="421"/>
    </row>
    <row r="273">
      <c r="A273" s="421"/>
      <c r="B273" s="421"/>
      <c r="C273" s="268"/>
      <c r="D273" s="431"/>
      <c r="E273" s="276"/>
      <c r="F273" s="265"/>
      <c r="G273" s="265"/>
      <c r="H273" s="432"/>
      <c r="I273" s="432"/>
      <c r="J273" s="283"/>
      <c r="K273" s="276"/>
      <c r="L273" s="417" t="str">
        <f t="shared" si="1"/>
        <v/>
      </c>
      <c r="M273" s="425"/>
      <c r="N273" s="426"/>
      <c r="O273" s="427"/>
      <c r="P273" s="425"/>
      <c r="Q273" s="425"/>
      <c r="R273" s="425"/>
      <c r="S273" s="421"/>
      <c r="T273" s="421"/>
      <c r="U273" s="421"/>
      <c r="V273" s="421"/>
      <c r="W273" s="421"/>
      <c r="X273" s="425"/>
      <c r="Y273" s="421"/>
      <c r="Z273" s="421"/>
      <c r="AA273" s="421"/>
      <c r="AB273" s="421"/>
      <c r="AC273" s="421"/>
      <c r="AD273" s="421"/>
      <c r="AE273" s="421"/>
      <c r="AF273" s="421"/>
      <c r="AG273" s="421"/>
      <c r="AH273" s="421"/>
      <c r="AI273" s="421"/>
      <c r="AJ273" s="421"/>
      <c r="AK273" s="421"/>
      <c r="AL273" s="421"/>
      <c r="AM273" s="421"/>
      <c r="AN273" s="421"/>
      <c r="AO273" s="421"/>
      <c r="AP273" s="421"/>
      <c r="AQ273" s="421"/>
      <c r="AR273" s="421"/>
      <c r="AS273" s="421"/>
      <c r="AT273" s="421"/>
      <c r="AU273" s="421"/>
      <c r="AV273" s="421"/>
      <c r="AW273" s="421"/>
      <c r="AX273" s="421"/>
      <c r="AY273" s="421"/>
      <c r="AZ273" s="421"/>
      <c r="BA273" s="421"/>
    </row>
    <row r="274">
      <c r="A274" s="421"/>
      <c r="B274" s="421"/>
      <c r="C274" s="268"/>
      <c r="D274" s="431"/>
      <c r="E274" s="276"/>
      <c r="F274" s="265"/>
      <c r="G274" s="265"/>
      <c r="H274" s="432"/>
      <c r="I274" s="432"/>
      <c r="J274" s="283"/>
      <c r="K274" s="276"/>
      <c r="L274" s="417" t="str">
        <f t="shared" si="1"/>
        <v/>
      </c>
      <c r="M274" s="425"/>
      <c r="N274" s="426"/>
      <c r="O274" s="427"/>
      <c r="P274" s="425"/>
      <c r="Q274" s="425"/>
      <c r="R274" s="425"/>
      <c r="S274" s="421"/>
      <c r="T274" s="421"/>
      <c r="U274" s="421"/>
      <c r="V274" s="421"/>
      <c r="W274" s="421"/>
      <c r="X274" s="425"/>
      <c r="Y274" s="421"/>
      <c r="Z274" s="421"/>
      <c r="AA274" s="421"/>
      <c r="AB274" s="421"/>
      <c r="AC274" s="421"/>
      <c r="AD274" s="421"/>
      <c r="AE274" s="421"/>
      <c r="AF274" s="421"/>
      <c r="AG274" s="421"/>
      <c r="AH274" s="421"/>
      <c r="AI274" s="421"/>
      <c r="AJ274" s="421"/>
      <c r="AK274" s="421"/>
      <c r="AL274" s="421"/>
      <c r="AM274" s="421"/>
      <c r="AN274" s="421"/>
      <c r="AO274" s="421"/>
      <c r="AP274" s="421"/>
      <c r="AQ274" s="421"/>
      <c r="AR274" s="421"/>
      <c r="AS274" s="421"/>
      <c r="AT274" s="421"/>
      <c r="AU274" s="421"/>
      <c r="AV274" s="421"/>
      <c r="AW274" s="421"/>
      <c r="AX274" s="421"/>
      <c r="AY274" s="421"/>
      <c r="AZ274" s="421"/>
      <c r="BA274" s="421"/>
    </row>
    <row r="275">
      <c r="A275" s="421"/>
      <c r="B275" s="421"/>
      <c r="C275" s="268"/>
      <c r="D275" s="431"/>
      <c r="E275" s="276"/>
      <c r="F275" s="265"/>
      <c r="G275" s="265"/>
      <c r="H275" s="432"/>
      <c r="I275" s="432"/>
      <c r="J275" s="283"/>
      <c r="K275" s="276"/>
      <c r="L275" s="417" t="str">
        <f t="shared" si="1"/>
        <v/>
      </c>
      <c r="M275" s="425"/>
      <c r="N275" s="426"/>
      <c r="O275" s="427"/>
      <c r="P275" s="425"/>
      <c r="Q275" s="425"/>
      <c r="R275" s="425"/>
      <c r="S275" s="421"/>
      <c r="T275" s="421"/>
      <c r="U275" s="421"/>
      <c r="V275" s="421"/>
      <c r="W275" s="421"/>
      <c r="X275" s="425"/>
      <c r="Y275" s="421"/>
      <c r="Z275" s="421"/>
      <c r="AA275" s="421"/>
      <c r="AB275" s="421"/>
      <c r="AC275" s="421"/>
      <c r="AD275" s="421"/>
      <c r="AE275" s="421"/>
      <c r="AF275" s="421"/>
      <c r="AG275" s="421"/>
      <c r="AH275" s="421"/>
      <c r="AI275" s="421"/>
      <c r="AJ275" s="421"/>
      <c r="AK275" s="421"/>
      <c r="AL275" s="421"/>
      <c r="AM275" s="421"/>
      <c r="AN275" s="421"/>
      <c r="AO275" s="421"/>
      <c r="AP275" s="421"/>
      <c r="AQ275" s="421"/>
      <c r="AR275" s="421"/>
      <c r="AS275" s="421"/>
      <c r="AT275" s="421"/>
      <c r="AU275" s="421"/>
      <c r="AV275" s="421"/>
      <c r="AW275" s="421"/>
      <c r="AX275" s="421"/>
      <c r="AY275" s="421"/>
      <c r="AZ275" s="421"/>
      <c r="BA275" s="421"/>
    </row>
    <row r="276">
      <c r="A276" s="421"/>
      <c r="B276" s="421"/>
      <c r="C276" s="268"/>
      <c r="D276" s="431"/>
      <c r="E276" s="276"/>
      <c r="F276" s="265"/>
      <c r="G276" s="265"/>
      <c r="H276" s="432"/>
      <c r="I276" s="432"/>
      <c r="J276" s="283"/>
      <c r="K276" s="276"/>
      <c r="L276" s="417" t="str">
        <f t="shared" si="1"/>
        <v/>
      </c>
      <c r="M276" s="425"/>
      <c r="N276" s="426"/>
      <c r="O276" s="427"/>
      <c r="P276" s="425"/>
      <c r="Q276" s="425"/>
      <c r="R276" s="425"/>
      <c r="S276" s="421"/>
      <c r="T276" s="421"/>
      <c r="U276" s="421"/>
      <c r="V276" s="421"/>
      <c r="W276" s="421"/>
      <c r="X276" s="425"/>
      <c r="Y276" s="421"/>
      <c r="Z276" s="421"/>
      <c r="AA276" s="421"/>
      <c r="AB276" s="421"/>
      <c r="AC276" s="421"/>
      <c r="AD276" s="421"/>
      <c r="AE276" s="421"/>
      <c r="AF276" s="421"/>
      <c r="AG276" s="421"/>
      <c r="AH276" s="421"/>
      <c r="AI276" s="421"/>
      <c r="AJ276" s="421"/>
      <c r="AK276" s="421"/>
      <c r="AL276" s="421"/>
      <c r="AM276" s="421"/>
      <c r="AN276" s="421"/>
      <c r="AO276" s="421"/>
      <c r="AP276" s="421"/>
      <c r="AQ276" s="421"/>
      <c r="AR276" s="421"/>
      <c r="AS276" s="421"/>
      <c r="AT276" s="421"/>
      <c r="AU276" s="421"/>
      <c r="AV276" s="421"/>
      <c r="AW276" s="421"/>
      <c r="AX276" s="421"/>
      <c r="AY276" s="421"/>
      <c r="AZ276" s="421"/>
      <c r="BA276" s="421"/>
    </row>
    <row r="277">
      <c r="A277" s="421"/>
      <c r="B277" s="421"/>
      <c r="C277" s="268"/>
      <c r="D277" s="431"/>
      <c r="E277" s="276"/>
      <c r="F277" s="265"/>
      <c r="G277" s="265"/>
      <c r="H277" s="432"/>
      <c r="I277" s="432"/>
      <c r="J277" s="283"/>
      <c r="K277" s="276"/>
      <c r="L277" s="417" t="str">
        <f t="shared" si="1"/>
        <v/>
      </c>
      <c r="M277" s="425"/>
      <c r="N277" s="426"/>
      <c r="O277" s="427"/>
      <c r="P277" s="425"/>
      <c r="Q277" s="425"/>
      <c r="R277" s="425"/>
      <c r="S277" s="421"/>
      <c r="T277" s="421"/>
      <c r="U277" s="421"/>
      <c r="V277" s="421"/>
      <c r="W277" s="421"/>
      <c r="X277" s="425"/>
      <c r="Y277" s="421"/>
      <c r="Z277" s="421"/>
      <c r="AA277" s="421"/>
      <c r="AB277" s="421"/>
      <c r="AC277" s="421"/>
      <c r="AD277" s="421"/>
      <c r="AE277" s="421"/>
      <c r="AF277" s="421"/>
      <c r="AG277" s="421"/>
      <c r="AH277" s="421"/>
      <c r="AI277" s="421"/>
      <c r="AJ277" s="421"/>
      <c r="AK277" s="421"/>
      <c r="AL277" s="421"/>
      <c r="AM277" s="421"/>
      <c r="AN277" s="421"/>
      <c r="AO277" s="421"/>
      <c r="AP277" s="421"/>
      <c r="AQ277" s="421"/>
      <c r="AR277" s="421"/>
      <c r="AS277" s="421"/>
      <c r="AT277" s="421"/>
      <c r="AU277" s="421"/>
      <c r="AV277" s="421"/>
      <c r="AW277" s="421"/>
      <c r="AX277" s="421"/>
      <c r="AY277" s="421"/>
      <c r="AZ277" s="421"/>
      <c r="BA277" s="421"/>
    </row>
    <row r="278">
      <c r="A278" s="421"/>
      <c r="B278" s="421"/>
      <c r="C278" s="268"/>
      <c r="D278" s="431"/>
      <c r="E278" s="276"/>
      <c r="F278" s="265"/>
      <c r="G278" s="265"/>
      <c r="H278" s="432"/>
      <c r="I278" s="432"/>
      <c r="J278" s="283"/>
      <c r="K278" s="276"/>
      <c r="L278" s="417" t="str">
        <f t="shared" si="1"/>
        <v/>
      </c>
      <c r="M278" s="425"/>
      <c r="N278" s="426"/>
      <c r="O278" s="427"/>
      <c r="P278" s="425"/>
      <c r="Q278" s="425"/>
      <c r="R278" s="425"/>
      <c r="S278" s="421"/>
      <c r="T278" s="421"/>
      <c r="U278" s="421"/>
      <c r="V278" s="421"/>
      <c r="W278" s="421"/>
      <c r="X278" s="425"/>
      <c r="Y278" s="421"/>
      <c r="Z278" s="421"/>
      <c r="AA278" s="421"/>
      <c r="AB278" s="421"/>
      <c r="AC278" s="421"/>
      <c r="AD278" s="421"/>
      <c r="AE278" s="421"/>
      <c r="AF278" s="421"/>
      <c r="AG278" s="421"/>
      <c r="AH278" s="421"/>
      <c r="AI278" s="421"/>
      <c r="AJ278" s="421"/>
      <c r="AK278" s="421"/>
      <c r="AL278" s="421"/>
      <c r="AM278" s="421"/>
      <c r="AN278" s="421"/>
      <c r="AO278" s="421"/>
      <c r="AP278" s="421"/>
      <c r="AQ278" s="421"/>
      <c r="AR278" s="421"/>
      <c r="AS278" s="421"/>
      <c r="AT278" s="421"/>
      <c r="AU278" s="421"/>
      <c r="AV278" s="421"/>
      <c r="AW278" s="421"/>
      <c r="AX278" s="421"/>
      <c r="AY278" s="421"/>
      <c r="AZ278" s="421"/>
      <c r="BA278" s="421"/>
    </row>
    <row r="279">
      <c r="A279" s="421"/>
      <c r="B279" s="421"/>
      <c r="C279" s="268"/>
      <c r="D279" s="431"/>
      <c r="E279" s="276"/>
      <c r="F279" s="265"/>
      <c r="G279" s="265"/>
      <c r="H279" s="432"/>
      <c r="I279" s="432"/>
      <c r="J279" s="283"/>
      <c r="K279" s="276"/>
      <c r="L279" s="417" t="str">
        <f t="shared" si="1"/>
        <v/>
      </c>
      <c r="M279" s="425"/>
      <c r="N279" s="426"/>
      <c r="O279" s="427"/>
      <c r="P279" s="425"/>
      <c r="Q279" s="425"/>
      <c r="R279" s="425"/>
      <c r="S279" s="421"/>
      <c r="T279" s="421"/>
      <c r="U279" s="421"/>
      <c r="V279" s="421"/>
      <c r="W279" s="421"/>
      <c r="X279" s="425"/>
      <c r="Y279" s="421"/>
      <c r="Z279" s="421"/>
      <c r="AA279" s="421"/>
      <c r="AB279" s="421"/>
      <c r="AC279" s="421"/>
      <c r="AD279" s="421"/>
      <c r="AE279" s="421"/>
      <c r="AF279" s="421"/>
      <c r="AG279" s="421"/>
      <c r="AH279" s="421"/>
      <c r="AI279" s="421"/>
      <c r="AJ279" s="421"/>
      <c r="AK279" s="421"/>
      <c r="AL279" s="421"/>
      <c r="AM279" s="421"/>
      <c r="AN279" s="421"/>
      <c r="AO279" s="421"/>
      <c r="AP279" s="421"/>
      <c r="AQ279" s="421"/>
      <c r="AR279" s="421"/>
      <c r="AS279" s="421"/>
      <c r="AT279" s="421"/>
      <c r="AU279" s="421"/>
      <c r="AV279" s="421"/>
      <c r="AW279" s="421"/>
      <c r="AX279" s="421"/>
      <c r="AY279" s="421"/>
      <c r="AZ279" s="421"/>
      <c r="BA279" s="421"/>
    </row>
    <row r="280">
      <c r="A280" s="421"/>
      <c r="B280" s="421"/>
      <c r="C280" s="268"/>
      <c r="D280" s="431"/>
      <c r="E280" s="276"/>
      <c r="F280" s="265"/>
      <c r="G280" s="265"/>
      <c r="H280" s="432"/>
      <c r="I280" s="432"/>
      <c r="J280" s="283"/>
      <c r="K280" s="276"/>
      <c r="L280" s="417" t="str">
        <f t="shared" si="1"/>
        <v/>
      </c>
      <c r="M280" s="425"/>
      <c r="N280" s="426"/>
      <c r="O280" s="427"/>
      <c r="P280" s="425"/>
      <c r="Q280" s="425"/>
      <c r="R280" s="425"/>
      <c r="S280" s="421"/>
      <c r="T280" s="421"/>
      <c r="U280" s="421"/>
      <c r="V280" s="421"/>
      <c r="W280" s="421"/>
      <c r="X280" s="425"/>
      <c r="Y280" s="421"/>
      <c r="Z280" s="421"/>
      <c r="AA280" s="421"/>
      <c r="AB280" s="421"/>
      <c r="AC280" s="421"/>
      <c r="AD280" s="421"/>
      <c r="AE280" s="421"/>
      <c r="AF280" s="421"/>
      <c r="AG280" s="421"/>
      <c r="AH280" s="421"/>
      <c r="AI280" s="421"/>
      <c r="AJ280" s="421"/>
      <c r="AK280" s="421"/>
      <c r="AL280" s="421"/>
      <c r="AM280" s="421"/>
      <c r="AN280" s="421"/>
      <c r="AO280" s="421"/>
      <c r="AP280" s="421"/>
      <c r="AQ280" s="421"/>
      <c r="AR280" s="421"/>
      <c r="AS280" s="421"/>
      <c r="AT280" s="421"/>
      <c r="AU280" s="421"/>
      <c r="AV280" s="421"/>
      <c r="AW280" s="421"/>
      <c r="AX280" s="421"/>
      <c r="AY280" s="421"/>
      <c r="AZ280" s="421"/>
      <c r="BA280" s="421"/>
    </row>
    <row r="281">
      <c r="A281" s="421"/>
      <c r="B281" s="421"/>
      <c r="C281" s="268"/>
      <c r="D281" s="431"/>
      <c r="E281" s="276"/>
      <c r="F281" s="265"/>
      <c r="G281" s="265"/>
      <c r="H281" s="432"/>
      <c r="I281" s="432"/>
      <c r="J281" s="283"/>
      <c r="K281" s="276"/>
      <c r="L281" s="417" t="str">
        <f t="shared" si="1"/>
        <v/>
      </c>
      <c r="M281" s="425"/>
      <c r="N281" s="426"/>
      <c r="O281" s="427"/>
      <c r="P281" s="425"/>
      <c r="Q281" s="425"/>
      <c r="R281" s="425"/>
      <c r="S281" s="421"/>
      <c r="T281" s="421"/>
      <c r="U281" s="421"/>
      <c r="V281" s="421"/>
      <c r="W281" s="421"/>
      <c r="X281" s="425"/>
      <c r="Y281" s="421"/>
      <c r="Z281" s="421"/>
      <c r="AA281" s="421"/>
      <c r="AB281" s="421"/>
      <c r="AC281" s="421"/>
      <c r="AD281" s="421"/>
      <c r="AE281" s="421"/>
      <c r="AF281" s="421"/>
      <c r="AG281" s="421"/>
      <c r="AH281" s="421"/>
      <c r="AI281" s="421"/>
      <c r="AJ281" s="421"/>
      <c r="AK281" s="421"/>
      <c r="AL281" s="421"/>
      <c r="AM281" s="421"/>
      <c r="AN281" s="421"/>
      <c r="AO281" s="421"/>
      <c r="AP281" s="421"/>
      <c r="AQ281" s="421"/>
      <c r="AR281" s="421"/>
      <c r="AS281" s="421"/>
      <c r="AT281" s="421"/>
      <c r="AU281" s="421"/>
      <c r="AV281" s="421"/>
      <c r="AW281" s="421"/>
      <c r="AX281" s="421"/>
      <c r="AY281" s="421"/>
      <c r="AZ281" s="421"/>
      <c r="BA281" s="421"/>
    </row>
    <row r="282">
      <c r="A282" s="421"/>
      <c r="B282" s="421"/>
      <c r="C282" s="268"/>
      <c r="D282" s="431"/>
      <c r="E282" s="276"/>
      <c r="F282" s="265"/>
      <c r="G282" s="265"/>
      <c r="H282" s="432"/>
      <c r="I282" s="432"/>
      <c r="J282" s="283"/>
      <c r="K282" s="276"/>
      <c r="L282" s="417" t="str">
        <f t="shared" si="1"/>
        <v/>
      </c>
      <c r="M282" s="425"/>
      <c r="N282" s="426"/>
      <c r="O282" s="427"/>
      <c r="P282" s="425"/>
      <c r="Q282" s="425"/>
      <c r="R282" s="425"/>
      <c r="S282" s="421"/>
      <c r="T282" s="421"/>
      <c r="U282" s="421"/>
      <c r="V282" s="421"/>
      <c r="W282" s="421"/>
      <c r="X282" s="425"/>
      <c r="Y282" s="421"/>
      <c r="Z282" s="421"/>
      <c r="AA282" s="421"/>
      <c r="AB282" s="421"/>
      <c r="AC282" s="421"/>
      <c r="AD282" s="421"/>
      <c r="AE282" s="421"/>
      <c r="AF282" s="421"/>
      <c r="AG282" s="421"/>
      <c r="AH282" s="421"/>
      <c r="AI282" s="421"/>
      <c r="AJ282" s="421"/>
      <c r="AK282" s="421"/>
      <c r="AL282" s="421"/>
      <c r="AM282" s="421"/>
      <c r="AN282" s="421"/>
      <c r="AO282" s="421"/>
      <c r="AP282" s="421"/>
      <c r="AQ282" s="421"/>
      <c r="AR282" s="421"/>
      <c r="AS282" s="421"/>
      <c r="AT282" s="421"/>
      <c r="AU282" s="421"/>
      <c r="AV282" s="421"/>
      <c r="AW282" s="421"/>
      <c r="AX282" s="421"/>
      <c r="AY282" s="421"/>
      <c r="AZ282" s="421"/>
      <c r="BA282" s="421"/>
    </row>
    <row r="283">
      <c r="A283" s="421"/>
      <c r="B283" s="421"/>
      <c r="C283" s="268"/>
      <c r="D283" s="431"/>
      <c r="E283" s="276"/>
      <c r="F283" s="265"/>
      <c r="G283" s="265"/>
      <c r="H283" s="432"/>
      <c r="I283" s="432"/>
      <c r="J283" s="283"/>
      <c r="K283" s="276"/>
      <c r="L283" s="417" t="str">
        <f t="shared" si="1"/>
        <v/>
      </c>
      <c r="M283" s="425"/>
      <c r="N283" s="426"/>
      <c r="O283" s="427"/>
      <c r="P283" s="425"/>
      <c r="Q283" s="425"/>
      <c r="R283" s="425"/>
      <c r="S283" s="421"/>
      <c r="T283" s="421"/>
      <c r="U283" s="421"/>
      <c r="V283" s="421"/>
      <c r="W283" s="421"/>
      <c r="X283" s="425"/>
      <c r="Y283" s="421"/>
      <c r="Z283" s="421"/>
      <c r="AA283" s="421"/>
      <c r="AB283" s="421"/>
      <c r="AC283" s="421"/>
      <c r="AD283" s="421"/>
      <c r="AE283" s="421"/>
      <c r="AF283" s="421"/>
      <c r="AG283" s="421"/>
      <c r="AH283" s="421"/>
      <c r="AI283" s="421"/>
      <c r="AJ283" s="421"/>
      <c r="AK283" s="421"/>
      <c r="AL283" s="421"/>
      <c r="AM283" s="421"/>
      <c r="AN283" s="421"/>
      <c r="AO283" s="421"/>
      <c r="AP283" s="421"/>
      <c r="AQ283" s="421"/>
      <c r="AR283" s="421"/>
      <c r="AS283" s="421"/>
      <c r="AT283" s="421"/>
      <c r="AU283" s="421"/>
      <c r="AV283" s="421"/>
      <c r="AW283" s="421"/>
      <c r="AX283" s="421"/>
      <c r="AY283" s="421"/>
      <c r="AZ283" s="421"/>
      <c r="BA283" s="421"/>
    </row>
    <row r="284">
      <c r="A284" s="421"/>
      <c r="B284" s="421"/>
      <c r="C284" s="268"/>
      <c r="D284" s="431"/>
      <c r="E284" s="276"/>
      <c r="F284" s="265"/>
      <c r="G284" s="265"/>
      <c r="H284" s="432"/>
      <c r="I284" s="432"/>
      <c r="J284" s="283"/>
      <c r="K284" s="276"/>
      <c r="L284" s="417" t="str">
        <f t="shared" si="1"/>
        <v/>
      </c>
      <c r="M284" s="425"/>
      <c r="N284" s="426"/>
      <c r="O284" s="427"/>
      <c r="P284" s="425"/>
      <c r="Q284" s="425"/>
      <c r="R284" s="425"/>
      <c r="S284" s="421"/>
      <c r="T284" s="421"/>
      <c r="U284" s="421"/>
      <c r="V284" s="421"/>
      <c r="W284" s="421"/>
      <c r="X284" s="425"/>
      <c r="Y284" s="421"/>
      <c r="Z284" s="421"/>
      <c r="AA284" s="421"/>
      <c r="AB284" s="421"/>
      <c r="AC284" s="421"/>
      <c r="AD284" s="421"/>
      <c r="AE284" s="421"/>
      <c r="AF284" s="421"/>
      <c r="AG284" s="421"/>
      <c r="AH284" s="421"/>
      <c r="AI284" s="421"/>
      <c r="AJ284" s="421"/>
      <c r="AK284" s="421"/>
      <c r="AL284" s="421"/>
      <c r="AM284" s="421"/>
      <c r="AN284" s="421"/>
      <c r="AO284" s="421"/>
      <c r="AP284" s="421"/>
      <c r="AQ284" s="421"/>
      <c r="AR284" s="421"/>
      <c r="AS284" s="421"/>
      <c r="AT284" s="421"/>
      <c r="AU284" s="421"/>
      <c r="AV284" s="421"/>
      <c r="AW284" s="421"/>
      <c r="AX284" s="421"/>
      <c r="AY284" s="421"/>
      <c r="AZ284" s="421"/>
      <c r="BA284" s="421"/>
    </row>
    <row r="285">
      <c r="A285" s="421"/>
      <c r="B285" s="421"/>
      <c r="C285" s="268"/>
      <c r="D285" s="431"/>
      <c r="E285" s="276"/>
      <c r="F285" s="265"/>
      <c r="G285" s="265"/>
      <c r="H285" s="432"/>
      <c r="I285" s="432"/>
      <c r="J285" s="283"/>
      <c r="K285" s="276"/>
      <c r="L285" s="417" t="str">
        <f t="shared" si="1"/>
        <v/>
      </c>
      <c r="M285" s="425"/>
      <c r="N285" s="426"/>
      <c r="O285" s="427"/>
      <c r="P285" s="425"/>
      <c r="Q285" s="425"/>
      <c r="R285" s="425"/>
      <c r="S285" s="421"/>
      <c r="T285" s="421"/>
      <c r="U285" s="421"/>
      <c r="V285" s="421"/>
      <c r="W285" s="421"/>
      <c r="X285" s="425"/>
      <c r="Y285" s="421"/>
      <c r="Z285" s="421"/>
      <c r="AA285" s="421"/>
      <c r="AB285" s="421"/>
      <c r="AC285" s="421"/>
      <c r="AD285" s="421"/>
      <c r="AE285" s="421"/>
      <c r="AF285" s="421"/>
      <c r="AG285" s="421"/>
      <c r="AH285" s="421"/>
      <c r="AI285" s="421"/>
      <c r="AJ285" s="421"/>
      <c r="AK285" s="421"/>
      <c r="AL285" s="421"/>
      <c r="AM285" s="421"/>
      <c r="AN285" s="421"/>
      <c r="AO285" s="421"/>
      <c r="AP285" s="421"/>
      <c r="AQ285" s="421"/>
      <c r="AR285" s="421"/>
      <c r="AS285" s="421"/>
      <c r="AT285" s="421"/>
      <c r="AU285" s="421"/>
      <c r="AV285" s="421"/>
      <c r="AW285" s="421"/>
      <c r="AX285" s="421"/>
      <c r="AY285" s="421"/>
      <c r="AZ285" s="421"/>
      <c r="BA285" s="421"/>
    </row>
    <row r="286">
      <c r="A286" s="421"/>
      <c r="B286" s="421"/>
      <c r="C286" s="268"/>
      <c r="D286" s="431"/>
      <c r="E286" s="276"/>
      <c r="F286" s="265"/>
      <c r="G286" s="265"/>
      <c r="H286" s="432"/>
      <c r="I286" s="432"/>
      <c r="J286" s="283"/>
      <c r="K286" s="276"/>
      <c r="L286" s="417" t="str">
        <f t="shared" si="1"/>
        <v/>
      </c>
      <c r="M286" s="425"/>
      <c r="N286" s="426"/>
      <c r="O286" s="427"/>
      <c r="P286" s="425"/>
      <c r="Q286" s="425"/>
      <c r="R286" s="425"/>
      <c r="S286" s="421"/>
      <c r="T286" s="421"/>
      <c r="U286" s="421"/>
      <c r="V286" s="421"/>
      <c r="W286" s="421"/>
      <c r="X286" s="425"/>
      <c r="Y286" s="421"/>
      <c r="Z286" s="421"/>
      <c r="AA286" s="421"/>
      <c r="AB286" s="421"/>
      <c r="AC286" s="421"/>
      <c r="AD286" s="421"/>
      <c r="AE286" s="421"/>
      <c r="AF286" s="421"/>
      <c r="AG286" s="421"/>
      <c r="AH286" s="421"/>
      <c r="AI286" s="421"/>
      <c r="AJ286" s="421"/>
      <c r="AK286" s="421"/>
      <c r="AL286" s="421"/>
      <c r="AM286" s="421"/>
      <c r="AN286" s="421"/>
      <c r="AO286" s="421"/>
      <c r="AP286" s="421"/>
      <c r="AQ286" s="421"/>
      <c r="AR286" s="421"/>
      <c r="AS286" s="421"/>
      <c r="AT286" s="421"/>
      <c r="AU286" s="421"/>
      <c r="AV286" s="421"/>
      <c r="AW286" s="421"/>
      <c r="AX286" s="421"/>
      <c r="AY286" s="421"/>
      <c r="AZ286" s="421"/>
      <c r="BA286" s="421"/>
    </row>
    <row r="287">
      <c r="A287" s="421"/>
      <c r="B287" s="421"/>
      <c r="C287" s="268"/>
      <c r="D287" s="431"/>
      <c r="E287" s="276"/>
      <c r="F287" s="265"/>
      <c r="G287" s="265"/>
      <c r="H287" s="432"/>
      <c r="I287" s="432"/>
      <c r="J287" s="283"/>
      <c r="K287" s="276"/>
      <c r="L287" s="417" t="str">
        <f t="shared" si="1"/>
        <v/>
      </c>
      <c r="M287" s="425"/>
      <c r="N287" s="426"/>
      <c r="O287" s="427"/>
      <c r="P287" s="425"/>
      <c r="Q287" s="425"/>
      <c r="R287" s="425"/>
      <c r="S287" s="421"/>
      <c r="T287" s="421"/>
      <c r="U287" s="421"/>
      <c r="V287" s="421"/>
      <c r="W287" s="421"/>
      <c r="X287" s="425"/>
      <c r="Y287" s="421"/>
      <c r="Z287" s="421"/>
      <c r="AA287" s="421"/>
      <c r="AB287" s="421"/>
      <c r="AC287" s="421"/>
      <c r="AD287" s="421"/>
      <c r="AE287" s="421"/>
      <c r="AF287" s="421"/>
      <c r="AG287" s="421"/>
      <c r="AH287" s="421"/>
      <c r="AI287" s="421"/>
      <c r="AJ287" s="421"/>
      <c r="AK287" s="421"/>
      <c r="AL287" s="421"/>
      <c r="AM287" s="421"/>
      <c r="AN287" s="421"/>
      <c r="AO287" s="421"/>
      <c r="AP287" s="421"/>
      <c r="AQ287" s="421"/>
      <c r="AR287" s="421"/>
      <c r="AS287" s="421"/>
      <c r="AT287" s="421"/>
      <c r="AU287" s="421"/>
      <c r="AV287" s="421"/>
      <c r="AW287" s="421"/>
      <c r="AX287" s="421"/>
      <c r="AY287" s="421"/>
      <c r="AZ287" s="421"/>
      <c r="BA287" s="421"/>
    </row>
    <row r="288">
      <c r="A288" s="421"/>
      <c r="B288" s="421"/>
      <c r="C288" s="268"/>
      <c r="D288" s="431"/>
      <c r="E288" s="276"/>
      <c r="F288" s="265"/>
      <c r="G288" s="265"/>
      <c r="H288" s="432"/>
      <c r="I288" s="432"/>
      <c r="J288" s="283"/>
      <c r="K288" s="276"/>
      <c r="L288" s="417" t="str">
        <f t="shared" si="1"/>
        <v/>
      </c>
      <c r="M288" s="425"/>
      <c r="N288" s="426"/>
      <c r="O288" s="427"/>
      <c r="P288" s="425"/>
      <c r="Q288" s="425"/>
      <c r="R288" s="425"/>
      <c r="S288" s="421"/>
      <c r="T288" s="421"/>
      <c r="U288" s="421"/>
      <c r="V288" s="421"/>
      <c r="W288" s="421"/>
      <c r="X288" s="425"/>
      <c r="Y288" s="421"/>
      <c r="Z288" s="421"/>
      <c r="AA288" s="421"/>
      <c r="AB288" s="421"/>
      <c r="AC288" s="421"/>
      <c r="AD288" s="421"/>
      <c r="AE288" s="421"/>
      <c r="AF288" s="421"/>
      <c r="AG288" s="421"/>
      <c r="AH288" s="421"/>
      <c r="AI288" s="421"/>
      <c r="AJ288" s="421"/>
      <c r="AK288" s="421"/>
      <c r="AL288" s="421"/>
      <c r="AM288" s="421"/>
      <c r="AN288" s="421"/>
      <c r="AO288" s="421"/>
      <c r="AP288" s="421"/>
      <c r="AQ288" s="421"/>
      <c r="AR288" s="421"/>
      <c r="AS288" s="421"/>
      <c r="AT288" s="421"/>
      <c r="AU288" s="421"/>
      <c r="AV288" s="421"/>
      <c r="AW288" s="421"/>
      <c r="AX288" s="421"/>
      <c r="AY288" s="421"/>
      <c r="AZ288" s="421"/>
      <c r="BA288" s="421"/>
    </row>
    <row r="289">
      <c r="A289" s="421"/>
      <c r="B289" s="421"/>
      <c r="C289" s="268"/>
      <c r="D289" s="431"/>
      <c r="E289" s="276"/>
      <c r="F289" s="265"/>
      <c r="G289" s="265"/>
      <c r="H289" s="432"/>
      <c r="I289" s="432"/>
      <c r="J289" s="283"/>
      <c r="K289" s="276"/>
      <c r="L289" s="417" t="str">
        <f t="shared" si="1"/>
        <v/>
      </c>
      <c r="M289" s="425"/>
      <c r="N289" s="426"/>
      <c r="O289" s="427"/>
      <c r="P289" s="425"/>
      <c r="Q289" s="425"/>
      <c r="R289" s="425"/>
      <c r="S289" s="421"/>
      <c r="T289" s="421"/>
      <c r="U289" s="421"/>
      <c r="V289" s="421"/>
      <c r="W289" s="421"/>
      <c r="X289" s="425"/>
      <c r="Y289" s="421"/>
      <c r="Z289" s="421"/>
      <c r="AA289" s="421"/>
      <c r="AB289" s="421"/>
      <c r="AC289" s="421"/>
      <c r="AD289" s="421"/>
      <c r="AE289" s="421"/>
      <c r="AF289" s="421"/>
      <c r="AG289" s="421"/>
      <c r="AH289" s="421"/>
      <c r="AI289" s="421"/>
      <c r="AJ289" s="421"/>
      <c r="AK289" s="421"/>
      <c r="AL289" s="421"/>
      <c r="AM289" s="421"/>
      <c r="AN289" s="421"/>
      <c r="AO289" s="421"/>
      <c r="AP289" s="421"/>
      <c r="AQ289" s="421"/>
      <c r="AR289" s="421"/>
      <c r="AS289" s="421"/>
      <c r="AT289" s="421"/>
      <c r="AU289" s="421"/>
      <c r="AV289" s="421"/>
      <c r="AW289" s="421"/>
      <c r="AX289" s="421"/>
      <c r="AY289" s="421"/>
      <c r="AZ289" s="421"/>
      <c r="BA289" s="421"/>
    </row>
    <row r="290">
      <c r="A290" s="421"/>
      <c r="B290" s="421"/>
      <c r="C290" s="268"/>
      <c r="D290" s="431"/>
      <c r="E290" s="276"/>
      <c r="F290" s="265"/>
      <c r="G290" s="265"/>
      <c r="H290" s="432"/>
      <c r="I290" s="432"/>
      <c r="J290" s="283"/>
      <c r="K290" s="276"/>
      <c r="L290" s="417" t="str">
        <f t="shared" si="1"/>
        <v/>
      </c>
      <c r="M290" s="425"/>
      <c r="N290" s="426"/>
      <c r="O290" s="427"/>
      <c r="P290" s="425"/>
      <c r="Q290" s="425"/>
      <c r="R290" s="425"/>
      <c r="S290" s="421"/>
      <c r="T290" s="421"/>
      <c r="U290" s="421"/>
      <c r="V290" s="421"/>
      <c r="W290" s="421"/>
      <c r="X290" s="425"/>
      <c r="Y290" s="421"/>
      <c r="Z290" s="421"/>
      <c r="AA290" s="421"/>
      <c r="AB290" s="421"/>
      <c r="AC290" s="421"/>
      <c r="AD290" s="421"/>
      <c r="AE290" s="421"/>
      <c r="AF290" s="421"/>
      <c r="AG290" s="421"/>
      <c r="AH290" s="421"/>
      <c r="AI290" s="421"/>
      <c r="AJ290" s="421"/>
      <c r="AK290" s="421"/>
      <c r="AL290" s="421"/>
      <c r="AM290" s="421"/>
      <c r="AN290" s="421"/>
      <c r="AO290" s="421"/>
      <c r="AP290" s="421"/>
      <c r="AQ290" s="421"/>
      <c r="AR290" s="421"/>
      <c r="AS290" s="421"/>
      <c r="AT290" s="421"/>
      <c r="AU290" s="421"/>
      <c r="AV290" s="421"/>
      <c r="AW290" s="421"/>
      <c r="AX290" s="421"/>
      <c r="AY290" s="421"/>
      <c r="AZ290" s="421"/>
      <c r="BA290" s="421"/>
    </row>
    <row r="291">
      <c r="A291" s="421"/>
      <c r="B291" s="421"/>
      <c r="C291" s="268"/>
      <c r="D291" s="431"/>
      <c r="E291" s="276"/>
      <c r="F291" s="265"/>
      <c r="G291" s="265"/>
      <c r="H291" s="432"/>
      <c r="I291" s="432"/>
      <c r="J291" s="283"/>
      <c r="K291" s="276"/>
      <c r="L291" s="417" t="str">
        <f t="shared" si="1"/>
        <v/>
      </c>
      <c r="M291" s="425"/>
      <c r="N291" s="426"/>
      <c r="O291" s="427"/>
      <c r="P291" s="425"/>
      <c r="Q291" s="425"/>
      <c r="R291" s="425"/>
      <c r="S291" s="421"/>
      <c r="T291" s="421"/>
      <c r="U291" s="421"/>
      <c r="V291" s="421"/>
      <c r="W291" s="421"/>
      <c r="X291" s="425"/>
      <c r="Y291" s="421"/>
      <c r="Z291" s="421"/>
      <c r="AA291" s="421"/>
      <c r="AB291" s="421"/>
      <c r="AC291" s="421"/>
      <c r="AD291" s="421"/>
      <c r="AE291" s="421"/>
      <c r="AF291" s="421"/>
      <c r="AG291" s="421"/>
      <c r="AH291" s="421"/>
      <c r="AI291" s="421"/>
      <c r="AJ291" s="421"/>
      <c r="AK291" s="421"/>
      <c r="AL291" s="421"/>
      <c r="AM291" s="421"/>
      <c r="AN291" s="421"/>
      <c r="AO291" s="421"/>
      <c r="AP291" s="421"/>
      <c r="AQ291" s="421"/>
      <c r="AR291" s="421"/>
      <c r="AS291" s="421"/>
      <c r="AT291" s="421"/>
      <c r="AU291" s="421"/>
      <c r="AV291" s="421"/>
      <c r="AW291" s="421"/>
      <c r="AX291" s="421"/>
      <c r="AY291" s="421"/>
      <c r="AZ291" s="421"/>
      <c r="BA291" s="421"/>
    </row>
    <row r="292">
      <c r="A292" s="421"/>
      <c r="B292" s="421"/>
      <c r="C292" s="268"/>
      <c r="D292" s="431"/>
      <c r="E292" s="276"/>
      <c r="F292" s="265"/>
      <c r="G292" s="265"/>
      <c r="H292" s="432"/>
      <c r="I292" s="432"/>
      <c r="J292" s="283"/>
      <c r="K292" s="276"/>
      <c r="L292" s="417" t="str">
        <f t="shared" si="1"/>
        <v/>
      </c>
      <c r="M292" s="425"/>
      <c r="N292" s="426"/>
      <c r="O292" s="427"/>
      <c r="P292" s="425"/>
      <c r="Q292" s="425"/>
      <c r="R292" s="425"/>
      <c r="S292" s="421"/>
      <c r="T292" s="421"/>
      <c r="U292" s="421"/>
      <c r="V292" s="421"/>
      <c r="W292" s="421"/>
      <c r="X292" s="425"/>
      <c r="Y292" s="421"/>
      <c r="Z292" s="421"/>
      <c r="AA292" s="421"/>
      <c r="AB292" s="421"/>
      <c r="AC292" s="421"/>
      <c r="AD292" s="421"/>
      <c r="AE292" s="421"/>
      <c r="AF292" s="421"/>
      <c r="AG292" s="421"/>
      <c r="AH292" s="421"/>
      <c r="AI292" s="421"/>
      <c r="AJ292" s="421"/>
      <c r="AK292" s="421"/>
      <c r="AL292" s="421"/>
      <c r="AM292" s="421"/>
      <c r="AN292" s="421"/>
      <c r="AO292" s="421"/>
      <c r="AP292" s="421"/>
      <c r="AQ292" s="421"/>
      <c r="AR292" s="421"/>
      <c r="AS292" s="421"/>
      <c r="AT292" s="421"/>
      <c r="AU292" s="421"/>
      <c r="AV292" s="421"/>
      <c r="AW292" s="421"/>
      <c r="AX292" s="421"/>
      <c r="AY292" s="421"/>
      <c r="AZ292" s="421"/>
      <c r="BA292" s="421"/>
    </row>
    <row r="293">
      <c r="A293" s="421"/>
      <c r="B293" s="421"/>
      <c r="C293" s="268"/>
      <c r="D293" s="431"/>
      <c r="E293" s="276"/>
      <c r="F293" s="265"/>
      <c r="G293" s="265"/>
      <c r="H293" s="432"/>
      <c r="I293" s="432"/>
      <c r="J293" s="283"/>
      <c r="K293" s="276"/>
      <c r="L293" s="417" t="str">
        <f t="shared" si="1"/>
        <v/>
      </c>
      <c r="M293" s="425"/>
      <c r="N293" s="426"/>
      <c r="O293" s="427"/>
      <c r="P293" s="425"/>
      <c r="Q293" s="425"/>
      <c r="R293" s="425"/>
      <c r="S293" s="421"/>
      <c r="T293" s="421"/>
      <c r="U293" s="421"/>
      <c r="V293" s="421"/>
      <c r="W293" s="421"/>
      <c r="X293" s="425"/>
      <c r="Y293" s="421"/>
      <c r="Z293" s="421"/>
      <c r="AA293" s="421"/>
      <c r="AB293" s="421"/>
      <c r="AC293" s="421"/>
      <c r="AD293" s="421"/>
      <c r="AE293" s="421"/>
      <c r="AF293" s="421"/>
      <c r="AG293" s="421"/>
      <c r="AH293" s="421"/>
      <c r="AI293" s="421"/>
      <c r="AJ293" s="421"/>
      <c r="AK293" s="421"/>
      <c r="AL293" s="421"/>
      <c r="AM293" s="421"/>
      <c r="AN293" s="421"/>
      <c r="AO293" s="421"/>
      <c r="AP293" s="421"/>
      <c r="AQ293" s="421"/>
      <c r="AR293" s="421"/>
      <c r="AS293" s="421"/>
      <c r="AT293" s="421"/>
      <c r="AU293" s="421"/>
      <c r="AV293" s="421"/>
      <c r="AW293" s="421"/>
      <c r="AX293" s="421"/>
      <c r="AY293" s="421"/>
      <c r="AZ293" s="421"/>
      <c r="BA293" s="421"/>
    </row>
    <row r="294">
      <c r="A294" s="421"/>
      <c r="B294" s="421"/>
      <c r="C294" s="268"/>
      <c r="D294" s="431"/>
      <c r="E294" s="276"/>
      <c r="F294" s="265"/>
      <c r="G294" s="265"/>
      <c r="H294" s="432"/>
      <c r="I294" s="432"/>
      <c r="J294" s="283"/>
      <c r="K294" s="276"/>
      <c r="L294" s="417" t="str">
        <f t="shared" si="1"/>
        <v/>
      </c>
      <c r="M294" s="425"/>
      <c r="N294" s="426"/>
      <c r="O294" s="427"/>
      <c r="P294" s="425"/>
      <c r="Q294" s="425"/>
      <c r="R294" s="425"/>
      <c r="S294" s="421"/>
      <c r="T294" s="421"/>
      <c r="U294" s="421"/>
      <c r="V294" s="421"/>
      <c r="W294" s="421"/>
      <c r="X294" s="425"/>
      <c r="Y294" s="421"/>
      <c r="Z294" s="421"/>
      <c r="AA294" s="421"/>
      <c r="AB294" s="421"/>
      <c r="AC294" s="421"/>
      <c r="AD294" s="421"/>
      <c r="AE294" s="421"/>
      <c r="AF294" s="421"/>
      <c r="AG294" s="421"/>
      <c r="AH294" s="421"/>
      <c r="AI294" s="421"/>
      <c r="AJ294" s="421"/>
      <c r="AK294" s="421"/>
      <c r="AL294" s="421"/>
      <c r="AM294" s="421"/>
      <c r="AN294" s="421"/>
      <c r="AO294" s="421"/>
      <c r="AP294" s="421"/>
      <c r="AQ294" s="421"/>
      <c r="AR294" s="421"/>
      <c r="AS294" s="421"/>
      <c r="AT294" s="421"/>
      <c r="AU294" s="421"/>
      <c r="AV294" s="421"/>
      <c r="AW294" s="421"/>
      <c r="AX294" s="421"/>
      <c r="AY294" s="421"/>
      <c r="AZ294" s="421"/>
      <c r="BA294" s="421"/>
    </row>
    <row r="295">
      <c r="A295" s="421"/>
      <c r="B295" s="421"/>
      <c r="C295" s="268"/>
      <c r="D295" s="431"/>
      <c r="E295" s="276"/>
      <c r="F295" s="265"/>
      <c r="G295" s="265"/>
      <c r="H295" s="432"/>
      <c r="I295" s="432"/>
      <c r="J295" s="283"/>
      <c r="K295" s="276"/>
      <c r="L295" s="417" t="str">
        <f t="shared" si="1"/>
        <v/>
      </c>
      <c r="M295" s="425"/>
      <c r="N295" s="426"/>
      <c r="O295" s="427"/>
      <c r="P295" s="425"/>
      <c r="Q295" s="425"/>
      <c r="R295" s="425"/>
      <c r="S295" s="421"/>
      <c r="T295" s="421"/>
      <c r="U295" s="421"/>
      <c r="V295" s="421"/>
      <c r="W295" s="421"/>
      <c r="X295" s="425"/>
      <c r="Y295" s="421"/>
      <c r="Z295" s="421"/>
      <c r="AA295" s="421"/>
      <c r="AB295" s="421"/>
      <c r="AC295" s="421"/>
      <c r="AD295" s="421"/>
      <c r="AE295" s="421"/>
      <c r="AF295" s="421"/>
      <c r="AG295" s="421"/>
      <c r="AH295" s="421"/>
      <c r="AI295" s="421"/>
      <c r="AJ295" s="421"/>
      <c r="AK295" s="421"/>
      <c r="AL295" s="421"/>
      <c r="AM295" s="421"/>
      <c r="AN295" s="421"/>
      <c r="AO295" s="421"/>
      <c r="AP295" s="421"/>
      <c r="AQ295" s="421"/>
      <c r="AR295" s="421"/>
      <c r="AS295" s="421"/>
      <c r="AT295" s="421"/>
      <c r="AU295" s="421"/>
      <c r="AV295" s="421"/>
      <c r="AW295" s="421"/>
      <c r="AX295" s="421"/>
      <c r="AY295" s="421"/>
      <c r="AZ295" s="421"/>
      <c r="BA295" s="421"/>
    </row>
    <row r="296">
      <c r="A296" s="421"/>
      <c r="B296" s="421"/>
      <c r="C296" s="268"/>
      <c r="D296" s="431"/>
      <c r="E296" s="276"/>
      <c r="F296" s="265"/>
      <c r="G296" s="265"/>
      <c r="H296" s="432"/>
      <c r="I296" s="432"/>
      <c r="J296" s="283"/>
      <c r="K296" s="276"/>
      <c r="L296" s="417" t="str">
        <f t="shared" si="1"/>
        <v/>
      </c>
      <c r="M296" s="425"/>
      <c r="N296" s="426"/>
      <c r="O296" s="427"/>
      <c r="P296" s="425"/>
      <c r="Q296" s="425"/>
      <c r="R296" s="425"/>
      <c r="S296" s="421"/>
      <c r="T296" s="421"/>
      <c r="U296" s="421"/>
      <c r="V296" s="421"/>
      <c r="W296" s="421"/>
      <c r="X296" s="425"/>
      <c r="Y296" s="421"/>
      <c r="Z296" s="421"/>
      <c r="AA296" s="421"/>
      <c r="AB296" s="421"/>
      <c r="AC296" s="421"/>
      <c r="AD296" s="421"/>
      <c r="AE296" s="421"/>
      <c r="AF296" s="421"/>
      <c r="AG296" s="421"/>
      <c r="AH296" s="421"/>
      <c r="AI296" s="421"/>
      <c r="AJ296" s="421"/>
      <c r="AK296" s="421"/>
      <c r="AL296" s="421"/>
      <c r="AM296" s="421"/>
      <c r="AN296" s="421"/>
      <c r="AO296" s="421"/>
      <c r="AP296" s="421"/>
      <c r="AQ296" s="421"/>
      <c r="AR296" s="421"/>
      <c r="AS296" s="421"/>
      <c r="AT296" s="421"/>
      <c r="AU296" s="421"/>
      <c r="AV296" s="421"/>
      <c r="AW296" s="421"/>
      <c r="AX296" s="421"/>
      <c r="AY296" s="421"/>
      <c r="AZ296" s="421"/>
      <c r="BA296" s="421"/>
    </row>
    <row r="297">
      <c r="A297" s="421"/>
      <c r="B297" s="421"/>
      <c r="C297" s="268"/>
      <c r="D297" s="431"/>
      <c r="E297" s="276"/>
      <c r="F297" s="265"/>
      <c r="G297" s="265"/>
      <c r="H297" s="432"/>
      <c r="I297" s="432"/>
      <c r="J297" s="283"/>
      <c r="K297" s="276"/>
      <c r="L297" s="417" t="str">
        <f t="shared" si="1"/>
        <v/>
      </c>
      <c r="M297" s="425"/>
      <c r="N297" s="426"/>
      <c r="O297" s="427"/>
      <c r="P297" s="425"/>
      <c r="Q297" s="425"/>
      <c r="R297" s="425"/>
      <c r="S297" s="421"/>
      <c r="T297" s="421"/>
      <c r="U297" s="421"/>
      <c r="V297" s="421"/>
      <c r="W297" s="421"/>
      <c r="X297" s="425"/>
      <c r="Y297" s="421"/>
      <c r="Z297" s="421"/>
      <c r="AA297" s="421"/>
      <c r="AB297" s="421"/>
      <c r="AC297" s="421"/>
      <c r="AD297" s="421"/>
      <c r="AE297" s="421"/>
      <c r="AF297" s="421"/>
      <c r="AG297" s="421"/>
      <c r="AH297" s="421"/>
      <c r="AI297" s="421"/>
      <c r="AJ297" s="421"/>
      <c r="AK297" s="421"/>
      <c r="AL297" s="421"/>
      <c r="AM297" s="421"/>
      <c r="AN297" s="421"/>
      <c r="AO297" s="421"/>
      <c r="AP297" s="421"/>
      <c r="AQ297" s="421"/>
      <c r="AR297" s="421"/>
      <c r="AS297" s="421"/>
      <c r="AT297" s="421"/>
      <c r="AU297" s="421"/>
      <c r="AV297" s="421"/>
      <c r="AW297" s="421"/>
      <c r="AX297" s="421"/>
      <c r="AY297" s="421"/>
      <c r="AZ297" s="421"/>
      <c r="BA297" s="421"/>
    </row>
    <row r="298">
      <c r="A298" s="421"/>
      <c r="B298" s="421"/>
      <c r="C298" s="268"/>
      <c r="D298" s="431"/>
      <c r="E298" s="276"/>
      <c r="F298" s="265"/>
      <c r="G298" s="265"/>
      <c r="H298" s="432"/>
      <c r="I298" s="432"/>
      <c r="J298" s="283"/>
      <c r="K298" s="276"/>
      <c r="L298" s="417" t="str">
        <f t="shared" si="1"/>
        <v/>
      </c>
      <c r="M298" s="425"/>
      <c r="N298" s="426"/>
      <c r="O298" s="427"/>
      <c r="P298" s="425"/>
      <c r="Q298" s="425"/>
      <c r="R298" s="425"/>
      <c r="S298" s="421"/>
      <c r="T298" s="421"/>
      <c r="U298" s="421"/>
      <c r="V298" s="421"/>
      <c r="W298" s="421"/>
      <c r="X298" s="425"/>
      <c r="Y298" s="421"/>
      <c r="Z298" s="421"/>
      <c r="AA298" s="421"/>
      <c r="AB298" s="421"/>
      <c r="AC298" s="421"/>
      <c r="AD298" s="421"/>
      <c r="AE298" s="421"/>
      <c r="AF298" s="421"/>
      <c r="AG298" s="421"/>
      <c r="AH298" s="421"/>
      <c r="AI298" s="421"/>
      <c r="AJ298" s="421"/>
      <c r="AK298" s="421"/>
      <c r="AL298" s="421"/>
      <c r="AM298" s="421"/>
      <c r="AN298" s="421"/>
      <c r="AO298" s="421"/>
      <c r="AP298" s="421"/>
      <c r="AQ298" s="421"/>
      <c r="AR298" s="421"/>
      <c r="AS298" s="421"/>
      <c r="AT298" s="421"/>
      <c r="AU298" s="421"/>
      <c r="AV298" s="421"/>
      <c r="AW298" s="421"/>
      <c r="AX298" s="421"/>
      <c r="AY298" s="421"/>
      <c r="AZ298" s="421"/>
      <c r="BA298" s="421"/>
    </row>
    <row r="299">
      <c r="A299" s="421"/>
      <c r="B299" s="421"/>
      <c r="C299" s="268"/>
      <c r="D299" s="431"/>
      <c r="E299" s="276"/>
      <c r="F299" s="265"/>
      <c r="G299" s="265"/>
      <c r="H299" s="432"/>
      <c r="I299" s="432"/>
      <c r="J299" s="283"/>
      <c r="K299" s="276"/>
      <c r="L299" s="417" t="str">
        <f t="shared" si="1"/>
        <v/>
      </c>
      <c r="M299" s="425"/>
      <c r="N299" s="426"/>
      <c r="O299" s="427"/>
      <c r="P299" s="425"/>
      <c r="Q299" s="425"/>
      <c r="R299" s="425"/>
      <c r="S299" s="421"/>
      <c r="T299" s="421"/>
      <c r="U299" s="421"/>
      <c r="V299" s="421"/>
      <c r="W299" s="421"/>
      <c r="X299" s="425"/>
      <c r="Y299" s="421"/>
      <c r="Z299" s="421"/>
      <c r="AA299" s="421"/>
      <c r="AB299" s="421"/>
      <c r="AC299" s="421"/>
      <c r="AD299" s="421"/>
      <c r="AE299" s="421"/>
      <c r="AF299" s="421"/>
      <c r="AG299" s="421"/>
      <c r="AH299" s="421"/>
      <c r="AI299" s="421"/>
      <c r="AJ299" s="421"/>
      <c r="AK299" s="421"/>
      <c r="AL299" s="421"/>
      <c r="AM299" s="421"/>
      <c r="AN299" s="421"/>
      <c r="AO299" s="421"/>
      <c r="AP299" s="421"/>
      <c r="AQ299" s="421"/>
      <c r="AR299" s="421"/>
      <c r="AS299" s="421"/>
      <c r="AT299" s="421"/>
      <c r="AU299" s="421"/>
      <c r="AV299" s="421"/>
      <c r="AW299" s="421"/>
      <c r="AX299" s="421"/>
      <c r="AY299" s="421"/>
      <c r="AZ299" s="421"/>
      <c r="BA299" s="421"/>
    </row>
    <row r="300">
      <c r="A300" s="421"/>
      <c r="B300" s="421"/>
      <c r="C300" s="268"/>
      <c r="D300" s="431"/>
      <c r="E300" s="276"/>
      <c r="F300" s="265"/>
      <c r="G300" s="265"/>
      <c r="H300" s="432"/>
      <c r="I300" s="432"/>
      <c r="J300" s="283"/>
      <c r="K300" s="276"/>
      <c r="L300" s="417" t="str">
        <f t="shared" si="1"/>
        <v/>
      </c>
      <c r="M300" s="425"/>
      <c r="N300" s="426"/>
      <c r="O300" s="427"/>
      <c r="P300" s="425"/>
      <c r="Q300" s="425"/>
      <c r="R300" s="425"/>
      <c r="S300" s="421"/>
      <c r="T300" s="421"/>
      <c r="U300" s="421"/>
      <c r="V300" s="421"/>
      <c r="W300" s="421"/>
      <c r="X300" s="425"/>
      <c r="Y300" s="421"/>
      <c r="Z300" s="421"/>
      <c r="AA300" s="421"/>
      <c r="AB300" s="421"/>
      <c r="AC300" s="421"/>
      <c r="AD300" s="421"/>
      <c r="AE300" s="421"/>
      <c r="AF300" s="421"/>
      <c r="AG300" s="421"/>
      <c r="AH300" s="421"/>
      <c r="AI300" s="421"/>
      <c r="AJ300" s="421"/>
      <c r="AK300" s="421"/>
      <c r="AL300" s="421"/>
      <c r="AM300" s="421"/>
      <c r="AN300" s="421"/>
      <c r="AO300" s="421"/>
      <c r="AP300" s="421"/>
      <c r="AQ300" s="421"/>
      <c r="AR300" s="421"/>
      <c r="AS300" s="421"/>
      <c r="AT300" s="421"/>
      <c r="AU300" s="421"/>
      <c r="AV300" s="421"/>
      <c r="AW300" s="421"/>
      <c r="AX300" s="421"/>
      <c r="AY300" s="421"/>
      <c r="AZ300" s="421"/>
      <c r="BA300" s="421"/>
    </row>
    <row r="301">
      <c r="A301" s="421"/>
      <c r="B301" s="421"/>
      <c r="C301" s="268"/>
      <c r="D301" s="431"/>
      <c r="E301" s="276"/>
      <c r="F301" s="265"/>
      <c r="G301" s="265"/>
      <c r="H301" s="432"/>
      <c r="I301" s="432"/>
      <c r="J301" s="283"/>
      <c r="K301" s="276"/>
      <c r="L301" s="417" t="str">
        <f t="shared" si="1"/>
        <v/>
      </c>
      <c r="M301" s="425"/>
      <c r="N301" s="426"/>
      <c r="O301" s="427"/>
      <c r="P301" s="425"/>
      <c r="Q301" s="425"/>
      <c r="R301" s="425"/>
      <c r="S301" s="421"/>
      <c r="T301" s="421"/>
      <c r="U301" s="421"/>
      <c r="V301" s="421"/>
      <c r="W301" s="421"/>
      <c r="X301" s="425"/>
      <c r="Y301" s="421"/>
      <c r="Z301" s="421"/>
      <c r="AA301" s="421"/>
      <c r="AB301" s="421"/>
      <c r="AC301" s="421"/>
      <c r="AD301" s="421"/>
      <c r="AE301" s="421"/>
      <c r="AF301" s="421"/>
      <c r="AG301" s="421"/>
      <c r="AH301" s="421"/>
      <c r="AI301" s="421"/>
      <c r="AJ301" s="421"/>
      <c r="AK301" s="421"/>
      <c r="AL301" s="421"/>
      <c r="AM301" s="421"/>
      <c r="AN301" s="421"/>
      <c r="AO301" s="421"/>
      <c r="AP301" s="421"/>
      <c r="AQ301" s="421"/>
      <c r="AR301" s="421"/>
      <c r="AS301" s="421"/>
      <c r="AT301" s="421"/>
      <c r="AU301" s="421"/>
      <c r="AV301" s="421"/>
      <c r="AW301" s="421"/>
      <c r="AX301" s="421"/>
      <c r="AY301" s="421"/>
      <c r="AZ301" s="421"/>
      <c r="BA301" s="421"/>
    </row>
    <row r="302">
      <c r="A302" s="421"/>
      <c r="B302" s="421"/>
      <c r="C302" s="268"/>
      <c r="D302" s="431"/>
      <c r="E302" s="276"/>
      <c r="F302" s="265"/>
      <c r="G302" s="265"/>
      <c r="H302" s="432"/>
      <c r="I302" s="432"/>
      <c r="J302" s="283"/>
      <c r="K302" s="276"/>
      <c r="L302" s="417" t="str">
        <f t="shared" si="1"/>
        <v/>
      </c>
      <c r="M302" s="425"/>
      <c r="N302" s="426"/>
      <c r="O302" s="427"/>
      <c r="P302" s="425"/>
      <c r="Q302" s="425"/>
      <c r="R302" s="425"/>
      <c r="S302" s="421"/>
      <c r="T302" s="421"/>
      <c r="U302" s="421"/>
      <c r="V302" s="421"/>
      <c r="W302" s="421"/>
      <c r="X302" s="425"/>
      <c r="Y302" s="421"/>
      <c r="Z302" s="421"/>
      <c r="AA302" s="421"/>
      <c r="AB302" s="421"/>
      <c r="AC302" s="421"/>
      <c r="AD302" s="421"/>
      <c r="AE302" s="421"/>
      <c r="AF302" s="421"/>
      <c r="AG302" s="421"/>
      <c r="AH302" s="421"/>
      <c r="AI302" s="421"/>
      <c r="AJ302" s="421"/>
      <c r="AK302" s="421"/>
      <c r="AL302" s="421"/>
      <c r="AM302" s="421"/>
      <c r="AN302" s="421"/>
      <c r="AO302" s="421"/>
      <c r="AP302" s="421"/>
      <c r="AQ302" s="421"/>
      <c r="AR302" s="421"/>
      <c r="AS302" s="421"/>
      <c r="AT302" s="421"/>
      <c r="AU302" s="421"/>
      <c r="AV302" s="421"/>
      <c r="AW302" s="421"/>
      <c r="AX302" s="421"/>
      <c r="AY302" s="421"/>
      <c r="AZ302" s="421"/>
      <c r="BA302" s="421"/>
    </row>
    <row r="303">
      <c r="A303" s="421"/>
      <c r="B303" s="421"/>
      <c r="C303" s="268"/>
      <c r="D303" s="431"/>
      <c r="E303" s="276"/>
      <c r="F303" s="265"/>
      <c r="G303" s="265"/>
      <c r="H303" s="432"/>
      <c r="I303" s="432"/>
      <c r="J303" s="283"/>
      <c r="K303" s="276"/>
      <c r="L303" s="417" t="str">
        <f t="shared" si="1"/>
        <v/>
      </c>
      <c r="M303" s="425"/>
      <c r="N303" s="426"/>
      <c r="O303" s="427"/>
      <c r="P303" s="425"/>
      <c r="Q303" s="425"/>
      <c r="R303" s="425"/>
      <c r="S303" s="421"/>
      <c r="T303" s="421"/>
      <c r="U303" s="421"/>
      <c r="V303" s="421"/>
      <c r="W303" s="421"/>
      <c r="X303" s="425"/>
      <c r="Y303" s="421"/>
      <c r="Z303" s="421"/>
      <c r="AA303" s="421"/>
      <c r="AB303" s="421"/>
      <c r="AC303" s="421"/>
      <c r="AD303" s="421"/>
      <c r="AE303" s="421"/>
      <c r="AF303" s="421"/>
      <c r="AG303" s="421"/>
      <c r="AH303" s="421"/>
      <c r="AI303" s="421"/>
      <c r="AJ303" s="421"/>
      <c r="AK303" s="421"/>
      <c r="AL303" s="421"/>
      <c r="AM303" s="421"/>
      <c r="AN303" s="421"/>
      <c r="AO303" s="421"/>
      <c r="AP303" s="421"/>
      <c r="AQ303" s="421"/>
      <c r="AR303" s="421"/>
      <c r="AS303" s="421"/>
      <c r="AT303" s="421"/>
      <c r="AU303" s="421"/>
      <c r="AV303" s="421"/>
      <c r="AW303" s="421"/>
      <c r="AX303" s="421"/>
      <c r="AY303" s="421"/>
      <c r="AZ303" s="421"/>
      <c r="BA303" s="421"/>
    </row>
    <row r="304">
      <c r="A304" s="421"/>
      <c r="B304" s="421"/>
      <c r="C304" s="268"/>
      <c r="D304" s="431"/>
      <c r="E304" s="276"/>
      <c r="F304" s="265"/>
      <c r="G304" s="265"/>
      <c r="H304" s="432"/>
      <c r="I304" s="432"/>
      <c r="J304" s="283"/>
      <c r="K304" s="276"/>
      <c r="L304" s="417" t="str">
        <f t="shared" si="1"/>
        <v/>
      </c>
      <c r="M304" s="425"/>
      <c r="N304" s="426"/>
      <c r="O304" s="427"/>
      <c r="P304" s="425"/>
      <c r="Q304" s="425"/>
      <c r="R304" s="425"/>
      <c r="S304" s="421"/>
      <c r="T304" s="421"/>
      <c r="U304" s="421"/>
      <c r="V304" s="421"/>
      <c r="W304" s="421"/>
      <c r="X304" s="425"/>
      <c r="Y304" s="421"/>
      <c r="Z304" s="421"/>
      <c r="AA304" s="421"/>
      <c r="AB304" s="421"/>
      <c r="AC304" s="421"/>
      <c r="AD304" s="421"/>
      <c r="AE304" s="421"/>
      <c r="AF304" s="421"/>
      <c r="AG304" s="421"/>
      <c r="AH304" s="421"/>
      <c r="AI304" s="421"/>
      <c r="AJ304" s="421"/>
      <c r="AK304" s="421"/>
      <c r="AL304" s="421"/>
      <c r="AM304" s="421"/>
      <c r="AN304" s="421"/>
      <c r="AO304" s="421"/>
      <c r="AP304" s="421"/>
      <c r="AQ304" s="421"/>
      <c r="AR304" s="421"/>
      <c r="AS304" s="421"/>
      <c r="AT304" s="421"/>
      <c r="AU304" s="421"/>
      <c r="AV304" s="421"/>
      <c r="AW304" s="421"/>
      <c r="AX304" s="421"/>
      <c r="AY304" s="421"/>
      <c r="AZ304" s="421"/>
      <c r="BA304" s="421"/>
    </row>
    <row r="305">
      <c r="A305" s="421"/>
      <c r="B305" s="421"/>
      <c r="C305" s="268"/>
      <c r="D305" s="431"/>
      <c r="E305" s="276"/>
      <c r="F305" s="265"/>
      <c r="G305" s="265"/>
      <c r="H305" s="432"/>
      <c r="I305" s="432"/>
      <c r="J305" s="283"/>
      <c r="K305" s="276"/>
      <c r="L305" s="417" t="str">
        <f t="shared" si="1"/>
        <v/>
      </c>
      <c r="M305" s="425"/>
      <c r="N305" s="426"/>
      <c r="O305" s="427"/>
      <c r="P305" s="425"/>
      <c r="Q305" s="425"/>
      <c r="R305" s="425"/>
      <c r="S305" s="421"/>
      <c r="T305" s="421"/>
      <c r="U305" s="421"/>
      <c r="V305" s="421"/>
      <c r="W305" s="421"/>
      <c r="X305" s="425"/>
      <c r="Y305" s="421"/>
      <c r="Z305" s="421"/>
      <c r="AA305" s="421"/>
      <c r="AB305" s="421"/>
      <c r="AC305" s="421"/>
      <c r="AD305" s="421"/>
      <c r="AE305" s="421"/>
      <c r="AF305" s="421"/>
      <c r="AG305" s="421"/>
      <c r="AH305" s="421"/>
      <c r="AI305" s="421"/>
      <c r="AJ305" s="421"/>
      <c r="AK305" s="421"/>
      <c r="AL305" s="421"/>
      <c r="AM305" s="421"/>
      <c r="AN305" s="421"/>
      <c r="AO305" s="421"/>
      <c r="AP305" s="421"/>
      <c r="AQ305" s="421"/>
      <c r="AR305" s="421"/>
      <c r="AS305" s="421"/>
      <c r="AT305" s="421"/>
      <c r="AU305" s="421"/>
      <c r="AV305" s="421"/>
      <c r="AW305" s="421"/>
      <c r="AX305" s="421"/>
      <c r="AY305" s="421"/>
      <c r="AZ305" s="421"/>
      <c r="BA305" s="421"/>
    </row>
    <row r="306">
      <c r="A306" s="421"/>
      <c r="B306" s="421"/>
      <c r="C306" s="268"/>
      <c r="D306" s="431"/>
      <c r="E306" s="276"/>
      <c r="F306" s="265"/>
      <c r="G306" s="265"/>
      <c r="H306" s="432"/>
      <c r="I306" s="432"/>
      <c r="J306" s="283"/>
      <c r="K306" s="276"/>
      <c r="L306" s="417" t="str">
        <f t="shared" si="1"/>
        <v/>
      </c>
      <c r="M306" s="425"/>
      <c r="N306" s="426"/>
      <c r="O306" s="427"/>
      <c r="P306" s="425"/>
      <c r="Q306" s="425"/>
      <c r="R306" s="425"/>
      <c r="S306" s="421"/>
      <c r="T306" s="421"/>
      <c r="U306" s="421"/>
      <c r="V306" s="421"/>
      <c r="W306" s="421"/>
      <c r="X306" s="425"/>
      <c r="Y306" s="421"/>
      <c r="Z306" s="421"/>
      <c r="AA306" s="421"/>
      <c r="AB306" s="421"/>
      <c r="AC306" s="421"/>
      <c r="AD306" s="421"/>
      <c r="AE306" s="421"/>
      <c r="AF306" s="421"/>
      <c r="AG306" s="421"/>
      <c r="AH306" s="421"/>
      <c r="AI306" s="421"/>
      <c r="AJ306" s="421"/>
      <c r="AK306" s="421"/>
      <c r="AL306" s="421"/>
      <c r="AM306" s="421"/>
      <c r="AN306" s="421"/>
      <c r="AO306" s="421"/>
      <c r="AP306" s="421"/>
      <c r="AQ306" s="421"/>
      <c r="AR306" s="421"/>
      <c r="AS306" s="421"/>
      <c r="AT306" s="421"/>
      <c r="AU306" s="421"/>
      <c r="AV306" s="421"/>
      <c r="AW306" s="421"/>
      <c r="AX306" s="421"/>
      <c r="AY306" s="421"/>
      <c r="AZ306" s="421"/>
      <c r="BA306" s="421"/>
    </row>
    <row r="307">
      <c r="A307" s="421"/>
      <c r="B307" s="421"/>
      <c r="C307" s="268"/>
      <c r="D307" s="431"/>
      <c r="E307" s="276"/>
      <c r="F307" s="265"/>
      <c r="G307" s="265"/>
      <c r="H307" s="432"/>
      <c r="I307" s="432"/>
      <c r="J307" s="283"/>
      <c r="K307" s="276"/>
      <c r="L307" s="417" t="str">
        <f t="shared" si="1"/>
        <v/>
      </c>
      <c r="M307" s="425"/>
      <c r="N307" s="426"/>
      <c r="O307" s="427"/>
      <c r="P307" s="425"/>
      <c r="Q307" s="425"/>
      <c r="R307" s="425"/>
      <c r="S307" s="421"/>
      <c r="T307" s="421"/>
      <c r="U307" s="421"/>
      <c r="V307" s="421"/>
      <c r="W307" s="421"/>
      <c r="X307" s="425"/>
      <c r="Y307" s="421"/>
      <c r="Z307" s="421"/>
      <c r="AA307" s="421"/>
      <c r="AB307" s="421"/>
      <c r="AC307" s="421"/>
      <c r="AD307" s="421"/>
      <c r="AE307" s="421"/>
      <c r="AF307" s="421"/>
      <c r="AG307" s="421"/>
      <c r="AH307" s="421"/>
      <c r="AI307" s="421"/>
      <c r="AJ307" s="421"/>
      <c r="AK307" s="421"/>
      <c r="AL307" s="421"/>
      <c r="AM307" s="421"/>
      <c r="AN307" s="421"/>
      <c r="AO307" s="421"/>
      <c r="AP307" s="421"/>
      <c r="AQ307" s="421"/>
      <c r="AR307" s="421"/>
      <c r="AS307" s="421"/>
      <c r="AT307" s="421"/>
      <c r="AU307" s="421"/>
      <c r="AV307" s="421"/>
      <c r="AW307" s="421"/>
      <c r="AX307" s="421"/>
      <c r="AY307" s="421"/>
      <c r="AZ307" s="421"/>
      <c r="BA307" s="421"/>
    </row>
    <row r="308">
      <c r="A308" s="421"/>
      <c r="B308" s="421"/>
      <c r="C308" s="268"/>
      <c r="D308" s="431"/>
      <c r="E308" s="276"/>
      <c r="F308" s="265"/>
      <c r="G308" s="265"/>
      <c r="H308" s="432"/>
      <c r="I308" s="432"/>
      <c r="J308" s="283"/>
      <c r="K308" s="276"/>
      <c r="L308" s="417" t="str">
        <f t="shared" si="1"/>
        <v/>
      </c>
      <c r="M308" s="425"/>
      <c r="N308" s="426"/>
      <c r="O308" s="427"/>
      <c r="P308" s="425"/>
      <c r="Q308" s="425"/>
      <c r="R308" s="425"/>
      <c r="S308" s="421"/>
      <c r="T308" s="421"/>
      <c r="U308" s="421"/>
      <c r="V308" s="421"/>
      <c r="W308" s="421"/>
      <c r="X308" s="425"/>
      <c r="Y308" s="421"/>
      <c r="Z308" s="421"/>
      <c r="AA308" s="421"/>
      <c r="AB308" s="421"/>
      <c r="AC308" s="421"/>
      <c r="AD308" s="421"/>
      <c r="AE308" s="421"/>
      <c r="AF308" s="421"/>
      <c r="AG308" s="421"/>
      <c r="AH308" s="421"/>
      <c r="AI308" s="421"/>
      <c r="AJ308" s="421"/>
      <c r="AK308" s="421"/>
      <c r="AL308" s="421"/>
      <c r="AM308" s="421"/>
      <c r="AN308" s="421"/>
      <c r="AO308" s="421"/>
      <c r="AP308" s="421"/>
      <c r="AQ308" s="421"/>
      <c r="AR308" s="421"/>
      <c r="AS308" s="421"/>
      <c r="AT308" s="421"/>
      <c r="AU308" s="421"/>
      <c r="AV308" s="421"/>
      <c r="AW308" s="421"/>
      <c r="AX308" s="421"/>
      <c r="AY308" s="421"/>
      <c r="AZ308" s="421"/>
      <c r="BA308" s="421"/>
    </row>
    <row r="309">
      <c r="A309" s="421"/>
      <c r="B309" s="421"/>
      <c r="C309" s="268"/>
      <c r="D309" s="431"/>
      <c r="E309" s="276"/>
      <c r="F309" s="265"/>
      <c r="G309" s="265"/>
      <c r="H309" s="432"/>
      <c r="I309" s="432"/>
      <c r="J309" s="283"/>
      <c r="K309" s="276"/>
      <c r="L309" s="417" t="str">
        <f t="shared" si="1"/>
        <v/>
      </c>
      <c r="M309" s="425"/>
      <c r="N309" s="426"/>
      <c r="O309" s="427"/>
      <c r="P309" s="425"/>
      <c r="Q309" s="425"/>
      <c r="R309" s="425"/>
      <c r="S309" s="421"/>
      <c r="T309" s="421"/>
      <c r="U309" s="421"/>
      <c r="V309" s="421"/>
      <c r="W309" s="421"/>
      <c r="X309" s="425"/>
      <c r="Y309" s="421"/>
      <c r="Z309" s="421"/>
      <c r="AA309" s="421"/>
      <c r="AB309" s="421"/>
      <c r="AC309" s="421"/>
      <c r="AD309" s="421"/>
      <c r="AE309" s="421"/>
      <c r="AF309" s="421"/>
      <c r="AG309" s="421"/>
      <c r="AH309" s="421"/>
      <c r="AI309" s="421"/>
      <c r="AJ309" s="421"/>
      <c r="AK309" s="421"/>
      <c r="AL309" s="421"/>
      <c r="AM309" s="421"/>
      <c r="AN309" s="421"/>
      <c r="AO309" s="421"/>
      <c r="AP309" s="421"/>
      <c r="AQ309" s="421"/>
      <c r="AR309" s="421"/>
      <c r="AS309" s="421"/>
      <c r="AT309" s="421"/>
      <c r="AU309" s="421"/>
      <c r="AV309" s="421"/>
      <c r="AW309" s="421"/>
      <c r="AX309" s="421"/>
      <c r="AY309" s="421"/>
      <c r="AZ309" s="421"/>
      <c r="BA309" s="421"/>
    </row>
    <row r="310">
      <c r="A310" s="421"/>
      <c r="B310" s="421"/>
      <c r="C310" s="268"/>
      <c r="D310" s="431"/>
      <c r="E310" s="276"/>
      <c r="F310" s="265"/>
      <c r="G310" s="265"/>
      <c r="H310" s="432"/>
      <c r="I310" s="432"/>
      <c r="J310" s="283"/>
      <c r="K310" s="276"/>
      <c r="L310" s="417" t="str">
        <f t="shared" si="1"/>
        <v/>
      </c>
      <c r="M310" s="425"/>
      <c r="N310" s="426"/>
      <c r="O310" s="427"/>
      <c r="P310" s="425"/>
      <c r="Q310" s="425"/>
      <c r="R310" s="425"/>
      <c r="S310" s="421"/>
      <c r="T310" s="421"/>
      <c r="U310" s="421"/>
      <c r="V310" s="421"/>
      <c r="W310" s="421"/>
      <c r="X310" s="425"/>
      <c r="Y310" s="421"/>
      <c r="Z310" s="421"/>
      <c r="AA310" s="421"/>
      <c r="AB310" s="421"/>
      <c r="AC310" s="421"/>
      <c r="AD310" s="421"/>
      <c r="AE310" s="421"/>
      <c r="AF310" s="421"/>
      <c r="AG310" s="421"/>
      <c r="AH310" s="421"/>
      <c r="AI310" s="421"/>
      <c r="AJ310" s="421"/>
      <c r="AK310" s="421"/>
      <c r="AL310" s="421"/>
      <c r="AM310" s="421"/>
      <c r="AN310" s="421"/>
      <c r="AO310" s="421"/>
      <c r="AP310" s="421"/>
      <c r="AQ310" s="421"/>
      <c r="AR310" s="421"/>
      <c r="AS310" s="421"/>
      <c r="AT310" s="421"/>
      <c r="AU310" s="421"/>
      <c r="AV310" s="421"/>
      <c r="AW310" s="421"/>
      <c r="AX310" s="421"/>
      <c r="AY310" s="421"/>
      <c r="AZ310" s="421"/>
      <c r="BA310" s="421"/>
    </row>
    <row r="311">
      <c r="A311" s="421"/>
      <c r="B311" s="421"/>
      <c r="C311" s="268"/>
      <c r="D311" s="431"/>
      <c r="E311" s="276"/>
      <c r="F311" s="265"/>
      <c r="G311" s="265"/>
      <c r="H311" s="432"/>
      <c r="I311" s="432"/>
      <c r="J311" s="283"/>
      <c r="K311" s="276"/>
      <c r="L311" s="417" t="str">
        <f t="shared" si="1"/>
        <v/>
      </c>
      <c r="M311" s="425"/>
      <c r="N311" s="426"/>
      <c r="O311" s="427"/>
      <c r="P311" s="425"/>
      <c r="Q311" s="425"/>
      <c r="R311" s="425"/>
      <c r="S311" s="421"/>
      <c r="T311" s="421"/>
      <c r="U311" s="421"/>
      <c r="V311" s="421"/>
      <c r="W311" s="421"/>
      <c r="X311" s="425"/>
      <c r="Y311" s="421"/>
      <c r="Z311" s="421"/>
      <c r="AA311" s="421"/>
      <c r="AB311" s="421"/>
      <c r="AC311" s="421"/>
      <c r="AD311" s="421"/>
      <c r="AE311" s="421"/>
      <c r="AF311" s="421"/>
      <c r="AG311" s="421"/>
      <c r="AH311" s="421"/>
      <c r="AI311" s="421"/>
      <c r="AJ311" s="421"/>
      <c r="AK311" s="421"/>
      <c r="AL311" s="421"/>
      <c r="AM311" s="421"/>
      <c r="AN311" s="421"/>
      <c r="AO311" s="421"/>
      <c r="AP311" s="421"/>
      <c r="AQ311" s="421"/>
      <c r="AR311" s="421"/>
      <c r="AS311" s="421"/>
      <c r="AT311" s="421"/>
      <c r="AU311" s="421"/>
      <c r="AV311" s="421"/>
      <c r="AW311" s="421"/>
      <c r="AX311" s="421"/>
      <c r="AY311" s="421"/>
      <c r="AZ311" s="421"/>
      <c r="BA311" s="421"/>
    </row>
    <row r="312">
      <c r="A312" s="421"/>
      <c r="B312" s="421"/>
      <c r="C312" s="268"/>
      <c r="D312" s="431"/>
      <c r="E312" s="276"/>
      <c r="F312" s="265"/>
      <c r="G312" s="265"/>
      <c r="H312" s="432"/>
      <c r="I312" s="432"/>
      <c r="J312" s="283"/>
      <c r="K312" s="276"/>
      <c r="L312" s="417" t="str">
        <f t="shared" si="1"/>
        <v/>
      </c>
      <c r="M312" s="425"/>
      <c r="N312" s="426"/>
      <c r="O312" s="427"/>
      <c r="P312" s="425"/>
      <c r="Q312" s="425"/>
      <c r="R312" s="425"/>
      <c r="S312" s="421"/>
      <c r="T312" s="421"/>
      <c r="U312" s="421"/>
      <c r="V312" s="421"/>
      <c r="W312" s="421"/>
      <c r="X312" s="425"/>
      <c r="Y312" s="421"/>
      <c r="Z312" s="421"/>
      <c r="AA312" s="421"/>
      <c r="AB312" s="421"/>
      <c r="AC312" s="421"/>
      <c r="AD312" s="421"/>
      <c r="AE312" s="421"/>
      <c r="AF312" s="421"/>
      <c r="AG312" s="421"/>
      <c r="AH312" s="421"/>
      <c r="AI312" s="421"/>
      <c r="AJ312" s="421"/>
      <c r="AK312" s="421"/>
      <c r="AL312" s="421"/>
      <c r="AM312" s="421"/>
      <c r="AN312" s="421"/>
      <c r="AO312" s="421"/>
      <c r="AP312" s="421"/>
      <c r="AQ312" s="421"/>
      <c r="AR312" s="421"/>
      <c r="AS312" s="421"/>
      <c r="AT312" s="421"/>
      <c r="AU312" s="421"/>
      <c r="AV312" s="421"/>
      <c r="AW312" s="421"/>
      <c r="AX312" s="421"/>
      <c r="AY312" s="421"/>
      <c r="AZ312" s="421"/>
      <c r="BA312" s="421"/>
    </row>
    <row r="313">
      <c r="A313" s="421"/>
      <c r="B313" s="421"/>
      <c r="C313" s="268"/>
      <c r="D313" s="431"/>
      <c r="E313" s="276"/>
      <c r="F313" s="265"/>
      <c r="G313" s="265"/>
      <c r="H313" s="432"/>
      <c r="I313" s="432"/>
      <c r="J313" s="283"/>
      <c r="K313" s="276"/>
      <c r="L313" s="417" t="str">
        <f t="shared" si="1"/>
        <v/>
      </c>
      <c r="M313" s="425"/>
      <c r="N313" s="426"/>
      <c r="O313" s="427"/>
      <c r="P313" s="425"/>
      <c r="Q313" s="425"/>
      <c r="R313" s="425"/>
      <c r="S313" s="421"/>
      <c r="T313" s="421"/>
      <c r="U313" s="421"/>
      <c r="V313" s="421"/>
      <c r="W313" s="421"/>
      <c r="X313" s="425"/>
      <c r="Y313" s="421"/>
      <c r="Z313" s="421"/>
      <c r="AA313" s="421"/>
      <c r="AB313" s="421"/>
      <c r="AC313" s="421"/>
      <c r="AD313" s="421"/>
      <c r="AE313" s="421"/>
      <c r="AF313" s="421"/>
      <c r="AG313" s="421"/>
      <c r="AH313" s="421"/>
      <c r="AI313" s="421"/>
      <c r="AJ313" s="421"/>
      <c r="AK313" s="421"/>
      <c r="AL313" s="421"/>
      <c r="AM313" s="421"/>
      <c r="AN313" s="421"/>
      <c r="AO313" s="421"/>
      <c r="AP313" s="421"/>
      <c r="AQ313" s="421"/>
      <c r="AR313" s="421"/>
      <c r="AS313" s="421"/>
      <c r="AT313" s="421"/>
      <c r="AU313" s="421"/>
      <c r="AV313" s="421"/>
      <c r="AW313" s="421"/>
      <c r="AX313" s="421"/>
      <c r="AY313" s="421"/>
      <c r="AZ313" s="421"/>
      <c r="BA313" s="421"/>
    </row>
    <row r="314">
      <c r="A314" s="421"/>
      <c r="B314" s="421"/>
      <c r="C314" s="268"/>
      <c r="D314" s="431"/>
      <c r="E314" s="276"/>
      <c r="F314" s="265"/>
      <c r="G314" s="265"/>
      <c r="H314" s="432"/>
      <c r="I314" s="432"/>
      <c r="J314" s="283"/>
      <c r="K314" s="276"/>
      <c r="L314" s="417" t="str">
        <f t="shared" si="1"/>
        <v/>
      </c>
      <c r="M314" s="425"/>
      <c r="N314" s="426"/>
      <c r="O314" s="427"/>
      <c r="P314" s="425"/>
      <c r="Q314" s="425"/>
      <c r="R314" s="425"/>
      <c r="S314" s="421"/>
      <c r="T314" s="421"/>
      <c r="U314" s="421"/>
      <c r="V314" s="421"/>
      <c r="W314" s="421"/>
      <c r="X314" s="425"/>
      <c r="Y314" s="421"/>
      <c r="Z314" s="421"/>
      <c r="AA314" s="421"/>
      <c r="AB314" s="421"/>
      <c r="AC314" s="421"/>
      <c r="AD314" s="421"/>
      <c r="AE314" s="421"/>
      <c r="AF314" s="421"/>
      <c r="AG314" s="421"/>
      <c r="AH314" s="421"/>
      <c r="AI314" s="421"/>
      <c r="AJ314" s="421"/>
      <c r="AK314" s="421"/>
      <c r="AL314" s="421"/>
      <c r="AM314" s="421"/>
      <c r="AN314" s="421"/>
      <c r="AO314" s="421"/>
      <c r="AP314" s="421"/>
      <c r="AQ314" s="421"/>
      <c r="AR314" s="421"/>
      <c r="AS314" s="421"/>
      <c r="AT314" s="421"/>
      <c r="AU314" s="421"/>
      <c r="AV314" s="421"/>
      <c r="AW314" s="421"/>
      <c r="AX314" s="421"/>
      <c r="AY314" s="421"/>
      <c r="AZ314" s="421"/>
      <c r="BA314" s="421"/>
    </row>
    <row r="315">
      <c r="A315" s="421"/>
      <c r="B315" s="421"/>
      <c r="C315" s="268"/>
      <c r="D315" s="431"/>
      <c r="E315" s="276"/>
      <c r="F315" s="265"/>
      <c r="G315" s="265"/>
      <c r="H315" s="432"/>
      <c r="I315" s="432"/>
      <c r="J315" s="283"/>
      <c r="K315" s="276"/>
      <c r="L315" s="417" t="str">
        <f t="shared" si="1"/>
        <v/>
      </c>
      <c r="M315" s="425"/>
      <c r="N315" s="426"/>
      <c r="O315" s="427"/>
      <c r="P315" s="425"/>
      <c r="Q315" s="425"/>
      <c r="R315" s="425"/>
      <c r="S315" s="421"/>
      <c r="T315" s="421"/>
      <c r="U315" s="421"/>
      <c r="V315" s="421"/>
      <c r="W315" s="421"/>
      <c r="X315" s="425"/>
      <c r="Y315" s="421"/>
      <c r="Z315" s="421"/>
      <c r="AA315" s="421"/>
      <c r="AB315" s="421"/>
      <c r="AC315" s="421"/>
      <c r="AD315" s="421"/>
      <c r="AE315" s="421"/>
      <c r="AF315" s="421"/>
      <c r="AG315" s="421"/>
      <c r="AH315" s="421"/>
      <c r="AI315" s="421"/>
      <c r="AJ315" s="421"/>
      <c r="AK315" s="421"/>
      <c r="AL315" s="421"/>
      <c r="AM315" s="421"/>
      <c r="AN315" s="421"/>
      <c r="AO315" s="421"/>
      <c r="AP315" s="421"/>
      <c r="AQ315" s="421"/>
      <c r="AR315" s="421"/>
      <c r="AS315" s="421"/>
      <c r="AT315" s="421"/>
      <c r="AU315" s="421"/>
      <c r="AV315" s="421"/>
      <c r="AW315" s="421"/>
      <c r="AX315" s="421"/>
      <c r="AY315" s="421"/>
      <c r="AZ315" s="421"/>
      <c r="BA315" s="421"/>
    </row>
    <row r="316">
      <c r="A316" s="421"/>
      <c r="B316" s="421"/>
      <c r="C316" s="268"/>
      <c r="D316" s="431"/>
      <c r="E316" s="276"/>
      <c r="F316" s="265"/>
      <c r="G316" s="265"/>
      <c r="H316" s="432"/>
      <c r="I316" s="432"/>
      <c r="J316" s="283"/>
      <c r="K316" s="276"/>
      <c r="L316" s="417" t="str">
        <f t="shared" si="1"/>
        <v/>
      </c>
      <c r="M316" s="425"/>
      <c r="N316" s="426"/>
      <c r="O316" s="427"/>
      <c r="P316" s="425"/>
      <c r="Q316" s="425"/>
      <c r="R316" s="425"/>
      <c r="S316" s="421"/>
      <c r="T316" s="421"/>
      <c r="U316" s="421"/>
      <c r="V316" s="421"/>
      <c r="W316" s="421"/>
      <c r="X316" s="425"/>
      <c r="Y316" s="421"/>
      <c r="Z316" s="421"/>
      <c r="AA316" s="421"/>
      <c r="AB316" s="421"/>
      <c r="AC316" s="421"/>
      <c r="AD316" s="421"/>
      <c r="AE316" s="421"/>
      <c r="AF316" s="421"/>
      <c r="AG316" s="421"/>
      <c r="AH316" s="421"/>
      <c r="AI316" s="421"/>
      <c r="AJ316" s="421"/>
      <c r="AK316" s="421"/>
      <c r="AL316" s="421"/>
      <c r="AM316" s="421"/>
      <c r="AN316" s="421"/>
      <c r="AO316" s="421"/>
      <c r="AP316" s="421"/>
      <c r="AQ316" s="421"/>
      <c r="AR316" s="421"/>
      <c r="AS316" s="421"/>
      <c r="AT316" s="421"/>
      <c r="AU316" s="421"/>
      <c r="AV316" s="421"/>
      <c r="AW316" s="421"/>
      <c r="AX316" s="421"/>
      <c r="AY316" s="421"/>
      <c r="AZ316" s="421"/>
      <c r="BA316" s="421"/>
    </row>
    <row r="317">
      <c r="A317" s="421"/>
      <c r="B317" s="421"/>
      <c r="C317" s="268"/>
      <c r="D317" s="431"/>
      <c r="E317" s="276"/>
      <c r="F317" s="265"/>
      <c r="G317" s="265"/>
      <c r="H317" s="432"/>
      <c r="I317" s="432"/>
      <c r="J317" s="283"/>
      <c r="K317" s="276"/>
      <c r="L317" s="417" t="str">
        <f t="shared" si="1"/>
        <v/>
      </c>
      <c r="M317" s="425"/>
      <c r="N317" s="426"/>
      <c r="O317" s="427"/>
      <c r="P317" s="425"/>
      <c r="Q317" s="425"/>
      <c r="R317" s="425"/>
      <c r="S317" s="421"/>
      <c r="T317" s="421"/>
      <c r="U317" s="421"/>
      <c r="V317" s="421"/>
      <c r="W317" s="421"/>
      <c r="X317" s="425"/>
      <c r="Y317" s="421"/>
      <c r="Z317" s="421"/>
      <c r="AA317" s="421"/>
      <c r="AB317" s="421"/>
      <c r="AC317" s="421"/>
      <c r="AD317" s="421"/>
      <c r="AE317" s="421"/>
      <c r="AF317" s="421"/>
      <c r="AG317" s="421"/>
      <c r="AH317" s="421"/>
      <c r="AI317" s="421"/>
      <c r="AJ317" s="421"/>
      <c r="AK317" s="421"/>
      <c r="AL317" s="421"/>
      <c r="AM317" s="421"/>
      <c r="AN317" s="421"/>
      <c r="AO317" s="421"/>
      <c r="AP317" s="421"/>
      <c r="AQ317" s="421"/>
      <c r="AR317" s="421"/>
      <c r="AS317" s="421"/>
      <c r="AT317" s="421"/>
      <c r="AU317" s="421"/>
      <c r="AV317" s="421"/>
      <c r="AW317" s="421"/>
      <c r="AX317" s="421"/>
      <c r="AY317" s="421"/>
      <c r="AZ317" s="421"/>
      <c r="BA317" s="421"/>
    </row>
    <row r="318">
      <c r="A318" s="421"/>
      <c r="B318" s="421"/>
      <c r="C318" s="268"/>
      <c r="D318" s="431"/>
      <c r="E318" s="276"/>
      <c r="F318" s="265"/>
      <c r="G318" s="265"/>
      <c r="H318" s="432"/>
      <c r="I318" s="432"/>
      <c r="J318" s="283"/>
      <c r="K318" s="276"/>
      <c r="L318" s="417" t="str">
        <f t="shared" si="1"/>
        <v/>
      </c>
      <c r="M318" s="425"/>
      <c r="N318" s="426"/>
      <c r="O318" s="427"/>
      <c r="P318" s="425"/>
      <c r="Q318" s="425"/>
      <c r="R318" s="425"/>
      <c r="S318" s="421"/>
      <c r="T318" s="421"/>
      <c r="U318" s="421"/>
      <c r="V318" s="421"/>
      <c r="W318" s="421"/>
      <c r="X318" s="425"/>
      <c r="Y318" s="421"/>
      <c r="Z318" s="421"/>
      <c r="AA318" s="421"/>
      <c r="AB318" s="421"/>
      <c r="AC318" s="421"/>
      <c r="AD318" s="421"/>
      <c r="AE318" s="421"/>
      <c r="AF318" s="421"/>
      <c r="AG318" s="421"/>
      <c r="AH318" s="421"/>
      <c r="AI318" s="421"/>
      <c r="AJ318" s="421"/>
      <c r="AK318" s="421"/>
      <c r="AL318" s="421"/>
      <c r="AM318" s="421"/>
      <c r="AN318" s="421"/>
      <c r="AO318" s="421"/>
      <c r="AP318" s="421"/>
      <c r="AQ318" s="421"/>
      <c r="AR318" s="421"/>
      <c r="AS318" s="421"/>
      <c r="AT318" s="421"/>
      <c r="AU318" s="421"/>
      <c r="AV318" s="421"/>
      <c r="AW318" s="421"/>
      <c r="AX318" s="421"/>
      <c r="AY318" s="421"/>
      <c r="AZ318" s="421"/>
      <c r="BA318" s="421"/>
    </row>
    <row r="319">
      <c r="A319" s="421"/>
      <c r="B319" s="421"/>
      <c r="C319" s="268"/>
      <c r="D319" s="431"/>
      <c r="E319" s="276"/>
      <c r="F319" s="265"/>
      <c r="G319" s="265"/>
      <c r="H319" s="432"/>
      <c r="I319" s="432"/>
      <c r="J319" s="283"/>
      <c r="K319" s="276"/>
      <c r="L319" s="417" t="str">
        <f t="shared" si="1"/>
        <v/>
      </c>
      <c r="M319" s="425"/>
      <c r="N319" s="426"/>
      <c r="O319" s="427"/>
      <c r="P319" s="425"/>
      <c r="Q319" s="425"/>
      <c r="R319" s="425"/>
      <c r="S319" s="421"/>
      <c r="T319" s="421"/>
      <c r="U319" s="421"/>
      <c r="V319" s="421"/>
      <c r="W319" s="421"/>
      <c r="X319" s="425"/>
      <c r="Y319" s="421"/>
      <c r="Z319" s="421"/>
      <c r="AA319" s="421"/>
      <c r="AB319" s="421"/>
      <c r="AC319" s="421"/>
      <c r="AD319" s="421"/>
      <c r="AE319" s="421"/>
      <c r="AF319" s="421"/>
      <c r="AG319" s="421"/>
      <c r="AH319" s="421"/>
      <c r="AI319" s="421"/>
      <c r="AJ319" s="421"/>
      <c r="AK319" s="421"/>
      <c r="AL319" s="421"/>
      <c r="AM319" s="421"/>
      <c r="AN319" s="421"/>
      <c r="AO319" s="421"/>
      <c r="AP319" s="421"/>
      <c r="AQ319" s="421"/>
      <c r="AR319" s="421"/>
      <c r="AS319" s="421"/>
      <c r="AT319" s="421"/>
      <c r="AU319" s="421"/>
      <c r="AV319" s="421"/>
      <c r="AW319" s="421"/>
      <c r="AX319" s="421"/>
      <c r="AY319" s="421"/>
      <c r="AZ319" s="421"/>
      <c r="BA319" s="421"/>
    </row>
    <row r="320">
      <c r="A320" s="421"/>
      <c r="B320" s="421"/>
      <c r="C320" s="268"/>
      <c r="D320" s="431"/>
      <c r="E320" s="276"/>
      <c r="F320" s="265"/>
      <c r="G320" s="265"/>
      <c r="H320" s="432"/>
      <c r="I320" s="432"/>
      <c r="J320" s="283"/>
      <c r="K320" s="276"/>
      <c r="L320" s="417" t="str">
        <f t="shared" si="1"/>
        <v/>
      </c>
      <c r="M320" s="425"/>
      <c r="N320" s="426"/>
      <c r="O320" s="427"/>
      <c r="P320" s="425"/>
      <c r="Q320" s="425"/>
      <c r="R320" s="425"/>
      <c r="S320" s="421"/>
      <c r="T320" s="421"/>
      <c r="U320" s="421"/>
      <c r="V320" s="421"/>
      <c r="W320" s="421"/>
      <c r="X320" s="425"/>
      <c r="Y320" s="421"/>
      <c r="Z320" s="421"/>
      <c r="AA320" s="421"/>
      <c r="AB320" s="421"/>
      <c r="AC320" s="421"/>
      <c r="AD320" s="421"/>
      <c r="AE320" s="421"/>
      <c r="AF320" s="421"/>
      <c r="AG320" s="421"/>
      <c r="AH320" s="421"/>
      <c r="AI320" s="421"/>
      <c r="AJ320" s="421"/>
      <c r="AK320" s="421"/>
      <c r="AL320" s="421"/>
      <c r="AM320" s="421"/>
      <c r="AN320" s="421"/>
      <c r="AO320" s="421"/>
      <c r="AP320" s="421"/>
      <c r="AQ320" s="421"/>
      <c r="AR320" s="421"/>
      <c r="AS320" s="421"/>
      <c r="AT320" s="421"/>
      <c r="AU320" s="421"/>
      <c r="AV320" s="421"/>
      <c r="AW320" s="421"/>
      <c r="AX320" s="421"/>
      <c r="AY320" s="421"/>
      <c r="AZ320" s="421"/>
      <c r="BA320" s="421"/>
    </row>
    <row r="321">
      <c r="A321" s="421"/>
      <c r="B321" s="421"/>
      <c r="C321" s="268"/>
      <c r="D321" s="431"/>
      <c r="E321" s="276"/>
      <c r="F321" s="265"/>
      <c r="G321" s="265"/>
      <c r="H321" s="432"/>
      <c r="I321" s="432"/>
      <c r="J321" s="283"/>
      <c r="K321" s="276"/>
      <c r="L321" s="417" t="str">
        <f t="shared" si="1"/>
        <v/>
      </c>
      <c r="M321" s="425"/>
      <c r="N321" s="426"/>
      <c r="O321" s="427"/>
      <c r="P321" s="425"/>
      <c r="Q321" s="425"/>
      <c r="R321" s="425"/>
      <c r="S321" s="421"/>
      <c r="T321" s="421"/>
      <c r="U321" s="421"/>
      <c r="V321" s="421"/>
      <c r="W321" s="421"/>
      <c r="X321" s="425"/>
      <c r="Y321" s="421"/>
      <c r="Z321" s="421"/>
      <c r="AA321" s="421"/>
      <c r="AB321" s="421"/>
      <c r="AC321" s="421"/>
      <c r="AD321" s="421"/>
      <c r="AE321" s="421"/>
      <c r="AF321" s="421"/>
      <c r="AG321" s="421"/>
      <c r="AH321" s="421"/>
      <c r="AI321" s="421"/>
      <c r="AJ321" s="421"/>
      <c r="AK321" s="421"/>
      <c r="AL321" s="421"/>
      <c r="AM321" s="421"/>
      <c r="AN321" s="421"/>
      <c r="AO321" s="421"/>
      <c r="AP321" s="421"/>
      <c r="AQ321" s="421"/>
      <c r="AR321" s="421"/>
      <c r="AS321" s="421"/>
      <c r="AT321" s="421"/>
      <c r="AU321" s="421"/>
      <c r="AV321" s="421"/>
      <c r="AW321" s="421"/>
      <c r="AX321" s="421"/>
      <c r="AY321" s="421"/>
      <c r="AZ321" s="421"/>
      <c r="BA321" s="421"/>
    </row>
    <row r="322">
      <c r="A322" s="421"/>
      <c r="B322" s="421"/>
      <c r="C322" s="268"/>
      <c r="D322" s="431"/>
      <c r="E322" s="276"/>
      <c r="F322" s="265"/>
      <c r="G322" s="265"/>
      <c r="H322" s="432"/>
      <c r="I322" s="432"/>
      <c r="J322" s="283"/>
      <c r="K322" s="276"/>
      <c r="L322" s="417" t="str">
        <f t="shared" si="1"/>
        <v/>
      </c>
      <c r="M322" s="425"/>
      <c r="N322" s="426"/>
      <c r="O322" s="427"/>
      <c r="P322" s="425"/>
      <c r="Q322" s="425"/>
      <c r="R322" s="425"/>
      <c r="S322" s="421"/>
      <c r="T322" s="421"/>
      <c r="U322" s="421"/>
      <c r="V322" s="421"/>
      <c r="W322" s="421"/>
      <c r="X322" s="425"/>
      <c r="Y322" s="421"/>
      <c r="Z322" s="421"/>
      <c r="AA322" s="421"/>
      <c r="AB322" s="421"/>
      <c r="AC322" s="421"/>
      <c r="AD322" s="421"/>
      <c r="AE322" s="421"/>
      <c r="AF322" s="421"/>
      <c r="AG322" s="421"/>
      <c r="AH322" s="421"/>
      <c r="AI322" s="421"/>
      <c r="AJ322" s="421"/>
      <c r="AK322" s="421"/>
      <c r="AL322" s="421"/>
      <c r="AM322" s="421"/>
      <c r="AN322" s="421"/>
      <c r="AO322" s="421"/>
      <c r="AP322" s="421"/>
      <c r="AQ322" s="421"/>
      <c r="AR322" s="421"/>
      <c r="AS322" s="421"/>
      <c r="AT322" s="421"/>
      <c r="AU322" s="421"/>
      <c r="AV322" s="421"/>
      <c r="AW322" s="421"/>
      <c r="AX322" s="421"/>
      <c r="AY322" s="421"/>
      <c r="AZ322" s="421"/>
      <c r="BA322" s="421"/>
    </row>
    <row r="323">
      <c r="A323" s="421"/>
      <c r="B323" s="421"/>
      <c r="C323" s="268"/>
      <c r="D323" s="431"/>
      <c r="E323" s="276"/>
      <c r="F323" s="265"/>
      <c r="G323" s="265"/>
      <c r="H323" s="432"/>
      <c r="I323" s="432"/>
      <c r="J323" s="283"/>
      <c r="K323" s="276"/>
      <c r="L323" s="417" t="str">
        <f t="shared" si="1"/>
        <v/>
      </c>
      <c r="M323" s="425"/>
      <c r="N323" s="426"/>
      <c r="O323" s="427"/>
      <c r="P323" s="425"/>
      <c r="Q323" s="425"/>
      <c r="R323" s="425"/>
      <c r="S323" s="421"/>
      <c r="T323" s="421"/>
      <c r="U323" s="421"/>
      <c r="V323" s="421"/>
      <c r="W323" s="421"/>
      <c r="X323" s="425"/>
      <c r="Y323" s="421"/>
      <c r="Z323" s="421"/>
      <c r="AA323" s="421"/>
      <c r="AB323" s="421"/>
      <c r="AC323" s="421"/>
      <c r="AD323" s="421"/>
      <c r="AE323" s="421"/>
      <c r="AF323" s="421"/>
      <c r="AG323" s="421"/>
      <c r="AH323" s="421"/>
      <c r="AI323" s="421"/>
      <c r="AJ323" s="421"/>
      <c r="AK323" s="421"/>
      <c r="AL323" s="421"/>
      <c r="AM323" s="421"/>
      <c r="AN323" s="421"/>
      <c r="AO323" s="421"/>
      <c r="AP323" s="421"/>
      <c r="AQ323" s="421"/>
      <c r="AR323" s="421"/>
      <c r="AS323" s="421"/>
      <c r="AT323" s="421"/>
      <c r="AU323" s="421"/>
      <c r="AV323" s="421"/>
      <c r="AW323" s="421"/>
      <c r="AX323" s="421"/>
      <c r="AY323" s="421"/>
      <c r="AZ323" s="421"/>
      <c r="BA323" s="421"/>
    </row>
    <row r="324">
      <c r="A324" s="421"/>
      <c r="B324" s="421"/>
      <c r="C324" s="268"/>
      <c r="D324" s="431"/>
      <c r="E324" s="276"/>
      <c r="F324" s="265"/>
      <c r="G324" s="265"/>
      <c r="H324" s="432"/>
      <c r="I324" s="432"/>
      <c r="J324" s="283"/>
      <c r="K324" s="276"/>
      <c r="L324" s="417" t="str">
        <f t="shared" si="1"/>
        <v/>
      </c>
      <c r="M324" s="425"/>
      <c r="N324" s="426"/>
      <c r="O324" s="427"/>
      <c r="P324" s="425"/>
      <c r="Q324" s="425"/>
      <c r="R324" s="425"/>
      <c r="S324" s="421"/>
      <c r="T324" s="421"/>
      <c r="U324" s="421"/>
      <c r="V324" s="421"/>
      <c r="W324" s="421"/>
      <c r="X324" s="425"/>
      <c r="Y324" s="421"/>
      <c r="Z324" s="421"/>
      <c r="AA324" s="421"/>
      <c r="AB324" s="421"/>
      <c r="AC324" s="421"/>
      <c r="AD324" s="421"/>
      <c r="AE324" s="421"/>
      <c r="AF324" s="421"/>
      <c r="AG324" s="421"/>
      <c r="AH324" s="421"/>
      <c r="AI324" s="421"/>
      <c r="AJ324" s="421"/>
      <c r="AK324" s="421"/>
      <c r="AL324" s="421"/>
      <c r="AM324" s="421"/>
      <c r="AN324" s="421"/>
      <c r="AO324" s="421"/>
      <c r="AP324" s="421"/>
      <c r="AQ324" s="421"/>
      <c r="AR324" s="421"/>
      <c r="AS324" s="421"/>
      <c r="AT324" s="421"/>
      <c r="AU324" s="421"/>
      <c r="AV324" s="421"/>
      <c r="AW324" s="421"/>
      <c r="AX324" s="421"/>
      <c r="AY324" s="421"/>
      <c r="AZ324" s="421"/>
      <c r="BA324" s="421"/>
    </row>
    <row r="325">
      <c r="A325" s="421"/>
      <c r="B325" s="421"/>
      <c r="C325" s="268"/>
      <c r="D325" s="431"/>
      <c r="E325" s="276"/>
      <c r="F325" s="265"/>
      <c r="G325" s="265"/>
      <c r="H325" s="432"/>
      <c r="I325" s="432"/>
      <c r="J325" s="283"/>
      <c r="K325" s="276"/>
      <c r="L325" s="417" t="str">
        <f t="shared" si="1"/>
        <v/>
      </c>
      <c r="M325" s="425"/>
      <c r="N325" s="426"/>
      <c r="O325" s="427"/>
      <c r="P325" s="425"/>
      <c r="Q325" s="425"/>
      <c r="R325" s="425"/>
      <c r="S325" s="421"/>
      <c r="T325" s="421"/>
      <c r="U325" s="421"/>
      <c r="V325" s="421"/>
      <c r="W325" s="421"/>
      <c r="X325" s="425"/>
      <c r="Y325" s="421"/>
      <c r="Z325" s="421"/>
      <c r="AA325" s="421"/>
      <c r="AB325" s="421"/>
      <c r="AC325" s="421"/>
      <c r="AD325" s="421"/>
      <c r="AE325" s="421"/>
      <c r="AF325" s="421"/>
      <c r="AG325" s="421"/>
      <c r="AH325" s="421"/>
      <c r="AI325" s="421"/>
      <c r="AJ325" s="421"/>
      <c r="AK325" s="421"/>
      <c r="AL325" s="421"/>
      <c r="AM325" s="421"/>
      <c r="AN325" s="421"/>
      <c r="AO325" s="421"/>
      <c r="AP325" s="421"/>
      <c r="AQ325" s="421"/>
      <c r="AR325" s="421"/>
      <c r="AS325" s="421"/>
      <c r="AT325" s="421"/>
      <c r="AU325" s="421"/>
      <c r="AV325" s="421"/>
      <c r="AW325" s="421"/>
      <c r="AX325" s="421"/>
      <c r="AY325" s="421"/>
      <c r="AZ325" s="421"/>
      <c r="BA325" s="421"/>
    </row>
    <row r="326">
      <c r="A326" s="421"/>
      <c r="B326" s="421"/>
      <c r="C326" s="268"/>
      <c r="D326" s="431"/>
      <c r="E326" s="276"/>
      <c r="F326" s="265"/>
      <c r="G326" s="265"/>
      <c r="H326" s="432"/>
      <c r="I326" s="432"/>
      <c r="J326" s="283"/>
      <c r="K326" s="276"/>
      <c r="L326" s="417" t="str">
        <f t="shared" si="1"/>
        <v/>
      </c>
      <c r="M326" s="425"/>
      <c r="N326" s="426"/>
      <c r="O326" s="427"/>
      <c r="P326" s="425"/>
      <c r="Q326" s="425"/>
      <c r="R326" s="425"/>
      <c r="S326" s="421"/>
      <c r="T326" s="421"/>
      <c r="U326" s="421"/>
      <c r="V326" s="421"/>
      <c r="W326" s="421"/>
      <c r="X326" s="425"/>
      <c r="Y326" s="421"/>
      <c r="Z326" s="421"/>
      <c r="AA326" s="421"/>
      <c r="AB326" s="421"/>
      <c r="AC326" s="421"/>
      <c r="AD326" s="421"/>
      <c r="AE326" s="421"/>
      <c r="AF326" s="421"/>
      <c r="AG326" s="421"/>
      <c r="AH326" s="421"/>
      <c r="AI326" s="421"/>
      <c r="AJ326" s="421"/>
      <c r="AK326" s="421"/>
      <c r="AL326" s="421"/>
      <c r="AM326" s="421"/>
      <c r="AN326" s="421"/>
      <c r="AO326" s="421"/>
      <c r="AP326" s="421"/>
      <c r="AQ326" s="421"/>
      <c r="AR326" s="421"/>
      <c r="AS326" s="421"/>
      <c r="AT326" s="421"/>
      <c r="AU326" s="421"/>
      <c r="AV326" s="421"/>
      <c r="AW326" s="421"/>
      <c r="AX326" s="421"/>
      <c r="AY326" s="421"/>
      <c r="AZ326" s="421"/>
      <c r="BA326" s="421"/>
    </row>
    <row r="327">
      <c r="A327" s="421"/>
      <c r="B327" s="421"/>
      <c r="C327" s="268"/>
      <c r="D327" s="431"/>
      <c r="E327" s="276"/>
      <c r="F327" s="265"/>
      <c r="G327" s="265"/>
      <c r="H327" s="432"/>
      <c r="I327" s="432"/>
      <c r="J327" s="283"/>
      <c r="K327" s="276"/>
      <c r="L327" s="417" t="str">
        <f t="shared" si="1"/>
        <v/>
      </c>
      <c r="M327" s="425"/>
      <c r="N327" s="426"/>
      <c r="O327" s="427"/>
      <c r="P327" s="425"/>
      <c r="Q327" s="425"/>
      <c r="R327" s="425"/>
      <c r="S327" s="421"/>
      <c r="T327" s="421"/>
      <c r="U327" s="421"/>
      <c r="V327" s="421"/>
      <c r="W327" s="421"/>
      <c r="X327" s="425"/>
      <c r="Y327" s="421"/>
      <c r="Z327" s="421"/>
      <c r="AA327" s="421"/>
      <c r="AB327" s="421"/>
      <c r="AC327" s="421"/>
      <c r="AD327" s="421"/>
      <c r="AE327" s="421"/>
      <c r="AF327" s="421"/>
      <c r="AG327" s="421"/>
      <c r="AH327" s="421"/>
      <c r="AI327" s="421"/>
      <c r="AJ327" s="421"/>
      <c r="AK327" s="421"/>
      <c r="AL327" s="421"/>
      <c r="AM327" s="421"/>
      <c r="AN327" s="421"/>
      <c r="AO327" s="421"/>
      <c r="AP327" s="421"/>
      <c r="AQ327" s="421"/>
      <c r="AR327" s="421"/>
      <c r="AS327" s="421"/>
      <c r="AT327" s="421"/>
      <c r="AU327" s="421"/>
      <c r="AV327" s="421"/>
      <c r="AW327" s="421"/>
      <c r="AX327" s="421"/>
      <c r="AY327" s="421"/>
      <c r="AZ327" s="421"/>
      <c r="BA327" s="421"/>
    </row>
    <row r="328">
      <c r="A328" s="421"/>
      <c r="B328" s="421"/>
      <c r="C328" s="268"/>
      <c r="D328" s="431"/>
      <c r="E328" s="276"/>
      <c r="F328" s="265"/>
      <c r="G328" s="265"/>
      <c r="H328" s="432"/>
      <c r="I328" s="432"/>
      <c r="J328" s="283"/>
      <c r="K328" s="276"/>
      <c r="L328" s="417" t="str">
        <f t="shared" si="1"/>
        <v/>
      </c>
      <c r="M328" s="425"/>
      <c r="N328" s="426"/>
      <c r="O328" s="427"/>
      <c r="P328" s="425"/>
      <c r="Q328" s="425"/>
      <c r="R328" s="425"/>
      <c r="S328" s="421"/>
      <c r="T328" s="421"/>
      <c r="U328" s="421"/>
      <c r="V328" s="421"/>
      <c r="W328" s="421"/>
      <c r="X328" s="425"/>
      <c r="Y328" s="421"/>
      <c r="Z328" s="421"/>
      <c r="AA328" s="421"/>
      <c r="AB328" s="421"/>
      <c r="AC328" s="421"/>
      <c r="AD328" s="421"/>
      <c r="AE328" s="421"/>
      <c r="AF328" s="421"/>
      <c r="AG328" s="421"/>
      <c r="AH328" s="421"/>
      <c r="AI328" s="421"/>
      <c r="AJ328" s="421"/>
      <c r="AK328" s="421"/>
      <c r="AL328" s="421"/>
      <c r="AM328" s="421"/>
      <c r="AN328" s="421"/>
      <c r="AO328" s="421"/>
      <c r="AP328" s="421"/>
      <c r="AQ328" s="421"/>
      <c r="AR328" s="421"/>
      <c r="AS328" s="421"/>
      <c r="AT328" s="421"/>
      <c r="AU328" s="421"/>
      <c r="AV328" s="421"/>
      <c r="AW328" s="421"/>
      <c r="AX328" s="421"/>
      <c r="AY328" s="421"/>
      <c r="AZ328" s="421"/>
      <c r="BA328" s="421"/>
    </row>
    <row r="329">
      <c r="A329" s="421"/>
      <c r="B329" s="421"/>
      <c r="C329" s="268"/>
      <c r="D329" s="431"/>
      <c r="E329" s="276"/>
      <c r="F329" s="265"/>
      <c r="G329" s="265"/>
      <c r="H329" s="432"/>
      <c r="I329" s="432"/>
      <c r="J329" s="283"/>
      <c r="K329" s="276"/>
      <c r="L329" s="417" t="str">
        <f t="shared" si="1"/>
        <v/>
      </c>
      <c r="M329" s="425"/>
      <c r="N329" s="426"/>
      <c r="O329" s="427"/>
      <c r="P329" s="425"/>
      <c r="Q329" s="425"/>
      <c r="R329" s="425"/>
      <c r="S329" s="421"/>
      <c r="T329" s="421"/>
      <c r="U329" s="421"/>
      <c r="V329" s="421"/>
      <c r="W329" s="421"/>
      <c r="X329" s="425"/>
      <c r="Y329" s="421"/>
      <c r="Z329" s="421"/>
      <c r="AA329" s="421"/>
      <c r="AB329" s="421"/>
      <c r="AC329" s="421"/>
      <c r="AD329" s="421"/>
      <c r="AE329" s="421"/>
      <c r="AF329" s="421"/>
      <c r="AG329" s="421"/>
      <c r="AH329" s="421"/>
      <c r="AI329" s="421"/>
      <c r="AJ329" s="421"/>
      <c r="AK329" s="421"/>
      <c r="AL329" s="421"/>
      <c r="AM329" s="421"/>
      <c r="AN329" s="421"/>
      <c r="AO329" s="421"/>
      <c r="AP329" s="421"/>
      <c r="AQ329" s="421"/>
      <c r="AR329" s="421"/>
      <c r="AS329" s="421"/>
      <c r="AT329" s="421"/>
      <c r="AU329" s="421"/>
      <c r="AV329" s="421"/>
      <c r="AW329" s="421"/>
      <c r="AX329" s="421"/>
      <c r="AY329" s="421"/>
      <c r="AZ329" s="421"/>
      <c r="BA329" s="421"/>
    </row>
    <row r="330">
      <c r="A330" s="421"/>
      <c r="B330" s="421"/>
      <c r="C330" s="268"/>
      <c r="D330" s="431"/>
      <c r="E330" s="276"/>
      <c r="F330" s="265"/>
      <c r="G330" s="265"/>
      <c r="H330" s="432"/>
      <c r="I330" s="432"/>
      <c r="J330" s="283"/>
      <c r="K330" s="276"/>
      <c r="L330" s="417" t="str">
        <f t="shared" si="1"/>
        <v/>
      </c>
      <c r="M330" s="425"/>
      <c r="N330" s="426"/>
      <c r="O330" s="427"/>
      <c r="P330" s="425"/>
      <c r="Q330" s="425"/>
      <c r="R330" s="425"/>
      <c r="S330" s="421"/>
      <c r="T330" s="421"/>
      <c r="U330" s="421"/>
      <c r="V330" s="421"/>
      <c r="W330" s="421"/>
      <c r="X330" s="425"/>
      <c r="Y330" s="421"/>
      <c r="Z330" s="421"/>
      <c r="AA330" s="421"/>
      <c r="AB330" s="421"/>
      <c r="AC330" s="421"/>
      <c r="AD330" s="421"/>
      <c r="AE330" s="421"/>
      <c r="AF330" s="421"/>
      <c r="AG330" s="421"/>
      <c r="AH330" s="421"/>
      <c r="AI330" s="421"/>
      <c r="AJ330" s="421"/>
      <c r="AK330" s="421"/>
      <c r="AL330" s="421"/>
      <c r="AM330" s="421"/>
      <c r="AN330" s="421"/>
      <c r="AO330" s="421"/>
      <c r="AP330" s="421"/>
      <c r="AQ330" s="421"/>
      <c r="AR330" s="421"/>
      <c r="AS330" s="421"/>
      <c r="AT330" s="421"/>
      <c r="AU330" s="421"/>
      <c r="AV330" s="421"/>
      <c r="AW330" s="421"/>
      <c r="AX330" s="421"/>
      <c r="AY330" s="421"/>
      <c r="AZ330" s="421"/>
      <c r="BA330" s="421"/>
    </row>
    <row r="331">
      <c r="A331" s="421"/>
      <c r="B331" s="421"/>
      <c r="C331" s="268"/>
      <c r="D331" s="431"/>
      <c r="E331" s="276"/>
      <c r="F331" s="265"/>
      <c r="G331" s="265"/>
      <c r="H331" s="432"/>
      <c r="I331" s="432"/>
      <c r="J331" s="283"/>
      <c r="K331" s="276"/>
      <c r="L331" s="417" t="str">
        <f t="shared" si="1"/>
        <v/>
      </c>
      <c r="M331" s="425"/>
      <c r="N331" s="426"/>
      <c r="O331" s="427"/>
      <c r="P331" s="425"/>
      <c r="Q331" s="425"/>
      <c r="R331" s="425"/>
      <c r="S331" s="421"/>
      <c r="T331" s="421"/>
      <c r="U331" s="421"/>
      <c r="V331" s="421"/>
      <c r="W331" s="421"/>
      <c r="X331" s="425"/>
      <c r="Y331" s="421"/>
      <c r="Z331" s="421"/>
      <c r="AA331" s="421"/>
      <c r="AB331" s="421"/>
      <c r="AC331" s="421"/>
      <c r="AD331" s="421"/>
      <c r="AE331" s="421"/>
      <c r="AF331" s="421"/>
      <c r="AG331" s="421"/>
      <c r="AH331" s="421"/>
      <c r="AI331" s="421"/>
      <c r="AJ331" s="421"/>
      <c r="AK331" s="421"/>
      <c r="AL331" s="421"/>
      <c r="AM331" s="421"/>
      <c r="AN331" s="421"/>
      <c r="AO331" s="421"/>
      <c r="AP331" s="421"/>
      <c r="AQ331" s="421"/>
      <c r="AR331" s="421"/>
      <c r="AS331" s="421"/>
      <c r="AT331" s="421"/>
      <c r="AU331" s="421"/>
      <c r="AV331" s="421"/>
      <c r="AW331" s="421"/>
      <c r="AX331" s="421"/>
      <c r="AY331" s="421"/>
      <c r="AZ331" s="421"/>
      <c r="BA331" s="421"/>
    </row>
    <row r="332">
      <c r="A332" s="421"/>
      <c r="B332" s="421"/>
      <c r="C332" s="268"/>
      <c r="D332" s="431"/>
      <c r="E332" s="276"/>
      <c r="F332" s="265"/>
      <c r="G332" s="265"/>
      <c r="H332" s="432"/>
      <c r="I332" s="432"/>
      <c r="J332" s="283"/>
      <c r="K332" s="276"/>
      <c r="L332" s="417" t="str">
        <f t="shared" si="1"/>
        <v/>
      </c>
      <c r="M332" s="425"/>
      <c r="N332" s="426"/>
      <c r="O332" s="427"/>
      <c r="P332" s="425"/>
      <c r="Q332" s="425"/>
      <c r="R332" s="425"/>
      <c r="S332" s="421"/>
      <c r="T332" s="421"/>
      <c r="U332" s="421"/>
      <c r="V332" s="421"/>
      <c r="W332" s="421"/>
      <c r="X332" s="425"/>
      <c r="Y332" s="421"/>
      <c r="Z332" s="421"/>
      <c r="AA332" s="421"/>
      <c r="AB332" s="421"/>
      <c r="AC332" s="421"/>
      <c r="AD332" s="421"/>
      <c r="AE332" s="421"/>
      <c r="AF332" s="421"/>
      <c r="AG332" s="421"/>
      <c r="AH332" s="421"/>
      <c r="AI332" s="421"/>
      <c r="AJ332" s="421"/>
      <c r="AK332" s="421"/>
      <c r="AL332" s="421"/>
      <c r="AM332" s="421"/>
      <c r="AN332" s="421"/>
      <c r="AO332" s="421"/>
      <c r="AP332" s="421"/>
      <c r="AQ332" s="421"/>
      <c r="AR332" s="421"/>
      <c r="AS332" s="421"/>
      <c r="AT332" s="421"/>
      <c r="AU332" s="421"/>
      <c r="AV332" s="421"/>
      <c r="AW332" s="421"/>
      <c r="AX332" s="421"/>
      <c r="AY332" s="421"/>
      <c r="AZ332" s="421"/>
      <c r="BA332" s="421"/>
    </row>
    <row r="333">
      <c r="A333" s="421"/>
      <c r="B333" s="421"/>
      <c r="C333" s="268"/>
      <c r="D333" s="431"/>
      <c r="E333" s="276"/>
      <c r="F333" s="265"/>
      <c r="G333" s="265"/>
      <c r="H333" s="432"/>
      <c r="I333" s="432"/>
      <c r="J333" s="283"/>
      <c r="K333" s="276"/>
      <c r="L333" s="417" t="str">
        <f t="shared" si="1"/>
        <v/>
      </c>
      <c r="M333" s="425"/>
      <c r="N333" s="426"/>
      <c r="O333" s="427"/>
      <c r="P333" s="425"/>
      <c r="Q333" s="425"/>
      <c r="R333" s="425"/>
      <c r="S333" s="421"/>
      <c r="T333" s="421"/>
      <c r="U333" s="421"/>
      <c r="V333" s="421"/>
      <c r="W333" s="421"/>
      <c r="X333" s="425"/>
      <c r="Y333" s="421"/>
      <c r="Z333" s="421"/>
      <c r="AA333" s="421"/>
      <c r="AB333" s="421"/>
      <c r="AC333" s="421"/>
      <c r="AD333" s="421"/>
      <c r="AE333" s="421"/>
      <c r="AF333" s="421"/>
      <c r="AG333" s="421"/>
      <c r="AH333" s="421"/>
      <c r="AI333" s="421"/>
      <c r="AJ333" s="421"/>
      <c r="AK333" s="421"/>
      <c r="AL333" s="421"/>
      <c r="AM333" s="421"/>
      <c r="AN333" s="421"/>
      <c r="AO333" s="421"/>
      <c r="AP333" s="421"/>
      <c r="AQ333" s="421"/>
      <c r="AR333" s="421"/>
      <c r="AS333" s="421"/>
      <c r="AT333" s="421"/>
      <c r="AU333" s="421"/>
      <c r="AV333" s="421"/>
      <c r="AW333" s="421"/>
      <c r="AX333" s="421"/>
      <c r="AY333" s="421"/>
      <c r="AZ333" s="421"/>
      <c r="BA333" s="421"/>
    </row>
    <row r="334">
      <c r="A334" s="421"/>
      <c r="B334" s="421"/>
      <c r="C334" s="268"/>
      <c r="D334" s="431"/>
      <c r="E334" s="276"/>
      <c r="F334" s="265"/>
      <c r="G334" s="265"/>
      <c r="H334" s="432"/>
      <c r="I334" s="432"/>
      <c r="J334" s="283"/>
      <c r="K334" s="276"/>
      <c r="L334" s="417" t="str">
        <f t="shared" si="1"/>
        <v/>
      </c>
      <c r="M334" s="425"/>
      <c r="N334" s="426"/>
      <c r="O334" s="427"/>
      <c r="P334" s="425"/>
      <c r="Q334" s="425"/>
      <c r="R334" s="425"/>
      <c r="S334" s="421"/>
      <c r="T334" s="421"/>
      <c r="U334" s="421"/>
      <c r="V334" s="421"/>
      <c r="W334" s="421"/>
      <c r="X334" s="425"/>
      <c r="Y334" s="421"/>
      <c r="Z334" s="421"/>
      <c r="AA334" s="421"/>
      <c r="AB334" s="421"/>
      <c r="AC334" s="421"/>
      <c r="AD334" s="421"/>
      <c r="AE334" s="421"/>
      <c r="AF334" s="421"/>
      <c r="AG334" s="421"/>
      <c r="AH334" s="421"/>
      <c r="AI334" s="421"/>
      <c r="AJ334" s="421"/>
      <c r="AK334" s="421"/>
      <c r="AL334" s="421"/>
      <c r="AM334" s="421"/>
      <c r="AN334" s="421"/>
      <c r="AO334" s="421"/>
      <c r="AP334" s="421"/>
      <c r="AQ334" s="421"/>
      <c r="AR334" s="421"/>
      <c r="AS334" s="421"/>
      <c r="AT334" s="421"/>
      <c r="AU334" s="421"/>
      <c r="AV334" s="421"/>
      <c r="AW334" s="421"/>
      <c r="AX334" s="421"/>
      <c r="AY334" s="421"/>
      <c r="AZ334" s="421"/>
      <c r="BA334" s="421"/>
    </row>
    <row r="335">
      <c r="A335" s="421"/>
      <c r="B335" s="421"/>
      <c r="C335" s="268"/>
      <c r="D335" s="431"/>
      <c r="E335" s="276"/>
      <c r="F335" s="265"/>
      <c r="G335" s="265"/>
      <c r="H335" s="432"/>
      <c r="I335" s="432"/>
      <c r="J335" s="283"/>
      <c r="K335" s="276"/>
      <c r="L335" s="417" t="str">
        <f t="shared" si="1"/>
        <v/>
      </c>
      <c r="M335" s="425"/>
      <c r="N335" s="426"/>
      <c r="O335" s="427"/>
      <c r="P335" s="425"/>
      <c r="Q335" s="425"/>
      <c r="R335" s="425"/>
      <c r="S335" s="421"/>
      <c r="T335" s="421"/>
      <c r="U335" s="421"/>
      <c r="V335" s="421"/>
      <c r="W335" s="421"/>
      <c r="X335" s="425"/>
      <c r="Y335" s="421"/>
      <c r="Z335" s="421"/>
      <c r="AA335" s="421"/>
      <c r="AB335" s="421"/>
      <c r="AC335" s="421"/>
      <c r="AD335" s="421"/>
      <c r="AE335" s="421"/>
      <c r="AF335" s="421"/>
      <c r="AG335" s="421"/>
      <c r="AH335" s="421"/>
      <c r="AI335" s="421"/>
      <c r="AJ335" s="421"/>
      <c r="AK335" s="421"/>
      <c r="AL335" s="421"/>
      <c r="AM335" s="421"/>
      <c r="AN335" s="421"/>
      <c r="AO335" s="421"/>
      <c r="AP335" s="421"/>
      <c r="AQ335" s="421"/>
      <c r="AR335" s="421"/>
      <c r="AS335" s="421"/>
      <c r="AT335" s="421"/>
      <c r="AU335" s="421"/>
      <c r="AV335" s="421"/>
      <c r="AW335" s="421"/>
      <c r="AX335" s="421"/>
      <c r="AY335" s="421"/>
      <c r="AZ335" s="421"/>
      <c r="BA335" s="421"/>
    </row>
    <row r="336">
      <c r="A336" s="421"/>
      <c r="B336" s="421"/>
      <c r="C336" s="268"/>
      <c r="D336" s="431"/>
      <c r="E336" s="276"/>
      <c r="F336" s="265"/>
      <c r="G336" s="265"/>
      <c r="H336" s="432"/>
      <c r="I336" s="432"/>
      <c r="J336" s="283"/>
      <c r="K336" s="276"/>
      <c r="L336" s="417" t="str">
        <f t="shared" si="1"/>
        <v/>
      </c>
      <c r="M336" s="425"/>
      <c r="N336" s="426"/>
      <c r="O336" s="427"/>
      <c r="P336" s="425"/>
      <c r="Q336" s="425"/>
      <c r="R336" s="425"/>
      <c r="S336" s="421"/>
      <c r="T336" s="421"/>
      <c r="U336" s="421"/>
      <c r="V336" s="421"/>
      <c r="W336" s="421"/>
      <c r="X336" s="425"/>
      <c r="Y336" s="421"/>
      <c r="Z336" s="421"/>
      <c r="AA336" s="421"/>
      <c r="AB336" s="421"/>
      <c r="AC336" s="421"/>
      <c r="AD336" s="421"/>
      <c r="AE336" s="421"/>
      <c r="AF336" s="421"/>
      <c r="AG336" s="421"/>
      <c r="AH336" s="421"/>
      <c r="AI336" s="421"/>
      <c r="AJ336" s="421"/>
      <c r="AK336" s="421"/>
      <c r="AL336" s="421"/>
      <c r="AM336" s="421"/>
      <c r="AN336" s="421"/>
      <c r="AO336" s="421"/>
      <c r="AP336" s="421"/>
      <c r="AQ336" s="421"/>
      <c r="AR336" s="421"/>
      <c r="AS336" s="421"/>
      <c r="AT336" s="421"/>
      <c r="AU336" s="421"/>
      <c r="AV336" s="421"/>
      <c r="AW336" s="421"/>
      <c r="AX336" s="421"/>
      <c r="AY336" s="421"/>
      <c r="AZ336" s="421"/>
      <c r="BA336" s="421"/>
    </row>
    <row r="337">
      <c r="A337" s="421"/>
      <c r="B337" s="421"/>
      <c r="C337" s="268"/>
      <c r="D337" s="431"/>
      <c r="E337" s="276"/>
      <c r="F337" s="265"/>
      <c r="G337" s="265"/>
      <c r="H337" s="432"/>
      <c r="I337" s="432"/>
      <c r="J337" s="283"/>
      <c r="K337" s="276"/>
      <c r="L337" s="417" t="str">
        <f t="shared" si="1"/>
        <v/>
      </c>
      <c r="M337" s="425"/>
      <c r="N337" s="426"/>
      <c r="O337" s="427"/>
      <c r="P337" s="425"/>
      <c r="Q337" s="425"/>
      <c r="R337" s="425"/>
      <c r="S337" s="421"/>
      <c r="T337" s="421"/>
      <c r="U337" s="421"/>
      <c r="V337" s="421"/>
      <c r="W337" s="421"/>
      <c r="X337" s="425"/>
      <c r="Y337" s="421"/>
      <c r="Z337" s="421"/>
      <c r="AA337" s="421"/>
      <c r="AB337" s="421"/>
      <c r="AC337" s="421"/>
      <c r="AD337" s="421"/>
      <c r="AE337" s="421"/>
      <c r="AF337" s="421"/>
      <c r="AG337" s="421"/>
      <c r="AH337" s="421"/>
      <c r="AI337" s="421"/>
      <c r="AJ337" s="421"/>
      <c r="AK337" s="421"/>
      <c r="AL337" s="421"/>
      <c r="AM337" s="421"/>
      <c r="AN337" s="421"/>
      <c r="AO337" s="421"/>
      <c r="AP337" s="421"/>
      <c r="AQ337" s="421"/>
      <c r="AR337" s="421"/>
      <c r="AS337" s="421"/>
      <c r="AT337" s="421"/>
      <c r="AU337" s="421"/>
      <c r="AV337" s="421"/>
      <c r="AW337" s="421"/>
      <c r="AX337" s="421"/>
      <c r="AY337" s="421"/>
      <c r="AZ337" s="421"/>
      <c r="BA337" s="421"/>
    </row>
    <row r="338">
      <c r="A338" s="421"/>
      <c r="B338" s="421"/>
      <c r="C338" s="268"/>
      <c r="D338" s="431"/>
      <c r="E338" s="276"/>
      <c r="F338" s="265"/>
      <c r="G338" s="265"/>
      <c r="H338" s="432"/>
      <c r="I338" s="432"/>
      <c r="J338" s="283"/>
      <c r="K338" s="276"/>
      <c r="L338" s="417" t="str">
        <f t="shared" si="1"/>
        <v/>
      </c>
      <c r="M338" s="425"/>
      <c r="N338" s="426"/>
      <c r="O338" s="427"/>
      <c r="P338" s="425"/>
      <c r="Q338" s="425"/>
      <c r="R338" s="425"/>
      <c r="S338" s="421"/>
      <c r="T338" s="421"/>
      <c r="U338" s="421"/>
      <c r="V338" s="421"/>
      <c r="W338" s="421"/>
      <c r="X338" s="425"/>
      <c r="Y338" s="421"/>
      <c r="Z338" s="421"/>
      <c r="AA338" s="421"/>
      <c r="AB338" s="421"/>
      <c r="AC338" s="421"/>
      <c r="AD338" s="421"/>
      <c r="AE338" s="421"/>
      <c r="AF338" s="421"/>
      <c r="AG338" s="421"/>
      <c r="AH338" s="421"/>
      <c r="AI338" s="421"/>
      <c r="AJ338" s="421"/>
      <c r="AK338" s="421"/>
      <c r="AL338" s="421"/>
      <c r="AM338" s="421"/>
      <c r="AN338" s="421"/>
      <c r="AO338" s="421"/>
      <c r="AP338" s="421"/>
      <c r="AQ338" s="421"/>
      <c r="AR338" s="421"/>
      <c r="AS338" s="421"/>
      <c r="AT338" s="421"/>
      <c r="AU338" s="421"/>
      <c r="AV338" s="421"/>
      <c r="AW338" s="421"/>
      <c r="AX338" s="421"/>
      <c r="AY338" s="421"/>
      <c r="AZ338" s="421"/>
      <c r="BA338" s="421"/>
    </row>
    <row r="339">
      <c r="A339" s="421"/>
      <c r="B339" s="421"/>
      <c r="C339" s="268"/>
      <c r="D339" s="431"/>
      <c r="E339" s="276"/>
      <c r="F339" s="265"/>
      <c r="G339" s="265"/>
      <c r="H339" s="432"/>
      <c r="I339" s="432"/>
      <c r="J339" s="283"/>
      <c r="K339" s="276"/>
      <c r="L339" s="417" t="str">
        <f t="shared" si="1"/>
        <v/>
      </c>
      <c r="M339" s="425"/>
      <c r="N339" s="426"/>
      <c r="O339" s="427"/>
      <c r="P339" s="425"/>
      <c r="Q339" s="425"/>
      <c r="R339" s="425"/>
      <c r="S339" s="421"/>
      <c r="T339" s="421"/>
      <c r="U339" s="421"/>
      <c r="V339" s="421"/>
      <c r="W339" s="421"/>
      <c r="X339" s="425"/>
      <c r="Y339" s="421"/>
      <c r="Z339" s="421"/>
      <c r="AA339" s="421"/>
      <c r="AB339" s="421"/>
      <c r="AC339" s="421"/>
      <c r="AD339" s="421"/>
      <c r="AE339" s="421"/>
      <c r="AF339" s="421"/>
      <c r="AG339" s="421"/>
      <c r="AH339" s="421"/>
      <c r="AI339" s="421"/>
      <c r="AJ339" s="421"/>
      <c r="AK339" s="421"/>
      <c r="AL339" s="421"/>
      <c r="AM339" s="421"/>
      <c r="AN339" s="421"/>
      <c r="AO339" s="421"/>
      <c r="AP339" s="421"/>
      <c r="AQ339" s="421"/>
      <c r="AR339" s="421"/>
      <c r="AS339" s="421"/>
      <c r="AT339" s="421"/>
      <c r="AU339" s="421"/>
      <c r="AV339" s="421"/>
      <c r="AW339" s="421"/>
      <c r="AX339" s="421"/>
      <c r="AY339" s="421"/>
      <c r="AZ339" s="421"/>
      <c r="BA339" s="421"/>
    </row>
    <row r="340">
      <c r="A340" s="421"/>
      <c r="B340" s="421"/>
      <c r="C340" s="268"/>
      <c r="D340" s="431"/>
      <c r="E340" s="276"/>
      <c r="F340" s="265"/>
      <c r="G340" s="265"/>
      <c r="H340" s="432"/>
      <c r="I340" s="432"/>
      <c r="J340" s="283"/>
      <c r="K340" s="276"/>
      <c r="L340" s="417" t="str">
        <f t="shared" si="1"/>
        <v/>
      </c>
      <c r="M340" s="425"/>
      <c r="N340" s="426"/>
      <c r="O340" s="427"/>
      <c r="P340" s="425"/>
      <c r="Q340" s="425"/>
      <c r="R340" s="425"/>
      <c r="S340" s="421"/>
      <c r="T340" s="421"/>
      <c r="U340" s="421"/>
      <c r="V340" s="421"/>
      <c r="W340" s="421"/>
      <c r="X340" s="425"/>
      <c r="Y340" s="421"/>
      <c r="Z340" s="421"/>
      <c r="AA340" s="421"/>
      <c r="AB340" s="421"/>
      <c r="AC340" s="421"/>
      <c r="AD340" s="421"/>
      <c r="AE340" s="421"/>
      <c r="AF340" s="421"/>
      <c r="AG340" s="421"/>
      <c r="AH340" s="421"/>
      <c r="AI340" s="421"/>
      <c r="AJ340" s="421"/>
      <c r="AK340" s="421"/>
      <c r="AL340" s="421"/>
      <c r="AM340" s="421"/>
      <c r="AN340" s="421"/>
      <c r="AO340" s="421"/>
      <c r="AP340" s="421"/>
      <c r="AQ340" s="421"/>
      <c r="AR340" s="421"/>
      <c r="AS340" s="421"/>
      <c r="AT340" s="421"/>
      <c r="AU340" s="421"/>
      <c r="AV340" s="421"/>
      <c r="AW340" s="421"/>
      <c r="AX340" s="421"/>
      <c r="AY340" s="421"/>
      <c r="AZ340" s="421"/>
      <c r="BA340" s="421"/>
    </row>
    <row r="341">
      <c r="A341" s="421"/>
      <c r="B341" s="421"/>
      <c r="C341" s="268"/>
      <c r="D341" s="431"/>
      <c r="E341" s="276"/>
      <c r="F341" s="265"/>
      <c r="G341" s="265"/>
      <c r="H341" s="432"/>
      <c r="I341" s="432"/>
      <c r="J341" s="283"/>
      <c r="K341" s="276"/>
      <c r="L341" s="417" t="str">
        <f t="shared" si="1"/>
        <v/>
      </c>
      <c r="M341" s="425"/>
      <c r="N341" s="426"/>
      <c r="O341" s="427"/>
      <c r="P341" s="425"/>
      <c r="Q341" s="425"/>
      <c r="R341" s="425"/>
      <c r="S341" s="421"/>
      <c r="T341" s="421"/>
      <c r="U341" s="421"/>
      <c r="V341" s="421"/>
      <c r="W341" s="421"/>
      <c r="X341" s="425"/>
      <c r="Y341" s="421"/>
      <c r="Z341" s="421"/>
      <c r="AA341" s="421"/>
      <c r="AB341" s="421"/>
      <c r="AC341" s="421"/>
      <c r="AD341" s="421"/>
      <c r="AE341" s="421"/>
      <c r="AF341" s="421"/>
      <c r="AG341" s="421"/>
      <c r="AH341" s="421"/>
      <c r="AI341" s="421"/>
      <c r="AJ341" s="421"/>
      <c r="AK341" s="421"/>
      <c r="AL341" s="421"/>
      <c r="AM341" s="421"/>
      <c r="AN341" s="421"/>
      <c r="AO341" s="421"/>
      <c r="AP341" s="421"/>
      <c r="AQ341" s="421"/>
      <c r="AR341" s="421"/>
      <c r="AS341" s="421"/>
      <c r="AT341" s="421"/>
      <c r="AU341" s="421"/>
      <c r="AV341" s="421"/>
      <c r="AW341" s="421"/>
      <c r="AX341" s="421"/>
      <c r="AY341" s="421"/>
      <c r="AZ341" s="421"/>
      <c r="BA341" s="421"/>
    </row>
    <row r="342">
      <c r="A342" s="421"/>
      <c r="B342" s="421"/>
      <c r="C342" s="268"/>
      <c r="D342" s="431"/>
      <c r="E342" s="276"/>
      <c r="F342" s="265"/>
      <c r="G342" s="265"/>
      <c r="H342" s="432"/>
      <c r="I342" s="432"/>
      <c r="J342" s="283"/>
      <c r="K342" s="276"/>
      <c r="L342" s="417" t="str">
        <f t="shared" si="1"/>
        <v/>
      </c>
      <c r="M342" s="425"/>
      <c r="N342" s="426"/>
      <c r="O342" s="427"/>
      <c r="P342" s="425"/>
      <c r="Q342" s="425"/>
      <c r="R342" s="425"/>
      <c r="S342" s="421"/>
      <c r="T342" s="421"/>
      <c r="U342" s="421"/>
      <c r="V342" s="421"/>
      <c r="W342" s="421"/>
      <c r="X342" s="425"/>
      <c r="Y342" s="421"/>
      <c r="Z342" s="421"/>
      <c r="AA342" s="421"/>
      <c r="AB342" s="421"/>
      <c r="AC342" s="421"/>
      <c r="AD342" s="421"/>
      <c r="AE342" s="421"/>
      <c r="AF342" s="421"/>
      <c r="AG342" s="421"/>
      <c r="AH342" s="421"/>
      <c r="AI342" s="421"/>
      <c r="AJ342" s="421"/>
      <c r="AK342" s="421"/>
      <c r="AL342" s="421"/>
      <c r="AM342" s="421"/>
      <c r="AN342" s="421"/>
      <c r="AO342" s="421"/>
      <c r="AP342" s="421"/>
      <c r="AQ342" s="421"/>
      <c r="AR342" s="421"/>
      <c r="AS342" s="421"/>
      <c r="AT342" s="421"/>
      <c r="AU342" s="421"/>
      <c r="AV342" s="421"/>
      <c r="AW342" s="421"/>
      <c r="AX342" s="421"/>
      <c r="AY342" s="421"/>
      <c r="AZ342" s="421"/>
      <c r="BA342" s="421"/>
    </row>
    <row r="343">
      <c r="A343" s="421"/>
      <c r="B343" s="421"/>
      <c r="C343" s="268"/>
      <c r="D343" s="431"/>
      <c r="E343" s="276"/>
      <c r="F343" s="265"/>
      <c r="G343" s="265"/>
      <c r="H343" s="432"/>
      <c r="I343" s="432"/>
      <c r="J343" s="283"/>
      <c r="K343" s="276"/>
      <c r="L343" s="417" t="str">
        <f t="shared" si="1"/>
        <v/>
      </c>
      <c r="M343" s="425"/>
      <c r="N343" s="426"/>
      <c r="O343" s="427"/>
      <c r="P343" s="425"/>
      <c r="Q343" s="425"/>
      <c r="R343" s="425"/>
      <c r="S343" s="421"/>
      <c r="T343" s="421"/>
      <c r="U343" s="421"/>
      <c r="V343" s="421"/>
      <c r="W343" s="421"/>
      <c r="X343" s="425"/>
      <c r="Y343" s="421"/>
      <c r="Z343" s="421"/>
      <c r="AA343" s="421"/>
      <c r="AB343" s="421"/>
      <c r="AC343" s="421"/>
      <c r="AD343" s="421"/>
      <c r="AE343" s="421"/>
      <c r="AF343" s="421"/>
      <c r="AG343" s="421"/>
      <c r="AH343" s="421"/>
      <c r="AI343" s="421"/>
      <c r="AJ343" s="421"/>
      <c r="AK343" s="421"/>
      <c r="AL343" s="421"/>
      <c r="AM343" s="421"/>
      <c r="AN343" s="421"/>
      <c r="AO343" s="421"/>
      <c r="AP343" s="421"/>
      <c r="AQ343" s="421"/>
      <c r="AR343" s="421"/>
      <c r="AS343" s="421"/>
      <c r="AT343" s="421"/>
      <c r="AU343" s="421"/>
      <c r="AV343" s="421"/>
      <c r="AW343" s="421"/>
      <c r="AX343" s="421"/>
      <c r="AY343" s="421"/>
      <c r="AZ343" s="421"/>
      <c r="BA343" s="421"/>
    </row>
    <row r="344">
      <c r="A344" s="421"/>
      <c r="B344" s="421"/>
      <c r="C344" s="268"/>
      <c r="D344" s="431"/>
      <c r="E344" s="276"/>
      <c r="F344" s="265"/>
      <c r="G344" s="265"/>
      <c r="H344" s="432"/>
      <c r="I344" s="432"/>
      <c r="J344" s="283"/>
      <c r="K344" s="276"/>
      <c r="L344" s="417" t="str">
        <f t="shared" si="1"/>
        <v/>
      </c>
      <c r="M344" s="425"/>
      <c r="N344" s="426"/>
      <c r="O344" s="427"/>
      <c r="P344" s="425"/>
      <c r="Q344" s="425"/>
      <c r="R344" s="425"/>
      <c r="S344" s="421"/>
      <c r="T344" s="421"/>
      <c r="U344" s="421"/>
      <c r="V344" s="421"/>
      <c r="W344" s="421"/>
      <c r="X344" s="425"/>
      <c r="Y344" s="421"/>
      <c r="Z344" s="421"/>
      <c r="AA344" s="421"/>
      <c r="AB344" s="421"/>
      <c r="AC344" s="421"/>
      <c r="AD344" s="421"/>
      <c r="AE344" s="421"/>
      <c r="AF344" s="421"/>
      <c r="AG344" s="421"/>
      <c r="AH344" s="421"/>
      <c r="AI344" s="421"/>
      <c r="AJ344" s="421"/>
      <c r="AK344" s="421"/>
      <c r="AL344" s="421"/>
      <c r="AM344" s="421"/>
      <c r="AN344" s="421"/>
      <c r="AO344" s="421"/>
      <c r="AP344" s="421"/>
      <c r="AQ344" s="421"/>
      <c r="AR344" s="421"/>
      <c r="AS344" s="421"/>
      <c r="AT344" s="421"/>
      <c r="AU344" s="421"/>
      <c r="AV344" s="421"/>
      <c r="AW344" s="421"/>
      <c r="AX344" s="421"/>
      <c r="AY344" s="421"/>
      <c r="AZ344" s="421"/>
      <c r="BA344" s="421"/>
    </row>
    <row r="345">
      <c r="A345" s="421"/>
      <c r="B345" s="421"/>
      <c r="C345" s="268"/>
      <c r="D345" s="431"/>
      <c r="E345" s="276"/>
      <c r="F345" s="265"/>
      <c r="G345" s="265"/>
      <c r="H345" s="432"/>
      <c r="I345" s="432"/>
      <c r="J345" s="283"/>
      <c r="K345" s="276"/>
      <c r="L345" s="417" t="str">
        <f t="shared" si="1"/>
        <v/>
      </c>
      <c r="M345" s="425"/>
      <c r="N345" s="426"/>
      <c r="O345" s="427"/>
      <c r="P345" s="425"/>
      <c r="Q345" s="425"/>
      <c r="R345" s="425"/>
      <c r="S345" s="421"/>
      <c r="T345" s="421"/>
      <c r="U345" s="421"/>
      <c r="V345" s="421"/>
      <c r="W345" s="421"/>
      <c r="X345" s="425"/>
      <c r="Y345" s="421"/>
      <c r="Z345" s="421"/>
      <c r="AA345" s="421"/>
      <c r="AB345" s="421"/>
      <c r="AC345" s="421"/>
      <c r="AD345" s="421"/>
      <c r="AE345" s="421"/>
      <c r="AF345" s="421"/>
      <c r="AG345" s="421"/>
      <c r="AH345" s="421"/>
      <c r="AI345" s="421"/>
      <c r="AJ345" s="421"/>
      <c r="AK345" s="421"/>
      <c r="AL345" s="421"/>
      <c r="AM345" s="421"/>
      <c r="AN345" s="421"/>
      <c r="AO345" s="421"/>
      <c r="AP345" s="421"/>
      <c r="AQ345" s="421"/>
      <c r="AR345" s="421"/>
      <c r="AS345" s="421"/>
      <c r="AT345" s="421"/>
      <c r="AU345" s="421"/>
      <c r="AV345" s="421"/>
      <c r="AW345" s="421"/>
      <c r="AX345" s="421"/>
      <c r="AY345" s="421"/>
      <c r="AZ345" s="421"/>
      <c r="BA345" s="421"/>
    </row>
    <row r="346">
      <c r="A346" s="421"/>
      <c r="B346" s="421"/>
      <c r="C346" s="268"/>
      <c r="D346" s="431"/>
      <c r="E346" s="276"/>
      <c r="F346" s="265"/>
      <c r="G346" s="265"/>
      <c r="H346" s="432"/>
      <c r="I346" s="432"/>
      <c r="J346" s="283"/>
      <c r="K346" s="276"/>
      <c r="L346" s="417" t="str">
        <f t="shared" si="1"/>
        <v/>
      </c>
      <c r="M346" s="425"/>
      <c r="N346" s="426"/>
      <c r="O346" s="427"/>
      <c r="P346" s="425"/>
      <c r="Q346" s="425"/>
      <c r="R346" s="425"/>
      <c r="S346" s="421"/>
      <c r="T346" s="421"/>
      <c r="U346" s="421"/>
      <c r="V346" s="421"/>
      <c r="W346" s="421"/>
      <c r="X346" s="425"/>
      <c r="Y346" s="421"/>
      <c r="Z346" s="421"/>
      <c r="AA346" s="421"/>
      <c r="AB346" s="421"/>
      <c r="AC346" s="421"/>
      <c r="AD346" s="421"/>
      <c r="AE346" s="421"/>
      <c r="AF346" s="421"/>
      <c r="AG346" s="421"/>
      <c r="AH346" s="421"/>
      <c r="AI346" s="421"/>
      <c r="AJ346" s="421"/>
      <c r="AK346" s="421"/>
      <c r="AL346" s="421"/>
      <c r="AM346" s="421"/>
      <c r="AN346" s="421"/>
      <c r="AO346" s="421"/>
      <c r="AP346" s="421"/>
      <c r="AQ346" s="421"/>
      <c r="AR346" s="421"/>
      <c r="AS346" s="421"/>
      <c r="AT346" s="421"/>
      <c r="AU346" s="421"/>
      <c r="AV346" s="421"/>
      <c r="AW346" s="421"/>
      <c r="AX346" s="421"/>
      <c r="AY346" s="421"/>
      <c r="AZ346" s="421"/>
      <c r="BA346" s="421"/>
    </row>
    <row r="347">
      <c r="A347" s="421"/>
      <c r="B347" s="421"/>
      <c r="C347" s="268"/>
      <c r="D347" s="431"/>
      <c r="E347" s="276"/>
      <c r="F347" s="265"/>
      <c r="G347" s="265"/>
      <c r="H347" s="432"/>
      <c r="I347" s="432"/>
      <c r="J347" s="283"/>
      <c r="K347" s="276"/>
      <c r="L347" s="417" t="str">
        <f t="shared" si="1"/>
        <v/>
      </c>
      <c r="M347" s="425"/>
      <c r="N347" s="426"/>
      <c r="O347" s="427"/>
      <c r="P347" s="425"/>
      <c r="Q347" s="425"/>
      <c r="R347" s="425"/>
      <c r="S347" s="421"/>
      <c r="T347" s="421"/>
      <c r="U347" s="421"/>
      <c r="V347" s="421"/>
      <c r="W347" s="421"/>
      <c r="X347" s="425"/>
      <c r="Y347" s="421"/>
      <c r="Z347" s="421"/>
      <c r="AA347" s="421"/>
      <c r="AB347" s="421"/>
      <c r="AC347" s="421"/>
      <c r="AD347" s="421"/>
      <c r="AE347" s="421"/>
      <c r="AF347" s="421"/>
      <c r="AG347" s="421"/>
      <c r="AH347" s="421"/>
      <c r="AI347" s="421"/>
      <c r="AJ347" s="421"/>
      <c r="AK347" s="421"/>
      <c r="AL347" s="421"/>
      <c r="AM347" s="421"/>
      <c r="AN347" s="421"/>
      <c r="AO347" s="421"/>
      <c r="AP347" s="421"/>
      <c r="AQ347" s="421"/>
      <c r="AR347" s="421"/>
      <c r="AS347" s="421"/>
      <c r="AT347" s="421"/>
      <c r="AU347" s="421"/>
      <c r="AV347" s="421"/>
      <c r="AW347" s="421"/>
      <c r="AX347" s="421"/>
      <c r="AY347" s="421"/>
      <c r="AZ347" s="421"/>
      <c r="BA347" s="421"/>
    </row>
    <row r="348">
      <c r="A348" s="421"/>
      <c r="B348" s="421"/>
      <c r="C348" s="268"/>
      <c r="D348" s="431"/>
      <c r="E348" s="276"/>
      <c r="F348" s="265"/>
      <c r="G348" s="265"/>
      <c r="H348" s="432"/>
      <c r="I348" s="432"/>
      <c r="J348" s="283"/>
      <c r="K348" s="276"/>
      <c r="L348" s="417" t="str">
        <f t="shared" si="1"/>
        <v/>
      </c>
      <c r="M348" s="425"/>
      <c r="N348" s="426"/>
      <c r="O348" s="427"/>
      <c r="P348" s="425"/>
      <c r="Q348" s="425"/>
      <c r="R348" s="425"/>
      <c r="S348" s="421"/>
      <c r="T348" s="421"/>
      <c r="U348" s="421"/>
      <c r="V348" s="421"/>
      <c r="W348" s="421"/>
      <c r="X348" s="425"/>
      <c r="Y348" s="421"/>
      <c r="Z348" s="421"/>
      <c r="AA348" s="421"/>
      <c r="AB348" s="421"/>
      <c r="AC348" s="421"/>
      <c r="AD348" s="421"/>
      <c r="AE348" s="421"/>
      <c r="AF348" s="421"/>
      <c r="AG348" s="421"/>
      <c r="AH348" s="421"/>
      <c r="AI348" s="421"/>
      <c r="AJ348" s="421"/>
      <c r="AK348" s="421"/>
      <c r="AL348" s="421"/>
      <c r="AM348" s="421"/>
      <c r="AN348" s="421"/>
      <c r="AO348" s="421"/>
      <c r="AP348" s="421"/>
      <c r="AQ348" s="421"/>
      <c r="AR348" s="421"/>
      <c r="AS348" s="421"/>
      <c r="AT348" s="421"/>
      <c r="AU348" s="421"/>
      <c r="AV348" s="421"/>
      <c r="AW348" s="421"/>
      <c r="AX348" s="421"/>
      <c r="AY348" s="421"/>
      <c r="AZ348" s="421"/>
      <c r="BA348" s="421"/>
    </row>
    <row r="349">
      <c r="A349" s="421"/>
      <c r="B349" s="421"/>
      <c r="C349" s="268"/>
      <c r="D349" s="431"/>
      <c r="E349" s="276"/>
      <c r="F349" s="265"/>
      <c r="G349" s="265"/>
      <c r="H349" s="432"/>
      <c r="I349" s="432"/>
      <c r="J349" s="283"/>
      <c r="K349" s="276"/>
      <c r="L349" s="417" t="str">
        <f t="shared" si="1"/>
        <v/>
      </c>
      <c r="M349" s="425"/>
      <c r="N349" s="426"/>
      <c r="O349" s="427"/>
      <c r="P349" s="425"/>
      <c r="Q349" s="425"/>
      <c r="R349" s="425"/>
      <c r="S349" s="421"/>
      <c r="T349" s="421"/>
      <c r="U349" s="421"/>
      <c r="V349" s="421"/>
      <c r="W349" s="421"/>
      <c r="X349" s="425"/>
      <c r="Y349" s="421"/>
      <c r="Z349" s="421"/>
      <c r="AA349" s="421"/>
      <c r="AB349" s="421"/>
      <c r="AC349" s="421"/>
      <c r="AD349" s="421"/>
      <c r="AE349" s="421"/>
      <c r="AF349" s="421"/>
      <c r="AG349" s="421"/>
      <c r="AH349" s="421"/>
      <c r="AI349" s="421"/>
      <c r="AJ349" s="421"/>
      <c r="AK349" s="421"/>
      <c r="AL349" s="421"/>
      <c r="AM349" s="421"/>
      <c r="AN349" s="421"/>
      <c r="AO349" s="421"/>
      <c r="AP349" s="421"/>
      <c r="AQ349" s="421"/>
      <c r="AR349" s="421"/>
      <c r="AS349" s="421"/>
      <c r="AT349" s="421"/>
      <c r="AU349" s="421"/>
      <c r="AV349" s="421"/>
      <c r="AW349" s="421"/>
      <c r="AX349" s="421"/>
      <c r="AY349" s="421"/>
      <c r="AZ349" s="421"/>
      <c r="BA349" s="421"/>
    </row>
    <row r="350">
      <c r="A350" s="421"/>
      <c r="B350" s="421"/>
      <c r="C350" s="268"/>
      <c r="D350" s="431"/>
      <c r="E350" s="276"/>
      <c r="F350" s="265"/>
      <c r="G350" s="265"/>
      <c r="H350" s="432"/>
      <c r="I350" s="432"/>
      <c r="J350" s="283"/>
      <c r="K350" s="276"/>
      <c r="L350" s="417" t="str">
        <f t="shared" si="1"/>
        <v/>
      </c>
      <c r="M350" s="425"/>
      <c r="N350" s="426"/>
      <c r="O350" s="427"/>
      <c r="P350" s="425"/>
      <c r="Q350" s="425"/>
      <c r="R350" s="425"/>
      <c r="S350" s="421"/>
      <c r="T350" s="421"/>
      <c r="U350" s="421"/>
      <c r="V350" s="421"/>
      <c r="W350" s="421"/>
      <c r="X350" s="425"/>
      <c r="Y350" s="421"/>
      <c r="Z350" s="421"/>
      <c r="AA350" s="421"/>
      <c r="AB350" s="421"/>
      <c r="AC350" s="421"/>
      <c r="AD350" s="421"/>
      <c r="AE350" s="421"/>
      <c r="AF350" s="421"/>
      <c r="AG350" s="421"/>
      <c r="AH350" s="421"/>
      <c r="AI350" s="421"/>
      <c r="AJ350" s="421"/>
      <c r="AK350" s="421"/>
      <c r="AL350" s="421"/>
      <c r="AM350" s="421"/>
      <c r="AN350" s="421"/>
      <c r="AO350" s="421"/>
      <c r="AP350" s="421"/>
      <c r="AQ350" s="421"/>
      <c r="AR350" s="421"/>
      <c r="AS350" s="421"/>
      <c r="AT350" s="421"/>
      <c r="AU350" s="421"/>
      <c r="AV350" s="421"/>
      <c r="AW350" s="421"/>
      <c r="AX350" s="421"/>
      <c r="AY350" s="421"/>
      <c r="AZ350" s="421"/>
      <c r="BA350" s="421"/>
    </row>
    <row r="351">
      <c r="A351" s="421"/>
      <c r="B351" s="421"/>
      <c r="C351" s="268"/>
      <c r="D351" s="431"/>
      <c r="E351" s="276"/>
      <c r="F351" s="265"/>
      <c r="G351" s="265"/>
      <c r="H351" s="432"/>
      <c r="I351" s="432"/>
      <c r="J351" s="283"/>
      <c r="K351" s="276"/>
      <c r="L351" s="417" t="str">
        <f t="shared" si="1"/>
        <v/>
      </c>
      <c r="M351" s="425"/>
      <c r="N351" s="426"/>
      <c r="O351" s="427"/>
      <c r="P351" s="425"/>
      <c r="Q351" s="425"/>
      <c r="R351" s="425"/>
      <c r="S351" s="421"/>
      <c r="T351" s="421"/>
      <c r="U351" s="421"/>
      <c r="V351" s="421"/>
      <c r="W351" s="421"/>
      <c r="X351" s="425"/>
      <c r="Y351" s="421"/>
      <c r="Z351" s="421"/>
      <c r="AA351" s="421"/>
      <c r="AB351" s="421"/>
      <c r="AC351" s="421"/>
      <c r="AD351" s="421"/>
      <c r="AE351" s="421"/>
      <c r="AF351" s="421"/>
      <c r="AG351" s="421"/>
      <c r="AH351" s="421"/>
      <c r="AI351" s="421"/>
      <c r="AJ351" s="421"/>
      <c r="AK351" s="421"/>
      <c r="AL351" s="421"/>
      <c r="AM351" s="421"/>
      <c r="AN351" s="421"/>
      <c r="AO351" s="421"/>
      <c r="AP351" s="421"/>
      <c r="AQ351" s="421"/>
      <c r="AR351" s="421"/>
      <c r="AS351" s="421"/>
      <c r="AT351" s="421"/>
      <c r="AU351" s="421"/>
      <c r="AV351" s="421"/>
      <c r="AW351" s="421"/>
      <c r="AX351" s="421"/>
      <c r="AY351" s="421"/>
      <c r="AZ351" s="421"/>
      <c r="BA351" s="421"/>
    </row>
    <row r="352">
      <c r="A352" s="421"/>
      <c r="B352" s="421"/>
      <c r="C352" s="268"/>
      <c r="D352" s="431"/>
      <c r="E352" s="276"/>
      <c r="F352" s="265"/>
      <c r="G352" s="265"/>
      <c r="H352" s="432"/>
      <c r="I352" s="432"/>
      <c r="J352" s="283"/>
      <c r="K352" s="276"/>
      <c r="L352" s="417" t="str">
        <f t="shared" si="1"/>
        <v/>
      </c>
      <c r="M352" s="425"/>
      <c r="N352" s="426"/>
      <c r="O352" s="427"/>
      <c r="P352" s="425"/>
      <c r="Q352" s="425"/>
      <c r="R352" s="425"/>
      <c r="S352" s="421"/>
      <c r="T352" s="421"/>
      <c r="U352" s="421"/>
      <c r="V352" s="421"/>
      <c r="W352" s="421"/>
      <c r="X352" s="425"/>
      <c r="Y352" s="421"/>
      <c r="Z352" s="421"/>
      <c r="AA352" s="421"/>
      <c r="AB352" s="421"/>
      <c r="AC352" s="421"/>
      <c r="AD352" s="421"/>
      <c r="AE352" s="421"/>
      <c r="AF352" s="421"/>
      <c r="AG352" s="421"/>
      <c r="AH352" s="421"/>
      <c r="AI352" s="421"/>
      <c r="AJ352" s="421"/>
      <c r="AK352" s="421"/>
      <c r="AL352" s="421"/>
      <c r="AM352" s="421"/>
      <c r="AN352" s="421"/>
      <c r="AO352" s="421"/>
      <c r="AP352" s="421"/>
      <c r="AQ352" s="421"/>
      <c r="AR352" s="421"/>
      <c r="AS352" s="421"/>
      <c r="AT352" s="421"/>
      <c r="AU352" s="421"/>
      <c r="AV352" s="421"/>
      <c r="AW352" s="421"/>
      <c r="AX352" s="421"/>
      <c r="AY352" s="421"/>
      <c r="AZ352" s="421"/>
      <c r="BA352" s="421"/>
    </row>
    <row r="353">
      <c r="A353" s="421"/>
      <c r="B353" s="421"/>
      <c r="C353" s="268"/>
      <c r="D353" s="431"/>
      <c r="E353" s="276"/>
      <c r="F353" s="265"/>
      <c r="G353" s="265"/>
      <c r="H353" s="432"/>
      <c r="I353" s="432"/>
      <c r="J353" s="283"/>
      <c r="K353" s="276"/>
      <c r="L353" s="417" t="str">
        <f t="shared" si="1"/>
        <v/>
      </c>
      <c r="M353" s="425"/>
      <c r="N353" s="426"/>
      <c r="O353" s="427"/>
      <c r="P353" s="425"/>
      <c r="Q353" s="425"/>
      <c r="R353" s="425"/>
      <c r="S353" s="421"/>
      <c r="T353" s="421"/>
      <c r="U353" s="421"/>
      <c r="V353" s="421"/>
      <c r="W353" s="421"/>
      <c r="X353" s="425"/>
      <c r="Y353" s="421"/>
      <c r="Z353" s="421"/>
      <c r="AA353" s="421"/>
      <c r="AB353" s="421"/>
      <c r="AC353" s="421"/>
      <c r="AD353" s="421"/>
      <c r="AE353" s="421"/>
      <c r="AF353" s="421"/>
      <c r="AG353" s="421"/>
      <c r="AH353" s="421"/>
      <c r="AI353" s="421"/>
      <c r="AJ353" s="421"/>
      <c r="AK353" s="421"/>
      <c r="AL353" s="421"/>
      <c r="AM353" s="421"/>
      <c r="AN353" s="421"/>
      <c r="AO353" s="421"/>
      <c r="AP353" s="421"/>
      <c r="AQ353" s="421"/>
      <c r="AR353" s="421"/>
      <c r="AS353" s="421"/>
      <c r="AT353" s="421"/>
      <c r="AU353" s="421"/>
      <c r="AV353" s="421"/>
      <c r="AW353" s="421"/>
      <c r="AX353" s="421"/>
      <c r="AY353" s="421"/>
      <c r="AZ353" s="421"/>
      <c r="BA353" s="421"/>
    </row>
    <row r="354">
      <c r="A354" s="421"/>
      <c r="B354" s="421"/>
      <c r="C354" s="268"/>
      <c r="D354" s="431"/>
      <c r="E354" s="276"/>
      <c r="F354" s="265"/>
      <c r="G354" s="265"/>
      <c r="H354" s="432"/>
      <c r="I354" s="432"/>
      <c r="J354" s="283"/>
      <c r="K354" s="276"/>
      <c r="L354" s="417" t="str">
        <f t="shared" si="1"/>
        <v/>
      </c>
      <c r="M354" s="425"/>
      <c r="N354" s="426"/>
      <c r="O354" s="427"/>
      <c r="P354" s="425"/>
      <c r="Q354" s="425"/>
      <c r="R354" s="425"/>
      <c r="S354" s="421"/>
      <c r="T354" s="421"/>
      <c r="U354" s="421"/>
      <c r="V354" s="421"/>
      <c r="W354" s="421"/>
      <c r="X354" s="425"/>
      <c r="Y354" s="421"/>
      <c r="Z354" s="421"/>
      <c r="AA354" s="421"/>
      <c r="AB354" s="421"/>
      <c r="AC354" s="421"/>
      <c r="AD354" s="421"/>
      <c r="AE354" s="421"/>
      <c r="AF354" s="421"/>
      <c r="AG354" s="421"/>
      <c r="AH354" s="421"/>
      <c r="AI354" s="421"/>
      <c r="AJ354" s="421"/>
      <c r="AK354" s="421"/>
      <c r="AL354" s="421"/>
      <c r="AM354" s="421"/>
      <c r="AN354" s="421"/>
      <c r="AO354" s="421"/>
      <c r="AP354" s="421"/>
      <c r="AQ354" s="421"/>
      <c r="AR354" s="421"/>
      <c r="AS354" s="421"/>
      <c r="AT354" s="421"/>
      <c r="AU354" s="421"/>
      <c r="AV354" s="421"/>
      <c r="AW354" s="421"/>
      <c r="AX354" s="421"/>
      <c r="AY354" s="421"/>
      <c r="AZ354" s="421"/>
      <c r="BA354" s="421"/>
    </row>
    <row r="355">
      <c r="A355" s="421"/>
      <c r="B355" s="421"/>
      <c r="C355" s="268"/>
      <c r="D355" s="431"/>
      <c r="E355" s="276"/>
      <c r="F355" s="265"/>
      <c r="G355" s="265"/>
      <c r="H355" s="432"/>
      <c r="I355" s="432"/>
      <c r="J355" s="283"/>
      <c r="K355" s="276"/>
      <c r="L355" s="417" t="str">
        <f t="shared" si="1"/>
        <v/>
      </c>
      <c r="M355" s="425"/>
      <c r="N355" s="426"/>
      <c r="O355" s="427"/>
      <c r="P355" s="425"/>
      <c r="Q355" s="425"/>
      <c r="R355" s="425"/>
      <c r="S355" s="421"/>
      <c r="T355" s="421"/>
      <c r="U355" s="421"/>
      <c r="V355" s="421"/>
      <c r="W355" s="421"/>
      <c r="X355" s="425"/>
      <c r="Y355" s="421"/>
      <c r="Z355" s="421"/>
      <c r="AA355" s="421"/>
      <c r="AB355" s="421"/>
      <c r="AC355" s="421"/>
      <c r="AD355" s="421"/>
      <c r="AE355" s="421"/>
      <c r="AF355" s="421"/>
      <c r="AG355" s="421"/>
      <c r="AH355" s="421"/>
      <c r="AI355" s="421"/>
      <c r="AJ355" s="421"/>
      <c r="AK355" s="421"/>
      <c r="AL355" s="421"/>
      <c r="AM355" s="421"/>
      <c r="AN355" s="421"/>
      <c r="AO355" s="421"/>
      <c r="AP355" s="421"/>
      <c r="AQ355" s="421"/>
      <c r="AR355" s="421"/>
      <c r="AS355" s="421"/>
      <c r="AT355" s="421"/>
      <c r="AU355" s="421"/>
      <c r="AV355" s="421"/>
      <c r="AW355" s="421"/>
      <c r="AX355" s="421"/>
      <c r="AY355" s="421"/>
      <c r="AZ355" s="421"/>
      <c r="BA355" s="421"/>
    </row>
    <row r="356">
      <c r="A356" s="421"/>
      <c r="B356" s="421"/>
      <c r="C356" s="268"/>
      <c r="D356" s="431"/>
      <c r="E356" s="276"/>
      <c r="F356" s="265"/>
      <c r="G356" s="265"/>
      <c r="H356" s="432"/>
      <c r="I356" s="432"/>
      <c r="J356" s="283"/>
      <c r="K356" s="276"/>
      <c r="L356" s="417" t="str">
        <f t="shared" si="1"/>
        <v/>
      </c>
      <c r="M356" s="425"/>
      <c r="N356" s="426"/>
      <c r="O356" s="427"/>
      <c r="P356" s="425"/>
      <c r="Q356" s="425"/>
      <c r="R356" s="425"/>
      <c r="S356" s="421"/>
      <c r="T356" s="421"/>
      <c r="U356" s="421"/>
      <c r="V356" s="421"/>
      <c r="W356" s="421"/>
      <c r="X356" s="425"/>
      <c r="Y356" s="421"/>
      <c r="Z356" s="421"/>
      <c r="AA356" s="421"/>
      <c r="AB356" s="421"/>
      <c r="AC356" s="421"/>
      <c r="AD356" s="421"/>
      <c r="AE356" s="421"/>
      <c r="AF356" s="421"/>
      <c r="AG356" s="421"/>
      <c r="AH356" s="421"/>
      <c r="AI356" s="421"/>
      <c r="AJ356" s="421"/>
      <c r="AK356" s="421"/>
      <c r="AL356" s="421"/>
      <c r="AM356" s="421"/>
      <c r="AN356" s="421"/>
      <c r="AO356" s="421"/>
      <c r="AP356" s="421"/>
      <c r="AQ356" s="421"/>
      <c r="AR356" s="421"/>
      <c r="AS356" s="421"/>
      <c r="AT356" s="421"/>
      <c r="AU356" s="421"/>
      <c r="AV356" s="421"/>
      <c r="AW356" s="421"/>
      <c r="AX356" s="421"/>
      <c r="AY356" s="421"/>
      <c r="AZ356" s="421"/>
      <c r="BA356" s="421"/>
    </row>
    <row r="357">
      <c r="A357" s="421"/>
      <c r="B357" s="421"/>
      <c r="C357" s="268"/>
      <c r="D357" s="431"/>
      <c r="E357" s="276"/>
      <c r="F357" s="265"/>
      <c r="G357" s="265"/>
      <c r="H357" s="432"/>
      <c r="I357" s="432"/>
      <c r="J357" s="283"/>
      <c r="K357" s="276"/>
      <c r="L357" s="417" t="str">
        <f t="shared" si="1"/>
        <v/>
      </c>
      <c r="M357" s="425"/>
      <c r="N357" s="426"/>
      <c r="O357" s="427"/>
      <c r="P357" s="425"/>
      <c r="Q357" s="425"/>
      <c r="R357" s="425"/>
      <c r="S357" s="421"/>
      <c r="T357" s="421"/>
      <c r="U357" s="421"/>
      <c r="V357" s="421"/>
      <c r="W357" s="421"/>
      <c r="X357" s="425"/>
      <c r="Y357" s="421"/>
      <c r="Z357" s="421"/>
      <c r="AA357" s="421"/>
      <c r="AB357" s="421"/>
      <c r="AC357" s="421"/>
      <c r="AD357" s="421"/>
      <c r="AE357" s="421"/>
      <c r="AF357" s="421"/>
      <c r="AG357" s="421"/>
      <c r="AH357" s="421"/>
      <c r="AI357" s="421"/>
      <c r="AJ357" s="421"/>
      <c r="AK357" s="421"/>
      <c r="AL357" s="421"/>
      <c r="AM357" s="421"/>
      <c r="AN357" s="421"/>
      <c r="AO357" s="421"/>
      <c r="AP357" s="421"/>
      <c r="AQ357" s="421"/>
      <c r="AR357" s="421"/>
      <c r="AS357" s="421"/>
      <c r="AT357" s="421"/>
      <c r="AU357" s="421"/>
      <c r="AV357" s="421"/>
      <c r="AW357" s="421"/>
      <c r="AX357" s="421"/>
      <c r="AY357" s="421"/>
      <c r="AZ357" s="421"/>
      <c r="BA357" s="421"/>
    </row>
    <row r="358">
      <c r="A358" s="421"/>
      <c r="B358" s="421"/>
      <c r="C358" s="268"/>
      <c r="D358" s="431"/>
      <c r="E358" s="276"/>
      <c r="F358" s="265"/>
      <c r="G358" s="265"/>
      <c r="H358" s="432"/>
      <c r="I358" s="432"/>
      <c r="J358" s="283"/>
      <c r="K358" s="276"/>
      <c r="L358" s="417" t="str">
        <f t="shared" si="1"/>
        <v/>
      </c>
      <c r="M358" s="425"/>
      <c r="N358" s="426"/>
      <c r="O358" s="427"/>
      <c r="P358" s="425"/>
      <c r="Q358" s="425"/>
      <c r="R358" s="425"/>
      <c r="S358" s="421"/>
      <c r="T358" s="421"/>
      <c r="U358" s="421"/>
      <c r="V358" s="421"/>
      <c r="W358" s="421"/>
      <c r="X358" s="425"/>
      <c r="Y358" s="421"/>
      <c r="Z358" s="421"/>
      <c r="AA358" s="421"/>
      <c r="AB358" s="421"/>
      <c r="AC358" s="421"/>
      <c r="AD358" s="421"/>
      <c r="AE358" s="421"/>
      <c r="AF358" s="421"/>
      <c r="AG358" s="421"/>
      <c r="AH358" s="421"/>
      <c r="AI358" s="421"/>
      <c r="AJ358" s="421"/>
      <c r="AK358" s="421"/>
      <c r="AL358" s="421"/>
      <c r="AM358" s="421"/>
      <c r="AN358" s="421"/>
      <c r="AO358" s="421"/>
      <c r="AP358" s="421"/>
      <c r="AQ358" s="421"/>
      <c r="AR358" s="421"/>
      <c r="AS358" s="421"/>
      <c r="AT358" s="421"/>
      <c r="AU358" s="421"/>
      <c r="AV358" s="421"/>
      <c r="AW358" s="421"/>
      <c r="AX358" s="421"/>
      <c r="AY358" s="421"/>
      <c r="AZ358" s="421"/>
      <c r="BA358" s="421"/>
    </row>
    <row r="359">
      <c r="A359" s="421"/>
      <c r="B359" s="421"/>
      <c r="C359" s="268"/>
      <c r="D359" s="431"/>
      <c r="E359" s="276"/>
      <c r="F359" s="265"/>
      <c r="G359" s="265"/>
      <c r="H359" s="432"/>
      <c r="I359" s="432"/>
      <c r="J359" s="283"/>
      <c r="K359" s="276"/>
      <c r="L359" s="417" t="str">
        <f t="shared" si="1"/>
        <v/>
      </c>
      <c r="M359" s="425"/>
      <c r="N359" s="426"/>
      <c r="O359" s="427"/>
      <c r="P359" s="425"/>
      <c r="Q359" s="425"/>
      <c r="R359" s="425"/>
      <c r="S359" s="421"/>
      <c r="T359" s="421"/>
      <c r="U359" s="421"/>
      <c r="V359" s="421"/>
      <c r="W359" s="421"/>
      <c r="X359" s="425"/>
      <c r="Y359" s="421"/>
      <c r="Z359" s="421"/>
      <c r="AA359" s="421"/>
      <c r="AB359" s="421"/>
      <c r="AC359" s="421"/>
      <c r="AD359" s="421"/>
      <c r="AE359" s="421"/>
      <c r="AF359" s="421"/>
      <c r="AG359" s="421"/>
      <c r="AH359" s="421"/>
      <c r="AI359" s="421"/>
      <c r="AJ359" s="421"/>
      <c r="AK359" s="421"/>
      <c r="AL359" s="421"/>
      <c r="AM359" s="421"/>
      <c r="AN359" s="421"/>
      <c r="AO359" s="421"/>
      <c r="AP359" s="421"/>
      <c r="AQ359" s="421"/>
      <c r="AR359" s="421"/>
      <c r="AS359" s="421"/>
      <c r="AT359" s="421"/>
      <c r="AU359" s="421"/>
      <c r="AV359" s="421"/>
      <c r="AW359" s="421"/>
      <c r="AX359" s="421"/>
      <c r="AY359" s="421"/>
      <c r="AZ359" s="421"/>
      <c r="BA359" s="421"/>
    </row>
    <row r="360">
      <c r="A360" s="421"/>
      <c r="B360" s="421"/>
      <c r="C360" s="268"/>
      <c r="D360" s="431"/>
      <c r="E360" s="276"/>
      <c r="F360" s="265"/>
      <c r="G360" s="265"/>
      <c r="H360" s="432"/>
      <c r="I360" s="432"/>
      <c r="J360" s="283"/>
      <c r="K360" s="276"/>
      <c r="L360" s="417" t="str">
        <f t="shared" si="1"/>
        <v/>
      </c>
      <c r="M360" s="425"/>
      <c r="N360" s="426"/>
      <c r="O360" s="427"/>
      <c r="P360" s="425"/>
      <c r="Q360" s="425"/>
      <c r="R360" s="425"/>
      <c r="S360" s="421"/>
      <c r="T360" s="421"/>
      <c r="U360" s="421"/>
      <c r="V360" s="421"/>
      <c r="W360" s="421"/>
      <c r="X360" s="425"/>
      <c r="Y360" s="421"/>
      <c r="Z360" s="421"/>
      <c r="AA360" s="421"/>
      <c r="AB360" s="421"/>
      <c r="AC360" s="421"/>
      <c r="AD360" s="421"/>
      <c r="AE360" s="421"/>
      <c r="AF360" s="421"/>
      <c r="AG360" s="421"/>
      <c r="AH360" s="421"/>
      <c r="AI360" s="421"/>
      <c r="AJ360" s="421"/>
      <c r="AK360" s="421"/>
      <c r="AL360" s="421"/>
      <c r="AM360" s="421"/>
      <c r="AN360" s="421"/>
      <c r="AO360" s="421"/>
      <c r="AP360" s="421"/>
      <c r="AQ360" s="421"/>
      <c r="AR360" s="421"/>
      <c r="AS360" s="421"/>
      <c r="AT360" s="421"/>
      <c r="AU360" s="421"/>
      <c r="AV360" s="421"/>
      <c r="AW360" s="421"/>
      <c r="AX360" s="421"/>
      <c r="AY360" s="421"/>
      <c r="AZ360" s="421"/>
      <c r="BA360" s="421"/>
    </row>
    <row r="361">
      <c r="A361" s="421"/>
      <c r="B361" s="421"/>
      <c r="C361" s="268"/>
      <c r="D361" s="431"/>
      <c r="E361" s="276"/>
      <c r="F361" s="265"/>
      <c r="G361" s="265"/>
      <c r="H361" s="432"/>
      <c r="I361" s="432"/>
      <c r="J361" s="283"/>
      <c r="K361" s="276"/>
      <c r="L361" s="417" t="str">
        <f t="shared" si="1"/>
        <v/>
      </c>
      <c r="M361" s="425"/>
      <c r="N361" s="426"/>
      <c r="O361" s="427"/>
      <c r="P361" s="425"/>
      <c r="Q361" s="425"/>
      <c r="R361" s="425"/>
      <c r="S361" s="421"/>
      <c r="T361" s="421"/>
      <c r="U361" s="421"/>
      <c r="V361" s="421"/>
      <c r="W361" s="421"/>
      <c r="X361" s="425"/>
      <c r="Y361" s="421"/>
      <c r="Z361" s="421"/>
      <c r="AA361" s="421"/>
      <c r="AB361" s="421"/>
      <c r="AC361" s="421"/>
      <c r="AD361" s="421"/>
      <c r="AE361" s="421"/>
      <c r="AF361" s="421"/>
      <c r="AG361" s="421"/>
      <c r="AH361" s="421"/>
      <c r="AI361" s="421"/>
      <c r="AJ361" s="421"/>
      <c r="AK361" s="421"/>
      <c r="AL361" s="421"/>
      <c r="AM361" s="421"/>
      <c r="AN361" s="421"/>
      <c r="AO361" s="421"/>
      <c r="AP361" s="421"/>
      <c r="AQ361" s="421"/>
      <c r="AR361" s="421"/>
      <c r="AS361" s="421"/>
      <c r="AT361" s="421"/>
      <c r="AU361" s="421"/>
      <c r="AV361" s="421"/>
      <c r="AW361" s="421"/>
      <c r="AX361" s="421"/>
      <c r="AY361" s="421"/>
      <c r="AZ361" s="421"/>
      <c r="BA361" s="421"/>
    </row>
    <row r="362">
      <c r="A362" s="421"/>
      <c r="B362" s="421"/>
      <c r="C362" s="268"/>
      <c r="D362" s="431"/>
      <c r="E362" s="276"/>
      <c r="F362" s="265"/>
      <c r="G362" s="265"/>
      <c r="H362" s="432"/>
      <c r="I362" s="432"/>
      <c r="J362" s="283"/>
      <c r="K362" s="276"/>
      <c r="L362" s="417" t="str">
        <f t="shared" si="1"/>
        <v/>
      </c>
      <c r="M362" s="425"/>
      <c r="N362" s="426"/>
      <c r="O362" s="427"/>
      <c r="P362" s="425"/>
      <c r="Q362" s="425"/>
      <c r="R362" s="425"/>
      <c r="S362" s="421"/>
      <c r="T362" s="421"/>
      <c r="U362" s="421"/>
      <c r="V362" s="421"/>
      <c r="W362" s="421"/>
      <c r="X362" s="425"/>
      <c r="Y362" s="421"/>
      <c r="Z362" s="421"/>
      <c r="AA362" s="421"/>
      <c r="AB362" s="421"/>
      <c r="AC362" s="421"/>
      <c r="AD362" s="421"/>
      <c r="AE362" s="421"/>
      <c r="AF362" s="421"/>
      <c r="AG362" s="421"/>
      <c r="AH362" s="421"/>
      <c r="AI362" s="421"/>
      <c r="AJ362" s="421"/>
      <c r="AK362" s="421"/>
      <c r="AL362" s="421"/>
      <c r="AM362" s="421"/>
      <c r="AN362" s="421"/>
      <c r="AO362" s="421"/>
      <c r="AP362" s="421"/>
      <c r="AQ362" s="421"/>
      <c r="AR362" s="421"/>
      <c r="AS362" s="421"/>
      <c r="AT362" s="421"/>
      <c r="AU362" s="421"/>
      <c r="AV362" s="421"/>
      <c r="AW362" s="421"/>
      <c r="AX362" s="421"/>
      <c r="AY362" s="421"/>
      <c r="AZ362" s="421"/>
      <c r="BA362" s="421"/>
    </row>
    <row r="363">
      <c r="A363" s="421"/>
      <c r="B363" s="421"/>
      <c r="C363" s="268"/>
      <c r="D363" s="431"/>
      <c r="E363" s="276"/>
      <c r="F363" s="265"/>
      <c r="G363" s="265"/>
      <c r="H363" s="432"/>
      <c r="I363" s="432"/>
      <c r="J363" s="283"/>
      <c r="K363" s="276"/>
      <c r="L363" s="417" t="str">
        <f t="shared" si="1"/>
        <v/>
      </c>
      <c r="M363" s="425"/>
      <c r="N363" s="426"/>
      <c r="O363" s="427"/>
      <c r="P363" s="425"/>
      <c r="Q363" s="425"/>
      <c r="R363" s="425"/>
      <c r="S363" s="421"/>
      <c r="T363" s="421"/>
      <c r="U363" s="421"/>
      <c r="V363" s="421"/>
      <c r="W363" s="421"/>
      <c r="X363" s="425"/>
      <c r="Y363" s="421"/>
      <c r="Z363" s="421"/>
      <c r="AA363" s="421"/>
      <c r="AB363" s="421"/>
      <c r="AC363" s="421"/>
      <c r="AD363" s="421"/>
      <c r="AE363" s="421"/>
      <c r="AF363" s="421"/>
      <c r="AG363" s="421"/>
      <c r="AH363" s="421"/>
      <c r="AI363" s="421"/>
      <c r="AJ363" s="421"/>
      <c r="AK363" s="421"/>
      <c r="AL363" s="421"/>
      <c r="AM363" s="421"/>
      <c r="AN363" s="421"/>
      <c r="AO363" s="421"/>
      <c r="AP363" s="421"/>
      <c r="AQ363" s="421"/>
      <c r="AR363" s="421"/>
      <c r="AS363" s="421"/>
      <c r="AT363" s="421"/>
      <c r="AU363" s="421"/>
      <c r="AV363" s="421"/>
      <c r="AW363" s="421"/>
      <c r="AX363" s="421"/>
      <c r="AY363" s="421"/>
      <c r="AZ363" s="421"/>
      <c r="BA363" s="421"/>
    </row>
    <row r="364">
      <c r="A364" s="421"/>
      <c r="B364" s="421"/>
      <c r="C364" s="268"/>
      <c r="D364" s="431"/>
      <c r="E364" s="276"/>
      <c r="F364" s="265"/>
      <c r="G364" s="265"/>
      <c r="H364" s="432"/>
      <c r="I364" s="432"/>
      <c r="J364" s="283"/>
      <c r="K364" s="276"/>
      <c r="L364" s="417" t="str">
        <f t="shared" si="1"/>
        <v/>
      </c>
      <c r="M364" s="425"/>
      <c r="N364" s="426"/>
      <c r="O364" s="427"/>
      <c r="P364" s="425"/>
      <c r="Q364" s="425"/>
      <c r="R364" s="425"/>
      <c r="S364" s="421"/>
      <c r="T364" s="421"/>
      <c r="U364" s="421"/>
      <c r="V364" s="421"/>
      <c r="W364" s="421"/>
      <c r="X364" s="425"/>
      <c r="Y364" s="421"/>
      <c r="Z364" s="421"/>
      <c r="AA364" s="421"/>
      <c r="AB364" s="421"/>
      <c r="AC364" s="421"/>
      <c r="AD364" s="421"/>
      <c r="AE364" s="421"/>
      <c r="AF364" s="421"/>
      <c r="AG364" s="421"/>
      <c r="AH364" s="421"/>
      <c r="AI364" s="421"/>
      <c r="AJ364" s="421"/>
      <c r="AK364" s="421"/>
      <c r="AL364" s="421"/>
      <c r="AM364" s="421"/>
      <c r="AN364" s="421"/>
      <c r="AO364" s="421"/>
      <c r="AP364" s="421"/>
      <c r="AQ364" s="421"/>
      <c r="AR364" s="421"/>
      <c r="AS364" s="421"/>
      <c r="AT364" s="421"/>
      <c r="AU364" s="421"/>
      <c r="AV364" s="421"/>
      <c r="AW364" s="421"/>
      <c r="AX364" s="421"/>
      <c r="AY364" s="421"/>
      <c r="AZ364" s="421"/>
      <c r="BA364" s="421"/>
    </row>
    <row r="365">
      <c r="A365" s="421"/>
      <c r="B365" s="421"/>
      <c r="C365" s="268"/>
      <c r="D365" s="431"/>
      <c r="E365" s="276"/>
      <c r="F365" s="265"/>
      <c r="G365" s="265"/>
      <c r="H365" s="432"/>
      <c r="I365" s="432"/>
      <c r="J365" s="283"/>
      <c r="K365" s="276"/>
      <c r="L365" s="417" t="str">
        <f t="shared" si="1"/>
        <v/>
      </c>
      <c r="M365" s="425"/>
      <c r="N365" s="426"/>
      <c r="O365" s="427"/>
      <c r="P365" s="425"/>
      <c r="Q365" s="425"/>
      <c r="R365" s="425"/>
      <c r="S365" s="421"/>
      <c r="T365" s="421"/>
      <c r="U365" s="421"/>
      <c r="V365" s="421"/>
      <c r="W365" s="421"/>
      <c r="X365" s="425"/>
      <c r="Y365" s="421"/>
      <c r="Z365" s="421"/>
      <c r="AA365" s="421"/>
      <c r="AB365" s="421"/>
      <c r="AC365" s="421"/>
      <c r="AD365" s="421"/>
      <c r="AE365" s="421"/>
      <c r="AF365" s="421"/>
      <c r="AG365" s="421"/>
      <c r="AH365" s="421"/>
      <c r="AI365" s="421"/>
      <c r="AJ365" s="421"/>
      <c r="AK365" s="421"/>
      <c r="AL365" s="421"/>
      <c r="AM365" s="421"/>
      <c r="AN365" s="421"/>
      <c r="AO365" s="421"/>
      <c r="AP365" s="421"/>
      <c r="AQ365" s="421"/>
      <c r="AR365" s="421"/>
      <c r="AS365" s="421"/>
      <c r="AT365" s="421"/>
      <c r="AU365" s="421"/>
      <c r="AV365" s="421"/>
      <c r="AW365" s="421"/>
      <c r="AX365" s="421"/>
      <c r="AY365" s="421"/>
      <c r="AZ365" s="421"/>
      <c r="BA365" s="421"/>
    </row>
    <row r="366">
      <c r="A366" s="421"/>
      <c r="B366" s="421"/>
      <c r="C366" s="268"/>
      <c r="D366" s="431"/>
      <c r="E366" s="276"/>
      <c r="F366" s="265"/>
      <c r="G366" s="265"/>
      <c r="H366" s="432"/>
      <c r="I366" s="432"/>
      <c r="J366" s="283"/>
      <c r="K366" s="276"/>
      <c r="L366" s="417" t="str">
        <f t="shared" si="1"/>
        <v/>
      </c>
      <c r="M366" s="425"/>
      <c r="N366" s="426"/>
      <c r="O366" s="427"/>
      <c r="P366" s="425"/>
      <c r="Q366" s="425"/>
      <c r="R366" s="425"/>
      <c r="S366" s="421"/>
      <c r="T366" s="421"/>
      <c r="U366" s="421"/>
      <c r="V366" s="421"/>
      <c r="W366" s="421"/>
      <c r="X366" s="425"/>
      <c r="Y366" s="421"/>
      <c r="Z366" s="421"/>
      <c r="AA366" s="421"/>
      <c r="AB366" s="421"/>
      <c r="AC366" s="421"/>
      <c r="AD366" s="421"/>
      <c r="AE366" s="421"/>
      <c r="AF366" s="421"/>
      <c r="AG366" s="421"/>
      <c r="AH366" s="421"/>
      <c r="AI366" s="421"/>
      <c r="AJ366" s="421"/>
      <c r="AK366" s="421"/>
      <c r="AL366" s="421"/>
      <c r="AM366" s="421"/>
      <c r="AN366" s="421"/>
      <c r="AO366" s="421"/>
      <c r="AP366" s="421"/>
      <c r="AQ366" s="421"/>
      <c r="AR366" s="421"/>
      <c r="AS366" s="421"/>
      <c r="AT366" s="421"/>
      <c r="AU366" s="421"/>
      <c r="AV366" s="421"/>
      <c r="AW366" s="421"/>
      <c r="AX366" s="421"/>
      <c r="AY366" s="421"/>
      <c r="AZ366" s="421"/>
      <c r="BA366" s="421"/>
    </row>
    <row r="367">
      <c r="A367" s="421"/>
      <c r="B367" s="421"/>
      <c r="C367" s="268"/>
      <c r="D367" s="431"/>
      <c r="E367" s="276"/>
      <c r="F367" s="265"/>
      <c r="G367" s="265"/>
      <c r="H367" s="432"/>
      <c r="I367" s="432"/>
      <c r="J367" s="283"/>
      <c r="K367" s="276"/>
      <c r="L367" s="417" t="str">
        <f t="shared" si="1"/>
        <v/>
      </c>
      <c r="M367" s="425"/>
      <c r="N367" s="426"/>
      <c r="O367" s="427"/>
      <c r="P367" s="425"/>
      <c r="Q367" s="425"/>
      <c r="R367" s="425"/>
      <c r="S367" s="421"/>
      <c r="T367" s="421"/>
      <c r="U367" s="421"/>
      <c r="V367" s="421"/>
      <c r="W367" s="421"/>
      <c r="X367" s="425"/>
      <c r="Y367" s="421"/>
      <c r="Z367" s="421"/>
      <c r="AA367" s="421"/>
      <c r="AB367" s="421"/>
      <c r="AC367" s="421"/>
      <c r="AD367" s="421"/>
      <c r="AE367" s="421"/>
      <c r="AF367" s="421"/>
      <c r="AG367" s="421"/>
      <c r="AH367" s="421"/>
      <c r="AI367" s="421"/>
      <c r="AJ367" s="421"/>
      <c r="AK367" s="421"/>
      <c r="AL367" s="421"/>
      <c r="AM367" s="421"/>
      <c r="AN367" s="421"/>
      <c r="AO367" s="421"/>
      <c r="AP367" s="421"/>
      <c r="AQ367" s="421"/>
      <c r="AR367" s="421"/>
      <c r="AS367" s="421"/>
      <c r="AT367" s="421"/>
      <c r="AU367" s="421"/>
      <c r="AV367" s="421"/>
      <c r="AW367" s="421"/>
      <c r="AX367" s="421"/>
      <c r="AY367" s="421"/>
      <c r="AZ367" s="421"/>
      <c r="BA367" s="421"/>
    </row>
    <row r="368">
      <c r="A368" s="421"/>
      <c r="B368" s="421"/>
      <c r="C368" s="268"/>
      <c r="D368" s="431"/>
      <c r="E368" s="276"/>
      <c r="F368" s="265"/>
      <c r="G368" s="265"/>
      <c r="H368" s="432"/>
      <c r="I368" s="432"/>
      <c r="J368" s="283"/>
      <c r="K368" s="276"/>
      <c r="L368" s="417" t="str">
        <f t="shared" si="1"/>
        <v/>
      </c>
      <c r="M368" s="425"/>
      <c r="N368" s="426"/>
      <c r="O368" s="427"/>
      <c r="P368" s="425"/>
      <c r="Q368" s="425"/>
      <c r="R368" s="425"/>
      <c r="S368" s="421"/>
      <c r="T368" s="421"/>
      <c r="U368" s="421"/>
      <c r="V368" s="421"/>
      <c r="W368" s="421"/>
      <c r="X368" s="425"/>
      <c r="Y368" s="421"/>
      <c r="Z368" s="421"/>
      <c r="AA368" s="421"/>
      <c r="AB368" s="421"/>
      <c r="AC368" s="421"/>
      <c r="AD368" s="421"/>
      <c r="AE368" s="421"/>
      <c r="AF368" s="421"/>
      <c r="AG368" s="421"/>
      <c r="AH368" s="421"/>
      <c r="AI368" s="421"/>
      <c r="AJ368" s="421"/>
      <c r="AK368" s="421"/>
      <c r="AL368" s="421"/>
      <c r="AM368" s="421"/>
      <c r="AN368" s="421"/>
      <c r="AO368" s="421"/>
      <c r="AP368" s="421"/>
      <c r="AQ368" s="421"/>
      <c r="AR368" s="421"/>
      <c r="AS368" s="421"/>
      <c r="AT368" s="421"/>
      <c r="AU368" s="421"/>
      <c r="AV368" s="421"/>
      <c r="AW368" s="421"/>
      <c r="AX368" s="421"/>
      <c r="AY368" s="421"/>
      <c r="AZ368" s="421"/>
      <c r="BA368" s="421"/>
    </row>
    <row r="369">
      <c r="A369" s="421"/>
      <c r="B369" s="421"/>
      <c r="C369" s="268"/>
      <c r="D369" s="431"/>
      <c r="E369" s="276"/>
      <c r="F369" s="265"/>
      <c r="G369" s="265"/>
      <c r="H369" s="432"/>
      <c r="I369" s="432"/>
      <c r="J369" s="283"/>
      <c r="K369" s="276"/>
      <c r="L369" s="417" t="str">
        <f t="shared" si="1"/>
        <v/>
      </c>
      <c r="M369" s="425"/>
      <c r="N369" s="426"/>
      <c r="O369" s="427"/>
      <c r="P369" s="425"/>
      <c r="Q369" s="425"/>
      <c r="R369" s="425"/>
      <c r="S369" s="421"/>
      <c r="T369" s="421"/>
      <c r="U369" s="421"/>
      <c r="V369" s="421"/>
      <c r="W369" s="421"/>
      <c r="X369" s="425"/>
      <c r="Y369" s="421"/>
      <c r="Z369" s="421"/>
      <c r="AA369" s="421"/>
      <c r="AB369" s="421"/>
      <c r="AC369" s="421"/>
      <c r="AD369" s="421"/>
      <c r="AE369" s="421"/>
      <c r="AF369" s="421"/>
      <c r="AG369" s="421"/>
      <c r="AH369" s="421"/>
      <c r="AI369" s="421"/>
      <c r="AJ369" s="421"/>
      <c r="AK369" s="421"/>
      <c r="AL369" s="421"/>
      <c r="AM369" s="421"/>
      <c r="AN369" s="421"/>
      <c r="AO369" s="421"/>
      <c r="AP369" s="421"/>
      <c r="AQ369" s="421"/>
      <c r="AR369" s="421"/>
      <c r="AS369" s="421"/>
      <c r="AT369" s="421"/>
      <c r="AU369" s="421"/>
      <c r="AV369" s="421"/>
      <c r="AW369" s="421"/>
      <c r="AX369" s="421"/>
      <c r="AY369" s="421"/>
      <c r="AZ369" s="421"/>
      <c r="BA369" s="421"/>
    </row>
    <row r="370">
      <c r="A370" s="421"/>
      <c r="B370" s="421"/>
      <c r="C370" s="268"/>
      <c r="D370" s="431"/>
      <c r="E370" s="276"/>
      <c r="F370" s="265"/>
      <c r="G370" s="265"/>
      <c r="H370" s="432"/>
      <c r="I370" s="432"/>
      <c r="J370" s="283"/>
      <c r="K370" s="276"/>
      <c r="L370" s="417" t="str">
        <f t="shared" si="1"/>
        <v/>
      </c>
      <c r="M370" s="425"/>
      <c r="N370" s="426"/>
      <c r="O370" s="427"/>
      <c r="P370" s="425"/>
      <c r="Q370" s="425"/>
      <c r="R370" s="425"/>
      <c r="S370" s="421"/>
      <c r="T370" s="421"/>
      <c r="U370" s="421"/>
      <c r="V370" s="421"/>
      <c r="W370" s="421"/>
      <c r="X370" s="425"/>
      <c r="Y370" s="421"/>
      <c r="Z370" s="421"/>
      <c r="AA370" s="421"/>
      <c r="AB370" s="421"/>
      <c r="AC370" s="421"/>
      <c r="AD370" s="421"/>
      <c r="AE370" s="421"/>
      <c r="AF370" s="421"/>
      <c r="AG370" s="421"/>
      <c r="AH370" s="421"/>
      <c r="AI370" s="421"/>
      <c r="AJ370" s="421"/>
      <c r="AK370" s="421"/>
      <c r="AL370" s="421"/>
      <c r="AM370" s="421"/>
      <c r="AN370" s="421"/>
      <c r="AO370" s="421"/>
      <c r="AP370" s="421"/>
      <c r="AQ370" s="421"/>
      <c r="AR370" s="421"/>
      <c r="AS370" s="421"/>
      <c r="AT370" s="421"/>
      <c r="AU370" s="421"/>
      <c r="AV370" s="421"/>
      <c r="AW370" s="421"/>
      <c r="AX370" s="421"/>
      <c r="AY370" s="421"/>
      <c r="AZ370" s="421"/>
      <c r="BA370" s="421"/>
    </row>
    <row r="371">
      <c r="A371" s="421"/>
      <c r="B371" s="421"/>
      <c r="C371" s="268"/>
      <c r="D371" s="431"/>
      <c r="E371" s="276"/>
      <c r="F371" s="265"/>
      <c r="G371" s="265"/>
      <c r="H371" s="432"/>
      <c r="I371" s="432"/>
      <c r="J371" s="283"/>
      <c r="K371" s="276"/>
      <c r="L371" s="417" t="str">
        <f t="shared" si="1"/>
        <v/>
      </c>
      <c r="M371" s="425"/>
      <c r="N371" s="426"/>
      <c r="O371" s="427"/>
      <c r="P371" s="425"/>
      <c r="Q371" s="425"/>
      <c r="R371" s="425"/>
      <c r="S371" s="421"/>
      <c r="T371" s="421"/>
      <c r="U371" s="421"/>
      <c r="V371" s="421"/>
      <c r="W371" s="421"/>
      <c r="X371" s="425"/>
      <c r="Y371" s="421"/>
      <c r="Z371" s="421"/>
      <c r="AA371" s="421"/>
      <c r="AB371" s="421"/>
      <c r="AC371" s="421"/>
      <c r="AD371" s="421"/>
      <c r="AE371" s="421"/>
      <c r="AF371" s="421"/>
      <c r="AG371" s="421"/>
      <c r="AH371" s="421"/>
      <c r="AI371" s="421"/>
      <c r="AJ371" s="421"/>
      <c r="AK371" s="421"/>
      <c r="AL371" s="421"/>
      <c r="AM371" s="421"/>
      <c r="AN371" s="421"/>
      <c r="AO371" s="421"/>
      <c r="AP371" s="421"/>
      <c r="AQ371" s="421"/>
      <c r="AR371" s="421"/>
      <c r="AS371" s="421"/>
      <c r="AT371" s="421"/>
      <c r="AU371" s="421"/>
      <c r="AV371" s="421"/>
      <c r="AW371" s="421"/>
      <c r="AX371" s="421"/>
      <c r="AY371" s="421"/>
      <c r="AZ371" s="421"/>
      <c r="BA371" s="421"/>
    </row>
    <row r="372">
      <c r="A372" s="421"/>
      <c r="B372" s="421"/>
      <c r="C372" s="268"/>
      <c r="D372" s="431"/>
      <c r="E372" s="276"/>
      <c r="F372" s="265"/>
      <c r="G372" s="265"/>
      <c r="H372" s="432"/>
      <c r="I372" s="432"/>
      <c r="J372" s="283"/>
      <c r="K372" s="276"/>
      <c r="L372" s="417" t="str">
        <f t="shared" si="1"/>
        <v/>
      </c>
      <c r="M372" s="425"/>
      <c r="N372" s="426"/>
      <c r="O372" s="427"/>
      <c r="P372" s="425"/>
      <c r="Q372" s="425"/>
      <c r="R372" s="425"/>
      <c r="S372" s="421"/>
      <c r="T372" s="421"/>
      <c r="U372" s="421"/>
      <c r="V372" s="421"/>
      <c r="W372" s="421"/>
      <c r="X372" s="425"/>
      <c r="Y372" s="421"/>
      <c r="Z372" s="421"/>
      <c r="AA372" s="421"/>
      <c r="AB372" s="421"/>
      <c r="AC372" s="421"/>
      <c r="AD372" s="421"/>
      <c r="AE372" s="421"/>
      <c r="AF372" s="421"/>
      <c r="AG372" s="421"/>
      <c r="AH372" s="421"/>
      <c r="AI372" s="421"/>
      <c r="AJ372" s="421"/>
      <c r="AK372" s="421"/>
      <c r="AL372" s="421"/>
      <c r="AM372" s="421"/>
      <c r="AN372" s="421"/>
      <c r="AO372" s="421"/>
      <c r="AP372" s="421"/>
      <c r="AQ372" s="421"/>
      <c r="AR372" s="421"/>
      <c r="AS372" s="421"/>
      <c r="AT372" s="421"/>
      <c r="AU372" s="421"/>
      <c r="AV372" s="421"/>
      <c r="AW372" s="421"/>
      <c r="AX372" s="421"/>
      <c r="AY372" s="421"/>
      <c r="AZ372" s="421"/>
      <c r="BA372" s="421"/>
    </row>
    <row r="373">
      <c r="A373" s="421"/>
      <c r="B373" s="421"/>
      <c r="C373" s="268"/>
      <c r="D373" s="431"/>
      <c r="E373" s="276"/>
      <c r="F373" s="265"/>
      <c r="G373" s="265"/>
      <c r="H373" s="432"/>
      <c r="I373" s="432"/>
      <c r="J373" s="283"/>
      <c r="K373" s="276"/>
      <c r="L373" s="417" t="str">
        <f t="shared" si="1"/>
        <v/>
      </c>
      <c r="M373" s="425"/>
      <c r="N373" s="426"/>
      <c r="O373" s="427"/>
      <c r="P373" s="425"/>
      <c r="Q373" s="425"/>
      <c r="R373" s="425"/>
      <c r="S373" s="421"/>
      <c r="T373" s="421"/>
      <c r="U373" s="421"/>
      <c r="V373" s="421"/>
      <c r="W373" s="421"/>
      <c r="X373" s="425"/>
      <c r="Y373" s="421"/>
      <c r="Z373" s="421"/>
      <c r="AA373" s="421"/>
      <c r="AB373" s="421"/>
      <c r="AC373" s="421"/>
      <c r="AD373" s="421"/>
      <c r="AE373" s="421"/>
      <c r="AF373" s="421"/>
      <c r="AG373" s="421"/>
      <c r="AH373" s="421"/>
      <c r="AI373" s="421"/>
      <c r="AJ373" s="421"/>
      <c r="AK373" s="421"/>
      <c r="AL373" s="421"/>
      <c r="AM373" s="421"/>
      <c r="AN373" s="421"/>
      <c r="AO373" s="421"/>
      <c r="AP373" s="421"/>
      <c r="AQ373" s="421"/>
      <c r="AR373" s="421"/>
      <c r="AS373" s="421"/>
      <c r="AT373" s="421"/>
      <c r="AU373" s="421"/>
      <c r="AV373" s="421"/>
      <c r="AW373" s="421"/>
      <c r="AX373" s="421"/>
      <c r="AY373" s="421"/>
      <c r="AZ373" s="421"/>
      <c r="BA373" s="421"/>
    </row>
    <row r="374">
      <c r="A374" s="421"/>
      <c r="B374" s="421"/>
      <c r="C374" s="268"/>
      <c r="D374" s="431"/>
      <c r="E374" s="276"/>
      <c r="F374" s="265"/>
      <c r="G374" s="265"/>
      <c r="H374" s="432"/>
      <c r="I374" s="432"/>
      <c r="J374" s="283"/>
      <c r="K374" s="276"/>
      <c r="L374" s="417" t="str">
        <f t="shared" si="1"/>
        <v/>
      </c>
      <c r="M374" s="425"/>
      <c r="N374" s="426"/>
      <c r="O374" s="427"/>
      <c r="P374" s="425"/>
      <c r="Q374" s="425"/>
      <c r="R374" s="425"/>
      <c r="S374" s="421"/>
      <c r="T374" s="421"/>
      <c r="U374" s="421"/>
      <c r="V374" s="421"/>
      <c r="W374" s="421"/>
      <c r="X374" s="425"/>
      <c r="Y374" s="421"/>
      <c r="Z374" s="421"/>
      <c r="AA374" s="421"/>
      <c r="AB374" s="421"/>
      <c r="AC374" s="421"/>
      <c r="AD374" s="421"/>
      <c r="AE374" s="421"/>
      <c r="AF374" s="421"/>
      <c r="AG374" s="421"/>
      <c r="AH374" s="421"/>
      <c r="AI374" s="421"/>
      <c r="AJ374" s="421"/>
      <c r="AK374" s="421"/>
      <c r="AL374" s="421"/>
      <c r="AM374" s="421"/>
      <c r="AN374" s="421"/>
      <c r="AO374" s="421"/>
      <c r="AP374" s="421"/>
      <c r="AQ374" s="421"/>
      <c r="AR374" s="421"/>
      <c r="AS374" s="421"/>
      <c r="AT374" s="421"/>
      <c r="AU374" s="421"/>
      <c r="AV374" s="421"/>
      <c r="AW374" s="421"/>
      <c r="AX374" s="421"/>
      <c r="AY374" s="421"/>
      <c r="AZ374" s="421"/>
      <c r="BA374" s="421"/>
    </row>
    <row r="375">
      <c r="A375" s="421"/>
      <c r="B375" s="421"/>
      <c r="C375" s="268"/>
      <c r="D375" s="431"/>
      <c r="E375" s="276"/>
      <c r="F375" s="265"/>
      <c r="G375" s="265"/>
      <c r="H375" s="432"/>
      <c r="I375" s="432"/>
      <c r="J375" s="283"/>
      <c r="K375" s="276"/>
      <c r="L375" s="417" t="str">
        <f t="shared" si="1"/>
        <v/>
      </c>
      <c r="M375" s="425"/>
      <c r="N375" s="426"/>
      <c r="O375" s="427"/>
      <c r="P375" s="425"/>
      <c r="Q375" s="425"/>
      <c r="R375" s="425"/>
      <c r="S375" s="421"/>
      <c r="T375" s="421"/>
      <c r="U375" s="421"/>
      <c r="V375" s="421"/>
      <c r="W375" s="421"/>
      <c r="X375" s="425"/>
      <c r="Y375" s="421"/>
      <c r="Z375" s="421"/>
      <c r="AA375" s="421"/>
      <c r="AB375" s="421"/>
      <c r="AC375" s="421"/>
      <c r="AD375" s="421"/>
      <c r="AE375" s="421"/>
      <c r="AF375" s="421"/>
      <c r="AG375" s="421"/>
      <c r="AH375" s="421"/>
      <c r="AI375" s="421"/>
      <c r="AJ375" s="421"/>
      <c r="AK375" s="421"/>
      <c r="AL375" s="421"/>
      <c r="AM375" s="421"/>
      <c r="AN375" s="421"/>
      <c r="AO375" s="421"/>
      <c r="AP375" s="421"/>
      <c r="AQ375" s="421"/>
      <c r="AR375" s="421"/>
      <c r="AS375" s="421"/>
      <c r="AT375" s="421"/>
      <c r="AU375" s="421"/>
      <c r="AV375" s="421"/>
      <c r="AW375" s="421"/>
      <c r="AX375" s="421"/>
      <c r="AY375" s="421"/>
      <c r="AZ375" s="421"/>
      <c r="BA375" s="421"/>
    </row>
    <row r="376">
      <c r="A376" s="421"/>
      <c r="B376" s="421"/>
      <c r="C376" s="268"/>
      <c r="D376" s="431"/>
      <c r="E376" s="276"/>
      <c r="F376" s="265"/>
      <c r="G376" s="265"/>
      <c r="H376" s="432"/>
      <c r="I376" s="432"/>
      <c r="J376" s="283"/>
      <c r="K376" s="276"/>
      <c r="L376" s="417" t="str">
        <f t="shared" si="1"/>
        <v/>
      </c>
      <c r="M376" s="425"/>
      <c r="N376" s="426"/>
      <c r="O376" s="427"/>
      <c r="P376" s="425"/>
      <c r="Q376" s="425"/>
      <c r="R376" s="425"/>
      <c r="S376" s="421"/>
      <c r="T376" s="421"/>
      <c r="U376" s="421"/>
      <c r="V376" s="421"/>
      <c r="W376" s="421"/>
      <c r="X376" s="425"/>
      <c r="Y376" s="421"/>
      <c r="Z376" s="421"/>
      <c r="AA376" s="421"/>
      <c r="AB376" s="421"/>
      <c r="AC376" s="421"/>
      <c r="AD376" s="421"/>
      <c r="AE376" s="421"/>
      <c r="AF376" s="421"/>
      <c r="AG376" s="421"/>
      <c r="AH376" s="421"/>
      <c r="AI376" s="421"/>
      <c r="AJ376" s="421"/>
      <c r="AK376" s="421"/>
      <c r="AL376" s="421"/>
      <c r="AM376" s="421"/>
      <c r="AN376" s="421"/>
      <c r="AO376" s="421"/>
      <c r="AP376" s="421"/>
      <c r="AQ376" s="421"/>
      <c r="AR376" s="421"/>
      <c r="AS376" s="421"/>
      <c r="AT376" s="421"/>
      <c r="AU376" s="421"/>
      <c r="AV376" s="421"/>
      <c r="AW376" s="421"/>
      <c r="AX376" s="421"/>
      <c r="AY376" s="421"/>
      <c r="AZ376" s="421"/>
      <c r="BA376" s="421"/>
    </row>
    <row r="377">
      <c r="A377" s="421"/>
      <c r="B377" s="421"/>
      <c r="C377" s="268"/>
      <c r="D377" s="431"/>
      <c r="E377" s="276"/>
      <c r="F377" s="265"/>
      <c r="G377" s="265"/>
      <c r="H377" s="432"/>
      <c r="I377" s="432"/>
      <c r="J377" s="283"/>
      <c r="K377" s="276"/>
      <c r="L377" s="417" t="str">
        <f t="shared" si="1"/>
        <v/>
      </c>
      <c r="M377" s="425"/>
      <c r="N377" s="426"/>
      <c r="O377" s="427"/>
      <c r="P377" s="425"/>
      <c r="Q377" s="425"/>
      <c r="R377" s="425"/>
      <c r="S377" s="421"/>
      <c r="T377" s="421"/>
      <c r="U377" s="421"/>
      <c r="V377" s="421"/>
      <c r="W377" s="421"/>
      <c r="X377" s="425"/>
      <c r="Y377" s="421"/>
      <c r="Z377" s="421"/>
      <c r="AA377" s="421"/>
      <c r="AB377" s="421"/>
      <c r="AC377" s="421"/>
      <c r="AD377" s="421"/>
      <c r="AE377" s="421"/>
      <c r="AF377" s="421"/>
      <c r="AG377" s="421"/>
      <c r="AH377" s="421"/>
      <c r="AI377" s="421"/>
      <c r="AJ377" s="421"/>
      <c r="AK377" s="421"/>
      <c r="AL377" s="421"/>
      <c r="AM377" s="421"/>
      <c r="AN377" s="421"/>
      <c r="AO377" s="421"/>
      <c r="AP377" s="421"/>
      <c r="AQ377" s="421"/>
      <c r="AR377" s="421"/>
      <c r="AS377" s="421"/>
      <c r="AT377" s="421"/>
      <c r="AU377" s="421"/>
      <c r="AV377" s="421"/>
      <c r="AW377" s="421"/>
      <c r="AX377" s="421"/>
      <c r="AY377" s="421"/>
      <c r="AZ377" s="421"/>
      <c r="BA377" s="421"/>
    </row>
    <row r="378">
      <c r="A378" s="421"/>
      <c r="B378" s="421"/>
      <c r="C378" s="268"/>
      <c r="D378" s="431"/>
      <c r="E378" s="276"/>
      <c r="F378" s="265"/>
      <c r="G378" s="265"/>
      <c r="H378" s="432"/>
      <c r="I378" s="432"/>
      <c r="J378" s="283"/>
      <c r="K378" s="276"/>
      <c r="L378" s="417" t="str">
        <f t="shared" si="1"/>
        <v/>
      </c>
      <c r="M378" s="425"/>
      <c r="N378" s="426"/>
      <c r="O378" s="427"/>
      <c r="P378" s="425"/>
      <c r="Q378" s="425"/>
      <c r="R378" s="425"/>
      <c r="S378" s="421"/>
      <c r="T378" s="421"/>
      <c r="U378" s="421"/>
      <c r="V378" s="421"/>
      <c r="W378" s="421"/>
      <c r="X378" s="425"/>
      <c r="Y378" s="421"/>
      <c r="Z378" s="421"/>
      <c r="AA378" s="421"/>
      <c r="AB378" s="421"/>
      <c r="AC378" s="421"/>
      <c r="AD378" s="421"/>
      <c r="AE378" s="421"/>
      <c r="AF378" s="421"/>
      <c r="AG378" s="421"/>
      <c r="AH378" s="421"/>
      <c r="AI378" s="421"/>
      <c r="AJ378" s="421"/>
      <c r="AK378" s="421"/>
      <c r="AL378" s="421"/>
      <c r="AM378" s="421"/>
      <c r="AN378" s="421"/>
      <c r="AO378" s="421"/>
      <c r="AP378" s="421"/>
      <c r="AQ378" s="421"/>
      <c r="AR378" s="421"/>
      <c r="AS378" s="421"/>
      <c r="AT378" s="421"/>
      <c r="AU378" s="421"/>
      <c r="AV378" s="421"/>
      <c r="AW378" s="421"/>
      <c r="AX378" s="421"/>
      <c r="AY378" s="421"/>
      <c r="AZ378" s="421"/>
      <c r="BA378" s="421"/>
    </row>
    <row r="379">
      <c r="A379" s="421"/>
      <c r="B379" s="421"/>
      <c r="C379" s="268"/>
      <c r="D379" s="431"/>
      <c r="E379" s="276"/>
      <c r="F379" s="265"/>
      <c r="G379" s="265"/>
      <c r="H379" s="432"/>
      <c r="I379" s="432"/>
      <c r="J379" s="283"/>
      <c r="K379" s="276"/>
      <c r="L379" s="417" t="str">
        <f t="shared" si="1"/>
        <v/>
      </c>
      <c r="M379" s="425"/>
      <c r="N379" s="426"/>
      <c r="O379" s="427"/>
      <c r="P379" s="425"/>
      <c r="Q379" s="425"/>
      <c r="R379" s="425"/>
      <c r="S379" s="421"/>
      <c r="T379" s="421"/>
      <c r="U379" s="421"/>
      <c r="V379" s="421"/>
      <c r="W379" s="421"/>
      <c r="X379" s="425"/>
      <c r="Y379" s="421"/>
      <c r="Z379" s="421"/>
      <c r="AA379" s="421"/>
      <c r="AB379" s="421"/>
      <c r="AC379" s="421"/>
      <c r="AD379" s="421"/>
      <c r="AE379" s="421"/>
      <c r="AF379" s="421"/>
      <c r="AG379" s="421"/>
      <c r="AH379" s="421"/>
      <c r="AI379" s="421"/>
      <c r="AJ379" s="421"/>
      <c r="AK379" s="421"/>
      <c r="AL379" s="421"/>
      <c r="AM379" s="421"/>
      <c r="AN379" s="421"/>
      <c r="AO379" s="421"/>
      <c r="AP379" s="421"/>
      <c r="AQ379" s="421"/>
      <c r="AR379" s="421"/>
      <c r="AS379" s="421"/>
      <c r="AT379" s="421"/>
      <c r="AU379" s="421"/>
      <c r="AV379" s="421"/>
      <c r="AW379" s="421"/>
      <c r="AX379" s="421"/>
      <c r="AY379" s="421"/>
      <c r="AZ379" s="421"/>
      <c r="BA379" s="421"/>
    </row>
    <row r="380">
      <c r="A380" s="421"/>
      <c r="B380" s="421"/>
      <c r="C380" s="268"/>
      <c r="D380" s="431"/>
      <c r="E380" s="276"/>
      <c r="F380" s="265"/>
      <c r="G380" s="265"/>
      <c r="H380" s="432"/>
      <c r="I380" s="432"/>
      <c r="J380" s="283"/>
      <c r="K380" s="276"/>
      <c r="L380" s="417" t="str">
        <f t="shared" si="1"/>
        <v/>
      </c>
      <c r="M380" s="425"/>
      <c r="N380" s="426"/>
      <c r="O380" s="427"/>
      <c r="P380" s="425"/>
      <c r="Q380" s="425"/>
      <c r="R380" s="425"/>
      <c r="S380" s="421"/>
      <c r="T380" s="421"/>
      <c r="U380" s="421"/>
      <c r="V380" s="421"/>
      <c r="W380" s="421"/>
      <c r="X380" s="425"/>
      <c r="Y380" s="421"/>
      <c r="Z380" s="421"/>
      <c r="AA380" s="421"/>
      <c r="AB380" s="421"/>
      <c r="AC380" s="421"/>
      <c r="AD380" s="421"/>
      <c r="AE380" s="421"/>
      <c r="AF380" s="421"/>
      <c r="AG380" s="421"/>
      <c r="AH380" s="421"/>
      <c r="AI380" s="421"/>
      <c r="AJ380" s="421"/>
      <c r="AK380" s="421"/>
      <c r="AL380" s="421"/>
      <c r="AM380" s="421"/>
      <c r="AN380" s="421"/>
      <c r="AO380" s="421"/>
      <c r="AP380" s="421"/>
      <c r="AQ380" s="421"/>
      <c r="AR380" s="421"/>
      <c r="AS380" s="421"/>
      <c r="AT380" s="421"/>
      <c r="AU380" s="421"/>
      <c r="AV380" s="421"/>
      <c r="AW380" s="421"/>
      <c r="AX380" s="421"/>
      <c r="AY380" s="421"/>
      <c r="AZ380" s="421"/>
      <c r="BA380" s="421"/>
    </row>
    <row r="381">
      <c r="A381" s="421"/>
      <c r="B381" s="421"/>
      <c r="C381" s="268"/>
      <c r="D381" s="431"/>
      <c r="E381" s="276"/>
      <c r="F381" s="265"/>
      <c r="G381" s="265"/>
      <c r="H381" s="432"/>
      <c r="I381" s="432"/>
      <c r="J381" s="283"/>
      <c r="K381" s="276"/>
      <c r="L381" s="417" t="str">
        <f t="shared" si="1"/>
        <v/>
      </c>
      <c r="M381" s="425"/>
      <c r="N381" s="426"/>
      <c r="O381" s="427"/>
      <c r="P381" s="425"/>
      <c r="Q381" s="425"/>
      <c r="R381" s="425"/>
      <c r="S381" s="421"/>
      <c r="T381" s="421"/>
      <c r="U381" s="421"/>
      <c r="V381" s="421"/>
      <c r="W381" s="421"/>
      <c r="X381" s="425"/>
      <c r="Y381" s="421"/>
      <c r="Z381" s="421"/>
      <c r="AA381" s="421"/>
      <c r="AB381" s="421"/>
      <c r="AC381" s="421"/>
      <c r="AD381" s="421"/>
      <c r="AE381" s="421"/>
      <c r="AF381" s="421"/>
      <c r="AG381" s="421"/>
      <c r="AH381" s="421"/>
      <c r="AI381" s="421"/>
      <c r="AJ381" s="421"/>
      <c r="AK381" s="421"/>
      <c r="AL381" s="421"/>
      <c r="AM381" s="421"/>
      <c r="AN381" s="421"/>
      <c r="AO381" s="421"/>
      <c r="AP381" s="421"/>
      <c r="AQ381" s="421"/>
      <c r="AR381" s="421"/>
      <c r="AS381" s="421"/>
      <c r="AT381" s="421"/>
      <c r="AU381" s="421"/>
      <c r="AV381" s="421"/>
      <c r="AW381" s="421"/>
      <c r="AX381" s="421"/>
      <c r="AY381" s="421"/>
      <c r="AZ381" s="421"/>
      <c r="BA381" s="421"/>
    </row>
    <row r="382">
      <c r="A382" s="421"/>
      <c r="B382" s="421"/>
      <c r="C382" s="268"/>
      <c r="D382" s="431"/>
      <c r="E382" s="276"/>
      <c r="F382" s="265"/>
      <c r="G382" s="265"/>
      <c r="H382" s="432"/>
      <c r="I382" s="432"/>
      <c r="J382" s="283"/>
      <c r="K382" s="276"/>
      <c r="L382" s="417" t="str">
        <f t="shared" si="1"/>
        <v/>
      </c>
      <c r="M382" s="425"/>
      <c r="N382" s="426"/>
      <c r="O382" s="427"/>
      <c r="P382" s="425"/>
      <c r="Q382" s="425"/>
      <c r="R382" s="425"/>
      <c r="S382" s="421"/>
      <c r="T382" s="421"/>
      <c r="U382" s="421"/>
      <c r="V382" s="421"/>
      <c r="W382" s="421"/>
      <c r="X382" s="425"/>
      <c r="Y382" s="421"/>
      <c r="Z382" s="421"/>
      <c r="AA382" s="421"/>
      <c r="AB382" s="421"/>
      <c r="AC382" s="421"/>
      <c r="AD382" s="421"/>
      <c r="AE382" s="421"/>
      <c r="AF382" s="421"/>
      <c r="AG382" s="421"/>
      <c r="AH382" s="421"/>
      <c r="AI382" s="421"/>
      <c r="AJ382" s="421"/>
      <c r="AK382" s="421"/>
      <c r="AL382" s="421"/>
      <c r="AM382" s="421"/>
      <c r="AN382" s="421"/>
      <c r="AO382" s="421"/>
      <c r="AP382" s="421"/>
      <c r="AQ382" s="421"/>
      <c r="AR382" s="421"/>
      <c r="AS382" s="421"/>
      <c r="AT382" s="421"/>
      <c r="AU382" s="421"/>
      <c r="AV382" s="421"/>
      <c r="AW382" s="421"/>
      <c r="AX382" s="421"/>
      <c r="AY382" s="421"/>
      <c r="AZ382" s="421"/>
      <c r="BA382" s="421"/>
    </row>
    <row r="383">
      <c r="A383" s="421"/>
      <c r="B383" s="421"/>
      <c r="C383" s="268"/>
      <c r="D383" s="431"/>
      <c r="E383" s="276"/>
      <c r="F383" s="265"/>
      <c r="G383" s="265"/>
      <c r="H383" s="432"/>
      <c r="I383" s="432"/>
      <c r="J383" s="283"/>
      <c r="K383" s="276"/>
      <c r="L383" s="417" t="str">
        <f t="shared" si="1"/>
        <v/>
      </c>
      <c r="M383" s="425"/>
      <c r="N383" s="426"/>
      <c r="O383" s="427"/>
      <c r="P383" s="425"/>
      <c r="Q383" s="425"/>
      <c r="R383" s="425"/>
      <c r="S383" s="421"/>
      <c r="T383" s="421"/>
      <c r="U383" s="421"/>
      <c r="V383" s="421"/>
      <c r="W383" s="421"/>
      <c r="X383" s="425"/>
      <c r="Y383" s="421"/>
      <c r="Z383" s="421"/>
      <c r="AA383" s="421"/>
      <c r="AB383" s="421"/>
      <c r="AC383" s="421"/>
      <c r="AD383" s="421"/>
      <c r="AE383" s="421"/>
      <c r="AF383" s="421"/>
      <c r="AG383" s="421"/>
      <c r="AH383" s="421"/>
      <c r="AI383" s="421"/>
      <c r="AJ383" s="421"/>
      <c r="AK383" s="421"/>
      <c r="AL383" s="421"/>
      <c r="AM383" s="421"/>
      <c r="AN383" s="421"/>
      <c r="AO383" s="421"/>
      <c r="AP383" s="421"/>
      <c r="AQ383" s="421"/>
      <c r="AR383" s="421"/>
      <c r="AS383" s="421"/>
      <c r="AT383" s="421"/>
      <c r="AU383" s="421"/>
      <c r="AV383" s="421"/>
      <c r="AW383" s="421"/>
      <c r="AX383" s="421"/>
      <c r="AY383" s="421"/>
      <c r="AZ383" s="421"/>
      <c r="BA383" s="421"/>
    </row>
    <row r="384">
      <c r="A384" s="421"/>
      <c r="B384" s="421"/>
      <c r="C384" s="268"/>
      <c r="D384" s="431"/>
      <c r="E384" s="276"/>
      <c r="F384" s="265"/>
      <c r="G384" s="265"/>
      <c r="H384" s="432"/>
      <c r="I384" s="432"/>
      <c r="J384" s="283"/>
      <c r="K384" s="276"/>
      <c r="L384" s="417" t="str">
        <f t="shared" si="1"/>
        <v/>
      </c>
      <c r="M384" s="425"/>
      <c r="N384" s="426"/>
      <c r="O384" s="427"/>
      <c r="P384" s="425"/>
      <c r="Q384" s="425"/>
      <c r="R384" s="425"/>
      <c r="S384" s="421"/>
      <c r="T384" s="421"/>
      <c r="U384" s="421"/>
      <c r="V384" s="421"/>
      <c r="W384" s="421"/>
      <c r="X384" s="425"/>
      <c r="Y384" s="421"/>
      <c r="Z384" s="421"/>
      <c r="AA384" s="421"/>
      <c r="AB384" s="421"/>
      <c r="AC384" s="421"/>
      <c r="AD384" s="421"/>
      <c r="AE384" s="421"/>
      <c r="AF384" s="421"/>
      <c r="AG384" s="421"/>
      <c r="AH384" s="421"/>
      <c r="AI384" s="421"/>
      <c r="AJ384" s="421"/>
      <c r="AK384" s="421"/>
      <c r="AL384" s="421"/>
      <c r="AM384" s="421"/>
      <c r="AN384" s="421"/>
      <c r="AO384" s="421"/>
      <c r="AP384" s="421"/>
      <c r="AQ384" s="421"/>
      <c r="AR384" s="421"/>
      <c r="AS384" s="421"/>
      <c r="AT384" s="421"/>
      <c r="AU384" s="421"/>
      <c r="AV384" s="421"/>
      <c r="AW384" s="421"/>
      <c r="AX384" s="421"/>
      <c r="AY384" s="421"/>
      <c r="AZ384" s="421"/>
      <c r="BA384" s="421"/>
    </row>
    <row r="385">
      <c r="A385" s="421"/>
      <c r="B385" s="421"/>
      <c r="C385" s="268"/>
      <c r="D385" s="431"/>
      <c r="E385" s="276"/>
      <c r="F385" s="265"/>
      <c r="G385" s="265"/>
      <c r="H385" s="432"/>
      <c r="I385" s="432"/>
      <c r="J385" s="283"/>
      <c r="K385" s="276"/>
      <c r="L385" s="417" t="str">
        <f t="shared" si="1"/>
        <v/>
      </c>
      <c r="M385" s="425"/>
      <c r="N385" s="426"/>
      <c r="O385" s="427"/>
      <c r="P385" s="425"/>
      <c r="Q385" s="425"/>
      <c r="R385" s="425"/>
      <c r="S385" s="421"/>
      <c r="T385" s="421"/>
      <c r="U385" s="421"/>
      <c r="V385" s="421"/>
      <c r="W385" s="421"/>
      <c r="X385" s="425"/>
      <c r="Y385" s="421"/>
      <c r="Z385" s="421"/>
      <c r="AA385" s="421"/>
      <c r="AB385" s="421"/>
      <c r="AC385" s="421"/>
      <c r="AD385" s="421"/>
      <c r="AE385" s="421"/>
      <c r="AF385" s="421"/>
      <c r="AG385" s="421"/>
      <c r="AH385" s="421"/>
      <c r="AI385" s="421"/>
      <c r="AJ385" s="421"/>
      <c r="AK385" s="421"/>
      <c r="AL385" s="421"/>
      <c r="AM385" s="421"/>
      <c r="AN385" s="421"/>
      <c r="AO385" s="421"/>
      <c r="AP385" s="421"/>
      <c r="AQ385" s="421"/>
      <c r="AR385" s="421"/>
      <c r="AS385" s="421"/>
      <c r="AT385" s="421"/>
      <c r="AU385" s="421"/>
      <c r="AV385" s="421"/>
      <c r="AW385" s="421"/>
      <c r="AX385" s="421"/>
      <c r="AY385" s="421"/>
      <c r="AZ385" s="421"/>
      <c r="BA385" s="421"/>
    </row>
    <row r="386">
      <c r="A386" s="421"/>
      <c r="B386" s="421"/>
      <c r="C386" s="268"/>
      <c r="D386" s="431"/>
      <c r="E386" s="276"/>
      <c r="F386" s="265"/>
      <c r="G386" s="265"/>
      <c r="H386" s="432"/>
      <c r="I386" s="432"/>
      <c r="J386" s="283"/>
      <c r="K386" s="276"/>
      <c r="L386" s="417" t="str">
        <f t="shared" si="1"/>
        <v/>
      </c>
      <c r="M386" s="425"/>
      <c r="N386" s="426"/>
      <c r="O386" s="427"/>
      <c r="P386" s="425"/>
      <c r="Q386" s="425"/>
      <c r="R386" s="425"/>
      <c r="S386" s="421"/>
      <c r="T386" s="421"/>
      <c r="U386" s="421"/>
      <c r="V386" s="421"/>
      <c r="W386" s="421"/>
      <c r="X386" s="425"/>
      <c r="Y386" s="421"/>
      <c r="Z386" s="421"/>
      <c r="AA386" s="421"/>
      <c r="AB386" s="421"/>
      <c r="AC386" s="421"/>
      <c r="AD386" s="421"/>
      <c r="AE386" s="421"/>
      <c r="AF386" s="421"/>
      <c r="AG386" s="421"/>
      <c r="AH386" s="421"/>
      <c r="AI386" s="421"/>
      <c r="AJ386" s="421"/>
      <c r="AK386" s="421"/>
      <c r="AL386" s="421"/>
      <c r="AM386" s="421"/>
      <c r="AN386" s="421"/>
      <c r="AO386" s="421"/>
      <c r="AP386" s="421"/>
      <c r="AQ386" s="421"/>
      <c r="AR386" s="421"/>
      <c r="AS386" s="421"/>
      <c r="AT386" s="421"/>
      <c r="AU386" s="421"/>
      <c r="AV386" s="421"/>
      <c r="AW386" s="421"/>
      <c r="AX386" s="421"/>
      <c r="AY386" s="421"/>
      <c r="AZ386" s="421"/>
      <c r="BA386" s="421"/>
    </row>
    <row r="387">
      <c r="A387" s="421"/>
      <c r="B387" s="421"/>
      <c r="C387" s="268"/>
      <c r="D387" s="431"/>
      <c r="E387" s="276"/>
      <c r="F387" s="265"/>
      <c r="G387" s="265"/>
      <c r="H387" s="432"/>
      <c r="I387" s="432"/>
      <c r="J387" s="283"/>
      <c r="K387" s="276"/>
      <c r="L387" s="417" t="str">
        <f t="shared" si="1"/>
        <v/>
      </c>
      <c r="M387" s="425"/>
      <c r="N387" s="426"/>
      <c r="O387" s="427"/>
      <c r="P387" s="425"/>
      <c r="Q387" s="425"/>
      <c r="R387" s="425"/>
      <c r="S387" s="421"/>
      <c r="T387" s="421"/>
      <c r="U387" s="421"/>
      <c r="V387" s="421"/>
      <c r="W387" s="421"/>
      <c r="X387" s="425"/>
      <c r="Y387" s="421"/>
      <c r="Z387" s="421"/>
      <c r="AA387" s="421"/>
      <c r="AB387" s="421"/>
      <c r="AC387" s="421"/>
      <c r="AD387" s="421"/>
      <c r="AE387" s="421"/>
      <c r="AF387" s="421"/>
      <c r="AG387" s="421"/>
      <c r="AH387" s="421"/>
      <c r="AI387" s="421"/>
      <c r="AJ387" s="421"/>
      <c r="AK387" s="421"/>
      <c r="AL387" s="421"/>
      <c r="AM387" s="421"/>
      <c r="AN387" s="421"/>
      <c r="AO387" s="421"/>
      <c r="AP387" s="421"/>
      <c r="AQ387" s="421"/>
      <c r="AR387" s="421"/>
      <c r="AS387" s="421"/>
      <c r="AT387" s="421"/>
      <c r="AU387" s="421"/>
      <c r="AV387" s="421"/>
      <c r="AW387" s="421"/>
      <c r="AX387" s="421"/>
      <c r="AY387" s="421"/>
      <c r="AZ387" s="421"/>
      <c r="BA387" s="421"/>
    </row>
    <row r="388">
      <c r="A388" s="421"/>
      <c r="B388" s="421"/>
      <c r="C388" s="268"/>
      <c r="D388" s="431"/>
      <c r="E388" s="276"/>
      <c r="F388" s="265"/>
      <c r="G388" s="265"/>
      <c r="H388" s="432"/>
      <c r="I388" s="432"/>
      <c r="J388" s="283"/>
      <c r="K388" s="276"/>
      <c r="L388" s="417" t="str">
        <f t="shared" si="1"/>
        <v/>
      </c>
      <c r="M388" s="425"/>
      <c r="N388" s="426"/>
      <c r="O388" s="427"/>
      <c r="P388" s="425"/>
      <c r="Q388" s="425"/>
      <c r="R388" s="425"/>
      <c r="S388" s="421"/>
      <c r="T388" s="421"/>
      <c r="U388" s="421"/>
      <c r="V388" s="421"/>
      <c r="W388" s="421"/>
      <c r="X388" s="425"/>
      <c r="Y388" s="421"/>
      <c r="Z388" s="421"/>
      <c r="AA388" s="421"/>
      <c r="AB388" s="421"/>
      <c r="AC388" s="421"/>
      <c r="AD388" s="421"/>
      <c r="AE388" s="421"/>
      <c r="AF388" s="421"/>
      <c r="AG388" s="421"/>
      <c r="AH388" s="421"/>
      <c r="AI388" s="421"/>
      <c r="AJ388" s="421"/>
      <c r="AK388" s="421"/>
      <c r="AL388" s="421"/>
      <c r="AM388" s="421"/>
      <c r="AN388" s="421"/>
      <c r="AO388" s="421"/>
      <c r="AP388" s="421"/>
      <c r="AQ388" s="421"/>
      <c r="AR388" s="421"/>
      <c r="AS388" s="421"/>
      <c r="AT388" s="421"/>
      <c r="AU388" s="421"/>
      <c r="AV388" s="421"/>
      <c r="AW388" s="421"/>
      <c r="AX388" s="421"/>
      <c r="AY388" s="421"/>
      <c r="AZ388" s="421"/>
      <c r="BA388" s="421"/>
    </row>
    <row r="389">
      <c r="A389" s="421"/>
      <c r="B389" s="421"/>
      <c r="C389" s="268"/>
      <c r="D389" s="431"/>
      <c r="E389" s="276"/>
      <c r="F389" s="265"/>
      <c r="G389" s="265"/>
      <c r="H389" s="432"/>
      <c r="I389" s="432"/>
      <c r="J389" s="283"/>
      <c r="K389" s="276"/>
      <c r="L389" s="417" t="str">
        <f t="shared" si="1"/>
        <v/>
      </c>
      <c r="M389" s="425"/>
      <c r="N389" s="426"/>
      <c r="O389" s="427"/>
      <c r="P389" s="425"/>
      <c r="Q389" s="425"/>
      <c r="R389" s="425"/>
      <c r="S389" s="421"/>
      <c r="T389" s="421"/>
      <c r="U389" s="421"/>
      <c r="V389" s="421"/>
      <c r="W389" s="421"/>
      <c r="X389" s="425"/>
      <c r="Y389" s="421"/>
      <c r="Z389" s="421"/>
      <c r="AA389" s="421"/>
      <c r="AB389" s="421"/>
      <c r="AC389" s="421"/>
      <c r="AD389" s="421"/>
      <c r="AE389" s="421"/>
      <c r="AF389" s="421"/>
      <c r="AG389" s="421"/>
      <c r="AH389" s="421"/>
      <c r="AI389" s="421"/>
      <c r="AJ389" s="421"/>
      <c r="AK389" s="421"/>
      <c r="AL389" s="421"/>
      <c r="AM389" s="421"/>
      <c r="AN389" s="421"/>
      <c r="AO389" s="421"/>
      <c r="AP389" s="421"/>
      <c r="AQ389" s="421"/>
      <c r="AR389" s="421"/>
      <c r="AS389" s="421"/>
      <c r="AT389" s="421"/>
      <c r="AU389" s="421"/>
      <c r="AV389" s="421"/>
      <c r="AW389" s="421"/>
      <c r="AX389" s="421"/>
      <c r="AY389" s="421"/>
      <c r="AZ389" s="421"/>
      <c r="BA389" s="421"/>
    </row>
    <row r="390">
      <c r="A390" s="421"/>
      <c r="B390" s="421"/>
      <c r="C390" s="268"/>
      <c r="D390" s="431"/>
      <c r="E390" s="276"/>
      <c r="F390" s="265"/>
      <c r="G390" s="265"/>
      <c r="H390" s="432"/>
      <c r="I390" s="432"/>
      <c r="J390" s="283"/>
      <c r="K390" s="276"/>
      <c r="L390" s="417" t="str">
        <f t="shared" si="1"/>
        <v/>
      </c>
      <c r="M390" s="425"/>
      <c r="N390" s="426"/>
      <c r="O390" s="427"/>
      <c r="P390" s="425"/>
      <c r="Q390" s="425"/>
      <c r="R390" s="425"/>
      <c r="S390" s="421"/>
      <c r="T390" s="421"/>
      <c r="U390" s="421"/>
      <c r="V390" s="421"/>
      <c r="W390" s="421"/>
      <c r="X390" s="425"/>
      <c r="Y390" s="421"/>
      <c r="Z390" s="421"/>
      <c r="AA390" s="421"/>
      <c r="AB390" s="421"/>
      <c r="AC390" s="421"/>
      <c r="AD390" s="421"/>
      <c r="AE390" s="421"/>
      <c r="AF390" s="421"/>
      <c r="AG390" s="421"/>
      <c r="AH390" s="421"/>
      <c r="AI390" s="421"/>
      <c r="AJ390" s="421"/>
      <c r="AK390" s="421"/>
      <c r="AL390" s="421"/>
      <c r="AM390" s="421"/>
      <c r="AN390" s="421"/>
      <c r="AO390" s="421"/>
      <c r="AP390" s="421"/>
      <c r="AQ390" s="421"/>
      <c r="AR390" s="421"/>
      <c r="AS390" s="421"/>
      <c r="AT390" s="421"/>
      <c r="AU390" s="421"/>
      <c r="AV390" s="421"/>
      <c r="AW390" s="421"/>
      <c r="AX390" s="421"/>
      <c r="AY390" s="421"/>
      <c r="AZ390" s="421"/>
      <c r="BA390" s="421"/>
    </row>
    <row r="391">
      <c r="A391" s="421"/>
      <c r="B391" s="421"/>
      <c r="C391" s="268"/>
      <c r="D391" s="431"/>
      <c r="E391" s="276"/>
      <c r="F391" s="265"/>
      <c r="G391" s="265"/>
      <c r="H391" s="432"/>
      <c r="I391" s="432"/>
      <c r="J391" s="283"/>
      <c r="K391" s="276"/>
      <c r="L391" s="417" t="str">
        <f t="shared" si="1"/>
        <v/>
      </c>
      <c r="M391" s="425"/>
      <c r="N391" s="426"/>
      <c r="O391" s="427"/>
      <c r="P391" s="425"/>
      <c r="Q391" s="425"/>
      <c r="R391" s="425"/>
      <c r="S391" s="421"/>
      <c r="T391" s="421"/>
      <c r="U391" s="421"/>
      <c r="V391" s="421"/>
      <c r="W391" s="421"/>
      <c r="X391" s="425"/>
      <c r="Y391" s="421"/>
      <c r="Z391" s="421"/>
      <c r="AA391" s="421"/>
      <c r="AB391" s="421"/>
      <c r="AC391" s="421"/>
      <c r="AD391" s="421"/>
      <c r="AE391" s="421"/>
      <c r="AF391" s="421"/>
      <c r="AG391" s="421"/>
      <c r="AH391" s="421"/>
      <c r="AI391" s="421"/>
      <c r="AJ391" s="421"/>
      <c r="AK391" s="421"/>
      <c r="AL391" s="421"/>
      <c r="AM391" s="421"/>
      <c r="AN391" s="421"/>
      <c r="AO391" s="421"/>
      <c r="AP391" s="421"/>
      <c r="AQ391" s="421"/>
      <c r="AR391" s="421"/>
      <c r="AS391" s="421"/>
      <c r="AT391" s="421"/>
      <c r="AU391" s="421"/>
      <c r="AV391" s="421"/>
      <c r="AW391" s="421"/>
      <c r="AX391" s="421"/>
      <c r="AY391" s="421"/>
      <c r="AZ391" s="421"/>
      <c r="BA391" s="421"/>
    </row>
    <row r="392">
      <c r="A392" s="421"/>
      <c r="B392" s="421"/>
      <c r="C392" s="268"/>
      <c r="D392" s="431"/>
      <c r="E392" s="276"/>
      <c r="F392" s="265"/>
      <c r="G392" s="265"/>
      <c r="H392" s="432"/>
      <c r="I392" s="432"/>
      <c r="J392" s="283"/>
      <c r="K392" s="276"/>
      <c r="L392" s="417" t="str">
        <f t="shared" si="1"/>
        <v/>
      </c>
      <c r="M392" s="425"/>
      <c r="N392" s="426"/>
      <c r="O392" s="427"/>
      <c r="P392" s="425"/>
      <c r="Q392" s="425"/>
      <c r="R392" s="425"/>
      <c r="S392" s="421"/>
      <c r="T392" s="421"/>
      <c r="U392" s="421"/>
      <c r="V392" s="421"/>
      <c r="W392" s="421"/>
      <c r="X392" s="425"/>
      <c r="Y392" s="421"/>
      <c r="Z392" s="421"/>
      <c r="AA392" s="421"/>
      <c r="AB392" s="421"/>
      <c r="AC392" s="421"/>
      <c r="AD392" s="421"/>
      <c r="AE392" s="421"/>
      <c r="AF392" s="421"/>
      <c r="AG392" s="421"/>
      <c r="AH392" s="421"/>
      <c r="AI392" s="421"/>
      <c r="AJ392" s="421"/>
      <c r="AK392" s="421"/>
      <c r="AL392" s="421"/>
      <c r="AM392" s="421"/>
      <c r="AN392" s="421"/>
      <c r="AO392" s="421"/>
      <c r="AP392" s="421"/>
      <c r="AQ392" s="421"/>
      <c r="AR392" s="421"/>
      <c r="AS392" s="421"/>
      <c r="AT392" s="421"/>
      <c r="AU392" s="421"/>
      <c r="AV392" s="421"/>
      <c r="AW392" s="421"/>
      <c r="AX392" s="421"/>
      <c r="AY392" s="421"/>
      <c r="AZ392" s="421"/>
      <c r="BA392" s="421"/>
    </row>
    <row r="393">
      <c r="A393" s="421"/>
      <c r="B393" s="421"/>
      <c r="C393" s="268"/>
      <c r="D393" s="431"/>
      <c r="E393" s="276"/>
      <c r="F393" s="265"/>
      <c r="G393" s="265"/>
      <c r="H393" s="432"/>
      <c r="I393" s="432"/>
      <c r="J393" s="283"/>
      <c r="K393" s="276"/>
      <c r="L393" s="417" t="str">
        <f t="shared" si="1"/>
        <v/>
      </c>
      <c r="M393" s="425"/>
      <c r="N393" s="426"/>
      <c r="O393" s="427"/>
      <c r="P393" s="425"/>
      <c r="Q393" s="425"/>
      <c r="R393" s="425"/>
      <c r="S393" s="421"/>
      <c r="T393" s="421"/>
      <c r="U393" s="421"/>
      <c r="V393" s="421"/>
      <c r="W393" s="421"/>
      <c r="X393" s="425"/>
      <c r="Y393" s="421"/>
      <c r="Z393" s="421"/>
      <c r="AA393" s="421"/>
      <c r="AB393" s="421"/>
      <c r="AC393" s="421"/>
      <c r="AD393" s="421"/>
      <c r="AE393" s="421"/>
      <c r="AF393" s="421"/>
      <c r="AG393" s="421"/>
      <c r="AH393" s="421"/>
      <c r="AI393" s="421"/>
      <c r="AJ393" s="421"/>
      <c r="AK393" s="421"/>
      <c r="AL393" s="421"/>
      <c r="AM393" s="421"/>
      <c r="AN393" s="421"/>
      <c r="AO393" s="421"/>
      <c r="AP393" s="421"/>
      <c r="AQ393" s="421"/>
      <c r="AR393" s="421"/>
      <c r="AS393" s="421"/>
      <c r="AT393" s="421"/>
      <c r="AU393" s="421"/>
      <c r="AV393" s="421"/>
      <c r="AW393" s="421"/>
      <c r="AX393" s="421"/>
      <c r="AY393" s="421"/>
      <c r="AZ393" s="421"/>
      <c r="BA393" s="421"/>
    </row>
    <row r="394">
      <c r="A394" s="421"/>
      <c r="B394" s="421"/>
      <c r="C394" s="268"/>
      <c r="D394" s="431"/>
      <c r="E394" s="276"/>
      <c r="F394" s="265"/>
      <c r="G394" s="265"/>
      <c r="H394" s="432"/>
      <c r="I394" s="432"/>
      <c r="J394" s="283"/>
      <c r="K394" s="276"/>
      <c r="L394" s="417" t="str">
        <f t="shared" si="1"/>
        <v/>
      </c>
      <c r="M394" s="425"/>
      <c r="N394" s="426"/>
      <c r="O394" s="427"/>
      <c r="P394" s="425"/>
      <c r="Q394" s="425"/>
      <c r="R394" s="425"/>
      <c r="S394" s="421"/>
      <c r="T394" s="421"/>
      <c r="U394" s="421"/>
      <c r="V394" s="421"/>
      <c r="W394" s="421"/>
      <c r="X394" s="425"/>
      <c r="Y394" s="421"/>
      <c r="Z394" s="421"/>
      <c r="AA394" s="421"/>
      <c r="AB394" s="421"/>
      <c r="AC394" s="421"/>
      <c r="AD394" s="421"/>
      <c r="AE394" s="421"/>
      <c r="AF394" s="421"/>
      <c r="AG394" s="421"/>
      <c r="AH394" s="421"/>
      <c r="AI394" s="421"/>
      <c r="AJ394" s="421"/>
      <c r="AK394" s="421"/>
      <c r="AL394" s="421"/>
      <c r="AM394" s="421"/>
      <c r="AN394" s="421"/>
      <c r="AO394" s="421"/>
      <c r="AP394" s="421"/>
      <c r="AQ394" s="421"/>
      <c r="AR394" s="421"/>
      <c r="AS394" s="421"/>
      <c r="AT394" s="421"/>
      <c r="AU394" s="421"/>
      <c r="AV394" s="421"/>
      <c r="AW394" s="421"/>
      <c r="AX394" s="421"/>
      <c r="AY394" s="421"/>
      <c r="AZ394" s="421"/>
      <c r="BA394" s="421"/>
    </row>
    <row r="395">
      <c r="A395" s="421"/>
      <c r="B395" s="421"/>
      <c r="C395" s="268"/>
      <c r="D395" s="431"/>
      <c r="E395" s="276"/>
      <c r="F395" s="265"/>
      <c r="G395" s="265"/>
      <c r="H395" s="432"/>
      <c r="I395" s="432"/>
      <c r="J395" s="283"/>
      <c r="K395" s="276"/>
      <c r="L395" s="417" t="str">
        <f t="shared" si="1"/>
        <v/>
      </c>
      <c r="M395" s="425"/>
      <c r="N395" s="426"/>
      <c r="O395" s="427"/>
      <c r="P395" s="425"/>
      <c r="Q395" s="425"/>
      <c r="R395" s="425"/>
      <c r="S395" s="421"/>
      <c r="T395" s="421"/>
      <c r="U395" s="421"/>
      <c r="V395" s="421"/>
      <c r="W395" s="421"/>
      <c r="X395" s="425"/>
      <c r="Y395" s="421"/>
      <c r="Z395" s="421"/>
      <c r="AA395" s="421"/>
      <c r="AB395" s="421"/>
      <c r="AC395" s="421"/>
      <c r="AD395" s="421"/>
      <c r="AE395" s="421"/>
      <c r="AF395" s="421"/>
      <c r="AG395" s="421"/>
      <c r="AH395" s="421"/>
      <c r="AI395" s="421"/>
      <c r="AJ395" s="421"/>
      <c r="AK395" s="421"/>
      <c r="AL395" s="421"/>
      <c r="AM395" s="421"/>
      <c r="AN395" s="421"/>
      <c r="AO395" s="421"/>
      <c r="AP395" s="421"/>
      <c r="AQ395" s="421"/>
      <c r="AR395" s="421"/>
      <c r="AS395" s="421"/>
      <c r="AT395" s="421"/>
      <c r="AU395" s="421"/>
      <c r="AV395" s="421"/>
      <c r="AW395" s="421"/>
      <c r="AX395" s="421"/>
      <c r="AY395" s="421"/>
      <c r="AZ395" s="421"/>
      <c r="BA395" s="421"/>
    </row>
    <row r="396">
      <c r="A396" s="421"/>
      <c r="B396" s="421"/>
      <c r="C396" s="268"/>
      <c r="D396" s="431"/>
      <c r="E396" s="276"/>
      <c r="F396" s="265"/>
      <c r="G396" s="265"/>
      <c r="H396" s="432"/>
      <c r="I396" s="432"/>
      <c r="J396" s="283"/>
      <c r="K396" s="276"/>
      <c r="L396" s="417" t="str">
        <f t="shared" si="1"/>
        <v/>
      </c>
      <c r="M396" s="425"/>
      <c r="N396" s="426"/>
      <c r="O396" s="427"/>
      <c r="P396" s="425"/>
      <c r="Q396" s="425"/>
      <c r="R396" s="425"/>
      <c r="S396" s="421"/>
      <c r="T396" s="421"/>
      <c r="U396" s="421"/>
      <c r="V396" s="421"/>
      <c r="W396" s="421"/>
      <c r="X396" s="425"/>
      <c r="Y396" s="421"/>
      <c r="Z396" s="421"/>
      <c r="AA396" s="421"/>
      <c r="AB396" s="421"/>
      <c r="AC396" s="421"/>
      <c r="AD396" s="421"/>
      <c r="AE396" s="421"/>
      <c r="AF396" s="421"/>
      <c r="AG396" s="421"/>
      <c r="AH396" s="421"/>
      <c r="AI396" s="421"/>
      <c r="AJ396" s="421"/>
      <c r="AK396" s="421"/>
      <c r="AL396" s="421"/>
      <c r="AM396" s="421"/>
      <c r="AN396" s="421"/>
      <c r="AO396" s="421"/>
      <c r="AP396" s="421"/>
      <c r="AQ396" s="421"/>
      <c r="AR396" s="421"/>
      <c r="AS396" s="421"/>
      <c r="AT396" s="421"/>
      <c r="AU396" s="421"/>
      <c r="AV396" s="421"/>
      <c r="AW396" s="421"/>
      <c r="AX396" s="421"/>
      <c r="AY396" s="421"/>
      <c r="AZ396" s="421"/>
      <c r="BA396" s="421"/>
    </row>
    <row r="397">
      <c r="A397" s="421"/>
      <c r="B397" s="421"/>
      <c r="C397" s="268"/>
      <c r="D397" s="431"/>
      <c r="E397" s="276"/>
      <c r="F397" s="265"/>
      <c r="G397" s="265"/>
      <c r="H397" s="432"/>
      <c r="I397" s="432"/>
      <c r="J397" s="283"/>
      <c r="K397" s="276"/>
      <c r="L397" s="417" t="str">
        <f t="shared" si="1"/>
        <v/>
      </c>
      <c r="M397" s="425"/>
      <c r="N397" s="426"/>
      <c r="O397" s="427"/>
      <c r="P397" s="425"/>
      <c r="Q397" s="425"/>
      <c r="R397" s="425"/>
      <c r="S397" s="421"/>
      <c r="T397" s="421"/>
      <c r="U397" s="421"/>
      <c r="V397" s="421"/>
      <c r="W397" s="421"/>
      <c r="X397" s="425"/>
      <c r="Y397" s="421"/>
      <c r="Z397" s="421"/>
      <c r="AA397" s="421"/>
      <c r="AB397" s="421"/>
      <c r="AC397" s="421"/>
      <c r="AD397" s="421"/>
      <c r="AE397" s="421"/>
      <c r="AF397" s="421"/>
      <c r="AG397" s="421"/>
      <c r="AH397" s="421"/>
      <c r="AI397" s="421"/>
      <c r="AJ397" s="421"/>
      <c r="AK397" s="421"/>
      <c r="AL397" s="421"/>
      <c r="AM397" s="421"/>
      <c r="AN397" s="421"/>
      <c r="AO397" s="421"/>
      <c r="AP397" s="421"/>
      <c r="AQ397" s="421"/>
      <c r="AR397" s="421"/>
      <c r="AS397" s="421"/>
      <c r="AT397" s="421"/>
      <c r="AU397" s="421"/>
      <c r="AV397" s="421"/>
      <c r="AW397" s="421"/>
      <c r="AX397" s="421"/>
      <c r="AY397" s="421"/>
      <c r="AZ397" s="421"/>
      <c r="BA397" s="421"/>
    </row>
    <row r="398">
      <c r="A398" s="421"/>
      <c r="B398" s="421"/>
      <c r="C398" s="268"/>
      <c r="D398" s="431"/>
      <c r="E398" s="276"/>
      <c r="F398" s="265"/>
      <c r="G398" s="265"/>
      <c r="H398" s="432"/>
      <c r="I398" s="432"/>
      <c r="J398" s="283"/>
      <c r="K398" s="276"/>
      <c r="L398" s="417" t="str">
        <f t="shared" si="1"/>
        <v/>
      </c>
      <c r="M398" s="425"/>
      <c r="N398" s="426"/>
      <c r="O398" s="427"/>
      <c r="P398" s="425"/>
      <c r="Q398" s="425"/>
      <c r="R398" s="425"/>
      <c r="S398" s="421"/>
      <c r="T398" s="421"/>
      <c r="U398" s="421"/>
      <c r="V398" s="421"/>
      <c r="W398" s="421"/>
      <c r="X398" s="425"/>
      <c r="Y398" s="421"/>
      <c r="Z398" s="421"/>
      <c r="AA398" s="421"/>
      <c r="AB398" s="421"/>
      <c r="AC398" s="421"/>
      <c r="AD398" s="421"/>
      <c r="AE398" s="421"/>
      <c r="AF398" s="421"/>
      <c r="AG398" s="421"/>
      <c r="AH398" s="421"/>
      <c r="AI398" s="421"/>
      <c r="AJ398" s="421"/>
      <c r="AK398" s="421"/>
      <c r="AL398" s="421"/>
      <c r="AM398" s="421"/>
      <c r="AN398" s="421"/>
      <c r="AO398" s="421"/>
      <c r="AP398" s="421"/>
      <c r="AQ398" s="421"/>
      <c r="AR398" s="421"/>
      <c r="AS398" s="421"/>
      <c r="AT398" s="421"/>
      <c r="AU398" s="421"/>
      <c r="AV398" s="421"/>
      <c r="AW398" s="421"/>
      <c r="AX398" s="421"/>
      <c r="AY398" s="421"/>
      <c r="AZ398" s="421"/>
      <c r="BA398" s="421"/>
    </row>
    <row r="399">
      <c r="A399" s="421"/>
      <c r="B399" s="421"/>
      <c r="C399" s="268"/>
      <c r="D399" s="431"/>
      <c r="E399" s="276"/>
      <c r="F399" s="265"/>
      <c r="G399" s="265"/>
      <c r="H399" s="432"/>
      <c r="I399" s="432"/>
      <c r="J399" s="283"/>
      <c r="K399" s="276"/>
      <c r="L399" s="417" t="str">
        <f t="shared" si="1"/>
        <v/>
      </c>
      <c r="M399" s="425"/>
      <c r="N399" s="426"/>
      <c r="O399" s="427"/>
      <c r="P399" s="425"/>
      <c r="Q399" s="425"/>
      <c r="R399" s="425"/>
      <c r="S399" s="421"/>
      <c r="T399" s="421"/>
      <c r="U399" s="421"/>
      <c r="V399" s="421"/>
      <c r="W399" s="421"/>
      <c r="X399" s="425"/>
      <c r="Y399" s="421"/>
      <c r="Z399" s="421"/>
      <c r="AA399" s="421"/>
      <c r="AB399" s="421"/>
      <c r="AC399" s="421"/>
      <c r="AD399" s="421"/>
      <c r="AE399" s="421"/>
      <c r="AF399" s="421"/>
      <c r="AG399" s="421"/>
      <c r="AH399" s="421"/>
      <c r="AI399" s="421"/>
      <c r="AJ399" s="421"/>
      <c r="AK399" s="421"/>
      <c r="AL399" s="421"/>
      <c r="AM399" s="421"/>
      <c r="AN399" s="421"/>
      <c r="AO399" s="421"/>
      <c r="AP399" s="421"/>
      <c r="AQ399" s="421"/>
      <c r="AR399" s="421"/>
      <c r="AS399" s="421"/>
      <c r="AT399" s="421"/>
      <c r="AU399" s="421"/>
      <c r="AV399" s="421"/>
      <c r="AW399" s="421"/>
      <c r="AX399" s="421"/>
      <c r="AY399" s="421"/>
      <c r="AZ399" s="421"/>
      <c r="BA399" s="421"/>
    </row>
  </sheetData>
  <autoFilter ref="$A$10:$BA$399"/>
  <conditionalFormatting sqref="I9">
    <cfRule type="expression" dxfId="10" priority="1">
      <formula>$N$9="&lt;&lt; Откройте доступ ошибка"</formula>
    </cfRule>
  </conditionalFormatting>
  <dataValidations>
    <dataValidation type="list" allowBlank="1" sqref="D11:D399">
      <formula1>'5-1 Сбор КП Закупки'!$D$11:$D399</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Right="0"/>
  </sheetPr>
  <sheetViews>
    <sheetView workbookViewId="0">
      <pane xSplit="9.0" topLeftCell="J1" activePane="topRight" state="frozen"/>
      <selection activeCell="K2" sqref="K2" pane="topRight"/>
    </sheetView>
  </sheetViews>
  <sheetFormatPr customHeight="1" defaultColWidth="12.63" defaultRowHeight="15.75" outlineLevelRow="1"/>
  <cols>
    <col customWidth="1" min="1" max="1" width="2.63"/>
    <col customWidth="1" min="2" max="2" width="15.75" outlineLevel="1"/>
    <col customWidth="1" hidden="1" min="3" max="3" width="7.0"/>
    <col customWidth="1" min="4" max="4" width="3.0"/>
    <col customWidth="1" min="5" max="5" width="22.5" outlineLevel="1"/>
    <col collapsed="1" customWidth="1" min="6" max="6" width="21.0"/>
    <col customWidth="1" hidden="1" min="7" max="7" width="15.75" outlineLevel="1"/>
    <col customWidth="1" hidden="1" min="8" max="8" width="18.88" outlineLevel="1"/>
    <col customWidth="1" hidden="1" min="9" max="9" width="24.88" outlineLevel="1"/>
    <col collapsed="1" customWidth="1" min="10" max="10" width="9.13"/>
    <col customWidth="1" hidden="1" min="11" max="11" width="4.38" outlineLevel="1"/>
    <col customWidth="1" hidden="1" min="12" max="12" width="3.88" outlineLevel="1"/>
    <col customWidth="1" hidden="1" min="13" max="13" width="7.63" outlineLevel="1"/>
    <col customWidth="1" hidden="1" min="14" max="14" width="8.0" outlineLevel="1"/>
    <col customWidth="1" hidden="1" min="15" max="15" width="4.38" outlineLevel="1"/>
    <col customWidth="1" min="16" max="16" width="12.63"/>
    <col customWidth="1" min="17" max="17" width="12.0"/>
    <col customWidth="1" hidden="1" min="18" max="18" width="1.88"/>
    <col customWidth="1" min="19" max="19" width="13.25"/>
    <col customWidth="1" hidden="1" min="20" max="20" width="10.5"/>
    <col customWidth="1" hidden="1" min="21" max="21" width="2.0"/>
    <col customWidth="1" hidden="1" min="22" max="22" width="11.63"/>
    <col customWidth="1" min="23" max="23" width="7.88"/>
    <col customWidth="1" hidden="1" min="24" max="24" width="3.38"/>
    <col customWidth="1" hidden="1" min="25" max="25" width="13.38"/>
    <col customWidth="1" hidden="1" min="26" max="26" width="8.0"/>
    <col customWidth="1" min="27" max="27" width="11.88"/>
    <col customWidth="1" min="28" max="28" width="7.5"/>
    <col customWidth="1" min="29" max="29" width="7.25"/>
    <col customWidth="1" hidden="1" min="30" max="30" width="2.75"/>
    <col customWidth="1" hidden="1" min="31" max="31" width="2.88"/>
    <col customWidth="1" min="32" max="32" width="7.88"/>
    <col customWidth="1" hidden="1" min="33" max="33" width="2.75" outlineLevel="1"/>
    <col customWidth="1" min="34" max="34" width="12.0" outlineLevel="1"/>
    <col customWidth="1" hidden="1" min="35" max="35" width="2.75" outlineLevel="1"/>
    <col customWidth="1" min="36" max="36" width="13.25" outlineLevel="1"/>
    <col customWidth="1" hidden="1" min="37" max="37" width="2.75" outlineLevel="1"/>
    <col customWidth="1" min="38" max="38" width="13.25" outlineLevel="1"/>
    <col customWidth="1" hidden="1" min="39" max="39" width="2.75" outlineLevel="1"/>
    <col customWidth="1" min="40" max="40" width="4.13" outlineLevel="1"/>
    <col customWidth="1" hidden="1" min="41" max="41" width="2.63" outlineLevel="1"/>
    <col customWidth="1" min="42" max="42" width="13.25" outlineLevel="1"/>
    <col customWidth="1" hidden="1" min="43" max="45" width="2.63" outlineLevel="1"/>
    <col customWidth="1" hidden="1" min="46" max="46" width="2.63"/>
    <col customWidth="1" min="47" max="47" width="7.88"/>
    <col customWidth="1" hidden="1" min="48" max="48" width="2.63" outlineLevel="1"/>
    <col customWidth="1" min="49" max="49" width="12.0" outlineLevel="1"/>
    <col customWidth="1" hidden="1" min="50" max="50" width="2.63" outlineLevel="1"/>
    <col customWidth="1" min="51" max="51" width="13.25" outlineLevel="1"/>
    <col customWidth="1" hidden="1" min="52" max="52" width="2.63" outlineLevel="1"/>
    <col customWidth="1" min="53" max="53" width="13.25" outlineLevel="1"/>
    <col customWidth="1" hidden="1" min="54" max="54" width="2.63" outlineLevel="1"/>
    <col customWidth="1" min="55" max="55" width="4.13" outlineLevel="1"/>
    <col customWidth="1" hidden="1" min="56" max="56" width="2.63" outlineLevel="1"/>
    <col customWidth="1" min="57" max="57" width="13.25" outlineLevel="1"/>
    <col customWidth="1" hidden="1" min="58" max="60" width="2.63" outlineLevel="1"/>
    <col customWidth="1" hidden="1" min="61" max="61" width="2.63"/>
    <col customWidth="1" min="62" max="62" width="7.88"/>
    <col customWidth="1" hidden="1" min="63" max="63" width="2.63" outlineLevel="1"/>
    <col customWidth="1" min="64" max="64" width="12.0" outlineLevel="1"/>
    <col customWidth="1" hidden="1" min="65" max="65" width="2.63" outlineLevel="1"/>
    <col customWidth="1" min="66" max="66" width="13.25" outlineLevel="1"/>
    <col customWidth="1" hidden="1" min="67" max="67" width="2.63" outlineLevel="1"/>
    <col customWidth="1" min="68" max="68" width="13.25" outlineLevel="1"/>
    <col customWidth="1" hidden="1" min="69" max="69" width="2.63" outlineLevel="1"/>
    <col customWidth="1" min="70" max="70" width="4.13" outlineLevel="1"/>
    <col customWidth="1" hidden="1" min="71" max="71" width="2.63" outlineLevel="1"/>
    <col customWidth="1" min="72" max="72" width="13.25" outlineLevel="1"/>
    <col customWidth="1" hidden="1" min="73" max="75" width="2.63" outlineLevel="1"/>
    <col customWidth="1" hidden="1" min="76" max="76" width="2.63"/>
    <col customWidth="1" min="77" max="77" width="7.88"/>
    <col customWidth="1" hidden="1" min="78" max="78" width="2.63" outlineLevel="1"/>
    <col customWidth="1" min="79" max="79" width="12.0" outlineLevel="1"/>
    <col customWidth="1" hidden="1" min="80" max="80" width="2.63" outlineLevel="1"/>
    <col customWidth="1" min="81" max="81" width="13.25" outlineLevel="1"/>
    <col customWidth="1" hidden="1" min="82" max="82" width="2.63" outlineLevel="1"/>
    <col customWidth="1" min="83" max="83" width="13.25" outlineLevel="1"/>
    <col customWidth="1" hidden="1" min="84" max="84" width="2.63" outlineLevel="1"/>
    <col customWidth="1" min="85" max="85" width="4.13" outlineLevel="1"/>
    <col customWidth="1" hidden="1" min="86" max="86" width="2.63" outlineLevel="1"/>
    <col customWidth="1" min="87" max="87" width="13.25" outlineLevel="1"/>
    <col customWidth="1" hidden="1" min="88" max="90" width="2.63" outlineLevel="1"/>
    <col customWidth="1" hidden="1" min="91" max="91" width="2.63"/>
    <col customWidth="1" min="92" max="92" width="7.88"/>
    <col customWidth="1" hidden="1" min="93" max="93" width="2.63" outlineLevel="1"/>
    <col customWidth="1" min="94" max="94" width="12.0" outlineLevel="1"/>
    <col customWidth="1" hidden="1" min="95" max="95" width="2.63" outlineLevel="1"/>
    <col customWidth="1" min="96" max="96" width="13.25" outlineLevel="1"/>
    <col customWidth="1" hidden="1" min="97" max="97" width="2.63" outlineLevel="1"/>
    <col customWidth="1" min="98" max="98" width="13.25" outlineLevel="1"/>
    <col customWidth="1" hidden="1" min="99" max="99" width="2.63" outlineLevel="1"/>
    <col customWidth="1" min="100" max="100" width="4.13" outlineLevel="1"/>
    <col customWidth="1" hidden="1" min="101" max="101" width="2.63" outlineLevel="1"/>
    <col customWidth="1" min="102" max="102" width="13.25" outlineLevel="1"/>
    <col customWidth="1" hidden="1" min="103" max="103" width="2.63" outlineLevel="1"/>
    <col customWidth="1" hidden="1" min="104" max="105" width="3.13" outlineLevel="1"/>
    <col customWidth="1" hidden="1" min="106" max="106" width="3.13"/>
    <col customWidth="1" min="107" max="107" width="7.88"/>
    <col customWidth="1" hidden="1" min="108" max="108" width="3.13" outlineLevel="1"/>
    <col customWidth="1" min="109" max="109" width="12.0" outlineLevel="1"/>
    <col customWidth="1" hidden="1" min="110" max="110" width="3.13" outlineLevel="1"/>
    <col customWidth="1" min="111" max="111" width="13.25" outlineLevel="1"/>
    <col customWidth="1" hidden="1" min="112" max="112" width="3.13" outlineLevel="1"/>
    <col customWidth="1" min="113" max="113" width="13.25" outlineLevel="1"/>
    <col customWidth="1" hidden="1" min="114" max="114" width="3.13" outlineLevel="1"/>
    <col customWidth="1" min="115" max="115" width="4.13" outlineLevel="1"/>
    <col customWidth="1" hidden="1" min="116" max="116" width="3.13" outlineLevel="1"/>
    <col customWidth="1" min="117" max="117" width="13.25" outlineLevel="1"/>
    <col customWidth="1" hidden="1" min="118" max="120" width="3.13" outlineLevel="1"/>
    <col customWidth="1" hidden="1" min="121" max="121" width="3.13"/>
    <col customWidth="1" min="122" max="122" width="7.88"/>
    <col customWidth="1" hidden="1" min="123" max="123" width="2.38" outlineLevel="1"/>
    <col customWidth="1" min="124" max="124" width="12.0" outlineLevel="1"/>
    <col customWidth="1" hidden="1" min="125" max="125" width="2.38" outlineLevel="1"/>
    <col customWidth="1" min="126" max="126" width="13.25" outlineLevel="1"/>
    <col customWidth="1" hidden="1" min="127" max="127" width="2.38" outlineLevel="1"/>
    <col customWidth="1" min="128" max="128" width="13.25" outlineLevel="1"/>
    <col customWidth="1" hidden="1" min="129" max="129" width="2.38" outlineLevel="1"/>
    <col customWidth="1" min="130" max="130" width="4.13" outlineLevel="1"/>
    <col customWidth="1" hidden="1" min="131" max="131" width="2.38" outlineLevel="1"/>
    <col customWidth="1" min="132" max="132" width="13.25" outlineLevel="1"/>
    <col customWidth="1" hidden="1" min="133" max="135" width="2.38" outlineLevel="1"/>
  </cols>
  <sheetData>
    <row r="1" hidden="1" outlineLevel="1">
      <c r="A1" s="151"/>
      <c r="B1" s="151"/>
      <c r="C1" s="446" t="s">
        <v>0</v>
      </c>
      <c r="D1" s="151"/>
      <c r="E1" s="149"/>
      <c r="F1" s="149"/>
      <c r="G1" s="149"/>
      <c r="H1" s="151"/>
      <c r="I1" s="281"/>
      <c r="J1" s="151"/>
      <c r="K1" s="447"/>
      <c r="L1" s="151"/>
      <c r="M1" s="151"/>
      <c r="N1" s="151"/>
      <c r="O1" s="151"/>
      <c r="P1" s="286"/>
      <c r="Q1" s="149"/>
      <c r="R1" s="151"/>
      <c r="S1" s="151"/>
      <c r="T1" s="151"/>
      <c r="U1" s="151"/>
      <c r="V1" s="151"/>
      <c r="W1" s="151"/>
      <c r="X1" s="151"/>
      <c r="Y1" s="151"/>
      <c r="Z1" s="151"/>
      <c r="AA1" s="151"/>
      <c r="AB1" s="151"/>
      <c r="AC1" s="151"/>
      <c r="AD1" s="151"/>
      <c r="AE1" s="448"/>
      <c r="AF1" s="448"/>
      <c r="AG1" s="448"/>
      <c r="AH1" s="448"/>
      <c r="AI1" s="448"/>
      <c r="AJ1" s="448"/>
      <c r="AK1" s="448"/>
      <c r="AL1" s="448"/>
      <c r="AM1" s="448"/>
      <c r="AN1" s="449"/>
      <c r="AO1" s="448"/>
      <c r="AP1" s="448"/>
      <c r="AQ1" s="448"/>
      <c r="AR1" s="448"/>
      <c r="AS1" s="448"/>
      <c r="AT1" s="450"/>
      <c r="AU1" s="450"/>
      <c r="AV1" s="450"/>
      <c r="AW1" s="450"/>
      <c r="AX1" s="450"/>
      <c r="AY1" s="450"/>
      <c r="AZ1" s="450"/>
      <c r="BA1" s="450"/>
      <c r="BB1" s="450"/>
      <c r="BC1" s="451"/>
      <c r="BD1" s="450"/>
      <c r="BE1" s="450"/>
      <c r="BF1" s="450"/>
      <c r="BG1" s="450"/>
      <c r="BH1" s="450"/>
      <c r="BI1" s="452"/>
      <c r="BJ1" s="452"/>
      <c r="BK1" s="452"/>
      <c r="BL1" s="452"/>
      <c r="BM1" s="452"/>
      <c r="BN1" s="452"/>
      <c r="BO1" s="452"/>
      <c r="BP1" s="452"/>
      <c r="BQ1" s="452"/>
      <c r="BR1" s="453"/>
      <c r="BS1" s="452"/>
      <c r="BT1" s="452"/>
      <c r="BU1" s="452"/>
      <c r="BV1" s="452"/>
      <c r="BW1" s="452"/>
      <c r="BX1" s="454"/>
      <c r="BY1" s="454"/>
      <c r="BZ1" s="454"/>
      <c r="CA1" s="454"/>
      <c r="CB1" s="454"/>
      <c r="CC1" s="454"/>
      <c r="CD1" s="454"/>
      <c r="CE1" s="454"/>
      <c r="CF1" s="454"/>
      <c r="CG1" s="455"/>
      <c r="CH1" s="454"/>
      <c r="CI1" s="454"/>
      <c r="CJ1" s="454"/>
      <c r="CK1" s="454"/>
      <c r="CL1" s="454"/>
      <c r="CM1" s="456"/>
      <c r="CN1" s="456"/>
      <c r="CO1" s="456"/>
      <c r="CP1" s="456"/>
      <c r="CQ1" s="456"/>
      <c r="CR1" s="456"/>
      <c r="CS1" s="456"/>
      <c r="CT1" s="456"/>
      <c r="CU1" s="456"/>
      <c r="CV1" s="457"/>
      <c r="CW1" s="456"/>
      <c r="CX1" s="456"/>
      <c r="CY1" s="456"/>
      <c r="CZ1" s="456"/>
      <c r="DA1" s="456"/>
      <c r="DB1" s="458"/>
      <c r="DC1" s="458"/>
      <c r="DD1" s="458"/>
      <c r="DE1" s="458"/>
      <c r="DF1" s="458"/>
      <c r="DG1" s="458"/>
      <c r="DH1" s="458"/>
      <c r="DI1" s="458"/>
      <c r="DJ1" s="458"/>
      <c r="DK1" s="459"/>
      <c r="DL1" s="458"/>
      <c r="DM1" s="458"/>
      <c r="DN1" s="458"/>
      <c r="DO1" s="458"/>
      <c r="DP1" s="458"/>
      <c r="DQ1" s="460"/>
      <c r="DR1" s="460"/>
      <c r="DS1" s="460"/>
      <c r="DT1" s="460"/>
      <c r="DU1" s="460"/>
      <c r="DV1" s="460"/>
      <c r="DW1" s="460"/>
      <c r="DX1" s="460"/>
      <c r="DY1" s="460"/>
      <c r="DZ1" s="461"/>
      <c r="EA1" s="460"/>
      <c r="EB1" s="460"/>
      <c r="EC1" s="460"/>
      <c r="ED1" s="460"/>
      <c r="EE1" s="460"/>
    </row>
    <row r="2" hidden="1" outlineLevel="1">
      <c r="A2" s="144" t="s">
        <v>5</v>
      </c>
      <c r="B2" s="144" t="s">
        <v>6</v>
      </c>
      <c r="C2" s="462" t="s">
        <v>7</v>
      </c>
      <c r="D2" s="151" t="s">
        <v>2</v>
      </c>
      <c r="E2" s="149" t="s">
        <v>8</v>
      </c>
      <c r="F2" s="157" t="s">
        <v>17</v>
      </c>
      <c r="G2" s="157" t="s">
        <v>20</v>
      </c>
      <c r="H2" s="147" t="s">
        <v>10</v>
      </c>
      <c r="I2" s="297" t="s">
        <v>235</v>
      </c>
      <c r="J2" s="151" t="s">
        <v>436</v>
      </c>
      <c r="K2" s="447" t="s">
        <v>12</v>
      </c>
      <c r="L2" s="151" t="s">
        <v>13</v>
      </c>
      <c r="M2" s="151" t="s">
        <v>56</v>
      </c>
      <c r="N2" s="151" t="s">
        <v>542</v>
      </c>
      <c r="O2" s="151" t="s">
        <v>543</v>
      </c>
      <c r="P2" s="299" t="s">
        <v>24</v>
      </c>
      <c r="Q2" s="149" t="s">
        <v>544</v>
      </c>
      <c r="R2" s="147" t="s">
        <v>545</v>
      </c>
      <c r="S2" s="151" t="s">
        <v>546</v>
      </c>
      <c r="T2" s="151" t="s">
        <v>547</v>
      </c>
      <c r="U2" s="147" t="s">
        <v>548</v>
      </c>
      <c r="V2" s="151" t="s">
        <v>549</v>
      </c>
      <c r="W2" s="151" t="s">
        <v>16</v>
      </c>
      <c r="X2" s="151" t="s">
        <v>550</v>
      </c>
      <c r="Y2" s="151" t="s">
        <v>551</v>
      </c>
      <c r="Z2" s="151" t="s">
        <v>552</v>
      </c>
      <c r="AA2" s="151" t="s">
        <v>212</v>
      </c>
      <c r="AB2" s="151" t="s">
        <v>553</v>
      </c>
      <c r="AC2" s="151" t="s">
        <v>554</v>
      </c>
      <c r="AD2" s="242" t="str">
        <f>IFERROR(__xludf.DUMMYFUNCTION("{""БлокТопНачало"",LAMBDA(имена,MAKEARRAY(1,7*15,LAMBDA(ri,ci, ""Топ"" &amp;  CHAR(65+ INT( (ci-1)/15))&amp;""."" &amp; IFERROR( VLOOKUP( MOD((ci-1),15),имена,2,FALSE),))))
(
LAMBDA(theSre,SCAN(-1,TRANSPOSE( Split(theSre,CHAR(32),FALSE)),LAMBDA(t,v,{t+1,v})))
(""Цена"&amp;".Ф Цена.З Постовшик.Ф Постовшик.З ЛистИПредложение.Ф ЛистИПредложение.З Комментарий.Ф Комментарий.З Срок.Ф Срок.З Эксперт.Ф Эксперт.З Свободно_3 Свободно_4 Свободно_5"")
)}"),"БлокТопНачало")</f>
        <v>БлокТопНачало</v>
      </c>
      <c r="AE2" s="463" t="str">
        <f>IFERROR(__xludf.DUMMYFUNCTION("""COMPUTED_VALUE"""),"ТопA.Цена.Ф")</f>
        <v>ТопA.Цена.Ф</v>
      </c>
      <c r="AF2" s="448" t="str">
        <f>IFERROR(__xludf.DUMMYFUNCTION("""COMPUTED_VALUE"""),"ТопA.Цена.З")</f>
        <v>ТопA.Цена.З</v>
      </c>
      <c r="AG2" s="463" t="str">
        <f>IFERROR(__xludf.DUMMYFUNCTION("""COMPUTED_VALUE"""),"ТопA.Постовшик.Ф")</f>
        <v>ТопA.Постовшик.Ф</v>
      </c>
      <c r="AH2" s="448" t="str">
        <f>IFERROR(__xludf.DUMMYFUNCTION("""COMPUTED_VALUE"""),"ТопA.Постовшик.З")</f>
        <v>ТопA.Постовшик.З</v>
      </c>
      <c r="AI2" s="463" t="str">
        <f>IFERROR(__xludf.DUMMYFUNCTION("""COMPUTED_VALUE"""),"ТопA.ЛистИПредложение.Ф")</f>
        <v>ТопA.ЛистИПредложение.Ф</v>
      </c>
      <c r="AJ2" s="448" t="str">
        <f>IFERROR(__xludf.DUMMYFUNCTION("""COMPUTED_VALUE"""),"ТопA.ЛистИПредложение.З")</f>
        <v>ТопA.ЛистИПредложение.З</v>
      </c>
      <c r="AK2" s="463" t="str">
        <f>IFERROR(__xludf.DUMMYFUNCTION("""COMPUTED_VALUE"""),"ТопA.Комментарий.Ф")</f>
        <v>ТопA.Комментарий.Ф</v>
      </c>
      <c r="AL2" s="448" t="str">
        <f>IFERROR(__xludf.DUMMYFUNCTION("""COMPUTED_VALUE"""),"ТопA.Комментарий.З")</f>
        <v>ТопA.Комментарий.З</v>
      </c>
      <c r="AM2" s="463" t="str">
        <f>IFERROR(__xludf.DUMMYFUNCTION("""COMPUTED_VALUE"""),"ТопA.Срок.Ф")</f>
        <v>ТопA.Срок.Ф</v>
      </c>
      <c r="AN2" s="449" t="str">
        <f>IFERROR(__xludf.DUMMYFUNCTION("""COMPUTED_VALUE"""),"ТопA.Срок.З")</f>
        <v>ТопA.Срок.З</v>
      </c>
      <c r="AO2" s="463" t="str">
        <f>IFERROR(__xludf.DUMMYFUNCTION("""COMPUTED_VALUE"""),"ТопA.Эксперт.Ф")</f>
        <v>ТопA.Эксперт.Ф</v>
      </c>
      <c r="AP2" s="448" t="str">
        <f>IFERROR(__xludf.DUMMYFUNCTION("""COMPUTED_VALUE"""),"ТопA.Эксперт.З")</f>
        <v>ТопA.Эксперт.З</v>
      </c>
      <c r="AQ2" s="463" t="str">
        <f>IFERROR(__xludf.DUMMYFUNCTION("""COMPUTED_VALUE"""),"ТопA.Свободно_3")</f>
        <v>ТопA.Свободно_3</v>
      </c>
      <c r="AR2" s="463" t="str">
        <f>IFERROR(__xludf.DUMMYFUNCTION("""COMPUTED_VALUE"""),"ТопA.Свободно_4")</f>
        <v>ТопA.Свободно_4</v>
      </c>
      <c r="AS2" s="463" t="str">
        <f>IFERROR(__xludf.DUMMYFUNCTION("""COMPUTED_VALUE"""),"ТопA.Свободно_5")</f>
        <v>ТопA.Свободно_5</v>
      </c>
      <c r="AT2" s="464" t="str">
        <f>IFERROR(__xludf.DUMMYFUNCTION("""COMPUTED_VALUE"""),"ТопB.Цена.Ф")</f>
        <v>ТопB.Цена.Ф</v>
      </c>
      <c r="AU2" s="450" t="str">
        <f>IFERROR(__xludf.DUMMYFUNCTION("""COMPUTED_VALUE"""),"ТопB.Цена.З")</f>
        <v>ТопB.Цена.З</v>
      </c>
      <c r="AV2" s="464" t="str">
        <f>IFERROR(__xludf.DUMMYFUNCTION("""COMPUTED_VALUE"""),"ТопB.Постовшик.Ф")</f>
        <v>ТопB.Постовшик.Ф</v>
      </c>
      <c r="AW2" s="450" t="str">
        <f>IFERROR(__xludf.DUMMYFUNCTION("""COMPUTED_VALUE"""),"ТопB.Постовшик.З")</f>
        <v>ТопB.Постовшик.З</v>
      </c>
      <c r="AX2" s="464" t="str">
        <f>IFERROR(__xludf.DUMMYFUNCTION("""COMPUTED_VALUE"""),"ТопB.ЛистИПредложение.Ф")</f>
        <v>ТопB.ЛистИПредложение.Ф</v>
      </c>
      <c r="AY2" s="450" t="str">
        <f>IFERROR(__xludf.DUMMYFUNCTION("""COMPUTED_VALUE"""),"ТопB.ЛистИПредложение.З")</f>
        <v>ТопB.ЛистИПредложение.З</v>
      </c>
      <c r="AZ2" s="464" t="str">
        <f>IFERROR(__xludf.DUMMYFUNCTION("""COMPUTED_VALUE"""),"ТопB.Комментарий.Ф")</f>
        <v>ТопB.Комментарий.Ф</v>
      </c>
      <c r="BA2" s="450" t="str">
        <f>IFERROR(__xludf.DUMMYFUNCTION("""COMPUTED_VALUE"""),"ТопB.Комментарий.З")</f>
        <v>ТопB.Комментарий.З</v>
      </c>
      <c r="BB2" s="464" t="str">
        <f>IFERROR(__xludf.DUMMYFUNCTION("""COMPUTED_VALUE"""),"ТопB.Срок.Ф")</f>
        <v>ТопB.Срок.Ф</v>
      </c>
      <c r="BC2" s="451" t="str">
        <f>IFERROR(__xludf.DUMMYFUNCTION("""COMPUTED_VALUE"""),"ТопB.Срок.З")</f>
        <v>ТопB.Срок.З</v>
      </c>
      <c r="BD2" s="464" t="str">
        <f>IFERROR(__xludf.DUMMYFUNCTION("""COMPUTED_VALUE"""),"ТопB.Эксперт.Ф")</f>
        <v>ТопB.Эксперт.Ф</v>
      </c>
      <c r="BE2" s="450" t="str">
        <f>IFERROR(__xludf.DUMMYFUNCTION("""COMPUTED_VALUE"""),"ТопB.Эксперт.З")</f>
        <v>ТопB.Эксперт.З</v>
      </c>
      <c r="BF2" s="464" t="str">
        <f>IFERROR(__xludf.DUMMYFUNCTION("""COMPUTED_VALUE"""),"ТопB.Свободно_3")</f>
        <v>ТопB.Свободно_3</v>
      </c>
      <c r="BG2" s="464" t="str">
        <f>IFERROR(__xludf.DUMMYFUNCTION("""COMPUTED_VALUE"""),"ТопB.Свободно_4")</f>
        <v>ТопB.Свободно_4</v>
      </c>
      <c r="BH2" s="464" t="str">
        <f>IFERROR(__xludf.DUMMYFUNCTION("""COMPUTED_VALUE"""),"ТопB.Свободно_5")</f>
        <v>ТопB.Свободно_5</v>
      </c>
      <c r="BI2" s="465" t="str">
        <f>IFERROR(__xludf.DUMMYFUNCTION("""COMPUTED_VALUE"""),"ТопC.Цена.Ф")</f>
        <v>ТопC.Цена.Ф</v>
      </c>
      <c r="BJ2" s="452" t="str">
        <f>IFERROR(__xludf.DUMMYFUNCTION("""COMPUTED_VALUE"""),"ТопC.Цена.З")</f>
        <v>ТопC.Цена.З</v>
      </c>
      <c r="BK2" s="465" t="str">
        <f>IFERROR(__xludf.DUMMYFUNCTION("""COMPUTED_VALUE"""),"ТопC.Постовшик.Ф")</f>
        <v>ТопC.Постовшик.Ф</v>
      </c>
      <c r="BL2" s="452" t="str">
        <f>IFERROR(__xludf.DUMMYFUNCTION("""COMPUTED_VALUE"""),"ТопC.Постовшик.З")</f>
        <v>ТопC.Постовшик.З</v>
      </c>
      <c r="BM2" s="465" t="str">
        <f>IFERROR(__xludf.DUMMYFUNCTION("""COMPUTED_VALUE"""),"ТопC.ЛистИПредложение.Ф")</f>
        <v>ТопC.ЛистИПредложение.Ф</v>
      </c>
      <c r="BN2" s="452" t="str">
        <f>IFERROR(__xludf.DUMMYFUNCTION("""COMPUTED_VALUE"""),"ТопC.ЛистИПредложение.З")</f>
        <v>ТопC.ЛистИПредложение.З</v>
      </c>
      <c r="BO2" s="465" t="str">
        <f>IFERROR(__xludf.DUMMYFUNCTION("""COMPUTED_VALUE"""),"ТопC.Комментарий.Ф")</f>
        <v>ТопC.Комментарий.Ф</v>
      </c>
      <c r="BP2" s="452" t="str">
        <f>IFERROR(__xludf.DUMMYFUNCTION("""COMPUTED_VALUE"""),"ТопC.Комментарий.З")</f>
        <v>ТопC.Комментарий.З</v>
      </c>
      <c r="BQ2" s="465" t="str">
        <f>IFERROR(__xludf.DUMMYFUNCTION("""COMPUTED_VALUE"""),"ТопC.Срок.Ф")</f>
        <v>ТопC.Срок.Ф</v>
      </c>
      <c r="BR2" s="453" t="str">
        <f>IFERROR(__xludf.DUMMYFUNCTION("""COMPUTED_VALUE"""),"ТопC.Срок.З")</f>
        <v>ТопC.Срок.З</v>
      </c>
      <c r="BS2" s="465" t="str">
        <f>IFERROR(__xludf.DUMMYFUNCTION("""COMPUTED_VALUE"""),"ТопC.Эксперт.Ф")</f>
        <v>ТопC.Эксперт.Ф</v>
      </c>
      <c r="BT2" s="452" t="str">
        <f>IFERROR(__xludf.DUMMYFUNCTION("""COMPUTED_VALUE"""),"ТопC.Эксперт.З")</f>
        <v>ТопC.Эксперт.З</v>
      </c>
      <c r="BU2" s="465" t="str">
        <f>IFERROR(__xludf.DUMMYFUNCTION("""COMPUTED_VALUE"""),"ТопC.Свободно_3")</f>
        <v>ТопC.Свободно_3</v>
      </c>
      <c r="BV2" s="465" t="str">
        <f>IFERROR(__xludf.DUMMYFUNCTION("""COMPUTED_VALUE"""),"ТопC.Свободно_4")</f>
        <v>ТопC.Свободно_4</v>
      </c>
      <c r="BW2" s="465" t="str">
        <f>IFERROR(__xludf.DUMMYFUNCTION("""COMPUTED_VALUE"""),"ТопC.Свободно_5")</f>
        <v>ТопC.Свободно_5</v>
      </c>
      <c r="BX2" s="466" t="str">
        <f>IFERROR(__xludf.DUMMYFUNCTION("""COMPUTED_VALUE"""),"ТопD.Цена.Ф")</f>
        <v>ТопD.Цена.Ф</v>
      </c>
      <c r="BY2" s="454" t="str">
        <f>IFERROR(__xludf.DUMMYFUNCTION("""COMPUTED_VALUE"""),"ТопD.Цена.З")</f>
        <v>ТопD.Цена.З</v>
      </c>
      <c r="BZ2" s="466" t="str">
        <f>IFERROR(__xludf.DUMMYFUNCTION("""COMPUTED_VALUE"""),"ТопD.Постовшик.Ф")</f>
        <v>ТопD.Постовшик.Ф</v>
      </c>
      <c r="CA2" s="454" t="str">
        <f>IFERROR(__xludf.DUMMYFUNCTION("""COMPUTED_VALUE"""),"ТопD.Постовшик.З")</f>
        <v>ТопD.Постовшик.З</v>
      </c>
      <c r="CB2" s="466" t="str">
        <f>IFERROR(__xludf.DUMMYFUNCTION("""COMPUTED_VALUE"""),"ТопD.ЛистИПредложение.Ф")</f>
        <v>ТопD.ЛистИПредложение.Ф</v>
      </c>
      <c r="CC2" s="454" t="str">
        <f>IFERROR(__xludf.DUMMYFUNCTION("""COMPUTED_VALUE"""),"ТопD.ЛистИПредложение.З")</f>
        <v>ТопD.ЛистИПредложение.З</v>
      </c>
      <c r="CD2" s="466" t="str">
        <f>IFERROR(__xludf.DUMMYFUNCTION("""COMPUTED_VALUE"""),"ТопD.Комментарий.Ф")</f>
        <v>ТопD.Комментарий.Ф</v>
      </c>
      <c r="CE2" s="454" t="str">
        <f>IFERROR(__xludf.DUMMYFUNCTION("""COMPUTED_VALUE"""),"ТопD.Комментарий.З")</f>
        <v>ТопD.Комментарий.З</v>
      </c>
      <c r="CF2" s="466" t="str">
        <f>IFERROR(__xludf.DUMMYFUNCTION("""COMPUTED_VALUE"""),"ТопD.Срок.Ф")</f>
        <v>ТопD.Срок.Ф</v>
      </c>
      <c r="CG2" s="455" t="str">
        <f>IFERROR(__xludf.DUMMYFUNCTION("""COMPUTED_VALUE"""),"ТопD.Срок.З")</f>
        <v>ТопD.Срок.З</v>
      </c>
      <c r="CH2" s="466" t="str">
        <f>IFERROR(__xludf.DUMMYFUNCTION("""COMPUTED_VALUE"""),"ТопD.Эксперт.Ф")</f>
        <v>ТопD.Эксперт.Ф</v>
      </c>
      <c r="CI2" s="454" t="str">
        <f>IFERROR(__xludf.DUMMYFUNCTION("""COMPUTED_VALUE"""),"ТопD.Эксперт.З")</f>
        <v>ТопD.Эксперт.З</v>
      </c>
      <c r="CJ2" s="466" t="str">
        <f>IFERROR(__xludf.DUMMYFUNCTION("""COMPUTED_VALUE"""),"ТопD.Свободно_3")</f>
        <v>ТопD.Свободно_3</v>
      </c>
      <c r="CK2" s="466" t="str">
        <f>IFERROR(__xludf.DUMMYFUNCTION("""COMPUTED_VALUE"""),"ТопD.Свободно_4")</f>
        <v>ТопD.Свободно_4</v>
      </c>
      <c r="CL2" s="466" t="str">
        <f>IFERROR(__xludf.DUMMYFUNCTION("""COMPUTED_VALUE"""),"ТопD.Свободно_5")</f>
        <v>ТопD.Свободно_5</v>
      </c>
      <c r="CM2" s="467" t="str">
        <f>IFERROR(__xludf.DUMMYFUNCTION("""COMPUTED_VALUE"""),"ТопE.Цена.Ф")</f>
        <v>ТопE.Цена.Ф</v>
      </c>
      <c r="CN2" s="456" t="str">
        <f>IFERROR(__xludf.DUMMYFUNCTION("""COMPUTED_VALUE"""),"ТопE.Цена.З")</f>
        <v>ТопE.Цена.З</v>
      </c>
      <c r="CO2" s="467" t="str">
        <f>IFERROR(__xludf.DUMMYFUNCTION("""COMPUTED_VALUE"""),"ТопE.Постовшик.Ф")</f>
        <v>ТопE.Постовшик.Ф</v>
      </c>
      <c r="CP2" s="456" t="str">
        <f>IFERROR(__xludf.DUMMYFUNCTION("""COMPUTED_VALUE"""),"ТопE.Постовшик.З")</f>
        <v>ТопE.Постовшик.З</v>
      </c>
      <c r="CQ2" s="467" t="str">
        <f>IFERROR(__xludf.DUMMYFUNCTION("""COMPUTED_VALUE"""),"ТопE.ЛистИПредложение.Ф")</f>
        <v>ТопE.ЛистИПредложение.Ф</v>
      </c>
      <c r="CR2" s="456" t="str">
        <f>IFERROR(__xludf.DUMMYFUNCTION("""COMPUTED_VALUE"""),"ТопE.ЛистИПредложение.З")</f>
        <v>ТопE.ЛистИПредложение.З</v>
      </c>
      <c r="CS2" s="467" t="str">
        <f>IFERROR(__xludf.DUMMYFUNCTION("""COMPUTED_VALUE"""),"ТопE.Комментарий.Ф")</f>
        <v>ТопE.Комментарий.Ф</v>
      </c>
      <c r="CT2" s="456" t="str">
        <f>IFERROR(__xludf.DUMMYFUNCTION("""COMPUTED_VALUE"""),"ТопE.Комментарий.З")</f>
        <v>ТопE.Комментарий.З</v>
      </c>
      <c r="CU2" s="467" t="str">
        <f>IFERROR(__xludf.DUMMYFUNCTION("""COMPUTED_VALUE"""),"ТопE.Срок.Ф")</f>
        <v>ТопE.Срок.Ф</v>
      </c>
      <c r="CV2" s="457" t="str">
        <f>IFERROR(__xludf.DUMMYFUNCTION("""COMPUTED_VALUE"""),"ТопE.Срок.З")</f>
        <v>ТопE.Срок.З</v>
      </c>
      <c r="CW2" s="467" t="str">
        <f>IFERROR(__xludf.DUMMYFUNCTION("""COMPUTED_VALUE"""),"ТопE.Эксперт.Ф")</f>
        <v>ТопE.Эксперт.Ф</v>
      </c>
      <c r="CX2" s="456" t="str">
        <f>IFERROR(__xludf.DUMMYFUNCTION("""COMPUTED_VALUE"""),"ТопE.Эксперт.З")</f>
        <v>ТопE.Эксперт.З</v>
      </c>
      <c r="CY2" s="467" t="str">
        <f>IFERROR(__xludf.DUMMYFUNCTION("""COMPUTED_VALUE"""),"ТопE.Свободно_3")</f>
        <v>ТопE.Свободно_3</v>
      </c>
      <c r="CZ2" s="467" t="str">
        <f>IFERROR(__xludf.DUMMYFUNCTION("""COMPUTED_VALUE"""),"ТопE.Свободно_4")</f>
        <v>ТопE.Свободно_4</v>
      </c>
      <c r="DA2" s="467" t="str">
        <f>IFERROR(__xludf.DUMMYFUNCTION("""COMPUTED_VALUE"""),"ТопE.Свободно_5")</f>
        <v>ТопE.Свободно_5</v>
      </c>
      <c r="DB2" s="212" t="str">
        <f>IFERROR(__xludf.DUMMYFUNCTION("""COMPUTED_VALUE"""),"ТопF.Цена.Ф")</f>
        <v>ТопF.Цена.Ф</v>
      </c>
      <c r="DC2" s="458" t="str">
        <f>IFERROR(__xludf.DUMMYFUNCTION("""COMPUTED_VALUE"""),"ТопF.Цена.З")</f>
        <v>ТопF.Цена.З</v>
      </c>
      <c r="DD2" s="212" t="str">
        <f>IFERROR(__xludf.DUMMYFUNCTION("""COMPUTED_VALUE"""),"ТопF.Постовшик.Ф")</f>
        <v>ТопF.Постовшик.Ф</v>
      </c>
      <c r="DE2" s="458" t="str">
        <f>IFERROR(__xludf.DUMMYFUNCTION("""COMPUTED_VALUE"""),"ТопF.Постовшик.З")</f>
        <v>ТопF.Постовшик.З</v>
      </c>
      <c r="DF2" s="212" t="str">
        <f>IFERROR(__xludf.DUMMYFUNCTION("""COMPUTED_VALUE"""),"ТопF.ЛистИПредложение.Ф")</f>
        <v>ТопF.ЛистИПредложение.Ф</v>
      </c>
      <c r="DG2" s="458" t="str">
        <f>IFERROR(__xludf.DUMMYFUNCTION("""COMPUTED_VALUE"""),"ТопF.ЛистИПредложение.З")</f>
        <v>ТопF.ЛистИПредложение.З</v>
      </c>
      <c r="DH2" s="212" t="str">
        <f>IFERROR(__xludf.DUMMYFUNCTION("""COMPUTED_VALUE"""),"ТопF.Комментарий.Ф")</f>
        <v>ТопF.Комментарий.Ф</v>
      </c>
      <c r="DI2" s="458" t="str">
        <f>IFERROR(__xludf.DUMMYFUNCTION("""COMPUTED_VALUE"""),"ТопF.Комментарий.З")</f>
        <v>ТопF.Комментарий.З</v>
      </c>
      <c r="DJ2" s="212" t="str">
        <f>IFERROR(__xludf.DUMMYFUNCTION("""COMPUTED_VALUE"""),"ТопF.Срок.Ф")</f>
        <v>ТопF.Срок.Ф</v>
      </c>
      <c r="DK2" s="459" t="str">
        <f>IFERROR(__xludf.DUMMYFUNCTION("""COMPUTED_VALUE"""),"ТопF.Срок.З")</f>
        <v>ТопF.Срок.З</v>
      </c>
      <c r="DL2" s="212" t="str">
        <f>IFERROR(__xludf.DUMMYFUNCTION("""COMPUTED_VALUE"""),"ТопF.Эксперт.Ф")</f>
        <v>ТопF.Эксперт.Ф</v>
      </c>
      <c r="DM2" s="458" t="str">
        <f>IFERROR(__xludf.DUMMYFUNCTION("""COMPUTED_VALUE"""),"ТопF.Эксперт.З")</f>
        <v>ТопF.Эксперт.З</v>
      </c>
      <c r="DN2" s="212" t="str">
        <f>IFERROR(__xludf.DUMMYFUNCTION("""COMPUTED_VALUE"""),"ТопF.Свободно_3")</f>
        <v>ТопF.Свободно_3</v>
      </c>
      <c r="DO2" s="212" t="str">
        <f>IFERROR(__xludf.DUMMYFUNCTION("""COMPUTED_VALUE"""),"ТопF.Свободно_4")</f>
        <v>ТопF.Свободно_4</v>
      </c>
      <c r="DP2" s="212" t="str">
        <f>IFERROR(__xludf.DUMMYFUNCTION("""COMPUTED_VALUE"""),"ТопF.Свободно_5")</f>
        <v>ТопF.Свободно_5</v>
      </c>
      <c r="DQ2" s="243" t="str">
        <f>IFERROR(__xludf.DUMMYFUNCTION("""COMPUTED_VALUE"""),"ТопG.Цена.Ф")</f>
        <v>ТопG.Цена.Ф</v>
      </c>
      <c r="DR2" s="460" t="str">
        <f>IFERROR(__xludf.DUMMYFUNCTION("""COMPUTED_VALUE"""),"ТопG.Цена.З")</f>
        <v>ТопG.Цена.З</v>
      </c>
      <c r="DS2" s="243" t="str">
        <f>IFERROR(__xludf.DUMMYFUNCTION("""COMPUTED_VALUE"""),"ТопG.Постовшик.Ф")</f>
        <v>ТопG.Постовшик.Ф</v>
      </c>
      <c r="DT2" s="460" t="str">
        <f>IFERROR(__xludf.DUMMYFUNCTION("""COMPUTED_VALUE"""),"ТопG.Постовшик.З")</f>
        <v>ТопG.Постовшик.З</v>
      </c>
      <c r="DU2" s="243" t="str">
        <f>IFERROR(__xludf.DUMMYFUNCTION("""COMPUTED_VALUE"""),"ТопG.ЛистИПредложение.Ф")</f>
        <v>ТопG.ЛистИПредложение.Ф</v>
      </c>
      <c r="DV2" s="460" t="str">
        <f>IFERROR(__xludf.DUMMYFUNCTION("""COMPUTED_VALUE"""),"ТопG.ЛистИПредложение.З")</f>
        <v>ТопG.ЛистИПредложение.З</v>
      </c>
      <c r="DW2" s="243" t="str">
        <f>IFERROR(__xludf.DUMMYFUNCTION("""COMPUTED_VALUE"""),"ТопG.Комментарий.Ф")</f>
        <v>ТопG.Комментарий.Ф</v>
      </c>
      <c r="DX2" s="460" t="str">
        <f>IFERROR(__xludf.DUMMYFUNCTION("""COMPUTED_VALUE"""),"ТопG.Комментарий.З")</f>
        <v>ТопG.Комментарий.З</v>
      </c>
      <c r="DY2" s="243" t="str">
        <f>IFERROR(__xludf.DUMMYFUNCTION("""COMPUTED_VALUE"""),"ТопG.Срок.Ф")</f>
        <v>ТопG.Срок.Ф</v>
      </c>
      <c r="DZ2" s="461" t="str">
        <f>IFERROR(__xludf.DUMMYFUNCTION("""COMPUTED_VALUE"""),"ТопG.Срок.З")</f>
        <v>ТопG.Срок.З</v>
      </c>
      <c r="EA2" s="243" t="str">
        <f>IFERROR(__xludf.DUMMYFUNCTION("""COMPUTED_VALUE"""),"ТопG.Эксперт.Ф")</f>
        <v>ТопG.Эксперт.Ф</v>
      </c>
      <c r="EB2" s="460" t="str">
        <f>IFERROR(__xludf.DUMMYFUNCTION("""COMPUTED_VALUE"""),"ТопG.Эксперт.З")</f>
        <v>ТопG.Эксперт.З</v>
      </c>
      <c r="EC2" s="243" t="str">
        <f>IFERROR(__xludf.DUMMYFUNCTION("""COMPUTED_VALUE"""),"ТопG.Свободно_3")</f>
        <v>ТопG.Свободно_3</v>
      </c>
      <c r="ED2" s="243" t="str">
        <f>IFERROR(__xludf.DUMMYFUNCTION("""COMPUTED_VALUE"""),"ТопG.Свободно_4")</f>
        <v>ТопG.Свободно_4</v>
      </c>
      <c r="EE2" s="243" t="str">
        <f>IFERROR(__xludf.DUMMYFUNCTION("""COMPUTED_VALUE"""),"ТопG.Свободно_5")</f>
        <v>ТопG.Свободно_5</v>
      </c>
    </row>
    <row r="3" hidden="1" outlineLevel="1">
      <c r="A3" s="151"/>
      <c r="B3" s="151"/>
      <c r="C3" s="242" t="s">
        <v>236</v>
      </c>
      <c r="D3" s="151" t="s">
        <v>236</v>
      </c>
      <c r="E3" s="149" t="s">
        <v>236</v>
      </c>
      <c r="F3" s="149" t="s">
        <v>236</v>
      </c>
      <c r="G3" s="149" t="s">
        <v>236</v>
      </c>
      <c r="H3" s="149" t="s">
        <v>236</v>
      </c>
      <c r="I3" s="149" t="s">
        <v>236</v>
      </c>
      <c r="J3" s="151" t="s">
        <v>25</v>
      </c>
      <c r="K3" s="447" t="s">
        <v>236</v>
      </c>
      <c r="L3" s="151" t="s">
        <v>236</v>
      </c>
      <c r="M3" s="151" t="s">
        <v>25</v>
      </c>
      <c r="N3" s="151" t="s">
        <v>25</v>
      </c>
      <c r="O3" s="151" t="s">
        <v>25</v>
      </c>
      <c r="P3" s="286" t="s">
        <v>25</v>
      </c>
      <c r="Q3" s="149"/>
      <c r="R3" s="151"/>
      <c r="S3" s="151"/>
      <c r="T3" s="151"/>
      <c r="U3" s="151"/>
      <c r="V3" s="151"/>
      <c r="W3" s="151" t="s">
        <v>236</v>
      </c>
      <c r="X3" s="151"/>
      <c r="Y3" s="151" t="s">
        <v>25</v>
      </c>
      <c r="Z3" s="151"/>
      <c r="AA3" s="151"/>
      <c r="AB3" s="468" t="s">
        <v>25</v>
      </c>
      <c r="AC3" s="468" t="s">
        <v>25</v>
      </c>
      <c r="AD3" s="151" t="str">
        <f t="array" ref="AD3:EE3">{"",LAMBDA(имена,MAKEARRAY(1,7*15,LAMBDA(ri,ci,  IFERROR( VLOOKUP( MOD((ci-1),15),имена,2,FALSE),"Скрыть"))))
(
{{0,"formulaCell"};
{1,""};
{2,"formulaCell"};
{3,""};
{4,"formulaCell"};
{5,""};
{6,"formulaCell"};
{7,""};
{8,"formulaCell"};
{9,""};
{10,"formulaCell"};
{11,""};
{12,""};
{13,""};
{14,""}}
)}</f>
        <v/>
      </c>
      <c r="AE3" s="463" t="s">
        <v>236</v>
      </c>
      <c r="AF3" s="448" t="s">
        <v>96</v>
      </c>
      <c r="AG3" s="463" t="s">
        <v>236</v>
      </c>
      <c r="AH3" s="448" t="s">
        <v>96</v>
      </c>
      <c r="AI3" s="463" t="s">
        <v>236</v>
      </c>
      <c r="AJ3" s="448" t="s">
        <v>96</v>
      </c>
      <c r="AK3" s="463" t="s">
        <v>236</v>
      </c>
      <c r="AL3" s="448" t="s">
        <v>96</v>
      </c>
      <c r="AM3" s="463" t="s">
        <v>236</v>
      </c>
      <c r="AN3" s="449" t="s">
        <v>96</v>
      </c>
      <c r="AO3" s="463" t="s">
        <v>236</v>
      </c>
      <c r="AP3" s="448" t="s">
        <v>96</v>
      </c>
      <c r="AQ3" s="448" t="s">
        <v>96</v>
      </c>
      <c r="AR3" s="448" t="s">
        <v>96</v>
      </c>
      <c r="AS3" s="448" t="s">
        <v>96</v>
      </c>
      <c r="AT3" s="464" t="s">
        <v>236</v>
      </c>
      <c r="AU3" s="450" t="s">
        <v>96</v>
      </c>
      <c r="AV3" s="464" t="s">
        <v>236</v>
      </c>
      <c r="AW3" s="450" t="s">
        <v>96</v>
      </c>
      <c r="AX3" s="464" t="s">
        <v>236</v>
      </c>
      <c r="AY3" s="450" t="s">
        <v>96</v>
      </c>
      <c r="AZ3" s="464" t="s">
        <v>236</v>
      </c>
      <c r="BA3" s="450" t="s">
        <v>96</v>
      </c>
      <c r="BB3" s="464" t="s">
        <v>236</v>
      </c>
      <c r="BC3" s="451" t="s">
        <v>96</v>
      </c>
      <c r="BD3" s="464" t="s">
        <v>236</v>
      </c>
      <c r="BE3" s="450" t="s">
        <v>96</v>
      </c>
      <c r="BF3" s="450" t="s">
        <v>96</v>
      </c>
      <c r="BG3" s="450" t="s">
        <v>96</v>
      </c>
      <c r="BH3" s="450" t="s">
        <v>96</v>
      </c>
      <c r="BI3" s="465" t="s">
        <v>236</v>
      </c>
      <c r="BJ3" s="452" t="s">
        <v>96</v>
      </c>
      <c r="BK3" s="465" t="s">
        <v>236</v>
      </c>
      <c r="BL3" s="452" t="s">
        <v>96</v>
      </c>
      <c r="BM3" s="465" t="s">
        <v>236</v>
      </c>
      <c r="BN3" s="452" t="s">
        <v>96</v>
      </c>
      <c r="BO3" s="465" t="s">
        <v>236</v>
      </c>
      <c r="BP3" s="452" t="s">
        <v>96</v>
      </c>
      <c r="BQ3" s="465" t="s">
        <v>236</v>
      </c>
      <c r="BR3" s="453" t="s">
        <v>96</v>
      </c>
      <c r="BS3" s="465" t="s">
        <v>236</v>
      </c>
      <c r="BT3" s="452" t="s">
        <v>96</v>
      </c>
      <c r="BU3" s="452" t="s">
        <v>96</v>
      </c>
      <c r="BV3" s="452" t="s">
        <v>96</v>
      </c>
      <c r="BW3" s="452" t="s">
        <v>96</v>
      </c>
      <c r="BX3" s="466" t="s">
        <v>236</v>
      </c>
      <c r="BY3" s="454" t="s">
        <v>96</v>
      </c>
      <c r="BZ3" s="466" t="s">
        <v>236</v>
      </c>
      <c r="CA3" s="454" t="s">
        <v>96</v>
      </c>
      <c r="CB3" s="466" t="s">
        <v>236</v>
      </c>
      <c r="CC3" s="454" t="s">
        <v>96</v>
      </c>
      <c r="CD3" s="466" t="s">
        <v>236</v>
      </c>
      <c r="CE3" s="454" t="s">
        <v>96</v>
      </c>
      <c r="CF3" s="466" t="s">
        <v>236</v>
      </c>
      <c r="CG3" s="455" t="s">
        <v>96</v>
      </c>
      <c r="CH3" s="466" t="s">
        <v>236</v>
      </c>
      <c r="CI3" s="454" t="s">
        <v>96</v>
      </c>
      <c r="CJ3" s="454" t="s">
        <v>96</v>
      </c>
      <c r="CK3" s="454" t="s">
        <v>96</v>
      </c>
      <c r="CL3" s="454" t="s">
        <v>96</v>
      </c>
      <c r="CM3" s="467" t="s">
        <v>236</v>
      </c>
      <c r="CN3" s="456" t="s">
        <v>96</v>
      </c>
      <c r="CO3" s="467" t="s">
        <v>236</v>
      </c>
      <c r="CP3" s="456" t="s">
        <v>96</v>
      </c>
      <c r="CQ3" s="467" t="s">
        <v>236</v>
      </c>
      <c r="CR3" s="456" t="s">
        <v>96</v>
      </c>
      <c r="CS3" s="467" t="s">
        <v>236</v>
      </c>
      <c r="CT3" s="456" t="s">
        <v>96</v>
      </c>
      <c r="CU3" s="467" t="s">
        <v>236</v>
      </c>
      <c r="CV3" s="457" t="s">
        <v>96</v>
      </c>
      <c r="CW3" s="467" t="s">
        <v>236</v>
      </c>
      <c r="CX3" s="456" t="s">
        <v>96</v>
      </c>
      <c r="CY3" s="456" t="s">
        <v>96</v>
      </c>
      <c r="CZ3" s="456" t="s">
        <v>96</v>
      </c>
      <c r="DA3" s="456" t="s">
        <v>96</v>
      </c>
      <c r="DB3" s="212" t="s">
        <v>236</v>
      </c>
      <c r="DC3" s="458" t="s">
        <v>96</v>
      </c>
      <c r="DD3" s="212" t="s">
        <v>236</v>
      </c>
      <c r="DE3" s="458" t="s">
        <v>96</v>
      </c>
      <c r="DF3" s="212" t="s">
        <v>236</v>
      </c>
      <c r="DG3" s="458" t="s">
        <v>96</v>
      </c>
      <c r="DH3" s="212" t="s">
        <v>236</v>
      </c>
      <c r="DI3" s="458" t="s">
        <v>96</v>
      </c>
      <c r="DJ3" s="212" t="s">
        <v>236</v>
      </c>
      <c r="DK3" s="459" t="s">
        <v>96</v>
      </c>
      <c r="DL3" s="212" t="s">
        <v>236</v>
      </c>
      <c r="DM3" s="458" t="s">
        <v>96</v>
      </c>
      <c r="DN3" s="458" t="s">
        <v>96</v>
      </c>
      <c r="DO3" s="458" t="s">
        <v>96</v>
      </c>
      <c r="DP3" s="458" t="s">
        <v>96</v>
      </c>
      <c r="DQ3" s="243" t="s">
        <v>236</v>
      </c>
      <c r="DR3" s="460" t="s">
        <v>96</v>
      </c>
      <c r="DS3" s="243" t="s">
        <v>236</v>
      </c>
      <c r="DT3" s="460" t="s">
        <v>96</v>
      </c>
      <c r="DU3" s="243" t="s">
        <v>236</v>
      </c>
      <c r="DV3" s="460" t="s">
        <v>96</v>
      </c>
      <c r="DW3" s="243" t="s">
        <v>236</v>
      </c>
      <c r="DX3" s="460" t="s">
        <v>96</v>
      </c>
      <c r="DY3" s="243" t="s">
        <v>236</v>
      </c>
      <c r="DZ3" s="461" t="s">
        <v>96</v>
      </c>
      <c r="EA3" s="243" t="s">
        <v>236</v>
      </c>
      <c r="EB3" s="460" t="s">
        <v>96</v>
      </c>
      <c r="EC3" s="460" t="s">
        <v>96</v>
      </c>
      <c r="ED3" s="460" t="s">
        <v>96</v>
      </c>
      <c r="EE3" s="460" t="s">
        <v>96</v>
      </c>
    </row>
    <row r="4" hidden="1" outlineLevel="1">
      <c r="A4" s="151"/>
      <c r="B4" s="151"/>
      <c r="C4" s="469" t="s">
        <v>28</v>
      </c>
      <c r="D4" s="151"/>
      <c r="E4" s="149"/>
      <c r="F4" s="154"/>
      <c r="G4" s="154"/>
      <c r="H4" s="151"/>
      <c r="I4" s="310"/>
      <c r="J4" s="151"/>
      <c r="K4" s="447"/>
      <c r="L4" s="151"/>
      <c r="M4" s="151"/>
      <c r="N4" s="151"/>
      <c r="O4" s="151"/>
      <c r="P4" s="286"/>
      <c r="Q4" s="149"/>
      <c r="R4" s="151"/>
      <c r="S4" s="151" t="s">
        <v>555</v>
      </c>
      <c r="T4" s="151"/>
      <c r="U4" s="151"/>
      <c r="V4" s="151"/>
      <c r="W4" s="151"/>
      <c r="X4" s="151"/>
      <c r="Y4" s="151"/>
      <c r="Z4" s="151"/>
      <c r="AA4" s="151"/>
      <c r="AB4" s="470"/>
      <c r="AC4" s="470"/>
      <c r="AD4" s="242" t="str">
        <f t="array" ref="AD4:EE4">{"БлокТопНачало",LAMBDA(имена,MAKEARRAY(1,7*15,LAMBDA(ri,ci, INT( (ci-1)/15)+1)))
("нет")}</f>
        <v>БлокТопНачало</v>
      </c>
      <c r="AE4" s="471">
        <v>1.0</v>
      </c>
      <c r="AF4" s="472">
        <v>1.0</v>
      </c>
      <c r="AG4" s="471">
        <v>1.0</v>
      </c>
      <c r="AH4" s="472">
        <v>1.0</v>
      </c>
      <c r="AI4" s="471">
        <v>1.0</v>
      </c>
      <c r="AJ4" s="472">
        <v>1.0</v>
      </c>
      <c r="AK4" s="471">
        <v>1.0</v>
      </c>
      <c r="AL4" s="472">
        <v>1.0</v>
      </c>
      <c r="AM4" s="471">
        <v>1.0</v>
      </c>
      <c r="AN4" s="449">
        <v>1.0</v>
      </c>
      <c r="AO4" s="471">
        <v>1.0</v>
      </c>
      <c r="AP4" s="472">
        <v>1.0</v>
      </c>
      <c r="AQ4" s="471">
        <v>1.0</v>
      </c>
      <c r="AR4" s="471">
        <v>1.0</v>
      </c>
      <c r="AS4" s="471">
        <v>1.0</v>
      </c>
      <c r="AT4" s="473">
        <v>2.0</v>
      </c>
      <c r="AU4" s="474">
        <v>2.0</v>
      </c>
      <c r="AV4" s="473">
        <v>2.0</v>
      </c>
      <c r="AW4" s="474">
        <v>2.0</v>
      </c>
      <c r="AX4" s="473">
        <v>2.0</v>
      </c>
      <c r="AY4" s="474">
        <v>2.0</v>
      </c>
      <c r="AZ4" s="473">
        <v>2.0</v>
      </c>
      <c r="BA4" s="474">
        <v>2.0</v>
      </c>
      <c r="BB4" s="473">
        <v>2.0</v>
      </c>
      <c r="BC4" s="451">
        <v>2.0</v>
      </c>
      <c r="BD4" s="473">
        <v>2.0</v>
      </c>
      <c r="BE4" s="474">
        <v>2.0</v>
      </c>
      <c r="BF4" s="473">
        <v>2.0</v>
      </c>
      <c r="BG4" s="473">
        <v>2.0</v>
      </c>
      <c r="BH4" s="473">
        <v>2.0</v>
      </c>
      <c r="BI4" s="475">
        <v>3.0</v>
      </c>
      <c r="BJ4" s="476">
        <v>3.0</v>
      </c>
      <c r="BK4" s="475">
        <v>3.0</v>
      </c>
      <c r="BL4" s="476">
        <v>3.0</v>
      </c>
      <c r="BM4" s="475">
        <v>3.0</v>
      </c>
      <c r="BN4" s="476">
        <v>3.0</v>
      </c>
      <c r="BO4" s="475">
        <v>3.0</v>
      </c>
      <c r="BP4" s="476">
        <v>3.0</v>
      </c>
      <c r="BQ4" s="475">
        <v>3.0</v>
      </c>
      <c r="BR4" s="453">
        <v>3.0</v>
      </c>
      <c r="BS4" s="475">
        <v>3.0</v>
      </c>
      <c r="BT4" s="476">
        <v>3.0</v>
      </c>
      <c r="BU4" s="475">
        <v>3.0</v>
      </c>
      <c r="BV4" s="475">
        <v>3.0</v>
      </c>
      <c r="BW4" s="475">
        <v>3.0</v>
      </c>
      <c r="BX4" s="477">
        <v>4.0</v>
      </c>
      <c r="BY4" s="478">
        <v>4.0</v>
      </c>
      <c r="BZ4" s="477">
        <v>4.0</v>
      </c>
      <c r="CA4" s="478">
        <v>4.0</v>
      </c>
      <c r="CB4" s="477">
        <v>4.0</v>
      </c>
      <c r="CC4" s="478">
        <v>4.0</v>
      </c>
      <c r="CD4" s="477">
        <v>4.0</v>
      </c>
      <c r="CE4" s="478">
        <v>4.0</v>
      </c>
      <c r="CF4" s="477">
        <v>4.0</v>
      </c>
      <c r="CG4" s="455">
        <v>4.0</v>
      </c>
      <c r="CH4" s="477">
        <v>4.0</v>
      </c>
      <c r="CI4" s="478">
        <v>4.0</v>
      </c>
      <c r="CJ4" s="477">
        <v>4.0</v>
      </c>
      <c r="CK4" s="477">
        <v>4.0</v>
      </c>
      <c r="CL4" s="477">
        <v>4.0</v>
      </c>
      <c r="CM4" s="479">
        <v>5.0</v>
      </c>
      <c r="CN4" s="480">
        <v>5.0</v>
      </c>
      <c r="CO4" s="479">
        <v>5.0</v>
      </c>
      <c r="CP4" s="480">
        <v>5.0</v>
      </c>
      <c r="CQ4" s="479">
        <v>5.0</v>
      </c>
      <c r="CR4" s="480">
        <v>5.0</v>
      </c>
      <c r="CS4" s="479">
        <v>5.0</v>
      </c>
      <c r="CT4" s="480">
        <v>5.0</v>
      </c>
      <c r="CU4" s="479">
        <v>5.0</v>
      </c>
      <c r="CV4" s="457">
        <v>5.0</v>
      </c>
      <c r="CW4" s="479">
        <v>5.0</v>
      </c>
      <c r="CX4" s="480">
        <v>5.0</v>
      </c>
      <c r="CY4" s="479">
        <v>5.0</v>
      </c>
      <c r="CZ4" s="479">
        <v>5.0</v>
      </c>
      <c r="DA4" s="479">
        <v>5.0</v>
      </c>
      <c r="DB4" s="481">
        <v>6.0</v>
      </c>
      <c r="DC4" s="482">
        <v>6.0</v>
      </c>
      <c r="DD4" s="481">
        <v>6.0</v>
      </c>
      <c r="DE4" s="482">
        <v>6.0</v>
      </c>
      <c r="DF4" s="481">
        <v>6.0</v>
      </c>
      <c r="DG4" s="482">
        <v>6.0</v>
      </c>
      <c r="DH4" s="481">
        <v>6.0</v>
      </c>
      <c r="DI4" s="482">
        <v>6.0</v>
      </c>
      <c r="DJ4" s="481">
        <v>6.0</v>
      </c>
      <c r="DK4" s="459">
        <v>6.0</v>
      </c>
      <c r="DL4" s="481">
        <v>6.0</v>
      </c>
      <c r="DM4" s="482">
        <v>6.0</v>
      </c>
      <c r="DN4" s="481">
        <v>6.0</v>
      </c>
      <c r="DO4" s="481">
        <v>6.0</v>
      </c>
      <c r="DP4" s="481">
        <v>6.0</v>
      </c>
      <c r="DQ4" s="483">
        <v>7.0</v>
      </c>
      <c r="DR4" s="484">
        <v>7.0</v>
      </c>
      <c r="DS4" s="483">
        <v>7.0</v>
      </c>
      <c r="DT4" s="484">
        <v>7.0</v>
      </c>
      <c r="DU4" s="483">
        <v>7.0</v>
      </c>
      <c r="DV4" s="484">
        <v>7.0</v>
      </c>
      <c r="DW4" s="483">
        <v>7.0</v>
      </c>
      <c r="DX4" s="484">
        <v>7.0</v>
      </c>
      <c r="DY4" s="483">
        <v>7.0</v>
      </c>
      <c r="DZ4" s="461">
        <v>7.0</v>
      </c>
      <c r="EA4" s="483">
        <v>7.0</v>
      </c>
      <c r="EB4" s="484">
        <v>7.0</v>
      </c>
      <c r="EC4" s="483">
        <v>7.0</v>
      </c>
      <c r="ED4" s="483">
        <v>7.0</v>
      </c>
      <c r="EE4" s="483">
        <v>7.0</v>
      </c>
    </row>
    <row r="5" hidden="1" outlineLevel="1">
      <c r="A5" s="151"/>
      <c r="B5" s="151"/>
      <c r="C5" s="469" t="s">
        <v>31</v>
      </c>
      <c r="D5" s="151"/>
      <c r="E5" s="149"/>
      <c r="F5" s="154"/>
      <c r="G5" s="154"/>
      <c r="H5" s="151"/>
      <c r="I5" s="310"/>
      <c r="J5" s="151"/>
      <c r="K5" s="447"/>
      <c r="L5" s="151"/>
      <c r="M5" s="151"/>
      <c r="N5" s="151"/>
      <c r="O5" s="151"/>
      <c r="P5" s="286"/>
      <c r="Q5" s="149"/>
      <c r="R5" s="151"/>
      <c r="S5" s="151"/>
      <c r="T5" s="151"/>
      <c r="U5" s="151"/>
      <c r="V5" s="151"/>
      <c r="W5" s="151"/>
      <c r="X5" s="151"/>
      <c r="Y5" s="151"/>
      <c r="Z5" s="151"/>
      <c r="AA5" s="151"/>
      <c r="AB5" s="470"/>
      <c r="AC5" s="470"/>
      <c r="AD5" s="242" t="str">
        <f>IFERROR(__xludf.DUMMYFUNCTION("{""БлокТопНачало"",LAMBDA(имена,MAKEARRAY(1,7*15,LAMBDA(ri,ci,  IFERROR( VLOOKUP( MOD((ci-1),15),имена,2,FALSE),))))
( LAMBDA(theSre,SCAN(-1,TRANSPOSE( Split(theSre,CHAR(32),FALSE)),LAMBDA(t,v,{t+1,v}))) (""7 Цена.З 5 Постовшик.З 2 ЛистИПредложение.З 10 К"&amp;"омментарий.З 8 Срок.З 13 Эксперт.З Свободно_3 Свободно_4 Свободно_5"")
)}"),"БлокТопНачало")</f>
        <v>БлокТопНачало</v>
      </c>
      <c r="AE5" s="471">
        <f>IFERROR(__xludf.DUMMYFUNCTION("""COMPUTED_VALUE"""),7.0)</f>
        <v>7</v>
      </c>
      <c r="AF5" s="448" t="str">
        <f>IFERROR(__xludf.DUMMYFUNCTION("""COMPUTED_VALUE"""),"Цена.З")</f>
        <v>Цена.З</v>
      </c>
      <c r="AG5" s="471">
        <f>IFERROR(__xludf.DUMMYFUNCTION("""COMPUTED_VALUE"""),5.0)</f>
        <v>5</v>
      </c>
      <c r="AH5" s="448" t="str">
        <f>IFERROR(__xludf.DUMMYFUNCTION("""COMPUTED_VALUE"""),"Постовшик.З")</f>
        <v>Постовшик.З</v>
      </c>
      <c r="AI5" s="471">
        <f>IFERROR(__xludf.DUMMYFUNCTION("""COMPUTED_VALUE"""),2.0)</f>
        <v>2</v>
      </c>
      <c r="AJ5" s="448" t="str">
        <f>IFERROR(__xludf.DUMMYFUNCTION("""COMPUTED_VALUE"""),"ЛистИПредложение.З")</f>
        <v>ЛистИПредложение.З</v>
      </c>
      <c r="AK5" s="471">
        <f>IFERROR(__xludf.DUMMYFUNCTION("""COMPUTED_VALUE"""),10.0)</f>
        <v>10</v>
      </c>
      <c r="AL5" s="448" t="str">
        <f>IFERROR(__xludf.DUMMYFUNCTION("""COMPUTED_VALUE"""),"Комментарий.З")</f>
        <v>Комментарий.З</v>
      </c>
      <c r="AM5" s="471">
        <f>IFERROR(__xludf.DUMMYFUNCTION("""COMPUTED_VALUE"""),8.0)</f>
        <v>8</v>
      </c>
      <c r="AN5" s="449" t="str">
        <f>IFERROR(__xludf.DUMMYFUNCTION("""COMPUTED_VALUE"""),"Срок.З")</f>
        <v>Срок.З</v>
      </c>
      <c r="AO5" s="471">
        <f>IFERROR(__xludf.DUMMYFUNCTION("""COMPUTED_VALUE"""),13.0)</f>
        <v>13</v>
      </c>
      <c r="AP5" s="448" t="str">
        <f>IFERROR(__xludf.DUMMYFUNCTION("""COMPUTED_VALUE"""),"Эксперт.З")</f>
        <v>Эксперт.З</v>
      </c>
      <c r="AQ5" s="463" t="str">
        <f>IFERROR(__xludf.DUMMYFUNCTION("""COMPUTED_VALUE"""),"Свободно_3")</f>
        <v>Свободно_3</v>
      </c>
      <c r="AR5" s="463" t="str">
        <f>IFERROR(__xludf.DUMMYFUNCTION("""COMPUTED_VALUE"""),"Свободно_4")</f>
        <v>Свободно_4</v>
      </c>
      <c r="AS5" s="463" t="str">
        <f>IFERROR(__xludf.DUMMYFUNCTION("""COMPUTED_VALUE"""),"Свободно_5")</f>
        <v>Свободно_5</v>
      </c>
      <c r="AT5" s="473">
        <f>IFERROR(__xludf.DUMMYFUNCTION("""COMPUTED_VALUE"""),7.0)</f>
        <v>7</v>
      </c>
      <c r="AU5" s="450" t="str">
        <f>IFERROR(__xludf.DUMMYFUNCTION("""COMPUTED_VALUE"""),"Цена.З")</f>
        <v>Цена.З</v>
      </c>
      <c r="AV5" s="473">
        <f>IFERROR(__xludf.DUMMYFUNCTION("""COMPUTED_VALUE"""),5.0)</f>
        <v>5</v>
      </c>
      <c r="AW5" s="450" t="str">
        <f>IFERROR(__xludf.DUMMYFUNCTION("""COMPUTED_VALUE"""),"Постовшик.З")</f>
        <v>Постовшик.З</v>
      </c>
      <c r="AX5" s="473">
        <f>IFERROR(__xludf.DUMMYFUNCTION("""COMPUTED_VALUE"""),2.0)</f>
        <v>2</v>
      </c>
      <c r="AY5" s="450" t="str">
        <f>IFERROR(__xludf.DUMMYFUNCTION("""COMPUTED_VALUE"""),"ЛистИПредложение.З")</f>
        <v>ЛистИПредложение.З</v>
      </c>
      <c r="AZ5" s="473">
        <f>IFERROR(__xludf.DUMMYFUNCTION("""COMPUTED_VALUE"""),10.0)</f>
        <v>10</v>
      </c>
      <c r="BA5" s="450" t="str">
        <f>IFERROR(__xludf.DUMMYFUNCTION("""COMPUTED_VALUE"""),"Комментарий.З")</f>
        <v>Комментарий.З</v>
      </c>
      <c r="BB5" s="473">
        <f>IFERROR(__xludf.DUMMYFUNCTION("""COMPUTED_VALUE"""),8.0)</f>
        <v>8</v>
      </c>
      <c r="BC5" s="451" t="str">
        <f>IFERROR(__xludf.DUMMYFUNCTION("""COMPUTED_VALUE"""),"Срок.З")</f>
        <v>Срок.З</v>
      </c>
      <c r="BD5" s="473">
        <f>IFERROR(__xludf.DUMMYFUNCTION("""COMPUTED_VALUE"""),13.0)</f>
        <v>13</v>
      </c>
      <c r="BE5" s="450" t="str">
        <f>IFERROR(__xludf.DUMMYFUNCTION("""COMPUTED_VALUE"""),"Эксперт.З")</f>
        <v>Эксперт.З</v>
      </c>
      <c r="BF5" s="464" t="str">
        <f>IFERROR(__xludf.DUMMYFUNCTION("""COMPUTED_VALUE"""),"Свободно_3")</f>
        <v>Свободно_3</v>
      </c>
      <c r="BG5" s="464" t="str">
        <f>IFERROR(__xludf.DUMMYFUNCTION("""COMPUTED_VALUE"""),"Свободно_4")</f>
        <v>Свободно_4</v>
      </c>
      <c r="BH5" s="464" t="str">
        <f>IFERROR(__xludf.DUMMYFUNCTION("""COMPUTED_VALUE"""),"Свободно_5")</f>
        <v>Свободно_5</v>
      </c>
      <c r="BI5" s="475">
        <f>IFERROR(__xludf.DUMMYFUNCTION("""COMPUTED_VALUE"""),7.0)</f>
        <v>7</v>
      </c>
      <c r="BJ5" s="452" t="str">
        <f>IFERROR(__xludf.DUMMYFUNCTION("""COMPUTED_VALUE"""),"Цена.З")</f>
        <v>Цена.З</v>
      </c>
      <c r="BK5" s="475">
        <f>IFERROR(__xludf.DUMMYFUNCTION("""COMPUTED_VALUE"""),5.0)</f>
        <v>5</v>
      </c>
      <c r="BL5" s="452" t="str">
        <f>IFERROR(__xludf.DUMMYFUNCTION("""COMPUTED_VALUE"""),"Постовшик.З")</f>
        <v>Постовшик.З</v>
      </c>
      <c r="BM5" s="475">
        <f>IFERROR(__xludf.DUMMYFUNCTION("""COMPUTED_VALUE"""),2.0)</f>
        <v>2</v>
      </c>
      <c r="BN5" s="452" t="str">
        <f>IFERROR(__xludf.DUMMYFUNCTION("""COMPUTED_VALUE"""),"ЛистИПредложение.З")</f>
        <v>ЛистИПредложение.З</v>
      </c>
      <c r="BO5" s="475">
        <f>IFERROR(__xludf.DUMMYFUNCTION("""COMPUTED_VALUE"""),10.0)</f>
        <v>10</v>
      </c>
      <c r="BP5" s="452" t="str">
        <f>IFERROR(__xludf.DUMMYFUNCTION("""COMPUTED_VALUE"""),"Комментарий.З")</f>
        <v>Комментарий.З</v>
      </c>
      <c r="BQ5" s="475">
        <f>IFERROR(__xludf.DUMMYFUNCTION("""COMPUTED_VALUE"""),8.0)</f>
        <v>8</v>
      </c>
      <c r="BR5" s="453" t="str">
        <f>IFERROR(__xludf.DUMMYFUNCTION("""COMPUTED_VALUE"""),"Срок.З")</f>
        <v>Срок.З</v>
      </c>
      <c r="BS5" s="475">
        <f>IFERROR(__xludf.DUMMYFUNCTION("""COMPUTED_VALUE"""),13.0)</f>
        <v>13</v>
      </c>
      <c r="BT5" s="452" t="str">
        <f>IFERROR(__xludf.DUMMYFUNCTION("""COMPUTED_VALUE"""),"Эксперт.З")</f>
        <v>Эксперт.З</v>
      </c>
      <c r="BU5" s="465" t="str">
        <f>IFERROR(__xludf.DUMMYFUNCTION("""COMPUTED_VALUE"""),"Свободно_3")</f>
        <v>Свободно_3</v>
      </c>
      <c r="BV5" s="465" t="str">
        <f>IFERROR(__xludf.DUMMYFUNCTION("""COMPUTED_VALUE"""),"Свободно_4")</f>
        <v>Свободно_4</v>
      </c>
      <c r="BW5" s="465" t="str">
        <f>IFERROR(__xludf.DUMMYFUNCTION("""COMPUTED_VALUE"""),"Свободно_5")</f>
        <v>Свободно_5</v>
      </c>
      <c r="BX5" s="477">
        <f>IFERROR(__xludf.DUMMYFUNCTION("""COMPUTED_VALUE"""),7.0)</f>
        <v>7</v>
      </c>
      <c r="BY5" s="454" t="str">
        <f>IFERROR(__xludf.DUMMYFUNCTION("""COMPUTED_VALUE"""),"Цена.З")</f>
        <v>Цена.З</v>
      </c>
      <c r="BZ5" s="477">
        <f>IFERROR(__xludf.DUMMYFUNCTION("""COMPUTED_VALUE"""),5.0)</f>
        <v>5</v>
      </c>
      <c r="CA5" s="454" t="str">
        <f>IFERROR(__xludf.DUMMYFUNCTION("""COMPUTED_VALUE"""),"Постовшик.З")</f>
        <v>Постовшик.З</v>
      </c>
      <c r="CB5" s="477">
        <f>IFERROR(__xludf.DUMMYFUNCTION("""COMPUTED_VALUE"""),2.0)</f>
        <v>2</v>
      </c>
      <c r="CC5" s="454" t="str">
        <f>IFERROR(__xludf.DUMMYFUNCTION("""COMPUTED_VALUE"""),"ЛистИПредложение.З")</f>
        <v>ЛистИПредложение.З</v>
      </c>
      <c r="CD5" s="477">
        <f>IFERROR(__xludf.DUMMYFUNCTION("""COMPUTED_VALUE"""),10.0)</f>
        <v>10</v>
      </c>
      <c r="CE5" s="454" t="str">
        <f>IFERROR(__xludf.DUMMYFUNCTION("""COMPUTED_VALUE"""),"Комментарий.З")</f>
        <v>Комментарий.З</v>
      </c>
      <c r="CF5" s="477">
        <f>IFERROR(__xludf.DUMMYFUNCTION("""COMPUTED_VALUE"""),8.0)</f>
        <v>8</v>
      </c>
      <c r="CG5" s="455" t="str">
        <f>IFERROR(__xludf.DUMMYFUNCTION("""COMPUTED_VALUE"""),"Срок.З")</f>
        <v>Срок.З</v>
      </c>
      <c r="CH5" s="477">
        <f>IFERROR(__xludf.DUMMYFUNCTION("""COMPUTED_VALUE"""),13.0)</f>
        <v>13</v>
      </c>
      <c r="CI5" s="454" t="str">
        <f>IFERROR(__xludf.DUMMYFUNCTION("""COMPUTED_VALUE"""),"Эксперт.З")</f>
        <v>Эксперт.З</v>
      </c>
      <c r="CJ5" s="466" t="str">
        <f>IFERROR(__xludf.DUMMYFUNCTION("""COMPUTED_VALUE"""),"Свободно_3")</f>
        <v>Свободно_3</v>
      </c>
      <c r="CK5" s="466" t="str">
        <f>IFERROR(__xludf.DUMMYFUNCTION("""COMPUTED_VALUE"""),"Свободно_4")</f>
        <v>Свободно_4</v>
      </c>
      <c r="CL5" s="466" t="str">
        <f>IFERROR(__xludf.DUMMYFUNCTION("""COMPUTED_VALUE"""),"Свободно_5")</f>
        <v>Свободно_5</v>
      </c>
      <c r="CM5" s="479">
        <f>IFERROR(__xludf.DUMMYFUNCTION("""COMPUTED_VALUE"""),7.0)</f>
        <v>7</v>
      </c>
      <c r="CN5" s="456" t="str">
        <f>IFERROR(__xludf.DUMMYFUNCTION("""COMPUTED_VALUE"""),"Цена.З")</f>
        <v>Цена.З</v>
      </c>
      <c r="CO5" s="479">
        <f>IFERROR(__xludf.DUMMYFUNCTION("""COMPUTED_VALUE"""),5.0)</f>
        <v>5</v>
      </c>
      <c r="CP5" s="456" t="str">
        <f>IFERROR(__xludf.DUMMYFUNCTION("""COMPUTED_VALUE"""),"Постовшик.З")</f>
        <v>Постовшик.З</v>
      </c>
      <c r="CQ5" s="479">
        <f>IFERROR(__xludf.DUMMYFUNCTION("""COMPUTED_VALUE"""),2.0)</f>
        <v>2</v>
      </c>
      <c r="CR5" s="456" t="str">
        <f>IFERROR(__xludf.DUMMYFUNCTION("""COMPUTED_VALUE"""),"ЛистИПредложение.З")</f>
        <v>ЛистИПредложение.З</v>
      </c>
      <c r="CS5" s="479">
        <f>IFERROR(__xludf.DUMMYFUNCTION("""COMPUTED_VALUE"""),10.0)</f>
        <v>10</v>
      </c>
      <c r="CT5" s="456" t="str">
        <f>IFERROR(__xludf.DUMMYFUNCTION("""COMPUTED_VALUE"""),"Комментарий.З")</f>
        <v>Комментарий.З</v>
      </c>
      <c r="CU5" s="479">
        <f>IFERROR(__xludf.DUMMYFUNCTION("""COMPUTED_VALUE"""),8.0)</f>
        <v>8</v>
      </c>
      <c r="CV5" s="457" t="str">
        <f>IFERROR(__xludf.DUMMYFUNCTION("""COMPUTED_VALUE"""),"Срок.З")</f>
        <v>Срок.З</v>
      </c>
      <c r="CW5" s="479">
        <f>IFERROR(__xludf.DUMMYFUNCTION("""COMPUTED_VALUE"""),13.0)</f>
        <v>13</v>
      </c>
      <c r="CX5" s="456" t="str">
        <f>IFERROR(__xludf.DUMMYFUNCTION("""COMPUTED_VALUE"""),"Эксперт.З")</f>
        <v>Эксперт.З</v>
      </c>
      <c r="CY5" s="467" t="str">
        <f>IFERROR(__xludf.DUMMYFUNCTION("""COMPUTED_VALUE"""),"Свободно_3")</f>
        <v>Свободно_3</v>
      </c>
      <c r="CZ5" s="467" t="str">
        <f>IFERROR(__xludf.DUMMYFUNCTION("""COMPUTED_VALUE"""),"Свободно_4")</f>
        <v>Свободно_4</v>
      </c>
      <c r="DA5" s="467" t="str">
        <f>IFERROR(__xludf.DUMMYFUNCTION("""COMPUTED_VALUE"""),"Свободно_5")</f>
        <v>Свободно_5</v>
      </c>
      <c r="DB5" s="481">
        <f>IFERROR(__xludf.DUMMYFUNCTION("""COMPUTED_VALUE"""),7.0)</f>
        <v>7</v>
      </c>
      <c r="DC5" s="458" t="str">
        <f>IFERROR(__xludf.DUMMYFUNCTION("""COMPUTED_VALUE"""),"Цена.З")</f>
        <v>Цена.З</v>
      </c>
      <c r="DD5" s="481">
        <f>IFERROR(__xludf.DUMMYFUNCTION("""COMPUTED_VALUE"""),5.0)</f>
        <v>5</v>
      </c>
      <c r="DE5" s="458" t="str">
        <f>IFERROR(__xludf.DUMMYFUNCTION("""COMPUTED_VALUE"""),"Постовшик.З")</f>
        <v>Постовшик.З</v>
      </c>
      <c r="DF5" s="481">
        <f>IFERROR(__xludf.DUMMYFUNCTION("""COMPUTED_VALUE"""),2.0)</f>
        <v>2</v>
      </c>
      <c r="DG5" s="458" t="str">
        <f>IFERROR(__xludf.DUMMYFUNCTION("""COMPUTED_VALUE"""),"ЛистИПредложение.З")</f>
        <v>ЛистИПредложение.З</v>
      </c>
      <c r="DH5" s="481">
        <f>IFERROR(__xludf.DUMMYFUNCTION("""COMPUTED_VALUE"""),10.0)</f>
        <v>10</v>
      </c>
      <c r="DI5" s="458" t="str">
        <f>IFERROR(__xludf.DUMMYFUNCTION("""COMPUTED_VALUE"""),"Комментарий.З")</f>
        <v>Комментарий.З</v>
      </c>
      <c r="DJ5" s="481">
        <f>IFERROR(__xludf.DUMMYFUNCTION("""COMPUTED_VALUE"""),8.0)</f>
        <v>8</v>
      </c>
      <c r="DK5" s="459" t="str">
        <f>IFERROR(__xludf.DUMMYFUNCTION("""COMPUTED_VALUE"""),"Срок.З")</f>
        <v>Срок.З</v>
      </c>
      <c r="DL5" s="481">
        <f>IFERROR(__xludf.DUMMYFUNCTION("""COMPUTED_VALUE"""),13.0)</f>
        <v>13</v>
      </c>
      <c r="DM5" s="458" t="str">
        <f>IFERROR(__xludf.DUMMYFUNCTION("""COMPUTED_VALUE"""),"Эксперт.З")</f>
        <v>Эксперт.З</v>
      </c>
      <c r="DN5" s="212" t="str">
        <f>IFERROR(__xludf.DUMMYFUNCTION("""COMPUTED_VALUE"""),"Свободно_3")</f>
        <v>Свободно_3</v>
      </c>
      <c r="DO5" s="212" t="str">
        <f>IFERROR(__xludf.DUMMYFUNCTION("""COMPUTED_VALUE"""),"Свободно_4")</f>
        <v>Свободно_4</v>
      </c>
      <c r="DP5" s="212" t="str">
        <f>IFERROR(__xludf.DUMMYFUNCTION("""COMPUTED_VALUE"""),"Свободно_5")</f>
        <v>Свободно_5</v>
      </c>
      <c r="DQ5" s="483">
        <f>IFERROR(__xludf.DUMMYFUNCTION("""COMPUTED_VALUE"""),7.0)</f>
        <v>7</v>
      </c>
      <c r="DR5" s="460" t="str">
        <f>IFERROR(__xludf.DUMMYFUNCTION("""COMPUTED_VALUE"""),"Цена.З")</f>
        <v>Цена.З</v>
      </c>
      <c r="DS5" s="483">
        <f>IFERROR(__xludf.DUMMYFUNCTION("""COMPUTED_VALUE"""),5.0)</f>
        <v>5</v>
      </c>
      <c r="DT5" s="460" t="str">
        <f>IFERROR(__xludf.DUMMYFUNCTION("""COMPUTED_VALUE"""),"Постовшик.З")</f>
        <v>Постовшик.З</v>
      </c>
      <c r="DU5" s="483">
        <f>IFERROR(__xludf.DUMMYFUNCTION("""COMPUTED_VALUE"""),2.0)</f>
        <v>2</v>
      </c>
      <c r="DV5" s="460" t="str">
        <f>IFERROR(__xludf.DUMMYFUNCTION("""COMPUTED_VALUE"""),"ЛистИПредложение.З")</f>
        <v>ЛистИПредложение.З</v>
      </c>
      <c r="DW5" s="483">
        <f>IFERROR(__xludf.DUMMYFUNCTION("""COMPUTED_VALUE"""),10.0)</f>
        <v>10</v>
      </c>
      <c r="DX5" s="460" t="str">
        <f>IFERROR(__xludf.DUMMYFUNCTION("""COMPUTED_VALUE"""),"Комментарий.З")</f>
        <v>Комментарий.З</v>
      </c>
      <c r="DY5" s="483">
        <f>IFERROR(__xludf.DUMMYFUNCTION("""COMPUTED_VALUE"""),8.0)</f>
        <v>8</v>
      </c>
      <c r="DZ5" s="461" t="str">
        <f>IFERROR(__xludf.DUMMYFUNCTION("""COMPUTED_VALUE"""),"Срок.З")</f>
        <v>Срок.З</v>
      </c>
      <c r="EA5" s="483">
        <f>IFERROR(__xludf.DUMMYFUNCTION("""COMPUTED_VALUE"""),13.0)</f>
        <v>13</v>
      </c>
      <c r="EB5" s="460" t="str">
        <f>IFERROR(__xludf.DUMMYFUNCTION("""COMPUTED_VALUE"""),"Эксперт.З")</f>
        <v>Эксперт.З</v>
      </c>
      <c r="EC5" s="243" t="str">
        <f>IFERROR(__xludf.DUMMYFUNCTION("""COMPUTED_VALUE"""),"Свободно_3")</f>
        <v>Свободно_3</v>
      </c>
      <c r="ED5" s="243" t="str">
        <f>IFERROR(__xludf.DUMMYFUNCTION("""COMPUTED_VALUE"""),"Свободно_4")</f>
        <v>Свободно_4</v>
      </c>
      <c r="EE5" s="243" t="str">
        <f>IFERROR(__xludf.DUMMYFUNCTION("""COMPUTED_VALUE"""),"Свободно_5")</f>
        <v>Свободно_5</v>
      </c>
    </row>
    <row r="6" hidden="1" outlineLevel="1">
      <c r="A6" s="151"/>
      <c r="B6" s="151"/>
      <c r="C6" s="469" t="s">
        <v>35</v>
      </c>
      <c r="D6" s="151"/>
      <c r="E6" s="149"/>
      <c r="F6" s="485"/>
      <c r="G6" s="154"/>
      <c r="H6" s="151"/>
      <c r="I6" s="317"/>
      <c r="J6" s="151"/>
      <c r="K6" s="447"/>
      <c r="L6" s="151"/>
      <c r="M6" s="151"/>
      <c r="N6" s="151"/>
      <c r="O6" s="151"/>
      <c r="P6" s="286"/>
      <c r="Q6" s="149"/>
      <c r="R6" s="151"/>
      <c r="S6" s="151"/>
      <c r="T6" s="151"/>
      <c r="U6" s="151"/>
      <c r="V6" s="151"/>
      <c r="W6" s="151"/>
      <c r="X6" s="151"/>
      <c r="Y6" s="151"/>
      <c r="Z6" s="151"/>
      <c r="AA6" s="151"/>
      <c r="AB6" s="470"/>
      <c r="AC6" s="470"/>
      <c r="AD6" s="151"/>
      <c r="AE6" s="448"/>
      <c r="AF6" s="448"/>
      <c r="AG6" s="448"/>
      <c r="AH6" s="448"/>
      <c r="AI6" s="448"/>
      <c r="AJ6" s="448"/>
      <c r="AK6" s="448"/>
      <c r="AL6" s="448"/>
      <c r="AM6" s="448"/>
      <c r="AN6" s="449"/>
      <c r="AO6" s="448"/>
      <c r="AP6" s="448"/>
      <c r="AQ6" s="448"/>
      <c r="AR6" s="448"/>
      <c r="AS6" s="448"/>
      <c r="AT6" s="450"/>
      <c r="AU6" s="450"/>
      <c r="AV6" s="450"/>
      <c r="AW6" s="450"/>
      <c r="AX6" s="450"/>
      <c r="AY6" s="450"/>
      <c r="AZ6" s="450"/>
      <c r="BA6" s="450"/>
      <c r="BB6" s="450"/>
      <c r="BC6" s="451"/>
      <c r="BD6" s="450"/>
      <c r="BE6" s="450"/>
      <c r="BF6" s="450"/>
      <c r="BG6" s="450"/>
      <c r="BH6" s="450"/>
      <c r="BI6" s="452"/>
      <c r="BJ6" s="452"/>
      <c r="BK6" s="452"/>
      <c r="BL6" s="452"/>
      <c r="BM6" s="452"/>
      <c r="BN6" s="452"/>
      <c r="BO6" s="452"/>
      <c r="BP6" s="452"/>
      <c r="BQ6" s="452"/>
      <c r="BR6" s="453"/>
      <c r="BS6" s="452"/>
      <c r="BT6" s="452"/>
      <c r="BU6" s="452"/>
      <c r="BV6" s="452"/>
      <c r="BW6" s="452"/>
      <c r="BX6" s="454"/>
      <c r="BY6" s="454"/>
      <c r="BZ6" s="454"/>
      <c r="CA6" s="454"/>
      <c r="CB6" s="454"/>
      <c r="CC6" s="454"/>
      <c r="CD6" s="454"/>
      <c r="CE6" s="454"/>
      <c r="CF6" s="454"/>
      <c r="CG6" s="455"/>
      <c r="CH6" s="454"/>
      <c r="CI6" s="454"/>
      <c r="CJ6" s="454"/>
      <c r="CK6" s="454"/>
      <c r="CL6" s="454"/>
      <c r="CM6" s="456"/>
      <c r="CN6" s="456"/>
      <c r="CO6" s="456"/>
      <c r="CP6" s="456"/>
      <c r="CQ6" s="456"/>
      <c r="CR6" s="456"/>
      <c r="CS6" s="456"/>
      <c r="CT6" s="456"/>
      <c r="CU6" s="456"/>
      <c r="CV6" s="457"/>
      <c r="CW6" s="456"/>
      <c r="CX6" s="456"/>
      <c r="CY6" s="456"/>
      <c r="CZ6" s="456"/>
      <c r="DA6" s="456"/>
      <c r="DB6" s="458"/>
      <c r="DC6" s="458"/>
      <c r="DD6" s="458"/>
      <c r="DE6" s="458"/>
      <c r="DF6" s="458"/>
      <c r="DG6" s="458"/>
      <c r="DH6" s="458"/>
      <c r="DI6" s="458"/>
      <c r="DJ6" s="458"/>
      <c r="DK6" s="459"/>
      <c r="DL6" s="458"/>
      <c r="DM6" s="458"/>
      <c r="DN6" s="458"/>
      <c r="DO6" s="458"/>
      <c r="DP6" s="458"/>
      <c r="DQ6" s="460"/>
      <c r="DR6" s="460"/>
      <c r="DS6" s="460"/>
      <c r="DT6" s="460"/>
      <c r="DU6" s="460"/>
      <c r="DV6" s="460"/>
      <c r="DW6" s="460"/>
      <c r="DX6" s="460"/>
      <c r="DY6" s="460"/>
      <c r="DZ6" s="461"/>
      <c r="EA6" s="460"/>
      <c r="EB6" s="460"/>
      <c r="EC6" s="460"/>
      <c r="ED6" s="460"/>
      <c r="EE6" s="460"/>
    </row>
    <row r="7" hidden="1" outlineLevel="1">
      <c r="A7" s="147" t="s">
        <v>237</v>
      </c>
      <c r="B7" s="147" t="s">
        <v>237</v>
      </c>
      <c r="C7" s="151" t="s">
        <v>37</v>
      </c>
      <c r="D7" s="242"/>
      <c r="E7" s="149" t="s">
        <v>455</v>
      </c>
      <c r="F7" s="149"/>
      <c r="G7" s="149" t="s">
        <v>455</v>
      </c>
      <c r="H7" s="149" t="s">
        <v>455</v>
      </c>
      <c r="I7" s="149" t="s">
        <v>455</v>
      </c>
      <c r="J7" s="147"/>
      <c r="K7" s="486" t="s">
        <v>454</v>
      </c>
      <c r="L7" s="147" t="s">
        <v>454</v>
      </c>
      <c r="M7" s="147" t="s">
        <v>454</v>
      </c>
      <c r="N7" s="147" t="s">
        <v>454</v>
      </c>
      <c r="O7" s="147" t="s">
        <v>454</v>
      </c>
      <c r="P7" s="299"/>
      <c r="Q7" s="149"/>
      <c r="R7" s="242" t="s">
        <v>237</v>
      </c>
      <c r="S7" s="151"/>
      <c r="T7" s="242" t="s">
        <v>237</v>
      </c>
      <c r="U7" s="242" t="s">
        <v>237</v>
      </c>
      <c r="V7" s="242" t="s">
        <v>237</v>
      </c>
      <c r="W7" s="151"/>
      <c r="X7" s="242" t="s">
        <v>237</v>
      </c>
      <c r="Y7" s="242" t="s">
        <v>237</v>
      </c>
      <c r="Z7" s="242" t="s">
        <v>237</v>
      </c>
      <c r="AA7" s="151"/>
      <c r="AB7" s="470"/>
      <c r="AC7" s="470"/>
      <c r="AD7" s="242" t="str">
        <f>IFERROR(__xludf.DUMMYFUNCTION("{""Скрыть"",LAMBDA(имена,MAKEARRAY(1,7*15,LAMBDA(ri,ci,  IFERROR( VLOOKUP( MOD((ci-1),15),имена,2,FALSE),""Скрыть""))))
( LAMBDA(theSre,SCAN(-1,TRANSPOSE( Split(theSre,CHAR(32),FALSE)),LAMBDA(t,v,{t+1,v}))) (""Скрыть Показать СкрытьСгрупировать ПоказатьСг"&amp;"рупировать СкрытьСгрупировать ПоказатьСгрупировать СкрытьСгрупировать ПоказатьСгрупировать СкрытьСгрупировать ПоказатьСгрупировать СкрытьСгрупировать ПоказатьСгрупировать СкрытьСгрупировать СкрытьСгрупировать СкрытьСгрупировать"")
)}"),"Скрыть")</f>
        <v>Скрыть</v>
      </c>
      <c r="AE7" s="463" t="str">
        <f>IFERROR(__xludf.DUMMYFUNCTION("""COMPUTED_VALUE"""),"Скрыть")</f>
        <v>Скрыть</v>
      </c>
      <c r="AF7" s="448" t="str">
        <f>IFERROR(__xludf.DUMMYFUNCTION("""COMPUTED_VALUE"""),"Показать")</f>
        <v>Показать</v>
      </c>
      <c r="AG7" s="463" t="str">
        <f>IFERROR(__xludf.DUMMYFUNCTION("""COMPUTED_VALUE"""),"СкрытьСгрупировать")</f>
        <v>СкрытьСгрупировать</v>
      </c>
      <c r="AH7" s="448" t="str">
        <f>IFERROR(__xludf.DUMMYFUNCTION("""COMPUTED_VALUE"""),"ПоказатьСгрупировать")</f>
        <v>ПоказатьСгрупировать</v>
      </c>
      <c r="AI7" s="463" t="str">
        <f>IFERROR(__xludf.DUMMYFUNCTION("""COMPUTED_VALUE"""),"СкрытьСгрупировать")</f>
        <v>СкрытьСгрупировать</v>
      </c>
      <c r="AJ7" s="448" t="str">
        <f>IFERROR(__xludf.DUMMYFUNCTION("""COMPUTED_VALUE"""),"ПоказатьСгрупировать")</f>
        <v>ПоказатьСгрупировать</v>
      </c>
      <c r="AK7" s="463" t="str">
        <f>IFERROR(__xludf.DUMMYFUNCTION("""COMPUTED_VALUE"""),"СкрытьСгрупировать")</f>
        <v>СкрытьСгрупировать</v>
      </c>
      <c r="AL7" s="448" t="str">
        <f>IFERROR(__xludf.DUMMYFUNCTION("""COMPUTED_VALUE"""),"ПоказатьСгрупировать")</f>
        <v>ПоказатьСгрупировать</v>
      </c>
      <c r="AM7" s="463" t="str">
        <f>IFERROR(__xludf.DUMMYFUNCTION("""COMPUTED_VALUE"""),"СкрытьСгрупировать")</f>
        <v>СкрытьСгрупировать</v>
      </c>
      <c r="AN7" s="449" t="str">
        <f>IFERROR(__xludf.DUMMYFUNCTION("""COMPUTED_VALUE"""),"ПоказатьСгрупировать")</f>
        <v>ПоказатьСгрупировать</v>
      </c>
      <c r="AO7" s="463" t="str">
        <f>IFERROR(__xludf.DUMMYFUNCTION("""COMPUTED_VALUE"""),"СкрытьСгрупировать")</f>
        <v>СкрытьСгрупировать</v>
      </c>
      <c r="AP7" s="448" t="str">
        <f>IFERROR(__xludf.DUMMYFUNCTION("""COMPUTED_VALUE"""),"ПоказатьСгрупировать")</f>
        <v>ПоказатьСгрупировать</v>
      </c>
      <c r="AQ7" s="463" t="str">
        <f>IFERROR(__xludf.DUMMYFUNCTION("""COMPUTED_VALUE"""),"СкрытьСгрупировать")</f>
        <v>СкрытьСгрупировать</v>
      </c>
      <c r="AR7" s="463" t="str">
        <f>IFERROR(__xludf.DUMMYFUNCTION("""COMPUTED_VALUE"""),"СкрытьСгрупировать")</f>
        <v>СкрытьСгрупировать</v>
      </c>
      <c r="AS7" s="463" t="str">
        <f>IFERROR(__xludf.DUMMYFUNCTION("""COMPUTED_VALUE"""),"СкрытьСгрупировать")</f>
        <v>СкрытьСгрупировать</v>
      </c>
      <c r="AT7" s="464" t="str">
        <f>IFERROR(__xludf.DUMMYFUNCTION("""COMPUTED_VALUE"""),"Скрыть")</f>
        <v>Скрыть</v>
      </c>
      <c r="AU7" s="450" t="str">
        <f>IFERROR(__xludf.DUMMYFUNCTION("""COMPUTED_VALUE"""),"Показать")</f>
        <v>Показать</v>
      </c>
      <c r="AV7" s="464" t="str">
        <f>IFERROR(__xludf.DUMMYFUNCTION("""COMPUTED_VALUE"""),"СкрытьСгрупировать")</f>
        <v>СкрытьСгрупировать</v>
      </c>
      <c r="AW7" s="450" t="str">
        <f>IFERROR(__xludf.DUMMYFUNCTION("""COMPUTED_VALUE"""),"ПоказатьСгрупировать")</f>
        <v>ПоказатьСгрупировать</v>
      </c>
      <c r="AX7" s="464" t="str">
        <f>IFERROR(__xludf.DUMMYFUNCTION("""COMPUTED_VALUE"""),"СкрытьСгрупировать")</f>
        <v>СкрытьСгрупировать</v>
      </c>
      <c r="AY7" s="450" t="str">
        <f>IFERROR(__xludf.DUMMYFUNCTION("""COMPUTED_VALUE"""),"ПоказатьСгрупировать")</f>
        <v>ПоказатьСгрупировать</v>
      </c>
      <c r="AZ7" s="464" t="str">
        <f>IFERROR(__xludf.DUMMYFUNCTION("""COMPUTED_VALUE"""),"СкрытьСгрупировать")</f>
        <v>СкрытьСгрупировать</v>
      </c>
      <c r="BA7" s="450" t="str">
        <f>IFERROR(__xludf.DUMMYFUNCTION("""COMPUTED_VALUE"""),"ПоказатьСгрупировать")</f>
        <v>ПоказатьСгрупировать</v>
      </c>
      <c r="BB7" s="464" t="str">
        <f>IFERROR(__xludf.DUMMYFUNCTION("""COMPUTED_VALUE"""),"СкрытьСгрупировать")</f>
        <v>СкрытьСгрупировать</v>
      </c>
      <c r="BC7" s="451" t="str">
        <f>IFERROR(__xludf.DUMMYFUNCTION("""COMPUTED_VALUE"""),"ПоказатьСгрупировать")</f>
        <v>ПоказатьСгрупировать</v>
      </c>
      <c r="BD7" s="464" t="str">
        <f>IFERROR(__xludf.DUMMYFUNCTION("""COMPUTED_VALUE"""),"СкрытьСгрупировать")</f>
        <v>СкрытьСгрупировать</v>
      </c>
      <c r="BE7" s="450" t="str">
        <f>IFERROR(__xludf.DUMMYFUNCTION("""COMPUTED_VALUE"""),"ПоказатьСгрупировать")</f>
        <v>ПоказатьСгрупировать</v>
      </c>
      <c r="BF7" s="464" t="str">
        <f>IFERROR(__xludf.DUMMYFUNCTION("""COMPUTED_VALUE"""),"СкрытьСгрупировать")</f>
        <v>СкрытьСгрупировать</v>
      </c>
      <c r="BG7" s="464" t="str">
        <f>IFERROR(__xludf.DUMMYFUNCTION("""COMPUTED_VALUE"""),"СкрытьСгрупировать")</f>
        <v>СкрытьСгрупировать</v>
      </c>
      <c r="BH7" s="464" t="str">
        <f>IFERROR(__xludf.DUMMYFUNCTION("""COMPUTED_VALUE"""),"СкрытьСгрупировать")</f>
        <v>СкрытьСгрупировать</v>
      </c>
      <c r="BI7" s="465" t="str">
        <f>IFERROR(__xludf.DUMMYFUNCTION("""COMPUTED_VALUE"""),"Скрыть")</f>
        <v>Скрыть</v>
      </c>
      <c r="BJ7" s="452" t="str">
        <f>IFERROR(__xludf.DUMMYFUNCTION("""COMPUTED_VALUE"""),"Показать")</f>
        <v>Показать</v>
      </c>
      <c r="BK7" s="465" t="str">
        <f>IFERROR(__xludf.DUMMYFUNCTION("""COMPUTED_VALUE"""),"СкрытьСгрупировать")</f>
        <v>СкрытьСгрупировать</v>
      </c>
      <c r="BL7" s="452" t="str">
        <f>IFERROR(__xludf.DUMMYFUNCTION("""COMPUTED_VALUE"""),"ПоказатьСгрупировать")</f>
        <v>ПоказатьСгрупировать</v>
      </c>
      <c r="BM7" s="465" t="str">
        <f>IFERROR(__xludf.DUMMYFUNCTION("""COMPUTED_VALUE"""),"СкрытьСгрупировать")</f>
        <v>СкрытьСгрупировать</v>
      </c>
      <c r="BN7" s="452" t="str">
        <f>IFERROR(__xludf.DUMMYFUNCTION("""COMPUTED_VALUE"""),"ПоказатьСгрупировать")</f>
        <v>ПоказатьСгрупировать</v>
      </c>
      <c r="BO7" s="465" t="str">
        <f>IFERROR(__xludf.DUMMYFUNCTION("""COMPUTED_VALUE"""),"СкрытьСгрупировать")</f>
        <v>СкрытьСгрупировать</v>
      </c>
      <c r="BP7" s="452" t="str">
        <f>IFERROR(__xludf.DUMMYFUNCTION("""COMPUTED_VALUE"""),"ПоказатьСгрупировать")</f>
        <v>ПоказатьСгрупировать</v>
      </c>
      <c r="BQ7" s="465" t="str">
        <f>IFERROR(__xludf.DUMMYFUNCTION("""COMPUTED_VALUE"""),"СкрытьСгрупировать")</f>
        <v>СкрытьСгрупировать</v>
      </c>
      <c r="BR7" s="453" t="str">
        <f>IFERROR(__xludf.DUMMYFUNCTION("""COMPUTED_VALUE"""),"ПоказатьСгрупировать")</f>
        <v>ПоказатьСгрупировать</v>
      </c>
      <c r="BS7" s="465" t="str">
        <f>IFERROR(__xludf.DUMMYFUNCTION("""COMPUTED_VALUE"""),"СкрытьСгрупировать")</f>
        <v>СкрытьСгрупировать</v>
      </c>
      <c r="BT7" s="452" t="str">
        <f>IFERROR(__xludf.DUMMYFUNCTION("""COMPUTED_VALUE"""),"ПоказатьСгрупировать")</f>
        <v>ПоказатьСгрупировать</v>
      </c>
      <c r="BU7" s="465" t="str">
        <f>IFERROR(__xludf.DUMMYFUNCTION("""COMPUTED_VALUE"""),"СкрытьСгрупировать")</f>
        <v>СкрытьСгрупировать</v>
      </c>
      <c r="BV7" s="465" t="str">
        <f>IFERROR(__xludf.DUMMYFUNCTION("""COMPUTED_VALUE"""),"СкрытьСгрупировать")</f>
        <v>СкрытьСгрупировать</v>
      </c>
      <c r="BW7" s="465" t="str">
        <f>IFERROR(__xludf.DUMMYFUNCTION("""COMPUTED_VALUE"""),"СкрытьСгрупировать")</f>
        <v>СкрытьСгрупировать</v>
      </c>
      <c r="BX7" s="466" t="str">
        <f>IFERROR(__xludf.DUMMYFUNCTION("""COMPUTED_VALUE"""),"Скрыть")</f>
        <v>Скрыть</v>
      </c>
      <c r="BY7" s="454" t="str">
        <f>IFERROR(__xludf.DUMMYFUNCTION("""COMPUTED_VALUE"""),"Показать")</f>
        <v>Показать</v>
      </c>
      <c r="BZ7" s="466" t="str">
        <f>IFERROR(__xludf.DUMMYFUNCTION("""COMPUTED_VALUE"""),"СкрытьСгрупировать")</f>
        <v>СкрытьСгрупировать</v>
      </c>
      <c r="CA7" s="454" t="str">
        <f>IFERROR(__xludf.DUMMYFUNCTION("""COMPUTED_VALUE"""),"ПоказатьСгрупировать")</f>
        <v>ПоказатьСгрупировать</v>
      </c>
      <c r="CB7" s="466" t="str">
        <f>IFERROR(__xludf.DUMMYFUNCTION("""COMPUTED_VALUE"""),"СкрытьСгрупировать")</f>
        <v>СкрытьСгрупировать</v>
      </c>
      <c r="CC7" s="454" t="str">
        <f>IFERROR(__xludf.DUMMYFUNCTION("""COMPUTED_VALUE"""),"ПоказатьСгрупировать")</f>
        <v>ПоказатьСгрупировать</v>
      </c>
      <c r="CD7" s="466" t="str">
        <f>IFERROR(__xludf.DUMMYFUNCTION("""COMPUTED_VALUE"""),"СкрытьСгрупировать")</f>
        <v>СкрытьСгрупировать</v>
      </c>
      <c r="CE7" s="454" t="str">
        <f>IFERROR(__xludf.DUMMYFUNCTION("""COMPUTED_VALUE"""),"ПоказатьСгрупировать")</f>
        <v>ПоказатьСгрупировать</v>
      </c>
      <c r="CF7" s="466" t="str">
        <f>IFERROR(__xludf.DUMMYFUNCTION("""COMPUTED_VALUE"""),"СкрытьСгрупировать")</f>
        <v>СкрытьСгрупировать</v>
      </c>
      <c r="CG7" s="455" t="str">
        <f>IFERROR(__xludf.DUMMYFUNCTION("""COMPUTED_VALUE"""),"ПоказатьСгрупировать")</f>
        <v>ПоказатьСгрупировать</v>
      </c>
      <c r="CH7" s="466" t="str">
        <f>IFERROR(__xludf.DUMMYFUNCTION("""COMPUTED_VALUE"""),"СкрытьСгрупировать")</f>
        <v>СкрытьСгрупировать</v>
      </c>
      <c r="CI7" s="454" t="str">
        <f>IFERROR(__xludf.DUMMYFUNCTION("""COMPUTED_VALUE"""),"ПоказатьСгрупировать")</f>
        <v>ПоказатьСгрупировать</v>
      </c>
      <c r="CJ7" s="466" t="str">
        <f>IFERROR(__xludf.DUMMYFUNCTION("""COMPUTED_VALUE"""),"СкрытьСгрупировать")</f>
        <v>СкрытьСгрупировать</v>
      </c>
      <c r="CK7" s="466" t="str">
        <f>IFERROR(__xludf.DUMMYFUNCTION("""COMPUTED_VALUE"""),"СкрытьСгрупировать")</f>
        <v>СкрытьСгрупировать</v>
      </c>
      <c r="CL7" s="466" t="str">
        <f>IFERROR(__xludf.DUMMYFUNCTION("""COMPUTED_VALUE"""),"СкрытьСгрупировать")</f>
        <v>СкрытьСгрупировать</v>
      </c>
      <c r="CM7" s="467" t="str">
        <f>IFERROR(__xludf.DUMMYFUNCTION("""COMPUTED_VALUE"""),"Скрыть")</f>
        <v>Скрыть</v>
      </c>
      <c r="CN7" s="456" t="str">
        <f>IFERROR(__xludf.DUMMYFUNCTION("""COMPUTED_VALUE"""),"Показать")</f>
        <v>Показать</v>
      </c>
      <c r="CO7" s="467" t="str">
        <f>IFERROR(__xludf.DUMMYFUNCTION("""COMPUTED_VALUE"""),"СкрытьСгрупировать")</f>
        <v>СкрытьСгрупировать</v>
      </c>
      <c r="CP7" s="456" t="str">
        <f>IFERROR(__xludf.DUMMYFUNCTION("""COMPUTED_VALUE"""),"ПоказатьСгрупировать")</f>
        <v>ПоказатьСгрупировать</v>
      </c>
      <c r="CQ7" s="467" t="str">
        <f>IFERROR(__xludf.DUMMYFUNCTION("""COMPUTED_VALUE"""),"СкрытьСгрупировать")</f>
        <v>СкрытьСгрупировать</v>
      </c>
      <c r="CR7" s="456" t="str">
        <f>IFERROR(__xludf.DUMMYFUNCTION("""COMPUTED_VALUE"""),"ПоказатьСгрупировать")</f>
        <v>ПоказатьСгрупировать</v>
      </c>
      <c r="CS7" s="467" t="str">
        <f>IFERROR(__xludf.DUMMYFUNCTION("""COMPUTED_VALUE"""),"СкрытьСгрупировать")</f>
        <v>СкрытьСгрупировать</v>
      </c>
      <c r="CT7" s="456" t="str">
        <f>IFERROR(__xludf.DUMMYFUNCTION("""COMPUTED_VALUE"""),"ПоказатьСгрупировать")</f>
        <v>ПоказатьСгрупировать</v>
      </c>
      <c r="CU7" s="467" t="str">
        <f>IFERROR(__xludf.DUMMYFUNCTION("""COMPUTED_VALUE"""),"СкрытьСгрупировать")</f>
        <v>СкрытьСгрупировать</v>
      </c>
      <c r="CV7" s="457" t="str">
        <f>IFERROR(__xludf.DUMMYFUNCTION("""COMPUTED_VALUE"""),"ПоказатьСгрупировать")</f>
        <v>ПоказатьСгрупировать</v>
      </c>
      <c r="CW7" s="467" t="str">
        <f>IFERROR(__xludf.DUMMYFUNCTION("""COMPUTED_VALUE"""),"СкрытьСгрупировать")</f>
        <v>СкрытьСгрупировать</v>
      </c>
      <c r="CX7" s="456" t="str">
        <f>IFERROR(__xludf.DUMMYFUNCTION("""COMPUTED_VALUE"""),"ПоказатьСгрупировать")</f>
        <v>ПоказатьСгрупировать</v>
      </c>
      <c r="CY7" s="467" t="str">
        <f>IFERROR(__xludf.DUMMYFUNCTION("""COMPUTED_VALUE"""),"СкрытьСгрупировать")</f>
        <v>СкрытьСгрупировать</v>
      </c>
      <c r="CZ7" s="467" t="str">
        <f>IFERROR(__xludf.DUMMYFUNCTION("""COMPUTED_VALUE"""),"СкрытьСгрупировать")</f>
        <v>СкрытьСгрупировать</v>
      </c>
      <c r="DA7" s="467" t="str">
        <f>IFERROR(__xludf.DUMMYFUNCTION("""COMPUTED_VALUE"""),"СкрытьСгрупировать")</f>
        <v>СкрытьСгрупировать</v>
      </c>
      <c r="DB7" s="212" t="str">
        <f>IFERROR(__xludf.DUMMYFUNCTION("""COMPUTED_VALUE"""),"Скрыть")</f>
        <v>Скрыть</v>
      </c>
      <c r="DC7" s="458" t="str">
        <f>IFERROR(__xludf.DUMMYFUNCTION("""COMPUTED_VALUE"""),"Показать")</f>
        <v>Показать</v>
      </c>
      <c r="DD7" s="212" t="str">
        <f>IFERROR(__xludf.DUMMYFUNCTION("""COMPUTED_VALUE"""),"СкрытьСгрупировать")</f>
        <v>СкрытьСгрупировать</v>
      </c>
      <c r="DE7" s="458" t="str">
        <f>IFERROR(__xludf.DUMMYFUNCTION("""COMPUTED_VALUE"""),"ПоказатьСгрупировать")</f>
        <v>ПоказатьСгрупировать</v>
      </c>
      <c r="DF7" s="212" t="str">
        <f>IFERROR(__xludf.DUMMYFUNCTION("""COMPUTED_VALUE"""),"СкрытьСгрупировать")</f>
        <v>СкрытьСгрупировать</v>
      </c>
      <c r="DG7" s="458" t="str">
        <f>IFERROR(__xludf.DUMMYFUNCTION("""COMPUTED_VALUE"""),"ПоказатьСгрупировать")</f>
        <v>ПоказатьСгрупировать</v>
      </c>
      <c r="DH7" s="212" t="str">
        <f>IFERROR(__xludf.DUMMYFUNCTION("""COMPUTED_VALUE"""),"СкрытьСгрупировать")</f>
        <v>СкрытьСгрупировать</v>
      </c>
      <c r="DI7" s="458" t="str">
        <f>IFERROR(__xludf.DUMMYFUNCTION("""COMPUTED_VALUE"""),"ПоказатьСгрупировать")</f>
        <v>ПоказатьСгрупировать</v>
      </c>
      <c r="DJ7" s="212" t="str">
        <f>IFERROR(__xludf.DUMMYFUNCTION("""COMPUTED_VALUE"""),"СкрытьСгрупировать")</f>
        <v>СкрытьСгрупировать</v>
      </c>
      <c r="DK7" s="459" t="str">
        <f>IFERROR(__xludf.DUMMYFUNCTION("""COMPUTED_VALUE"""),"ПоказатьСгрупировать")</f>
        <v>ПоказатьСгрупировать</v>
      </c>
      <c r="DL7" s="212" t="str">
        <f>IFERROR(__xludf.DUMMYFUNCTION("""COMPUTED_VALUE"""),"СкрытьСгрупировать")</f>
        <v>СкрытьСгрупировать</v>
      </c>
      <c r="DM7" s="458" t="str">
        <f>IFERROR(__xludf.DUMMYFUNCTION("""COMPUTED_VALUE"""),"ПоказатьСгрупировать")</f>
        <v>ПоказатьСгрупировать</v>
      </c>
      <c r="DN7" s="212" t="str">
        <f>IFERROR(__xludf.DUMMYFUNCTION("""COMPUTED_VALUE"""),"СкрытьСгрупировать")</f>
        <v>СкрытьСгрупировать</v>
      </c>
      <c r="DO7" s="212" t="str">
        <f>IFERROR(__xludf.DUMMYFUNCTION("""COMPUTED_VALUE"""),"СкрытьСгрупировать")</f>
        <v>СкрытьСгрупировать</v>
      </c>
      <c r="DP7" s="212" t="str">
        <f>IFERROR(__xludf.DUMMYFUNCTION("""COMPUTED_VALUE"""),"СкрытьСгрупировать")</f>
        <v>СкрытьСгрупировать</v>
      </c>
      <c r="DQ7" s="243" t="str">
        <f>IFERROR(__xludf.DUMMYFUNCTION("""COMPUTED_VALUE"""),"Скрыть")</f>
        <v>Скрыть</v>
      </c>
      <c r="DR7" s="460" t="str">
        <f>IFERROR(__xludf.DUMMYFUNCTION("""COMPUTED_VALUE"""),"Показать")</f>
        <v>Показать</v>
      </c>
      <c r="DS7" s="243" t="str">
        <f>IFERROR(__xludf.DUMMYFUNCTION("""COMPUTED_VALUE"""),"СкрытьСгрупировать")</f>
        <v>СкрытьСгрупировать</v>
      </c>
      <c r="DT7" s="460" t="str">
        <f>IFERROR(__xludf.DUMMYFUNCTION("""COMPUTED_VALUE"""),"ПоказатьСгрупировать")</f>
        <v>ПоказатьСгрупировать</v>
      </c>
      <c r="DU7" s="243" t="str">
        <f>IFERROR(__xludf.DUMMYFUNCTION("""COMPUTED_VALUE"""),"СкрытьСгрупировать")</f>
        <v>СкрытьСгрупировать</v>
      </c>
      <c r="DV7" s="460" t="str">
        <f>IFERROR(__xludf.DUMMYFUNCTION("""COMPUTED_VALUE"""),"ПоказатьСгрупировать")</f>
        <v>ПоказатьСгрупировать</v>
      </c>
      <c r="DW7" s="243" t="str">
        <f>IFERROR(__xludf.DUMMYFUNCTION("""COMPUTED_VALUE"""),"СкрытьСгрупировать")</f>
        <v>СкрытьСгрупировать</v>
      </c>
      <c r="DX7" s="460" t="str">
        <f>IFERROR(__xludf.DUMMYFUNCTION("""COMPUTED_VALUE"""),"ПоказатьСгрупировать")</f>
        <v>ПоказатьСгрупировать</v>
      </c>
      <c r="DY7" s="243" t="str">
        <f>IFERROR(__xludf.DUMMYFUNCTION("""COMPUTED_VALUE"""),"СкрытьСгрупировать")</f>
        <v>СкрытьСгрупировать</v>
      </c>
      <c r="DZ7" s="461" t="str">
        <f>IFERROR(__xludf.DUMMYFUNCTION("""COMPUTED_VALUE"""),"ПоказатьСгрупировать")</f>
        <v>ПоказатьСгрупировать</v>
      </c>
      <c r="EA7" s="243" t="str">
        <f>IFERROR(__xludf.DUMMYFUNCTION("""COMPUTED_VALUE"""),"СкрытьСгрупировать")</f>
        <v>СкрытьСгрупировать</v>
      </c>
      <c r="EB7" s="460" t="str">
        <f>IFERROR(__xludf.DUMMYFUNCTION("""COMPUTED_VALUE"""),"ПоказатьСгрупировать")</f>
        <v>ПоказатьСгрупировать</v>
      </c>
      <c r="EC7" s="243" t="str">
        <f>IFERROR(__xludf.DUMMYFUNCTION("""COMPUTED_VALUE"""),"СкрытьСгрупировать")</f>
        <v>СкрытьСгрупировать</v>
      </c>
      <c r="ED7" s="243" t="str">
        <f>IFERROR(__xludf.DUMMYFUNCTION("""COMPUTED_VALUE"""),"СкрытьСгрупировать")</f>
        <v>СкрытьСгрупировать</v>
      </c>
      <c r="EE7" s="243" t="str">
        <f>IFERROR(__xludf.DUMMYFUNCTION("""COMPUTED_VALUE"""),"СкрытьСгрупировать")</f>
        <v>СкрытьСгрупировать</v>
      </c>
    </row>
    <row r="8" hidden="1" outlineLevel="1">
      <c r="A8" s="151"/>
      <c r="B8" s="151"/>
      <c r="C8" s="151" t="s">
        <v>39</v>
      </c>
      <c r="D8" s="151"/>
      <c r="E8" s="149"/>
      <c r="F8" s="154"/>
      <c r="G8" s="154"/>
      <c r="H8" s="151"/>
      <c r="I8" s="310"/>
      <c r="J8" s="151"/>
      <c r="K8" s="447"/>
      <c r="L8" s="151"/>
      <c r="M8" s="151"/>
      <c r="N8" s="151"/>
      <c r="O8" s="151"/>
      <c r="P8" s="286"/>
      <c r="Q8" s="149"/>
      <c r="R8" s="242"/>
      <c r="S8" s="151"/>
      <c r="T8" s="151"/>
      <c r="U8" s="242"/>
      <c r="V8" s="151"/>
      <c r="W8" s="151"/>
      <c r="X8" s="151"/>
      <c r="Y8" s="151"/>
      <c r="Z8" s="151"/>
      <c r="AA8" s="151"/>
      <c r="AB8" s="470"/>
      <c r="AC8" s="470"/>
      <c r="AD8" s="242"/>
      <c r="AE8" s="463"/>
      <c r="AF8" s="448"/>
      <c r="AG8" s="463"/>
      <c r="AH8" s="448"/>
      <c r="AI8" s="463"/>
      <c r="AJ8" s="448"/>
      <c r="AK8" s="463"/>
      <c r="AL8" s="448"/>
      <c r="AM8" s="463"/>
      <c r="AN8" s="449"/>
      <c r="AO8" s="463"/>
      <c r="AP8" s="448"/>
      <c r="AQ8" s="463"/>
      <c r="AR8" s="463"/>
      <c r="AS8" s="463"/>
      <c r="AT8" s="464"/>
      <c r="AU8" s="450"/>
      <c r="AV8" s="464"/>
      <c r="AW8" s="450"/>
      <c r="AX8" s="464"/>
      <c r="AY8" s="450"/>
      <c r="AZ8" s="464"/>
      <c r="BA8" s="450"/>
      <c r="BB8" s="464"/>
      <c r="BC8" s="451"/>
      <c r="BD8" s="464"/>
      <c r="BE8" s="450"/>
      <c r="BF8" s="464"/>
      <c r="BG8" s="464"/>
      <c r="BH8" s="464"/>
      <c r="BI8" s="465"/>
      <c r="BJ8" s="452"/>
      <c r="BK8" s="465"/>
      <c r="BL8" s="452"/>
      <c r="BM8" s="465"/>
      <c r="BN8" s="452"/>
      <c r="BO8" s="465"/>
      <c r="BP8" s="452"/>
      <c r="BQ8" s="465"/>
      <c r="BR8" s="453"/>
      <c r="BS8" s="465"/>
      <c r="BT8" s="452"/>
      <c r="BU8" s="465"/>
      <c r="BV8" s="465"/>
      <c r="BW8" s="465"/>
      <c r="BX8" s="466"/>
      <c r="BY8" s="454"/>
      <c r="BZ8" s="466"/>
      <c r="CA8" s="454"/>
      <c r="CB8" s="466"/>
      <c r="CC8" s="454"/>
      <c r="CD8" s="466"/>
      <c r="CE8" s="454"/>
      <c r="CF8" s="466"/>
      <c r="CG8" s="455"/>
      <c r="CH8" s="466"/>
      <c r="CI8" s="454"/>
      <c r="CJ8" s="466"/>
      <c r="CK8" s="466"/>
      <c r="CL8" s="466"/>
      <c r="CM8" s="467"/>
      <c r="CN8" s="456"/>
      <c r="CO8" s="467"/>
      <c r="CP8" s="456"/>
      <c r="CQ8" s="467"/>
      <c r="CR8" s="456"/>
      <c r="CS8" s="467"/>
      <c r="CT8" s="456"/>
      <c r="CU8" s="467"/>
      <c r="CV8" s="457"/>
      <c r="CW8" s="467"/>
      <c r="CX8" s="456"/>
      <c r="CY8" s="467"/>
      <c r="CZ8" s="467"/>
      <c r="DA8" s="467"/>
      <c r="DB8" s="212"/>
      <c r="DC8" s="458"/>
      <c r="DD8" s="212"/>
      <c r="DE8" s="458"/>
      <c r="DF8" s="212"/>
      <c r="DG8" s="458"/>
      <c r="DH8" s="212"/>
      <c r="DI8" s="458"/>
      <c r="DJ8" s="212"/>
      <c r="DK8" s="459"/>
      <c r="DL8" s="212"/>
      <c r="DM8" s="458"/>
      <c r="DN8" s="212"/>
      <c r="DO8" s="212"/>
      <c r="DP8" s="212"/>
      <c r="DQ8" s="243"/>
      <c r="DR8" s="460"/>
      <c r="DS8" s="243"/>
      <c r="DT8" s="460"/>
      <c r="DU8" s="243"/>
      <c r="DV8" s="460"/>
      <c r="DW8" s="243"/>
      <c r="DX8" s="460"/>
      <c r="DY8" s="243"/>
      <c r="DZ8" s="461"/>
      <c r="EA8" s="243"/>
      <c r="EB8" s="460"/>
      <c r="EC8" s="243"/>
      <c r="ED8" s="243"/>
      <c r="EE8" s="243"/>
    </row>
    <row r="9" hidden="1" outlineLevel="1">
      <c r="A9" s="151"/>
      <c r="B9" s="151"/>
      <c r="C9" s="446" t="s">
        <v>44</v>
      </c>
      <c r="D9" s="151"/>
      <c r="E9" s="149"/>
      <c r="F9" s="154"/>
      <c r="G9" s="154"/>
      <c r="H9" s="151"/>
      <c r="I9" s="310"/>
      <c r="J9" s="151"/>
      <c r="K9" s="447"/>
      <c r="L9" s="151"/>
      <c r="M9" s="151"/>
      <c r="N9" s="151"/>
      <c r="O9" s="151"/>
      <c r="P9" s="286"/>
      <c r="Q9" s="149"/>
      <c r="R9" s="151"/>
      <c r="S9" s="151"/>
      <c r="T9" s="151"/>
      <c r="U9" s="151"/>
      <c r="V9" s="151"/>
      <c r="W9" s="151"/>
      <c r="X9" s="151"/>
      <c r="Y9" s="151"/>
      <c r="Z9" s="151"/>
      <c r="AA9" s="151"/>
      <c r="AB9" s="470"/>
      <c r="AC9" s="470"/>
      <c r="AD9" s="151"/>
      <c r="AE9" s="448"/>
      <c r="AF9" s="448"/>
      <c r="AG9" s="448"/>
      <c r="AH9" s="448"/>
      <c r="AI9" s="448"/>
      <c r="AJ9" s="448"/>
      <c r="AK9" s="448"/>
      <c r="AL9" s="448"/>
      <c r="AM9" s="448"/>
      <c r="AN9" s="449"/>
      <c r="AO9" s="448"/>
      <c r="AP9" s="448"/>
      <c r="AQ9" s="448"/>
      <c r="AR9" s="448"/>
      <c r="AS9" s="448"/>
      <c r="AT9" s="450"/>
      <c r="AU9" s="450"/>
      <c r="AV9" s="450"/>
      <c r="AW9" s="450"/>
      <c r="AX9" s="450"/>
      <c r="AY9" s="450"/>
      <c r="AZ9" s="450"/>
      <c r="BA9" s="450"/>
      <c r="BB9" s="450"/>
      <c r="BC9" s="451"/>
      <c r="BD9" s="450"/>
      <c r="BE9" s="450"/>
      <c r="BF9" s="450"/>
      <c r="BG9" s="450"/>
      <c r="BH9" s="450"/>
      <c r="BI9" s="452"/>
      <c r="BJ9" s="452"/>
      <c r="BK9" s="452"/>
      <c r="BL9" s="452"/>
      <c r="BM9" s="452"/>
      <c r="BN9" s="452"/>
      <c r="BO9" s="452"/>
      <c r="BP9" s="452"/>
      <c r="BQ9" s="452"/>
      <c r="BR9" s="453"/>
      <c r="BS9" s="452"/>
      <c r="BT9" s="452"/>
      <c r="BU9" s="452"/>
      <c r="BV9" s="452"/>
      <c r="BW9" s="452"/>
      <c r="BX9" s="454"/>
      <c r="BY9" s="454"/>
      <c r="BZ9" s="454"/>
      <c r="CA9" s="454"/>
      <c r="CB9" s="454"/>
      <c r="CC9" s="454"/>
      <c r="CD9" s="454"/>
      <c r="CE9" s="454"/>
      <c r="CF9" s="454"/>
      <c r="CG9" s="455"/>
      <c r="CH9" s="454"/>
      <c r="CI9" s="454"/>
      <c r="CJ9" s="454"/>
      <c r="CK9" s="454"/>
      <c r="CL9" s="454"/>
      <c r="CM9" s="456"/>
      <c r="CN9" s="456"/>
      <c r="CO9" s="456"/>
      <c r="CP9" s="456"/>
      <c r="CQ9" s="456"/>
      <c r="CR9" s="456"/>
      <c r="CS9" s="456"/>
      <c r="CT9" s="456"/>
      <c r="CU9" s="456"/>
      <c r="CV9" s="457"/>
      <c r="CW9" s="456"/>
      <c r="CX9" s="456"/>
      <c r="CY9" s="456"/>
      <c r="CZ9" s="456"/>
      <c r="DA9" s="456"/>
      <c r="DB9" s="458"/>
      <c r="DC9" s="458"/>
      <c r="DD9" s="458"/>
      <c r="DE9" s="458"/>
      <c r="DF9" s="458"/>
      <c r="DG9" s="458"/>
      <c r="DH9" s="458"/>
      <c r="DI9" s="458"/>
      <c r="DJ9" s="458"/>
      <c r="DK9" s="459"/>
      <c r="DL9" s="458"/>
      <c r="DM9" s="458"/>
      <c r="DN9" s="458"/>
      <c r="DO9" s="458"/>
      <c r="DP9" s="458"/>
      <c r="DQ9" s="460"/>
      <c r="DR9" s="460"/>
      <c r="DS9" s="460"/>
      <c r="DT9" s="460"/>
      <c r="DU9" s="460"/>
      <c r="DV9" s="460"/>
      <c r="DW9" s="460"/>
      <c r="DX9" s="460"/>
      <c r="DY9" s="460"/>
      <c r="DZ9" s="461"/>
      <c r="EA9" s="460"/>
      <c r="EB9" s="460"/>
      <c r="EC9" s="460"/>
      <c r="ED9" s="460"/>
      <c r="EE9" s="460"/>
    </row>
    <row r="10" collapsed="1">
      <c r="A10" s="487" t="s">
        <v>556</v>
      </c>
      <c r="B10" s="487" t="str">
        <f>'5-0 Товары'!B10</f>
        <v>Исключить по причине</v>
      </c>
      <c r="C10" s="488" t="str">
        <f>'5-1 Сбор КП Закупки'!C10</f>
        <v>ID_Товара</v>
      </c>
      <c r="D10" s="161" t="str">
        <f>'5-1 Сбор КП Закупки'!D10</f>
        <v>№</v>
      </c>
      <c r="E10" s="161" t="str">
        <f>'5-1 Сбор КП Закупки'!E10</f>
        <v>Номенклатура</v>
      </c>
      <c r="F10" s="161" t="str">
        <f>'5-1 Сбор КП Закупки'!F10</f>
        <v>Название товара по договору</v>
      </c>
      <c r="G10" s="161" t="str">
        <f>'5-1 Сбор КП Закупки'!G10</f>
        <v>Изготовитель товара по договору</v>
      </c>
      <c r="H10" s="161" t="str">
        <f>'5-1 Сбор КП Закупки'!H10</f>
        <v>Характеристики</v>
      </c>
      <c r="I10" s="161" t="str">
        <f>'5-1 Сбор КП Закупки'!I10</f>
        <v>Состав поставляемой с продукцией технической документации</v>
      </c>
      <c r="J10" s="489" t="str">
        <f t="array" ref="J10:J46">{"Группа";IFERROR( VLOOKUP(C11:C46,{ '5-0 Товары'!C11:C319,IF('5-0 Товары'!M11:M319&lt;&gt;"","5-1 "&amp;'5-0 Товары'!M11:M319, IF('5-0 Товары'!L11:L319&lt;&gt;"", "1-1 "&amp;'5-0 Товары'!L11:L319,))},2,0),)}</f>
        <v>Группа</v>
      </c>
      <c r="K10" s="48" t="str">
        <f>'5-1 Сбор КП Закупки'!G10</f>
        <v>Изготовитель товара по договору</v>
      </c>
      <c r="L10" s="48" t="str">
        <f>'5-1 Сбор КП Закупки'!K10</f>
        <v>Кол-во</v>
      </c>
      <c r="M10" s="490" t="str">
        <f t="array" ref="M10:M310">{"Цена";LAMBDA(theOffer,  theData,
byRow(theOffer,LAMBDA(theO, IFERROR( VLOOKUP( theO,theData,2,FALSE),)))
)(
IF((($C$11:$C310&lt;&gt;"")+( $S$11:$S310&lt;&gt;"")) =2, $S$11:$S310&amp;" "&amp;$C$11:$C310,),
{'S-10 Предложения'!C:C,'S-10 Предложения'!I:I}
)}</f>
        <v>Цена</v>
      </c>
      <c r="N10" s="491" t="str">
        <f t="array" ref="N10:N310">{"Сумма";LAMBDA(theId, theCol,  thePrice,IF(theId&lt;&gt;"",theCol*thePrice,))(C11:C310,L11:L310,M11:M310)}</f>
        <v>Сумма</v>
      </c>
      <c r="O10" s="491" t="str">
        <f t="array" ref="O10:O310">{"Срок поставки";LAMBDA(theOffer,  theData,
byRow(theOffer,LAMBDA(theO, IFERROR( VLOOKUP( theO,theData,2,FALSE),)))
)(
IF((($C$11:$C310&lt;&gt;"")+( $S$11:$S310&lt;&gt;"")) =2, $S$11:$S310&amp;" "&amp;$C$11:$C310,),
{'S-10 Предложения'!C:C,'S-10 Предложения'!J:J}
)}</f>
        <v>Срок поставки</v>
      </c>
      <c r="P10" s="492" t="str">
        <f>'5-1 Сбор КП Закупки'!P10</f>
        <v>Срок поставки по договору</v>
      </c>
      <c r="Q10" s="493" t="s">
        <v>557</v>
      </c>
      <c r="R10" s="494"/>
      <c r="S10" s="495" t="s">
        <v>558</v>
      </c>
      <c r="T10" s="496" t="s">
        <v>559</v>
      </c>
      <c r="U10" s="496"/>
      <c r="V10" s="496" t="s">
        <v>560</v>
      </c>
      <c r="W10" s="48" t="str">
        <f>'5-1 Сбор КП Закупки'!O10</f>
        <v>НМЦ</v>
      </c>
      <c r="X10" s="496" t="s">
        <v>561</v>
      </c>
      <c r="Y10" s="494" t="str">
        <f t="array" ref="Y10:Y310">{"Статус";IFERROR( VLOOKUP(C11:C310,{'5-5 Оформление сделок'!C11:C310,'5-5 Оформление сделок'!AF11:AF310},2,0),)}</f>
        <v>Статус</v>
      </c>
      <c r="Z10" s="496" t="s">
        <v>562</v>
      </c>
      <c r="AA10" s="494" t="s">
        <v>212</v>
      </c>
      <c r="AB10" s="497" t="str">
        <f t="array" ref="AB10:AB310">{"Разница от миним";LAMBDA(doSum,theData,
byRow(theData,LAMBDA(theR, doSum( INDEX(theR,1,1),INDEX(theR,1,2))))
)(
LAMBDA(theP,theM,SUM(theP,0-theM)),
{'5-3 Выбор поставщиков Закупки'!$M$11:$M310,'5-3 Выбор поставщиков Закупки'!$AF$11:$AF310}
)}</f>
        <v>Разница от миним</v>
      </c>
      <c r="AC10" s="497" t="str">
        <f t="array" ref="AC10:AC310">{"Итого разница";LAMBDA(theId, theCol,  thePrice,IF(theId&lt;&gt;"",theCol*thePrice,))('5-3 Выбор поставщиков Закупки'!C11:C310,'5-3 Выбор поставщиков Закупки'!L11:L310,'5-3 Выбор поставщиков Закупки'!AB11:AB310)}</f>
        <v>Итого разница</v>
      </c>
      <c r="AD10" s="158" t="str">
        <f>IFERROR(__xludf.DUMMYFUNCTION("{""БлокТопНачало"",LAMBDA(имена,MAKEARRAY(1,7*15,LAMBDA(ri,ci,  IFERROR( VLOOKUP( MOD((ci-1),15),имена,2,FALSE),) &amp;"" ""&amp; INT( (ci-1)/15+1))))
( LAMBDA(theSre,SCAN(-1,TRANSPOSE( Split(theSre,CHAR(32),FALSE)),LAMBDA(t,v,{t+1,v}))) (""Цена.Ф Цена Постовшик."&amp;"Ф Постовшик ЛистИПредложение.Ф Предложение Комментарий.Ф Комментарий Срок.Ф Срок Эксперт.Ф Эксперт Свободно_3 Свободно_4 Свободно_5"")
)}"),"БлокТопНачало")</f>
        <v>БлокТопНачало</v>
      </c>
      <c r="AE10" s="498" t="str">
        <f>IFERROR(__xludf.DUMMYFUNCTION("""COMPUTED_VALUE"""),"Цена.Ф 1")</f>
        <v>Цена.Ф 1</v>
      </c>
      <c r="AF10" s="499" t="str">
        <f>IFERROR(__xludf.DUMMYFUNCTION("""COMPUTED_VALUE"""),"Цена 1")</f>
        <v>Цена 1</v>
      </c>
      <c r="AG10" s="498" t="str">
        <f>IFERROR(__xludf.DUMMYFUNCTION("""COMPUTED_VALUE"""),"Постовшик.Ф 1")</f>
        <v>Постовшик.Ф 1</v>
      </c>
      <c r="AH10" s="499" t="str">
        <f>IFERROR(__xludf.DUMMYFUNCTION("""COMPUTED_VALUE"""),"Постовшик 1")</f>
        <v>Постовшик 1</v>
      </c>
      <c r="AI10" s="498" t="str">
        <f>IFERROR(__xludf.DUMMYFUNCTION("""COMPUTED_VALUE"""),"ЛистИПредложение.Ф 1")</f>
        <v>ЛистИПредложение.Ф 1</v>
      </c>
      <c r="AJ10" s="499" t="str">
        <f>IFERROR(__xludf.DUMMYFUNCTION("""COMPUTED_VALUE"""),"Предложение 1")</f>
        <v>Предложение 1</v>
      </c>
      <c r="AK10" s="498" t="str">
        <f>IFERROR(__xludf.DUMMYFUNCTION("""COMPUTED_VALUE"""),"Комментарий.Ф 1")</f>
        <v>Комментарий.Ф 1</v>
      </c>
      <c r="AL10" s="499" t="str">
        <f>IFERROR(__xludf.DUMMYFUNCTION("""COMPUTED_VALUE"""),"Комментарий 1")</f>
        <v>Комментарий 1</v>
      </c>
      <c r="AM10" s="498" t="str">
        <f>IFERROR(__xludf.DUMMYFUNCTION("""COMPUTED_VALUE"""),"Срок.Ф 1")</f>
        <v>Срок.Ф 1</v>
      </c>
      <c r="AN10" s="500" t="str">
        <f>IFERROR(__xludf.DUMMYFUNCTION("""COMPUTED_VALUE"""),"Срок 1")</f>
        <v>Срок 1</v>
      </c>
      <c r="AO10" s="498" t="str">
        <f>IFERROR(__xludf.DUMMYFUNCTION("""COMPUTED_VALUE"""),"Эксперт.Ф 1")</f>
        <v>Эксперт.Ф 1</v>
      </c>
      <c r="AP10" s="499" t="str">
        <f>IFERROR(__xludf.DUMMYFUNCTION("""COMPUTED_VALUE"""),"Эксперт 1")</f>
        <v>Эксперт 1</v>
      </c>
      <c r="AQ10" s="498" t="str">
        <f>IFERROR(__xludf.DUMMYFUNCTION("""COMPUTED_VALUE"""),"Свободно_3 1")</f>
        <v>Свободно_3 1</v>
      </c>
      <c r="AR10" s="498" t="str">
        <f>IFERROR(__xludf.DUMMYFUNCTION("""COMPUTED_VALUE"""),"Свободно_4 1")</f>
        <v>Свободно_4 1</v>
      </c>
      <c r="AS10" s="498" t="str">
        <f>IFERROR(__xludf.DUMMYFUNCTION("""COMPUTED_VALUE"""),"Свободно_5 1")</f>
        <v>Свободно_5 1</v>
      </c>
      <c r="AT10" s="501" t="str">
        <f>IFERROR(__xludf.DUMMYFUNCTION("""COMPUTED_VALUE"""),"Цена.Ф 2")</f>
        <v>Цена.Ф 2</v>
      </c>
      <c r="AU10" s="502" t="str">
        <f>IFERROR(__xludf.DUMMYFUNCTION("""COMPUTED_VALUE"""),"Цена 2")</f>
        <v>Цена 2</v>
      </c>
      <c r="AV10" s="501" t="str">
        <f>IFERROR(__xludf.DUMMYFUNCTION("""COMPUTED_VALUE"""),"Постовшик.Ф 2")</f>
        <v>Постовшик.Ф 2</v>
      </c>
      <c r="AW10" s="502" t="str">
        <f>IFERROR(__xludf.DUMMYFUNCTION("""COMPUTED_VALUE"""),"Постовшик 2")</f>
        <v>Постовшик 2</v>
      </c>
      <c r="AX10" s="501" t="str">
        <f>IFERROR(__xludf.DUMMYFUNCTION("""COMPUTED_VALUE"""),"ЛистИПредложение.Ф 2")</f>
        <v>ЛистИПредложение.Ф 2</v>
      </c>
      <c r="AY10" s="502" t="str">
        <f>IFERROR(__xludf.DUMMYFUNCTION("""COMPUTED_VALUE"""),"Предложение 2")</f>
        <v>Предложение 2</v>
      </c>
      <c r="AZ10" s="501" t="str">
        <f>IFERROR(__xludf.DUMMYFUNCTION("""COMPUTED_VALUE"""),"Комментарий.Ф 2")</f>
        <v>Комментарий.Ф 2</v>
      </c>
      <c r="BA10" s="502" t="str">
        <f>IFERROR(__xludf.DUMMYFUNCTION("""COMPUTED_VALUE"""),"Комментарий 2")</f>
        <v>Комментарий 2</v>
      </c>
      <c r="BB10" s="501" t="str">
        <f>IFERROR(__xludf.DUMMYFUNCTION("""COMPUTED_VALUE"""),"Срок.Ф 2")</f>
        <v>Срок.Ф 2</v>
      </c>
      <c r="BC10" s="503" t="str">
        <f>IFERROR(__xludf.DUMMYFUNCTION("""COMPUTED_VALUE"""),"Срок 2")</f>
        <v>Срок 2</v>
      </c>
      <c r="BD10" s="501" t="str">
        <f>IFERROR(__xludf.DUMMYFUNCTION("""COMPUTED_VALUE"""),"Эксперт.Ф 2")</f>
        <v>Эксперт.Ф 2</v>
      </c>
      <c r="BE10" s="502" t="str">
        <f>IFERROR(__xludf.DUMMYFUNCTION("""COMPUTED_VALUE"""),"Эксперт 2")</f>
        <v>Эксперт 2</v>
      </c>
      <c r="BF10" s="501" t="str">
        <f>IFERROR(__xludf.DUMMYFUNCTION("""COMPUTED_VALUE"""),"Свободно_3 2")</f>
        <v>Свободно_3 2</v>
      </c>
      <c r="BG10" s="501" t="str">
        <f>IFERROR(__xludf.DUMMYFUNCTION("""COMPUTED_VALUE"""),"Свободно_4 2")</f>
        <v>Свободно_4 2</v>
      </c>
      <c r="BH10" s="501" t="str">
        <f>IFERROR(__xludf.DUMMYFUNCTION("""COMPUTED_VALUE"""),"Свободно_5 2")</f>
        <v>Свободно_5 2</v>
      </c>
      <c r="BI10" s="504" t="str">
        <f>IFERROR(__xludf.DUMMYFUNCTION("""COMPUTED_VALUE"""),"Цена.Ф 3")</f>
        <v>Цена.Ф 3</v>
      </c>
      <c r="BJ10" s="505" t="str">
        <f>IFERROR(__xludf.DUMMYFUNCTION("""COMPUTED_VALUE"""),"Цена 3")</f>
        <v>Цена 3</v>
      </c>
      <c r="BK10" s="504" t="str">
        <f>IFERROR(__xludf.DUMMYFUNCTION("""COMPUTED_VALUE"""),"Постовшик.Ф 3")</f>
        <v>Постовшик.Ф 3</v>
      </c>
      <c r="BL10" s="505" t="str">
        <f>IFERROR(__xludf.DUMMYFUNCTION("""COMPUTED_VALUE"""),"Постовшик 3")</f>
        <v>Постовшик 3</v>
      </c>
      <c r="BM10" s="504" t="str">
        <f>IFERROR(__xludf.DUMMYFUNCTION("""COMPUTED_VALUE"""),"ЛистИПредложение.Ф 3")</f>
        <v>ЛистИПредложение.Ф 3</v>
      </c>
      <c r="BN10" s="505" t="str">
        <f>IFERROR(__xludf.DUMMYFUNCTION("""COMPUTED_VALUE"""),"Предложение 3")</f>
        <v>Предложение 3</v>
      </c>
      <c r="BO10" s="504" t="str">
        <f>IFERROR(__xludf.DUMMYFUNCTION("""COMPUTED_VALUE"""),"Комментарий.Ф 3")</f>
        <v>Комментарий.Ф 3</v>
      </c>
      <c r="BP10" s="505" t="str">
        <f>IFERROR(__xludf.DUMMYFUNCTION("""COMPUTED_VALUE"""),"Комментарий 3")</f>
        <v>Комментарий 3</v>
      </c>
      <c r="BQ10" s="504" t="str">
        <f>IFERROR(__xludf.DUMMYFUNCTION("""COMPUTED_VALUE"""),"Срок.Ф 3")</f>
        <v>Срок.Ф 3</v>
      </c>
      <c r="BR10" s="506" t="str">
        <f>IFERROR(__xludf.DUMMYFUNCTION("""COMPUTED_VALUE"""),"Срок 3")</f>
        <v>Срок 3</v>
      </c>
      <c r="BS10" s="504" t="str">
        <f>IFERROR(__xludf.DUMMYFUNCTION("""COMPUTED_VALUE"""),"Эксперт.Ф 3")</f>
        <v>Эксперт.Ф 3</v>
      </c>
      <c r="BT10" s="505" t="str">
        <f>IFERROR(__xludf.DUMMYFUNCTION("""COMPUTED_VALUE"""),"Эксперт 3")</f>
        <v>Эксперт 3</v>
      </c>
      <c r="BU10" s="504" t="str">
        <f>IFERROR(__xludf.DUMMYFUNCTION("""COMPUTED_VALUE"""),"Свободно_3 3")</f>
        <v>Свободно_3 3</v>
      </c>
      <c r="BV10" s="504" t="str">
        <f>IFERROR(__xludf.DUMMYFUNCTION("""COMPUTED_VALUE"""),"Свободно_4 3")</f>
        <v>Свободно_4 3</v>
      </c>
      <c r="BW10" s="504" t="str">
        <f>IFERROR(__xludf.DUMMYFUNCTION("""COMPUTED_VALUE"""),"Свободно_5 3")</f>
        <v>Свободно_5 3</v>
      </c>
      <c r="BX10" s="507" t="str">
        <f>IFERROR(__xludf.DUMMYFUNCTION("""COMPUTED_VALUE"""),"Цена.Ф 4")</f>
        <v>Цена.Ф 4</v>
      </c>
      <c r="BY10" s="508" t="str">
        <f>IFERROR(__xludf.DUMMYFUNCTION("""COMPUTED_VALUE"""),"Цена 4")</f>
        <v>Цена 4</v>
      </c>
      <c r="BZ10" s="507" t="str">
        <f>IFERROR(__xludf.DUMMYFUNCTION("""COMPUTED_VALUE"""),"Постовшик.Ф 4")</f>
        <v>Постовшик.Ф 4</v>
      </c>
      <c r="CA10" s="508" t="str">
        <f>IFERROR(__xludf.DUMMYFUNCTION("""COMPUTED_VALUE"""),"Постовшик 4")</f>
        <v>Постовшик 4</v>
      </c>
      <c r="CB10" s="507" t="str">
        <f>IFERROR(__xludf.DUMMYFUNCTION("""COMPUTED_VALUE"""),"ЛистИПредложение.Ф 4")</f>
        <v>ЛистИПредложение.Ф 4</v>
      </c>
      <c r="CC10" s="508" t="str">
        <f>IFERROR(__xludf.DUMMYFUNCTION("""COMPUTED_VALUE"""),"Предложение 4")</f>
        <v>Предложение 4</v>
      </c>
      <c r="CD10" s="507" t="str">
        <f>IFERROR(__xludf.DUMMYFUNCTION("""COMPUTED_VALUE"""),"Комментарий.Ф 4")</f>
        <v>Комментарий.Ф 4</v>
      </c>
      <c r="CE10" s="508" t="str">
        <f>IFERROR(__xludf.DUMMYFUNCTION("""COMPUTED_VALUE"""),"Комментарий 4")</f>
        <v>Комментарий 4</v>
      </c>
      <c r="CF10" s="507" t="str">
        <f>IFERROR(__xludf.DUMMYFUNCTION("""COMPUTED_VALUE"""),"Срок.Ф 4")</f>
        <v>Срок.Ф 4</v>
      </c>
      <c r="CG10" s="509" t="str">
        <f>IFERROR(__xludf.DUMMYFUNCTION("""COMPUTED_VALUE"""),"Срок 4")</f>
        <v>Срок 4</v>
      </c>
      <c r="CH10" s="507" t="str">
        <f>IFERROR(__xludf.DUMMYFUNCTION("""COMPUTED_VALUE"""),"Эксперт.Ф 4")</f>
        <v>Эксперт.Ф 4</v>
      </c>
      <c r="CI10" s="508" t="str">
        <f>IFERROR(__xludf.DUMMYFUNCTION("""COMPUTED_VALUE"""),"Эксперт 4")</f>
        <v>Эксперт 4</v>
      </c>
      <c r="CJ10" s="507" t="str">
        <f>IFERROR(__xludf.DUMMYFUNCTION("""COMPUTED_VALUE"""),"Свободно_3 4")</f>
        <v>Свободно_3 4</v>
      </c>
      <c r="CK10" s="507" t="str">
        <f>IFERROR(__xludf.DUMMYFUNCTION("""COMPUTED_VALUE"""),"Свободно_4 4")</f>
        <v>Свободно_4 4</v>
      </c>
      <c r="CL10" s="507" t="str">
        <f>IFERROR(__xludf.DUMMYFUNCTION("""COMPUTED_VALUE"""),"Свободно_5 4")</f>
        <v>Свободно_5 4</v>
      </c>
      <c r="CM10" s="510" t="str">
        <f>IFERROR(__xludf.DUMMYFUNCTION("""COMPUTED_VALUE"""),"Цена.Ф 5")</f>
        <v>Цена.Ф 5</v>
      </c>
      <c r="CN10" s="511" t="str">
        <f>IFERROR(__xludf.DUMMYFUNCTION("""COMPUTED_VALUE"""),"Цена 5")</f>
        <v>Цена 5</v>
      </c>
      <c r="CO10" s="510" t="str">
        <f>IFERROR(__xludf.DUMMYFUNCTION("""COMPUTED_VALUE"""),"Постовшик.Ф 5")</f>
        <v>Постовшик.Ф 5</v>
      </c>
      <c r="CP10" s="511" t="str">
        <f>IFERROR(__xludf.DUMMYFUNCTION("""COMPUTED_VALUE"""),"Постовшик 5")</f>
        <v>Постовшик 5</v>
      </c>
      <c r="CQ10" s="510" t="str">
        <f>IFERROR(__xludf.DUMMYFUNCTION("""COMPUTED_VALUE"""),"ЛистИПредложение.Ф 5")</f>
        <v>ЛистИПредложение.Ф 5</v>
      </c>
      <c r="CR10" s="511" t="str">
        <f>IFERROR(__xludf.DUMMYFUNCTION("""COMPUTED_VALUE"""),"Предложение 5")</f>
        <v>Предложение 5</v>
      </c>
      <c r="CS10" s="510" t="str">
        <f>IFERROR(__xludf.DUMMYFUNCTION("""COMPUTED_VALUE"""),"Комментарий.Ф 5")</f>
        <v>Комментарий.Ф 5</v>
      </c>
      <c r="CT10" s="511" t="str">
        <f>IFERROR(__xludf.DUMMYFUNCTION("""COMPUTED_VALUE"""),"Комментарий 5")</f>
        <v>Комментарий 5</v>
      </c>
      <c r="CU10" s="510" t="str">
        <f>IFERROR(__xludf.DUMMYFUNCTION("""COMPUTED_VALUE"""),"Срок.Ф 5")</f>
        <v>Срок.Ф 5</v>
      </c>
      <c r="CV10" s="512" t="str">
        <f>IFERROR(__xludf.DUMMYFUNCTION("""COMPUTED_VALUE"""),"Срок 5")</f>
        <v>Срок 5</v>
      </c>
      <c r="CW10" s="510" t="str">
        <f>IFERROR(__xludf.DUMMYFUNCTION("""COMPUTED_VALUE"""),"Эксперт.Ф 5")</f>
        <v>Эксперт.Ф 5</v>
      </c>
      <c r="CX10" s="511" t="str">
        <f>IFERROR(__xludf.DUMMYFUNCTION("""COMPUTED_VALUE"""),"Эксперт 5")</f>
        <v>Эксперт 5</v>
      </c>
      <c r="CY10" s="510" t="str">
        <f>IFERROR(__xludf.DUMMYFUNCTION("""COMPUTED_VALUE"""),"Свободно_3 5")</f>
        <v>Свободно_3 5</v>
      </c>
      <c r="CZ10" s="510" t="str">
        <f>IFERROR(__xludf.DUMMYFUNCTION("""COMPUTED_VALUE"""),"Свободно_4 5")</f>
        <v>Свободно_4 5</v>
      </c>
      <c r="DA10" s="510" t="str">
        <f>IFERROR(__xludf.DUMMYFUNCTION("""COMPUTED_VALUE"""),"Свободно_5 5")</f>
        <v>Свободно_5 5</v>
      </c>
      <c r="DB10" s="513" t="str">
        <f>IFERROR(__xludf.DUMMYFUNCTION("""COMPUTED_VALUE"""),"Цена.Ф 6")</f>
        <v>Цена.Ф 6</v>
      </c>
      <c r="DC10" s="514" t="str">
        <f>IFERROR(__xludf.DUMMYFUNCTION("""COMPUTED_VALUE"""),"Цена 6")</f>
        <v>Цена 6</v>
      </c>
      <c r="DD10" s="513" t="str">
        <f>IFERROR(__xludf.DUMMYFUNCTION("""COMPUTED_VALUE"""),"Постовшик.Ф 6")</f>
        <v>Постовшик.Ф 6</v>
      </c>
      <c r="DE10" s="514" t="str">
        <f>IFERROR(__xludf.DUMMYFUNCTION("""COMPUTED_VALUE"""),"Постовшик 6")</f>
        <v>Постовшик 6</v>
      </c>
      <c r="DF10" s="513" t="str">
        <f>IFERROR(__xludf.DUMMYFUNCTION("""COMPUTED_VALUE"""),"ЛистИПредложение.Ф 6")</f>
        <v>ЛистИПредложение.Ф 6</v>
      </c>
      <c r="DG10" s="514" t="str">
        <f>IFERROR(__xludf.DUMMYFUNCTION("""COMPUTED_VALUE"""),"Предложение 6")</f>
        <v>Предложение 6</v>
      </c>
      <c r="DH10" s="513" t="str">
        <f>IFERROR(__xludf.DUMMYFUNCTION("""COMPUTED_VALUE"""),"Комментарий.Ф 6")</f>
        <v>Комментарий.Ф 6</v>
      </c>
      <c r="DI10" s="514" t="str">
        <f>IFERROR(__xludf.DUMMYFUNCTION("""COMPUTED_VALUE"""),"Комментарий 6")</f>
        <v>Комментарий 6</v>
      </c>
      <c r="DJ10" s="513" t="str">
        <f>IFERROR(__xludf.DUMMYFUNCTION("""COMPUTED_VALUE"""),"Срок.Ф 6")</f>
        <v>Срок.Ф 6</v>
      </c>
      <c r="DK10" s="515" t="str">
        <f>IFERROR(__xludf.DUMMYFUNCTION("""COMPUTED_VALUE"""),"Срок 6")</f>
        <v>Срок 6</v>
      </c>
      <c r="DL10" s="513" t="str">
        <f>IFERROR(__xludf.DUMMYFUNCTION("""COMPUTED_VALUE"""),"Эксперт.Ф 6")</f>
        <v>Эксперт.Ф 6</v>
      </c>
      <c r="DM10" s="514" t="str">
        <f>IFERROR(__xludf.DUMMYFUNCTION("""COMPUTED_VALUE"""),"Эксперт 6")</f>
        <v>Эксперт 6</v>
      </c>
      <c r="DN10" s="513" t="str">
        <f>IFERROR(__xludf.DUMMYFUNCTION("""COMPUTED_VALUE"""),"Свободно_3 6")</f>
        <v>Свободно_3 6</v>
      </c>
      <c r="DO10" s="513" t="str">
        <f>IFERROR(__xludf.DUMMYFUNCTION("""COMPUTED_VALUE"""),"Свободно_4 6")</f>
        <v>Свободно_4 6</v>
      </c>
      <c r="DP10" s="513" t="str">
        <f>IFERROR(__xludf.DUMMYFUNCTION("""COMPUTED_VALUE"""),"Свободно_5 6")</f>
        <v>Свободно_5 6</v>
      </c>
      <c r="DQ10" s="516" t="str">
        <f>IFERROR(__xludf.DUMMYFUNCTION("""COMPUTED_VALUE"""),"Цена.Ф 7")</f>
        <v>Цена.Ф 7</v>
      </c>
      <c r="DR10" s="517" t="str">
        <f>IFERROR(__xludf.DUMMYFUNCTION("""COMPUTED_VALUE"""),"Цена 7")</f>
        <v>Цена 7</v>
      </c>
      <c r="DS10" s="516" t="str">
        <f>IFERROR(__xludf.DUMMYFUNCTION("""COMPUTED_VALUE"""),"Постовшик.Ф 7")</f>
        <v>Постовшик.Ф 7</v>
      </c>
      <c r="DT10" s="517" t="str">
        <f>IFERROR(__xludf.DUMMYFUNCTION("""COMPUTED_VALUE"""),"Постовшик 7")</f>
        <v>Постовшик 7</v>
      </c>
      <c r="DU10" s="516" t="str">
        <f>IFERROR(__xludf.DUMMYFUNCTION("""COMPUTED_VALUE"""),"ЛистИПредложение.Ф 7")</f>
        <v>ЛистИПредложение.Ф 7</v>
      </c>
      <c r="DV10" s="517" t="str">
        <f>IFERROR(__xludf.DUMMYFUNCTION("""COMPUTED_VALUE"""),"Предложение 7")</f>
        <v>Предложение 7</v>
      </c>
      <c r="DW10" s="516" t="str">
        <f>IFERROR(__xludf.DUMMYFUNCTION("""COMPUTED_VALUE"""),"Комментарий.Ф 7")</f>
        <v>Комментарий.Ф 7</v>
      </c>
      <c r="DX10" s="517" t="str">
        <f>IFERROR(__xludf.DUMMYFUNCTION("""COMPUTED_VALUE"""),"Комментарий 7")</f>
        <v>Комментарий 7</v>
      </c>
      <c r="DY10" s="516" t="str">
        <f>IFERROR(__xludf.DUMMYFUNCTION("""COMPUTED_VALUE"""),"Срок.Ф 7")</f>
        <v>Срок.Ф 7</v>
      </c>
      <c r="DZ10" s="518" t="str">
        <f>IFERROR(__xludf.DUMMYFUNCTION("""COMPUTED_VALUE"""),"Срок 7")</f>
        <v>Срок 7</v>
      </c>
      <c r="EA10" s="516" t="str">
        <f>IFERROR(__xludf.DUMMYFUNCTION("""COMPUTED_VALUE"""),"Эксперт.Ф 7")</f>
        <v>Эксперт.Ф 7</v>
      </c>
      <c r="EB10" s="517" t="str">
        <f>IFERROR(__xludf.DUMMYFUNCTION("""COMPUTED_VALUE"""),"Эксперт 7")</f>
        <v>Эксперт 7</v>
      </c>
      <c r="EC10" s="516" t="str">
        <f>IFERROR(__xludf.DUMMYFUNCTION("""COMPUTED_VALUE"""),"Свободно_3 7")</f>
        <v>Свободно_3 7</v>
      </c>
      <c r="ED10" s="516" t="str">
        <f>IFERROR(__xludf.DUMMYFUNCTION("""COMPUTED_VALUE"""),"Свободно_4 7")</f>
        <v>Свободно_4 7</v>
      </c>
      <c r="EE10" s="516" t="str">
        <f>IFERROR(__xludf.DUMMYFUNCTION("""COMPUTED_VALUE"""),"Свободно_5 7")</f>
        <v>Свободно_5 7</v>
      </c>
    </row>
    <row r="11">
      <c r="A11" s="519" t="str">
        <f t="shared" ref="A11:A310" si="1">IF(D11&lt;&gt;"","Да",)</f>
        <v>Да</v>
      </c>
      <c r="B11" s="520" t="str">
        <f>'5-0 Товары'!B11</f>
        <v/>
      </c>
      <c r="C11" s="521" t="str">
        <f>'5-1 Сбор КП Закупки'!C11</f>
        <v>ID_T001</v>
      </c>
      <c r="D11" s="521" t="str">
        <f>'5-1 Сбор КП Закупки'!D11</f>
        <v>1</v>
      </c>
      <c r="E11" s="521" t="str">
        <f>'5-1 Сбор КП Закупки'!E11</f>
        <v>Масляный фильтр - Артикул 89781969 ESG-315 зав.№ F010451</v>
      </c>
      <c r="F11" s="521" t="str">
        <f>'5-1 Сбор КП Закупки'!F11</f>
        <v/>
      </c>
      <c r="G11" s="522" t="str">
        <f>'5-1 Сбор КП Закупки'!G11</f>
        <v/>
      </c>
      <c r="H11" s="522" t="str">
        <f>'5-1 Сбор КП Закупки'!H11</f>
        <v/>
      </c>
      <c r="I11" s="522" t="str">
        <f>'5-1 Сбор КП Закупки'!I11</f>
        <v/>
      </c>
      <c r="J11" s="521"/>
      <c r="K11" s="522" t="str">
        <f>'5-1 Сбор КП Закупки'!G11</f>
        <v/>
      </c>
      <c r="L11" s="523">
        <f>IF(A11="Да",'5-1 Сбор КП Закупки'!K11,)</f>
        <v>3</v>
      </c>
      <c r="M11" s="521"/>
      <c r="N11" s="524">
        <v>0.0</v>
      </c>
      <c r="O11" s="521"/>
      <c r="P11" s="525" t="str">
        <f>'5-1 Сбор КП Закупки'!P11</f>
        <v/>
      </c>
      <c r="Q11" s="521"/>
      <c r="R11" s="521" t="s">
        <v>96</v>
      </c>
      <c r="S11" s="521"/>
      <c r="T11" s="521"/>
      <c r="U11" s="521"/>
      <c r="V11" s="521"/>
      <c r="W11" s="522" t="str">
        <f>'5-1 Сбор КП Закупки'!O11</f>
        <v/>
      </c>
      <c r="X11" s="521"/>
      <c r="Y11" s="526"/>
      <c r="Z11" s="521"/>
      <c r="AA11" s="521"/>
      <c r="AB11" s="521">
        <v>-5450.0</v>
      </c>
      <c r="AC11" s="521">
        <v>-16350.0</v>
      </c>
      <c r="AD11" s="521"/>
      <c r="AE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5-3'!$D$11:$Q319,AE$4,AE$5)"),"")</f>
        <v/>
      </c>
      <c r="AF11" s="528">
        <f>IFERROR(__xludf.DUMMYFUNCTION("""COMPUTED_VALUE"""),5450.0)</f>
        <v>5450</v>
      </c>
      <c r="AG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5-3'!$D$11:$Q319,AG$4,AG$5)"),"")</f>
        <v/>
      </c>
      <c r="AH11" s="527" t="str">
        <f>IFERROR(__xludf.DUMMYFUNCTION("""COMPUTED_VALUE"""),"davidov@pressair.ru")</f>
        <v>davidov@pressair.ru</v>
      </c>
      <c r="AI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5-3'!$D$11:$Q319,AI$4,AI$5)"),"")</f>
        <v/>
      </c>
      <c r="AJ11" s="527" t="str">
        <f>IFERROR(__xludf.DUMMYFUNCTION("""COMPUTED_VALUE"""),"1-1 Сбор КП CI")</f>
        <v>1-1 Сбор КП CI</v>
      </c>
      <c r="AK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5-3'!$D$11:$Q319,AK$4,AK$5)"),"")</f>
        <v/>
      </c>
      <c r="AL11" s="527"/>
      <c r="AM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5-3'!$D$11:$Q319,AM$4,AM$5)"),"")</f>
        <v/>
      </c>
      <c r="AN11" s="529" t="str">
        <f>IFERROR(__xludf.DUMMYFUNCTION("""COMPUTED_VALUE"""),"5 рд")</f>
        <v>5 рд</v>
      </c>
      <c r="AO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5-3'!$D$11:$Q319,AO$4,AO$5)"),"")</f>
        <v/>
      </c>
      <c r="AP11" s="527" t="str">
        <f>IFERROR(__xludf.DUMMYFUNCTION("""COMPUTED_VALUE"""),"Масляный фильтр 89781969 = SH8186")</f>
        <v>Масляный фильтр 89781969 = SH8186</v>
      </c>
      <c r="AQ11" s="527"/>
      <c r="AR11" s="527"/>
      <c r="AS11" s="527"/>
      <c r="AT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5-3'!$D$11:$Q319,AT$4,AT$5)"),"")</f>
        <v/>
      </c>
      <c r="AU11" s="531">
        <f>IFERROR(__xludf.DUMMYFUNCTION("""COMPUTED_VALUE"""),6250.0)</f>
        <v>6250</v>
      </c>
      <c r="AV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5-3'!$D$11:$Q319,AV$4,AV$5)"),"")</f>
        <v/>
      </c>
      <c r="AW11" s="530" t="str">
        <f>IFERROR(__xludf.DUMMYFUNCTION("""COMPUTED_VALUE"""),"zap-premium@mail.ru")</f>
        <v>zap-premium@mail.ru</v>
      </c>
      <c r="AX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5-3'!$D$11:$Q319,AX$4,AX$5)"),"")</f>
        <v/>
      </c>
      <c r="AY11" s="530" t="str">
        <f>IFERROR(__xludf.DUMMYFUNCTION("""COMPUTED_VALUE"""),"1-1 Сбор КП BQ")</f>
        <v>1-1 Сбор КП BQ</v>
      </c>
      <c r="AZ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5-3'!$D$11:$Q319,AZ$4,AZ$5)"),"")</f>
        <v/>
      </c>
      <c r="BA11" s="530"/>
      <c r="BB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5-3'!$D$11:$Q319,BB$4,BB$5)"),"")</f>
        <v/>
      </c>
      <c r="BC11" s="532" t="str">
        <f>IFERROR(__xludf.DUMMYFUNCTION("""COMPUTED_VALUE"""),"7 рд")</f>
        <v>7 рд</v>
      </c>
      <c r="BD11"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5-3'!$D$11:$Q319,BD$4,BD$5)"),"")</f>
        <v/>
      </c>
      <c r="BE11" s="533" t="str">
        <f>IFERROR(__xludf.DUMMYFUNCTION("""COMPUTED_VALUE"""),"Фильтр масляный 89781969 аналог")</f>
        <v>Фильтр масляный 89781969 аналог</v>
      </c>
      <c r="BF11" s="530"/>
      <c r="BG11" s="530"/>
      <c r="BH11" s="530"/>
      <c r="BI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5-3'!$D$11:$Q319,BI$4,BI$5)"),"")</f>
        <v/>
      </c>
      <c r="BJ11" s="535">
        <f>IFERROR(__xludf.DUMMYFUNCTION("""COMPUTED_VALUE"""),6433.68)</f>
        <v>6433.68</v>
      </c>
      <c r="BK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5-3'!$D$11:$Q319,BK$4,BK$5)"),"")</f>
        <v/>
      </c>
      <c r="BL11" s="534" t="str">
        <f>IFERROR(__xludf.DUMMYFUNCTION("""COMPUTED_VALUE"""),"r.staroverov@evlart.ru")</f>
        <v>r.staroverov@evlart.ru</v>
      </c>
      <c r="BM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5-3'!$D$11:$Q319,BM$4,BM$5)"),"")</f>
        <v/>
      </c>
      <c r="BN11" s="534" t="str">
        <f>IFERROR(__xludf.DUMMYFUNCTION("""COMPUTED_VALUE"""),"1-1 Сбор КП BZ")</f>
        <v>1-1 Сбор КП BZ</v>
      </c>
      <c r="BO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5-3'!$D$11:$Q319,BO$4,BO$5)"),"")</f>
        <v/>
      </c>
      <c r="BP11" s="534"/>
      <c r="BQ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5-3'!$D$11:$Q319,BQ$4,BQ$5)"),"")</f>
        <v/>
      </c>
      <c r="BR11" s="536" t="str">
        <f>IFERROR(__xludf.DUMMYFUNCTION("""COMPUTED_VALUE"""),"нал")</f>
        <v>нал</v>
      </c>
      <c r="BS11"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5-3'!$D$11:$Q319,BS$4,BS$5)"),"")</f>
        <v/>
      </c>
      <c r="BT11" s="533" t="str">
        <f>IFERROR(__xludf.DUMMYFUNCTION("""COMPUTED_VALUE"""),"Масляный фильтр - Артикул 89781969 ESG-315 —
 Аналог")</f>
        <v>Масляный фильтр - Артикул 89781969 ESG-315 —
 Аналог</v>
      </c>
      <c r="BU11" s="534"/>
      <c r="BV11" s="534"/>
      <c r="BW11" s="534"/>
      <c r="BX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5-3'!$D$11:$Q319,BX$4,BX$5)"),"")</f>
        <v/>
      </c>
      <c r="BY11" s="538">
        <f>IFERROR(__xludf.DUMMYFUNCTION("""COMPUTED_VALUE"""),6900.0)</f>
        <v>6900</v>
      </c>
      <c r="BZ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5-3'!$D$11:$Q319,BZ$4,BZ$5)"),"")</f>
        <v/>
      </c>
      <c r="CA11" s="537" t="str">
        <f>IFERROR(__xludf.DUMMYFUNCTION("""COMPUTED_VALUE"""),"order@techfil.ru")</f>
        <v>order@techfil.ru</v>
      </c>
      <c r="CB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5-3'!$D$11:$Q319,CB$4,CB$5)"),"")</f>
        <v/>
      </c>
      <c r="CC11" s="537" t="str">
        <f>IFERROR(__xludf.DUMMYFUNCTION("""COMPUTED_VALUE"""),"1-1 Сбор КП BE")</f>
        <v>1-1 Сбор КП BE</v>
      </c>
      <c r="CD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5-3'!$D$11:$Q319,CD$4,CD$5)"),"")</f>
        <v/>
      </c>
      <c r="CE11" s="537"/>
      <c r="CF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5-3'!$D$11:$Q319,CF$4,CF$5)"),"")</f>
        <v/>
      </c>
      <c r="CG11" s="539" t="str">
        <f>IFERROR(__xludf.DUMMYFUNCTION("""COMPUTED_VALUE"""),"5 рд")</f>
        <v>5 рд</v>
      </c>
      <c r="CH11"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5-3'!$D$11:$Q319,CH$4,CH$5)"),"")</f>
        <v/>
      </c>
      <c r="CI11" s="533" t="str">
        <f>IFERROR(__xludf.DUMMYFUNCTION("""COMPUTED_VALUE"""),"Масляный фильтр 89781969 [ Аналог SH/O8186 ] ")</f>
        <v>Масляный фильтр 89781969 [ Аналог SH/O8186 ] </v>
      </c>
      <c r="CJ11" s="537"/>
      <c r="CK11" s="537"/>
      <c r="CL11" s="537"/>
      <c r="CM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5-3'!$D$11:$Q319,CM$4,CM$5)"),"")</f>
        <v/>
      </c>
      <c r="CN11" s="541">
        <f>IFERROR(__xludf.DUMMYFUNCTION("""COMPUTED_VALUE"""),8600.0)</f>
        <v>8600</v>
      </c>
      <c r="CO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5-3'!$D$11:$Q319,CO$4,CO$5)"),"")</f>
        <v/>
      </c>
      <c r="CP11" s="540" t="str">
        <f>IFERROR(__xludf.DUMMYFUNCTION("""COMPUTED_VALUE"""),"ca@air-part.ru (2)")</f>
        <v>ca@air-part.ru (2)</v>
      </c>
      <c r="CQ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5-3'!$D$11:$Q319,CQ$4,CQ$5)"),"")</f>
        <v/>
      </c>
      <c r="CR11" s="540" t="str">
        <f>IFERROR(__xludf.DUMMYFUNCTION("""COMPUTED_VALUE"""),"1-1 Сбор КП BK")</f>
        <v>1-1 Сбор КП BK</v>
      </c>
      <c r="CS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5-3'!$D$11:$Q319,CS$4,CS$5)"),"")</f>
        <v/>
      </c>
      <c r="CT11" s="540"/>
      <c r="CU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5-3'!$D$11:$Q319,CU$4,CU$5)"),"")</f>
        <v/>
      </c>
      <c r="CV11" s="545" t="str">
        <f>IFERROR(__xludf.DUMMYFUNCTION("""COMPUTED_VALUE"""),"нал")</f>
        <v>нал</v>
      </c>
      <c r="CW11"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5-3'!$D$11:$Q319,CW$4,CW$5)"),"")</f>
        <v/>
      </c>
      <c r="CX11" s="533" t="str">
        <f>IFERROR(__xludf.DUMMYFUNCTION("""COMPUTED_VALUE"""),"Масляный фильтр - Артикул 89781969 (аналог)")</f>
        <v>Масляный фильтр - Артикул 89781969 (аналог)</v>
      </c>
      <c r="CY11" s="540"/>
      <c r="CZ11" s="540"/>
      <c r="DA11" s="540"/>
      <c r="DB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5-3'!$D$11:$Q319,DB$4,DB$5)"),"")</f>
        <v/>
      </c>
      <c r="DC11" s="555">
        <f>IFERROR(__xludf.DUMMYFUNCTION("""COMPUTED_VALUE"""),19500.0)</f>
        <v>19500</v>
      </c>
      <c r="DD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5-3'!$D$11:$Q319,DD$4,DD$5)"),"")</f>
        <v/>
      </c>
      <c r="DE11" s="554" t="str">
        <f>IFERROR(__xludf.DUMMYFUNCTION("""COMPUTED_VALUE"""),"ca@air-part.ru (1)")</f>
        <v>ca@air-part.ru (1)</v>
      </c>
      <c r="DF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5-3'!$D$11:$Q319,DF$4,DF$5)"),"")</f>
        <v/>
      </c>
      <c r="DG11" s="554" t="str">
        <f>IFERROR(__xludf.DUMMYFUNCTION("""COMPUTED_VALUE"""),"1-1 Сбор КП BH")</f>
        <v>1-1 Сбор КП BH</v>
      </c>
      <c r="DH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5-3'!$D$11:$Q319,DH$4,DH$5)"),"")</f>
        <v/>
      </c>
      <c r="DI11" s="554"/>
      <c r="DJ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5-3'!$D$11:$Q319,DJ$4,DJ$5)"),"")</f>
        <v/>
      </c>
      <c r="DK11" s="566" t="str">
        <f>IFERROR(__xludf.DUMMYFUNCTION("""COMPUTED_VALUE"""),"18 нед")</f>
        <v>18 нед</v>
      </c>
      <c r="DL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5-3'!$D$11:$Q319,DL$4,DL$5)"),"")</f>
        <v/>
      </c>
      <c r="DM11" s="554" t="str">
        <f>IFERROR(__xludf.DUMMYFUNCTION("""COMPUTED_VALUE"""),"Масляный фильтр - Артикул 89781969 (оригинал) ")</f>
        <v>Масляный фильтр - Артикул 89781969 (оригинал) </v>
      </c>
      <c r="DN11" s="554"/>
      <c r="DO11" s="554"/>
      <c r="DP11" s="554"/>
      <c r="DQ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5-3'!$D$11:$Q319,DQ$4,DQ$5)"),"")</f>
        <v/>
      </c>
      <c r="DR11" s="569"/>
      <c r="DS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5-3'!$D$11:$Q319,DS$4,DS$5)"),"")</f>
        <v/>
      </c>
      <c r="DT11" s="568"/>
      <c r="DU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5-3'!$D$11:$Q319,DU$4,DU$5)"),"")</f>
        <v/>
      </c>
      <c r="DV11" s="568"/>
      <c r="DW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5-3'!$D$11:$Q319,DW$4,DW$5)"),"")</f>
        <v/>
      </c>
      <c r="DX11" s="568"/>
      <c r="DY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5-3'!$D$11:$Q319,DY$4,DY$5)"),"")</f>
        <v/>
      </c>
      <c r="DZ11" s="578"/>
      <c r="EA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 'S-10 Топ 5-3'!$D$11:$Q319,EA$4,EA$5)"),"")</f>
        <v/>
      </c>
      <c r="EB11" s="568"/>
      <c r="EC11" s="568"/>
      <c r="ED11" s="568"/>
      <c r="EE11" s="568"/>
    </row>
    <row r="12">
      <c r="A12" s="519" t="str">
        <f t="shared" si="1"/>
        <v>Да</v>
      </c>
      <c r="B12" s="520" t="str">
        <f>'5-0 Товары'!B12</f>
        <v/>
      </c>
      <c r="C12" s="521" t="str">
        <f>'5-1 Сбор КП Закупки'!C12</f>
        <v>ID_T002</v>
      </c>
      <c r="D12" s="521" t="str">
        <f>'5-1 Сбор КП Закупки'!D12</f>
        <v>2</v>
      </c>
      <c r="E12" s="521" t="str">
        <f>'5-1 Сбор КП Закупки'!E12</f>
        <v>Масляный фильтр - Артикул 85062259</v>
      </c>
      <c r="F12" s="521" t="str">
        <f>'5-1 Сбор КП Закупки'!F12</f>
        <v/>
      </c>
      <c r="G12" s="522" t="str">
        <f>'5-1 Сбор КП Закупки'!G12</f>
        <v/>
      </c>
      <c r="H12" s="522" t="str">
        <f>'5-1 Сбор КП Закупки'!H12</f>
        <v/>
      </c>
      <c r="I12" s="522" t="str">
        <f>'5-1 Сбор КП Закупки'!I12</f>
        <v/>
      </c>
      <c r="J12" s="197"/>
      <c r="K12" s="522" t="str">
        <f>'5-1 Сбор КП Закупки'!G12</f>
        <v/>
      </c>
      <c r="L12" s="523">
        <f>IF(A12="Да",'5-1 Сбор КП Закупки'!K12,)</f>
        <v>6</v>
      </c>
      <c r="M12" s="197"/>
      <c r="N12" s="197">
        <v>0.0</v>
      </c>
      <c r="O12" s="197"/>
      <c r="P12" s="525" t="str">
        <f>'5-1 Сбор КП Закупки'!P12</f>
        <v/>
      </c>
      <c r="Q12" s="197"/>
      <c r="R12" s="197"/>
      <c r="S12" s="197"/>
      <c r="T12" s="197"/>
      <c r="U12" s="197"/>
      <c r="V12" s="197"/>
      <c r="W12" s="522" t="str">
        <f>'5-1 Сбор КП Закупки'!O12</f>
        <v/>
      </c>
      <c r="X12" s="197"/>
      <c r="Y12" s="197"/>
      <c r="Z12" s="197"/>
      <c r="AA12" s="197"/>
      <c r="AB12" s="197">
        <v>-5450.0</v>
      </c>
      <c r="AC12" s="197">
        <v>-32700.0</v>
      </c>
      <c r="AD12" s="197"/>
      <c r="AE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5-3'!$D$11:$Q319,AE$4,AE$5)"),"")</f>
        <v/>
      </c>
      <c r="AF12" s="528">
        <f>IFERROR(__xludf.DUMMYFUNCTION("""COMPUTED_VALUE"""),5450.0)</f>
        <v>5450</v>
      </c>
      <c r="AG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5-3'!$D$11:$Q319,AG$4,AG$5)"),"")</f>
        <v/>
      </c>
      <c r="AH12" s="527" t="str">
        <f>IFERROR(__xludf.DUMMYFUNCTION("""COMPUTED_VALUE"""),"davidov@pressair.ru")</f>
        <v>davidov@pressair.ru</v>
      </c>
      <c r="AI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5-3'!$D$11:$Q319,AI$4,AI$5)"),"")</f>
        <v/>
      </c>
      <c r="AJ12" s="527" t="str">
        <f>IFERROR(__xludf.DUMMYFUNCTION("""COMPUTED_VALUE"""),"1-1 Сбор КП CI")</f>
        <v>1-1 Сбор КП CI</v>
      </c>
      <c r="AK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5-3'!$D$11:$Q319,AK$4,AK$5)"),"")</f>
        <v/>
      </c>
      <c r="AL12" s="527"/>
      <c r="AM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5-3'!$D$11:$Q319,AM$4,AM$5)"),"")</f>
        <v/>
      </c>
      <c r="AN12" s="529" t="str">
        <f>IFERROR(__xludf.DUMMYFUNCTION("""COMPUTED_VALUE"""),"5 рд")</f>
        <v>5 рд</v>
      </c>
      <c r="AO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5-3'!$D$11:$Q319,AO$4,AO$5)"),"")</f>
        <v/>
      </c>
      <c r="AP12" s="527" t="str">
        <f>IFERROR(__xludf.DUMMYFUNCTION("""COMPUTED_VALUE"""),"Масляный фильтр 85062259 = SH8186")</f>
        <v>Масляный фильтр 85062259 = SH8186</v>
      </c>
      <c r="AQ12" s="527"/>
      <c r="AR12" s="527"/>
      <c r="AS12" s="527"/>
      <c r="AT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5-3'!$D$11:$Q319,AT$4,AT$5)"),"")</f>
        <v/>
      </c>
      <c r="AU12" s="531">
        <f>IFERROR(__xludf.DUMMYFUNCTION("""COMPUTED_VALUE"""),6400.0)</f>
        <v>6400</v>
      </c>
      <c r="AV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5-3'!$D$11:$Q319,AV$4,AV$5)"),"")</f>
        <v/>
      </c>
      <c r="AW12" s="530" t="str">
        <f>IFERROR(__xludf.DUMMYFUNCTION("""COMPUTED_VALUE"""),"zap-premium@mail.ru")</f>
        <v>zap-premium@mail.ru</v>
      </c>
      <c r="AX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5-3'!$D$11:$Q319,AX$4,AX$5)"),"")</f>
        <v/>
      </c>
      <c r="AY12" s="530" t="str">
        <f>IFERROR(__xludf.DUMMYFUNCTION("""COMPUTED_VALUE"""),"1-1 Сбор КП BQ")</f>
        <v>1-1 Сбор КП BQ</v>
      </c>
      <c r="AZ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5-3'!$D$11:$Q319,AZ$4,AZ$5)"),"")</f>
        <v/>
      </c>
      <c r="BA12" s="530"/>
      <c r="BB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5-3'!$D$11:$Q319,BB$4,BB$5)"),"")</f>
        <v/>
      </c>
      <c r="BC12" s="532" t="str">
        <f>IFERROR(__xludf.DUMMYFUNCTION("""COMPUTED_VALUE"""),"7 рд")</f>
        <v>7 рд</v>
      </c>
      <c r="BD12"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5-3'!$D$11:$Q319,BD$4,BD$5)"),"")</f>
        <v/>
      </c>
      <c r="BE12" s="533" t="str">
        <f>IFERROR(__xludf.DUMMYFUNCTION("""COMPUTED_VALUE"""),"Фильтр масляный 85062259 аналог")</f>
        <v>Фильтр масляный 85062259 аналог</v>
      </c>
      <c r="BF12" s="530"/>
      <c r="BG12" s="530"/>
      <c r="BH12" s="530"/>
      <c r="BI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5-3'!$D$11:$Q319,BI$4,BI$5)"),"")</f>
        <v/>
      </c>
      <c r="BJ12" s="535">
        <f>IFERROR(__xludf.DUMMYFUNCTION("""COMPUTED_VALUE"""),6900.0)</f>
        <v>6900</v>
      </c>
      <c r="BK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5-3'!$D$11:$Q319,BK$4,BK$5)"),"")</f>
        <v/>
      </c>
      <c r="BL12" s="534" t="str">
        <f>IFERROR(__xludf.DUMMYFUNCTION("""COMPUTED_VALUE"""),"order@techfil.ru")</f>
        <v>order@techfil.ru</v>
      </c>
      <c r="BM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5-3'!$D$11:$Q319,BM$4,BM$5)"),"")</f>
        <v/>
      </c>
      <c r="BN12" s="534" t="str">
        <f>IFERROR(__xludf.DUMMYFUNCTION("""COMPUTED_VALUE"""),"1-1 Сбор КП BE")</f>
        <v>1-1 Сбор КП BE</v>
      </c>
      <c r="BO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5-3'!$D$11:$Q319,BO$4,BO$5)"),"")</f>
        <v/>
      </c>
      <c r="BP12" s="534"/>
      <c r="BQ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5-3'!$D$11:$Q319,BQ$4,BQ$5)"),"")</f>
        <v/>
      </c>
      <c r="BR12" s="536" t="str">
        <f>IFERROR(__xludf.DUMMYFUNCTION("""COMPUTED_VALUE"""),"5 рд")</f>
        <v>5 рд</v>
      </c>
      <c r="BS12"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5-3'!$D$11:$Q319,BS$4,BS$5)"),"")</f>
        <v/>
      </c>
      <c r="BT12" s="533" t="str">
        <f>IFERROR(__xludf.DUMMYFUNCTION("""COMPUTED_VALUE"""),"Масляный фильтр 85062259 [ Аналог SH/O8186 ] ")</f>
        <v>Масляный фильтр 85062259 [ Аналог SH/O8186 ] </v>
      </c>
      <c r="BU12" s="534"/>
      <c r="BV12" s="534"/>
      <c r="BW12" s="534"/>
      <c r="BX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5-3'!$D$11:$Q319,BX$4,BX$5)"),"")</f>
        <v/>
      </c>
      <c r="BY12" s="538">
        <f>IFERROR(__xludf.DUMMYFUNCTION("""COMPUTED_VALUE"""),8600.0)</f>
        <v>8600</v>
      </c>
      <c r="BZ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5-3'!$D$11:$Q319,BZ$4,BZ$5)"),"")</f>
        <v/>
      </c>
      <c r="CA12" s="537" t="str">
        <f>IFERROR(__xludf.DUMMYFUNCTION("""COMPUTED_VALUE"""),"ca@air-part.ru (2)")</f>
        <v>ca@air-part.ru (2)</v>
      </c>
      <c r="CB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5-3'!$D$11:$Q319,CB$4,CB$5)"),"")</f>
        <v/>
      </c>
      <c r="CC12" s="537" t="str">
        <f>IFERROR(__xludf.DUMMYFUNCTION("""COMPUTED_VALUE"""),"1-1 Сбор КП BK")</f>
        <v>1-1 Сбор КП BK</v>
      </c>
      <c r="CD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5-3'!$D$11:$Q319,CD$4,CD$5)"),"")</f>
        <v/>
      </c>
      <c r="CE12" s="537"/>
      <c r="CF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5-3'!$D$11:$Q319,CF$4,CF$5)"),"")</f>
        <v/>
      </c>
      <c r="CG12" s="539" t="str">
        <f>IFERROR(__xludf.DUMMYFUNCTION("""COMPUTED_VALUE"""),"нал")</f>
        <v>нал</v>
      </c>
      <c r="CH12"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5-3'!$D$11:$Q319,CH$4,CH$5)"),"")</f>
        <v/>
      </c>
      <c r="CI12" s="533" t="str">
        <f>IFERROR(__xludf.DUMMYFUNCTION("""COMPUTED_VALUE"""),"Масляный фильтр - Артикул 85062259 (аналог) ")</f>
        <v>Масляный фильтр - Артикул 85062259 (аналог) </v>
      </c>
      <c r="CJ12" s="537"/>
      <c r="CK12" s="537"/>
      <c r="CL12" s="537"/>
      <c r="CM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5-3'!$D$11:$Q319,CM$4,CM$5)"),"")</f>
        <v/>
      </c>
      <c r="CN12" s="541">
        <f>IFERROR(__xludf.DUMMYFUNCTION("""COMPUTED_VALUE"""),11956.0)</f>
        <v>11956</v>
      </c>
      <c r="CO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5-3'!$D$11:$Q319,CO$4,CO$5)"),"")</f>
        <v/>
      </c>
      <c r="CP12" s="540" t="str">
        <f>IFERROR(__xludf.DUMMYFUNCTION("""COMPUTED_VALUE"""),"r.staroverov@evlart.ru")</f>
        <v>r.staroverov@evlart.ru</v>
      </c>
      <c r="CQ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5-3'!$D$11:$Q319,CQ$4,CQ$5)"),"")</f>
        <v/>
      </c>
      <c r="CR12" s="540" t="str">
        <f>IFERROR(__xludf.DUMMYFUNCTION("""COMPUTED_VALUE"""),"1-1 Сбор КП BZ")</f>
        <v>1-1 Сбор КП BZ</v>
      </c>
      <c r="CS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5-3'!$D$11:$Q319,CS$4,CS$5)"),"")</f>
        <v/>
      </c>
      <c r="CT12" s="540"/>
      <c r="CU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5-3'!$D$11:$Q319,CU$4,CU$5)"),"")</f>
        <v/>
      </c>
      <c r="CV12" s="545" t="str">
        <f>IFERROR(__xludf.DUMMYFUNCTION("""COMPUTED_VALUE"""),"нал")</f>
        <v>нал</v>
      </c>
      <c r="CW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5-3'!$D$11:$Q319,CW$4,CW$5)"),"")</f>
        <v/>
      </c>
      <c r="CX12" s="540" t="str">
        <f>IFERROR(__xludf.DUMMYFUNCTION("""COMPUTED_VALUE"""),"Масляный фильтр - Артикул 85062259")</f>
        <v>Масляный фильтр - Артикул 85062259</v>
      </c>
      <c r="CY12" s="540"/>
      <c r="CZ12" s="540"/>
      <c r="DA12" s="540"/>
      <c r="DB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5-3'!$D$11:$Q319,DB$4,DB$5)"),"")</f>
        <v/>
      </c>
      <c r="DC12" s="555">
        <f>IFERROR(__xludf.DUMMYFUNCTION("""COMPUTED_VALUE"""),17700.0)</f>
        <v>17700</v>
      </c>
      <c r="DD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5-3'!$D$11:$Q319,DD$4,DD$5)"),"")</f>
        <v/>
      </c>
      <c r="DE12" s="554" t="str">
        <f>IFERROR(__xludf.DUMMYFUNCTION("""COMPUTED_VALUE"""),"ca@air-part.ru (1)")</f>
        <v>ca@air-part.ru (1)</v>
      </c>
      <c r="DF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5-3'!$D$11:$Q319,DF$4,DF$5)"),"")</f>
        <v/>
      </c>
      <c r="DG12" s="554" t="str">
        <f>IFERROR(__xludf.DUMMYFUNCTION("""COMPUTED_VALUE"""),"1-1 Сбор КП BH")</f>
        <v>1-1 Сбор КП BH</v>
      </c>
      <c r="DH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5-3'!$D$11:$Q319,DH$4,DH$5)"),"")</f>
        <v/>
      </c>
      <c r="DI12" s="554"/>
      <c r="DJ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5-3'!$D$11:$Q319,DJ$4,DJ$5)"),"")</f>
        <v/>
      </c>
      <c r="DK12" s="566" t="str">
        <f>IFERROR(__xludf.DUMMYFUNCTION("""COMPUTED_VALUE"""),"18 нед")</f>
        <v>18 нед</v>
      </c>
      <c r="DL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5-3'!$D$11:$Q319,DL$4,DL$5)"),"")</f>
        <v/>
      </c>
      <c r="DM12" s="554" t="str">
        <f>IFERROR(__xludf.DUMMYFUNCTION("""COMPUTED_VALUE"""),"Масляный фильтр - Артикул 85062259 (оригинал)")</f>
        <v>Масляный фильтр - Артикул 85062259 (оригинал)</v>
      </c>
      <c r="DN12" s="554"/>
      <c r="DO12" s="554"/>
      <c r="DP12" s="554"/>
      <c r="DQ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5-3'!$D$11:$Q319,DQ$4,DQ$5)"),"")</f>
        <v/>
      </c>
      <c r="DR12" s="569"/>
      <c r="DS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5-3'!$D$11:$Q319,DS$4,DS$5)"),"")</f>
        <v/>
      </c>
      <c r="DT12" s="568"/>
      <c r="DU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5-3'!$D$11:$Q319,DU$4,DU$5)"),"")</f>
        <v/>
      </c>
      <c r="DV12" s="568"/>
      <c r="DW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5-3'!$D$11:$Q319,DW$4,DW$5)"),"")</f>
        <v/>
      </c>
      <c r="DX12" s="568"/>
      <c r="DY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5-3'!$D$11:$Q319,DY$4,DY$5)"),"")</f>
        <v/>
      </c>
      <c r="DZ12" s="578"/>
      <c r="EA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 'S-10 Топ 5-3'!$D$11:$Q319,EA$4,EA$5)"),"")</f>
        <v/>
      </c>
      <c r="EB12" s="568"/>
      <c r="EC12" s="568"/>
      <c r="ED12" s="568"/>
      <c r="EE12" s="568"/>
    </row>
    <row r="13">
      <c r="A13" s="519" t="str">
        <f t="shared" si="1"/>
        <v>Да</v>
      </c>
      <c r="B13" s="520" t="str">
        <f>'5-0 Товары'!B13</f>
        <v/>
      </c>
      <c r="C13" s="521" t="str">
        <f>'5-1 Сбор КП Закупки'!C13</f>
        <v>ID_T003</v>
      </c>
      <c r="D13" s="521" t="str">
        <f>'5-1 Сбор КП Закупки'!D13</f>
        <v>3</v>
      </c>
      <c r="E13" s="521" t="str">
        <f>'5-1 Сбор КП Закупки'!E13</f>
        <v>Воздушный фильтр - Артикул 85067179 </v>
      </c>
      <c r="F13" s="521" t="str">
        <f>'5-1 Сбор КП Закупки'!F13</f>
        <v/>
      </c>
      <c r="G13" s="522" t="str">
        <f>'5-1 Сбор КП Закупки'!G13</f>
        <v/>
      </c>
      <c r="H13" s="522" t="str">
        <f>'5-1 Сбор КП Закупки'!H13</f>
        <v/>
      </c>
      <c r="I13" s="522" t="str">
        <f>'5-1 Сбор КП Закупки'!I13</f>
        <v/>
      </c>
      <c r="J13" s="197"/>
      <c r="K13" s="522" t="str">
        <f>'5-1 Сбор КП Закупки'!G13</f>
        <v/>
      </c>
      <c r="L13" s="523">
        <f>IF(A13="Да",'5-1 Сбор КП Закупки'!K13,)</f>
        <v>16</v>
      </c>
      <c r="M13" s="197"/>
      <c r="N13" s="197">
        <v>0.0</v>
      </c>
      <c r="O13" s="197"/>
      <c r="P13" s="525" t="str">
        <f>'5-1 Сбор КП Закупки'!P13</f>
        <v/>
      </c>
      <c r="Q13" s="197"/>
      <c r="R13" s="197"/>
      <c r="S13" s="197"/>
      <c r="T13" s="197"/>
      <c r="U13" s="197"/>
      <c r="V13" s="197"/>
      <c r="W13" s="522" t="str">
        <f>'5-1 Сбор КП Закупки'!O13</f>
        <v/>
      </c>
      <c r="X13" s="197"/>
      <c r="Y13" s="197"/>
      <c r="Z13" s="197"/>
      <c r="AA13" s="197"/>
      <c r="AB13" s="197">
        <v>-4700.0</v>
      </c>
      <c r="AC13" s="197">
        <v>-75200.0</v>
      </c>
      <c r="AD13" s="197"/>
      <c r="AE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5-3'!$D$11:$Q319,AE$4,AE$5)"),"")</f>
        <v/>
      </c>
      <c r="AF13" s="528">
        <f>IFERROR(__xludf.DUMMYFUNCTION("""COMPUTED_VALUE"""),4700.0)</f>
        <v>4700</v>
      </c>
      <c r="AG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5-3'!$D$11:$Q319,AG$4,AG$5)"),"")</f>
        <v/>
      </c>
      <c r="AH13" s="527" t="str">
        <f>IFERROR(__xludf.DUMMYFUNCTION("""COMPUTED_VALUE"""),"zap-premium@mail.ru")</f>
        <v>zap-premium@mail.ru</v>
      </c>
      <c r="AI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5-3'!$D$11:$Q319,AI$4,AI$5)"),"")</f>
        <v/>
      </c>
      <c r="AJ13" s="527" t="str">
        <f>IFERROR(__xludf.DUMMYFUNCTION("""COMPUTED_VALUE"""),"1-1 Сбор КП BQ")</f>
        <v>1-1 Сбор КП BQ</v>
      </c>
      <c r="AK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5-3'!$D$11:$Q319,AK$4,AK$5)"),"")</f>
        <v/>
      </c>
      <c r="AL13" s="527"/>
      <c r="AM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5-3'!$D$11:$Q319,AM$4,AM$5)"),"")</f>
        <v/>
      </c>
      <c r="AN13" s="529" t="str">
        <f>IFERROR(__xludf.DUMMYFUNCTION("""COMPUTED_VALUE"""),"7 рд")</f>
        <v>7 рд</v>
      </c>
      <c r="AO13"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5-3'!$D$11:$Q319,AO$4,AO$5)"),"")</f>
        <v/>
      </c>
      <c r="AP13" s="533" t="str">
        <f>IFERROR(__xludf.DUMMYFUNCTION("""COMPUTED_VALUE"""),"Фильтр воздушный 85067179 аналог")</f>
        <v>Фильтр воздушный 85067179 аналог</v>
      </c>
      <c r="AQ13" s="527"/>
      <c r="AR13" s="527"/>
      <c r="AS13" s="527"/>
      <c r="AT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5-3'!$D$11:$Q319,AT$4,AT$5)"),"")</f>
        <v/>
      </c>
      <c r="AU13" s="531">
        <f>IFERROR(__xludf.DUMMYFUNCTION("""COMPUTED_VALUE"""),4902.0)</f>
        <v>4902</v>
      </c>
      <c r="AV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5-3'!$D$11:$Q319,AV$4,AV$5)"),"")</f>
        <v/>
      </c>
      <c r="AW13" s="530" t="str">
        <f>IFERROR(__xludf.DUMMYFUNCTION("""COMPUTED_VALUE"""),"r.staroverov@evlart.ru")</f>
        <v>r.staroverov@evlart.ru</v>
      </c>
      <c r="AX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5-3'!$D$11:$Q319,AX$4,AX$5)"),"")</f>
        <v/>
      </c>
      <c r="AY13" s="530" t="str">
        <f>IFERROR(__xludf.DUMMYFUNCTION("""COMPUTED_VALUE"""),"1-1 Сбор КП BZ")</f>
        <v>1-1 Сбор КП BZ</v>
      </c>
      <c r="AZ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5-3'!$D$11:$Q319,AZ$4,AZ$5)"),"")</f>
        <v/>
      </c>
      <c r="BA13" s="530"/>
      <c r="BB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5-3'!$D$11:$Q319,BB$4,BB$5)"),"")</f>
        <v/>
      </c>
      <c r="BC13" s="532" t="str">
        <f>IFERROR(__xludf.DUMMYFUNCTION("""COMPUTED_VALUE"""),"нал")</f>
        <v>нал</v>
      </c>
      <c r="BD13"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5-3'!$D$11:$Q319,BD$4,BD$5)"),"")</f>
        <v/>
      </c>
      <c r="BE13" s="533" t="str">
        <f>IFERROR(__xludf.DUMMYFUNCTION("""COMPUTED_VALUE"""),"Воздушный фильтр - Артикул 85067179 
Аналог")</f>
        <v>Воздушный фильтр - Артикул 85067179 
Аналог</v>
      </c>
      <c r="BF13" s="530"/>
      <c r="BG13" s="530"/>
      <c r="BH13" s="530"/>
      <c r="BI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5-3'!$D$11:$Q319,BI$4,BI$5)"),"")</f>
        <v/>
      </c>
      <c r="BJ13" s="535">
        <f>IFERROR(__xludf.DUMMYFUNCTION("""COMPUTED_VALUE"""),5000.0)</f>
        <v>5000</v>
      </c>
      <c r="BK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5-3'!$D$11:$Q319,BK$4,BK$5)"),"")</f>
        <v/>
      </c>
      <c r="BL13" s="534" t="str">
        <f>IFERROR(__xludf.DUMMYFUNCTION("""COMPUTED_VALUE"""),"davidov@pressair.ru")</f>
        <v>davidov@pressair.ru</v>
      </c>
      <c r="BM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5-3'!$D$11:$Q319,BM$4,BM$5)"),"")</f>
        <v/>
      </c>
      <c r="BN13" s="534" t="str">
        <f>IFERROR(__xludf.DUMMYFUNCTION("""COMPUTED_VALUE"""),"1-1 Сбор КП CI")</f>
        <v>1-1 Сбор КП CI</v>
      </c>
      <c r="BO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5-3'!$D$11:$Q319,BO$4,BO$5)"),"")</f>
        <v/>
      </c>
      <c r="BP13" s="534"/>
      <c r="BQ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5-3'!$D$11:$Q319,BQ$4,BQ$5)"),"")</f>
        <v/>
      </c>
      <c r="BR13" s="536" t="str">
        <f>IFERROR(__xludf.DUMMYFUNCTION("""COMPUTED_VALUE"""),"5 рд")</f>
        <v>5 рд</v>
      </c>
      <c r="BS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5-3'!$D$11:$Q319,BS$4,BS$5)"),"")</f>
        <v/>
      </c>
      <c r="BT13" s="534" t="str">
        <f>IFERROR(__xludf.DUMMYFUNCTION("""COMPUTED_VALUE"""),"Воздушный фильтр 85067179 = AG0378")</f>
        <v>Воздушный фильтр 85067179 = AG0378</v>
      </c>
      <c r="BU13" s="534"/>
      <c r="BV13" s="534"/>
      <c r="BW13" s="534"/>
      <c r="BX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5-3'!$D$11:$Q319,BX$4,BX$5)"),"")</f>
        <v/>
      </c>
      <c r="BY13" s="538">
        <f>IFERROR(__xludf.DUMMYFUNCTION("""COMPUTED_VALUE"""),6400.0)</f>
        <v>6400</v>
      </c>
      <c r="BZ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5-3'!$D$11:$Q319,BZ$4,BZ$5)"),"")</f>
        <v/>
      </c>
      <c r="CA13" s="537" t="str">
        <f>IFERROR(__xludf.DUMMYFUNCTION("""COMPUTED_VALUE"""),"order@techfil.ru")</f>
        <v>order@techfil.ru</v>
      </c>
      <c r="CB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5-3'!$D$11:$Q319,CB$4,CB$5)"),"")</f>
        <v/>
      </c>
      <c r="CC13" s="537" t="str">
        <f>IFERROR(__xludf.DUMMYFUNCTION("""COMPUTED_VALUE"""),"1-1 Сбор КП BE")</f>
        <v>1-1 Сбор КП BE</v>
      </c>
      <c r="CD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5-3'!$D$11:$Q319,CD$4,CD$5)"),"")</f>
        <v/>
      </c>
      <c r="CE13" s="537"/>
      <c r="CF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5-3'!$D$11:$Q319,CF$4,CF$5)"),"")</f>
        <v/>
      </c>
      <c r="CG13" s="539" t="str">
        <f>IFERROR(__xludf.DUMMYFUNCTION("""COMPUTED_VALUE"""),"5 рд")</f>
        <v>5 рд</v>
      </c>
      <c r="CH13"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5-3'!$D$11:$Q319,CH$4,CH$5)"),"")</f>
        <v/>
      </c>
      <c r="CI13" s="533" t="str">
        <f>IFERROR(__xludf.DUMMYFUNCTION("""COMPUTED_VALUE"""),"Воздушный фильтр 85067179 [ Аналог A0584/AG0378 ]")</f>
        <v>Воздушный фильтр 85067179 [ Аналог A0584/AG0378 ]</v>
      </c>
      <c r="CJ13" s="537"/>
      <c r="CK13" s="537"/>
      <c r="CL13" s="537"/>
      <c r="CM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5-3'!$D$11:$Q319,CM$4,CM$5)"),"")</f>
        <v/>
      </c>
      <c r="CN13" s="541">
        <f>IFERROR(__xludf.DUMMYFUNCTION("""COMPUTED_VALUE"""),6500.0)</f>
        <v>6500</v>
      </c>
      <c r="CO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5-3'!$D$11:$Q319,CO$4,CO$5)"),"")</f>
        <v/>
      </c>
      <c r="CP13" s="540" t="str">
        <f>IFERROR(__xludf.DUMMYFUNCTION("""COMPUTED_VALUE"""),"ca@air-part.ru (2)")</f>
        <v>ca@air-part.ru (2)</v>
      </c>
      <c r="CQ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5-3'!$D$11:$Q319,CQ$4,CQ$5)"),"")</f>
        <v/>
      </c>
      <c r="CR13" s="540" t="str">
        <f>IFERROR(__xludf.DUMMYFUNCTION("""COMPUTED_VALUE"""),"1-1 Сбор КП BK")</f>
        <v>1-1 Сбор КП BK</v>
      </c>
      <c r="CS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5-3'!$D$11:$Q319,CS$4,CS$5)"),"")</f>
        <v/>
      </c>
      <c r="CT13" s="540"/>
      <c r="CU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5-3'!$D$11:$Q319,CU$4,CU$5)"),"")</f>
        <v/>
      </c>
      <c r="CV13" s="545" t="str">
        <f>IFERROR(__xludf.DUMMYFUNCTION("""COMPUTED_VALUE"""),"нал")</f>
        <v>нал</v>
      </c>
      <c r="CW13"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5-3'!$D$11:$Q319,CW$4,CW$5)"),"")</f>
        <v/>
      </c>
      <c r="CX13" s="533" t="str">
        <f>IFERROR(__xludf.DUMMYFUNCTION("""COMPUTED_VALUE"""),"Воздушный фильтр - Артикул 85067179 (аналог)")</f>
        <v>Воздушный фильтр - Артикул 85067179 (аналог)</v>
      </c>
      <c r="CY13" s="540"/>
      <c r="CZ13" s="540"/>
      <c r="DA13" s="540"/>
      <c r="DB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5-3'!$D$11:$Q319,DB$4,DB$5)"),"")</f>
        <v/>
      </c>
      <c r="DC13" s="555">
        <f>IFERROR(__xludf.DUMMYFUNCTION("""COMPUTED_VALUE"""),19800.0)</f>
        <v>19800</v>
      </c>
      <c r="DD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5-3'!$D$11:$Q319,DD$4,DD$5)"),"")</f>
        <v/>
      </c>
      <c r="DE13" s="554" t="str">
        <f>IFERROR(__xludf.DUMMYFUNCTION("""COMPUTED_VALUE"""),"ca@air-part.ru (1)")</f>
        <v>ca@air-part.ru (1)</v>
      </c>
      <c r="DF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5-3'!$D$11:$Q319,DF$4,DF$5)"),"")</f>
        <v/>
      </c>
      <c r="DG13" s="554" t="str">
        <f>IFERROR(__xludf.DUMMYFUNCTION("""COMPUTED_VALUE"""),"1-1 Сбор КП BH")</f>
        <v>1-1 Сбор КП BH</v>
      </c>
      <c r="DH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5-3'!$D$11:$Q319,DH$4,DH$5)"),"")</f>
        <v/>
      </c>
      <c r="DI13" s="554"/>
      <c r="DJ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5-3'!$D$11:$Q319,DJ$4,DJ$5)"),"")</f>
        <v/>
      </c>
      <c r="DK13" s="566" t="str">
        <f>IFERROR(__xludf.DUMMYFUNCTION("""COMPUTED_VALUE"""),"18 нед")</f>
        <v>18 нед</v>
      </c>
      <c r="DL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5-3'!$D$11:$Q319,DL$4,DL$5)"),"")</f>
        <v/>
      </c>
      <c r="DM13" s="554" t="str">
        <f>IFERROR(__xludf.DUMMYFUNCTION("""COMPUTED_VALUE"""),"Воздушный фильтр - Артикул 85067179 (оригинал)")</f>
        <v>Воздушный фильтр - Артикул 85067179 (оригинал)</v>
      </c>
      <c r="DN13" s="554"/>
      <c r="DO13" s="554"/>
      <c r="DP13" s="554"/>
      <c r="DQ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5-3'!$D$11:$Q319,DQ$4,DQ$5)"),"")</f>
        <v/>
      </c>
      <c r="DR13" s="569"/>
      <c r="DS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5-3'!$D$11:$Q319,DS$4,DS$5)"),"")</f>
        <v/>
      </c>
      <c r="DT13" s="568"/>
      <c r="DU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5-3'!$D$11:$Q319,DU$4,DU$5)"),"")</f>
        <v/>
      </c>
      <c r="DV13" s="568"/>
      <c r="DW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5-3'!$D$11:$Q319,DW$4,DW$5)"),"")</f>
        <v/>
      </c>
      <c r="DX13" s="568"/>
      <c r="DY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5-3'!$D$11:$Q319,DY$4,DY$5)"),"")</f>
        <v/>
      </c>
      <c r="DZ13" s="578"/>
      <c r="EA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 'S-10 Топ 5-3'!$D$11:$Q319,EA$4,EA$5)"),"")</f>
        <v/>
      </c>
      <c r="EB13" s="568"/>
      <c r="EC13" s="568"/>
      <c r="ED13" s="568"/>
      <c r="EE13" s="568"/>
    </row>
    <row r="14">
      <c r="A14" s="519" t="str">
        <f t="shared" si="1"/>
        <v>Да</v>
      </c>
      <c r="B14" s="520" t="str">
        <f>'5-0 Товары'!B14</f>
        <v/>
      </c>
      <c r="C14" s="521" t="str">
        <f>'5-1 Сбор КП Закупки'!C14</f>
        <v>ID_T004</v>
      </c>
      <c r="D14" s="521" t="str">
        <f>'5-1 Сбор КП Закупки'!D14</f>
        <v>4</v>
      </c>
      <c r="E14" s="521" t="str">
        <f>'5-1 Сбор КП Закупки'!E14</f>
        <v>Термостат в сборе ESM-200; «Gardner Denver»</v>
      </c>
      <c r="F14" s="521" t="str">
        <f>'5-1 Сбор КП Закупки'!F14</f>
        <v/>
      </c>
      <c r="G14" s="522" t="str">
        <f>'5-1 Сбор КП Закупки'!G14</f>
        <v/>
      </c>
      <c r="H14" s="522" t="str">
        <f>'5-1 Сбор КП Закупки'!H14</f>
        <v/>
      </c>
      <c r="I14" s="522" t="str">
        <f>'5-1 Сбор КП Закупки'!I14</f>
        <v/>
      </c>
      <c r="J14" s="197"/>
      <c r="K14" s="522" t="str">
        <f>'5-1 Сбор КП Закупки'!G14</f>
        <v/>
      </c>
      <c r="L14" s="523">
        <f>IF(A14="Да",'5-1 Сбор КП Закупки'!K14,)</f>
        <v>2</v>
      </c>
      <c r="M14" s="197"/>
      <c r="N14" s="197">
        <v>0.0</v>
      </c>
      <c r="O14" s="197"/>
      <c r="P14" s="525" t="str">
        <f>'5-1 Сбор КП Закупки'!P14</f>
        <v/>
      </c>
      <c r="Q14" s="197"/>
      <c r="R14" s="197"/>
      <c r="S14" s="197"/>
      <c r="T14" s="197"/>
      <c r="U14" s="197"/>
      <c r="V14" s="197"/>
      <c r="W14" s="522" t="str">
        <f>'5-1 Сбор КП Закупки'!O14</f>
        <v/>
      </c>
      <c r="X14" s="197"/>
      <c r="Y14" s="197"/>
      <c r="Z14" s="197"/>
      <c r="AA14" s="197"/>
      <c r="AB14" s="197">
        <v>0.0</v>
      </c>
      <c r="AC14" s="197">
        <v>0.0</v>
      </c>
      <c r="AD14" s="197"/>
      <c r="AE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5-3'!$D$11:$Q319,AE$4,AE$5)"),"")</f>
        <v/>
      </c>
      <c r="AF14" s="528"/>
      <c r="AG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5-3'!$D$11:$Q319,AG$4,AG$5)"),"")</f>
        <v/>
      </c>
      <c r="AH14" s="527"/>
      <c r="AI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5-3'!$D$11:$Q319,AI$4,AI$5)"),"")</f>
        <v/>
      </c>
      <c r="AJ14" s="527"/>
      <c r="AK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5-3'!$D$11:$Q319,AK$4,AK$5)"),"")</f>
        <v/>
      </c>
      <c r="AL14" s="527"/>
      <c r="AM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5-3'!$D$11:$Q319,AM$4,AM$5)"),"")</f>
        <v/>
      </c>
      <c r="AN14" s="529"/>
      <c r="AO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5-3'!$D$11:$Q319,AO$4,AO$5)"),"")</f>
        <v/>
      </c>
      <c r="AP14" s="527"/>
      <c r="AQ14" s="527"/>
      <c r="AR14" s="527"/>
      <c r="AS14" s="527"/>
      <c r="AT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5-3'!$D$11:$Q319,AT$4,AT$5)"),"")</f>
        <v/>
      </c>
      <c r="AU14" s="531"/>
      <c r="AV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5-3'!$D$11:$Q319,AV$4,AV$5)"),"")</f>
        <v/>
      </c>
      <c r="AW14" s="530"/>
      <c r="AX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5-3'!$D$11:$Q319,AX$4,AX$5)"),"")</f>
        <v/>
      </c>
      <c r="AY14" s="530"/>
      <c r="AZ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5-3'!$D$11:$Q319,AZ$4,AZ$5)"),"")</f>
        <v/>
      </c>
      <c r="BA14" s="530"/>
      <c r="BB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5-3'!$D$11:$Q319,BB$4,BB$5)"),"")</f>
        <v/>
      </c>
      <c r="BC14" s="532"/>
      <c r="BD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5-3'!$D$11:$Q319,BD$4,BD$5)"),"")</f>
        <v/>
      </c>
      <c r="BE14" s="530"/>
      <c r="BF14" s="530"/>
      <c r="BG14" s="530"/>
      <c r="BH14" s="530"/>
      <c r="BI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5-3'!$D$11:$Q319,BI$4,BI$5)"),"")</f>
        <v/>
      </c>
      <c r="BJ14" s="535"/>
      <c r="BK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5-3'!$D$11:$Q319,BK$4,BK$5)"),"")</f>
        <v/>
      </c>
      <c r="BL14" s="534"/>
      <c r="BM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5-3'!$D$11:$Q319,BM$4,BM$5)"),"")</f>
        <v/>
      </c>
      <c r="BN14" s="534"/>
      <c r="BO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5-3'!$D$11:$Q319,BO$4,BO$5)"),"")</f>
        <v/>
      </c>
      <c r="BP14" s="534"/>
      <c r="BQ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5-3'!$D$11:$Q319,BQ$4,BQ$5)"),"")</f>
        <v/>
      </c>
      <c r="BR14" s="536"/>
      <c r="BS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5-3'!$D$11:$Q319,BS$4,BS$5)"),"")</f>
        <v/>
      </c>
      <c r="BT14" s="534"/>
      <c r="BU14" s="534"/>
      <c r="BV14" s="534"/>
      <c r="BW14" s="534"/>
      <c r="BX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5-3'!$D$11:$Q319,BX$4,BX$5)"),"")</f>
        <v/>
      </c>
      <c r="BY14" s="538"/>
      <c r="BZ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5-3'!$D$11:$Q319,BZ$4,BZ$5)"),"")</f>
        <v/>
      </c>
      <c r="CA14" s="537"/>
      <c r="CB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5-3'!$D$11:$Q319,CB$4,CB$5)"),"")</f>
        <v/>
      </c>
      <c r="CC14" s="537"/>
      <c r="CD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5-3'!$D$11:$Q319,CD$4,CD$5)"),"")</f>
        <v/>
      </c>
      <c r="CE14" s="537"/>
      <c r="CF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5-3'!$D$11:$Q319,CF$4,CF$5)"),"")</f>
        <v/>
      </c>
      <c r="CG14" s="539"/>
      <c r="CH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5-3'!$D$11:$Q319,CH$4,CH$5)"),"")</f>
        <v/>
      </c>
      <c r="CI14" s="537"/>
      <c r="CJ14" s="537"/>
      <c r="CK14" s="537"/>
      <c r="CL14" s="537"/>
      <c r="CM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5-3'!$D$11:$Q319,CM$4,CM$5)"),"")</f>
        <v/>
      </c>
      <c r="CN14" s="541"/>
      <c r="CO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5-3'!$D$11:$Q319,CO$4,CO$5)"),"")</f>
        <v/>
      </c>
      <c r="CP14" s="540"/>
      <c r="CQ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5-3'!$D$11:$Q319,CQ$4,CQ$5)"),"")</f>
        <v/>
      </c>
      <c r="CR14" s="540"/>
      <c r="CS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5-3'!$D$11:$Q319,CS$4,CS$5)"),"")</f>
        <v/>
      </c>
      <c r="CT14" s="540"/>
      <c r="CU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5-3'!$D$11:$Q319,CU$4,CU$5)"),"")</f>
        <v/>
      </c>
      <c r="CV14" s="545"/>
      <c r="CW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5-3'!$D$11:$Q319,CW$4,CW$5)"),"")</f>
        <v/>
      </c>
      <c r="CX14" s="540"/>
      <c r="CY14" s="540"/>
      <c r="CZ14" s="540"/>
      <c r="DA14" s="540"/>
      <c r="DB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5-3'!$D$11:$Q319,DB$4,DB$5)"),"")</f>
        <v/>
      </c>
      <c r="DC14" s="555"/>
      <c r="DD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5-3'!$D$11:$Q319,DD$4,DD$5)"),"")</f>
        <v/>
      </c>
      <c r="DE14" s="554"/>
      <c r="DF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5-3'!$D$11:$Q319,DF$4,DF$5)"),"")</f>
        <v/>
      </c>
      <c r="DG14" s="554"/>
      <c r="DH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5-3'!$D$11:$Q319,DH$4,DH$5)"),"")</f>
        <v/>
      </c>
      <c r="DI14" s="554"/>
      <c r="DJ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5-3'!$D$11:$Q319,DJ$4,DJ$5)"),"")</f>
        <v/>
      </c>
      <c r="DK14" s="566"/>
      <c r="DL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5-3'!$D$11:$Q319,DL$4,DL$5)"),"")</f>
        <v/>
      </c>
      <c r="DM14" s="554"/>
      <c r="DN14" s="554"/>
      <c r="DO14" s="554"/>
      <c r="DP14" s="554"/>
      <c r="DQ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5-3'!$D$11:$Q319,DQ$4,DQ$5)"),"")</f>
        <v/>
      </c>
      <c r="DR14" s="569"/>
      <c r="DS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5-3'!$D$11:$Q319,DS$4,DS$5)"),"")</f>
        <v/>
      </c>
      <c r="DT14" s="568"/>
      <c r="DU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5-3'!$D$11:$Q319,DU$4,DU$5)"),"")</f>
        <v/>
      </c>
      <c r="DV14" s="568"/>
      <c r="DW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5-3'!$D$11:$Q319,DW$4,DW$5)"),"")</f>
        <v/>
      </c>
      <c r="DX14" s="568"/>
      <c r="DY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5-3'!$D$11:$Q319,DY$4,DY$5)"),"")</f>
        <v/>
      </c>
      <c r="DZ14" s="578"/>
      <c r="EA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 'S-10 Топ 5-3'!$D$11:$Q319,EA$4,EA$5)"),"")</f>
        <v/>
      </c>
      <c r="EB14" s="568"/>
      <c r="EC14" s="568"/>
      <c r="ED14" s="568"/>
      <c r="EE14" s="568"/>
    </row>
    <row r="15">
      <c r="A15" s="519" t="str">
        <f t="shared" si="1"/>
        <v>Да</v>
      </c>
      <c r="B15" s="520" t="str">
        <f>'5-0 Товары'!B15</f>
        <v/>
      </c>
      <c r="C15" s="521" t="str">
        <f>'5-1 Сбор КП Закупки'!C15</f>
        <v>ID_T005</v>
      </c>
      <c r="D15" s="521" t="str">
        <f>'5-1 Сбор КП Закупки'!D15</f>
        <v>5</v>
      </c>
      <c r="E15" s="521" t="str">
        <f>'5-1 Сбор КП Закупки'!E15</f>
        <v>Масляный сепаратор Артикул 03498328</v>
      </c>
      <c r="F15" s="521" t="str">
        <f>'5-1 Сбор КП Закупки'!F15</f>
        <v/>
      </c>
      <c r="G15" s="522" t="str">
        <f>'5-1 Сбор КП Закупки'!G15</f>
        <v/>
      </c>
      <c r="H15" s="522" t="str">
        <f>'5-1 Сбор КП Закупки'!H15</f>
        <v/>
      </c>
      <c r="I15" s="522" t="str">
        <f>'5-1 Сбор КП Закупки'!I15</f>
        <v/>
      </c>
      <c r="J15" s="197"/>
      <c r="K15" s="522" t="str">
        <f>'5-1 Сбор КП Закупки'!G15</f>
        <v/>
      </c>
      <c r="L15" s="523">
        <f>IF(A15="Да",'5-1 Сбор КП Закупки'!K15,)</f>
        <v>3</v>
      </c>
      <c r="M15" s="197"/>
      <c r="N15" s="197">
        <v>0.0</v>
      </c>
      <c r="O15" s="197"/>
      <c r="P15" s="525" t="str">
        <f>'5-1 Сбор КП Закупки'!P15</f>
        <v/>
      </c>
      <c r="Q15" s="197"/>
      <c r="R15" s="197"/>
      <c r="S15" s="197"/>
      <c r="T15" s="197"/>
      <c r="U15" s="197"/>
      <c r="V15" s="197"/>
      <c r="W15" s="522" t="str">
        <f>'5-1 Сбор КП Закупки'!O15</f>
        <v/>
      </c>
      <c r="X15" s="197"/>
      <c r="Y15" s="197"/>
      <c r="Z15" s="197"/>
      <c r="AA15" s="197"/>
      <c r="AB15" s="197">
        <v>-9900.0</v>
      </c>
      <c r="AC15" s="197">
        <v>-29700.0</v>
      </c>
      <c r="AD15" s="197"/>
      <c r="AE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5-3'!$D$11:$Q319,AE$4,AE$5)"),"")</f>
        <v/>
      </c>
      <c r="AF15" s="528">
        <f>IFERROR(__xludf.DUMMYFUNCTION("""COMPUTED_VALUE"""),9900.0)</f>
        <v>9900</v>
      </c>
      <c r="AG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5-3'!$D$11:$Q319,AG$4,AG$5)"),"")</f>
        <v/>
      </c>
      <c r="AH15" s="527" t="str">
        <f>IFERROR(__xludf.DUMMYFUNCTION("""COMPUTED_VALUE"""),"davidov@pressair.ru")</f>
        <v>davidov@pressair.ru</v>
      </c>
      <c r="AI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5-3'!$D$11:$Q319,AI$4,AI$5)"),"")</f>
        <v/>
      </c>
      <c r="AJ15" s="527" t="str">
        <f>IFERROR(__xludf.DUMMYFUNCTION("""COMPUTED_VALUE"""),"1-1 Сбор КП CI")</f>
        <v>1-1 Сбор КП CI</v>
      </c>
      <c r="AK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5-3'!$D$11:$Q319,AK$4,AK$5)"),"")</f>
        <v/>
      </c>
      <c r="AL15" s="527"/>
      <c r="AM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5-3'!$D$11:$Q319,AM$4,AM$5)"),"")</f>
        <v/>
      </c>
      <c r="AN15" s="529" t="str">
        <f>IFERROR(__xludf.DUMMYFUNCTION("""COMPUTED_VALUE"""),"5 рд")</f>
        <v>5 рд</v>
      </c>
      <c r="AO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5-3'!$D$11:$Q319,AO$4,AO$5)"),"")</f>
        <v/>
      </c>
      <c r="AP15" s="527" t="str">
        <f>IFERROR(__xludf.DUMMYFUNCTION("""COMPUTED_VALUE"""),"Масляный сепаратор 03498328 = DA1118")</f>
        <v>Масляный сепаратор 03498328 = DA1118</v>
      </c>
      <c r="AQ15" s="527"/>
      <c r="AR15" s="527"/>
      <c r="AS15" s="527"/>
      <c r="AT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5-3'!$D$11:$Q319,AT$4,AT$5)"),"")</f>
        <v/>
      </c>
      <c r="AU15" s="531">
        <f>IFERROR(__xludf.DUMMYFUNCTION("""COMPUTED_VALUE"""),11956.0)</f>
        <v>11956</v>
      </c>
      <c r="AV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5-3'!$D$11:$Q319,AV$4,AV$5)"),"")</f>
        <v/>
      </c>
      <c r="AW15" s="530" t="str">
        <f>IFERROR(__xludf.DUMMYFUNCTION("""COMPUTED_VALUE"""),"r.staroverov@evlart.ru")</f>
        <v>r.staroverov@evlart.ru</v>
      </c>
      <c r="AX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5-3'!$D$11:$Q319,AX$4,AX$5)"),"")</f>
        <v/>
      </c>
      <c r="AY15" s="530" t="str">
        <f>IFERROR(__xludf.DUMMYFUNCTION("""COMPUTED_VALUE"""),"1-1 Сбор КП BZ")</f>
        <v>1-1 Сбор КП BZ</v>
      </c>
      <c r="AZ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5-3'!$D$11:$Q319,AZ$4,AZ$5)"),"")</f>
        <v/>
      </c>
      <c r="BA15" s="530"/>
      <c r="BB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5-3'!$D$11:$Q319,BB$4,BB$5)"),"")</f>
        <v/>
      </c>
      <c r="BC15" s="532" t="str">
        <f>IFERROR(__xludf.DUMMYFUNCTION("""COMPUTED_VALUE"""),"12 нед")</f>
        <v>12 нед</v>
      </c>
      <c r="BD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5-3'!$D$11:$Q319,BD$4,BD$5)"),"")</f>
        <v/>
      </c>
      <c r="BE15" s="530" t="str">
        <f>IFERROR(__xludf.DUMMYFUNCTION("""COMPUTED_VALUE"""),"Масляный сепаратор Артикул 03498328")</f>
        <v>Масляный сепаратор Артикул 03498328</v>
      </c>
      <c r="BF15" s="530"/>
      <c r="BG15" s="530"/>
      <c r="BH15" s="530"/>
      <c r="BI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5-3'!$D$11:$Q319,BI$4,BI$5)"),"")</f>
        <v/>
      </c>
      <c r="BJ15" s="535">
        <f>IFERROR(__xludf.DUMMYFUNCTION("""COMPUTED_VALUE"""),12000.0)</f>
        <v>12000</v>
      </c>
      <c r="BK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5-3'!$D$11:$Q319,BK$4,BK$5)"),"")</f>
        <v/>
      </c>
      <c r="BL15" s="534" t="str">
        <f>IFERROR(__xludf.DUMMYFUNCTION("""COMPUTED_VALUE"""),"zap-premium@mail.ru")</f>
        <v>zap-premium@mail.ru</v>
      </c>
      <c r="BM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5-3'!$D$11:$Q319,BM$4,BM$5)"),"")</f>
        <v/>
      </c>
      <c r="BN15" s="534" t="str">
        <f>IFERROR(__xludf.DUMMYFUNCTION("""COMPUTED_VALUE"""),"1-1 Сбор КП BQ")</f>
        <v>1-1 Сбор КП BQ</v>
      </c>
      <c r="BO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5-3'!$D$11:$Q319,BO$4,BO$5)"),"")</f>
        <v/>
      </c>
      <c r="BP15" s="534"/>
      <c r="BQ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5-3'!$D$11:$Q319,BQ$4,BQ$5)"),"")</f>
        <v/>
      </c>
      <c r="BR15" s="536" t="str">
        <f>IFERROR(__xludf.DUMMYFUNCTION("""COMPUTED_VALUE"""),"7 рд")</f>
        <v>7 рд</v>
      </c>
      <c r="BS15"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5-3'!$D$11:$Q319,BS$4,BS$5)"),"")</f>
        <v/>
      </c>
      <c r="BT15" s="533" t="str">
        <f>IFERROR(__xludf.DUMMYFUNCTION("""COMPUTED_VALUE"""),"Сепаратор 03498328 аналог")</f>
        <v>Сепаратор 03498328 аналог</v>
      </c>
      <c r="BU15" s="534"/>
      <c r="BV15" s="534"/>
      <c r="BW15" s="534"/>
      <c r="BX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5-3'!$D$11:$Q319,BX$4,BX$5)"),"")</f>
        <v/>
      </c>
      <c r="BY15" s="538">
        <f>IFERROR(__xludf.DUMMYFUNCTION("""COMPUTED_VALUE"""),12800.0)</f>
        <v>12800</v>
      </c>
      <c r="BZ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5-3'!$D$11:$Q319,BZ$4,BZ$5)"),"")</f>
        <v/>
      </c>
      <c r="CA15" s="537" t="str">
        <f>IFERROR(__xludf.DUMMYFUNCTION("""COMPUTED_VALUE"""),"order@techfil.ru")</f>
        <v>order@techfil.ru</v>
      </c>
      <c r="CB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5-3'!$D$11:$Q319,CB$4,CB$5)"),"")</f>
        <v/>
      </c>
      <c r="CC15" s="537" t="str">
        <f>IFERROR(__xludf.DUMMYFUNCTION("""COMPUTED_VALUE"""),"1-1 Сбор КП BE")</f>
        <v>1-1 Сбор КП BE</v>
      </c>
      <c r="CD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5-3'!$D$11:$Q319,CD$4,CD$5)"),"")</f>
        <v/>
      </c>
      <c r="CE15" s="537"/>
      <c r="CF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5-3'!$D$11:$Q319,CF$4,CF$5)"),"")</f>
        <v/>
      </c>
      <c r="CG15" s="539" t="str">
        <f>IFERROR(__xludf.DUMMYFUNCTION("""COMPUTED_VALUE"""),"5 рд")</f>
        <v>5 рд</v>
      </c>
      <c r="CH15"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5-3'!$D$11:$Q319,CH$4,CH$5)"),"")</f>
        <v/>
      </c>
      <c r="CI15" s="533" t="str">
        <f>IFERROR(__xludf.DUMMYFUNCTION("""COMPUTED_VALUE"""),"Cепаратор 03498328 [ Аналог DA1118 ] ")</f>
        <v>Cепаратор 03498328 [ Аналог DA1118 ] </v>
      </c>
      <c r="CJ15" s="537"/>
      <c r="CK15" s="537"/>
      <c r="CL15" s="537"/>
      <c r="CM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5-3'!$D$11:$Q319,CM$4,CM$5)"),"")</f>
        <v/>
      </c>
      <c r="CN15" s="541">
        <f>IFERROR(__xludf.DUMMYFUNCTION("""COMPUTED_VALUE"""),12900.0)</f>
        <v>12900</v>
      </c>
      <c r="CO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5-3'!$D$11:$Q319,CO$4,CO$5)"),"")</f>
        <v/>
      </c>
      <c r="CP15" s="540" t="str">
        <f>IFERROR(__xludf.DUMMYFUNCTION("""COMPUTED_VALUE"""),"ca@air-part.ru (2)")</f>
        <v>ca@air-part.ru (2)</v>
      </c>
      <c r="CQ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5-3'!$D$11:$Q319,CQ$4,CQ$5)"),"")</f>
        <v/>
      </c>
      <c r="CR15" s="540" t="str">
        <f>IFERROR(__xludf.DUMMYFUNCTION("""COMPUTED_VALUE"""),"1-1 Сбор КП BK")</f>
        <v>1-1 Сбор КП BK</v>
      </c>
      <c r="CS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5-3'!$D$11:$Q319,CS$4,CS$5)"),"")</f>
        <v/>
      </c>
      <c r="CT15" s="540"/>
      <c r="CU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5-3'!$D$11:$Q319,CU$4,CU$5)"),"")</f>
        <v/>
      </c>
      <c r="CV15" s="545" t="str">
        <f>IFERROR(__xludf.DUMMYFUNCTION("""COMPUTED_VALUE"""),"нал")</f>
        <v>нал</v>
      </c>
      <c r="CW15"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5-3'!$D$11:$Q319,CW$4,CW$5)"),"")</f>
        <v/>
      </c>
      <c r="CX15" s="533" t="str">
        <f>IFERROR(__xludf.DUMMYFUNCTION("""COMPUTED_VALUE"""),"Масляный сепаратор Артикул 03498328 (аналог)")</f>
        <v>Масляный сепаратор Артикул 03498328 (аналог)</v>
      </c>
      <c r="CY15" s="540"/>
      <c r="CZ15" s="540"/>
      <c r="DA15" s="540"/>
      <c r="DB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5-3'!$D$11:$Q319,DB$4,DB$5)"),"")</f>
        <v/>
      </c>
      <c r="DC15" s="555">
        <f>IFERROR(__xludf.DUMMYFUNCTION("""COMPUTED_VALUE"""),16600.0)</f>
        <v>16600</v>
      </c>
      <c r="DD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5-3'!$D$11:$Q319,DD$4,DD$5)"),"")</f>
        <v/>
      </c>
      <c r="DE15" s="554" t="str">
        <f>IFERROR(__xludf.DUMMYFUNCTION("""COMPUTED_VALUE"""),"ca@air-part.ru (1)")</f>
        <v>ca@air-part.ru (1)</v>
      </c>
      <c r="DF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5-3'!$D$11:$Q319,DF$4,DF$5)"),"")</f>
        <v/>
      </c>
      <c r="DG15" s="554" t="str">
        <f>IFERROR(__xludf.DUMMYFUNCTION("""COMPUTED_VALUE"""),"1-1 Сбор КП BH")</f>
        <v>1-1 Сбор КП BH</v>
      </c>
      <c r="DH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5-3'!$D$11:$Q319,DH$4,DH$5)"),"")</f>
        <v/>
      </c>
      <c r="DI15" s="554"/>
      <c r="DJ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5-3'!$D$11:$Q319,DJ$4,DJ$5)"),"")</f>
        <v/>
      </c>
      <c r="DK15" s="566" t="str">
        <f>IFERROR(__xludf.DUMMYFUNCTION("""COMPUTED_VALUE"""),"18 нед")</f>
        <v>18 нед</v>
      </c>
      <c r="DL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5-3'!$D$11:$Q319,DL$4,DL$5)"),"")</f>
        <v/>
      </c>
      <c r="DM15" s="554" t="str">
        <f>IFERROR(__xludf.DUMMYFUNCTION("""COMPUTED_VALUE"""),"Масляный сепаратор Артикул 03498328 (оригинал) ")</f>
        <v>Масляный сепаратор Артикул 03498328 (оригинал) </v>
      </c>
      <c r="DN15" s="554"/>
      <c r="DO15" s="554"/>
      <c r="DP15" s="554"/>
      <c r="DQ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5-3'!$D$11:$Q319,DQ$4,DQ$5)"),"")</f>
        <v/>
      </c>
      <c r="DR15" s="569"/>
      <c r="DS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5-3'!$D$11:$Q319,DS$4,DS$5)"),"")</f>
        <v/>
      </c>
      <c r="DT15" s="568"/>
      <c r="DU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5-3'!$D$11:$Q319,DU$4,DU$5)"),"")</f>
        <v/>
      </c>
      <c r="DV15" s="568"/>
      <c r="DW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5-3'!$D$11:$Q319,DW$4,DW$5)"),"")</f>
        <v/>
      </c>
      <c r="DX15" s="568"/>
      <c r="DY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5-3'!$D$11:$Q319,DY$4,DY$5)"),"")</f>
        <v/>
      </c>
      <c r="DZ15" s="578"/>
      <c r="EA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 'S-10 Топ 5-3'!$D$11:$Q319,EA$4,EA$5)"),"")</f>
        <v/>
      </c>
      <c r="EB15" s="568"/>
      <c r="EC15" s="568"/>
      <c r="ED15" s="568"/>
      <c r="EE15" s="568"/>
    </row>
    <row r="16">
      <c r="A16" s="519" t="str">
        <f t="shared" si="1"/>
        <v>Да</v>
      </c>
      <c r="B16" s="520" t="str">
        <f>'5-0 Товары'!B16</f>
        <v/>
      </c>
      <c r="C16" s="521" t="str">
        <f>'5-1 Сбор КП Закупки'!C16</f>
        <v>ID_T006</v>
      </c>
      <c r="D16" s="521" t="str">
        <f>'5-1 Сбор КП Закупки'!D16</f>
        <v>6</v>
      </c>
      <c r="E16" s="521" t="str">
        <f>'5-1 Сбор КП Закупки'!E16</f>
        <v>Масляный фильтр Артикул 89675429</v>
      </c>
      <c r="F16" s="521" t="str">
        <f>'5-1 Сбор КП Закупки'!F16</f>
        <v/>
      </c>
      <c r="G16" s="522" t="str">
        <f>'5-1 Сбор КП Закупки'!G16</f>
        <v/>
      </c>
      <c r="H16" s="522" t="str">
        <f>'5-1 Сбор КП Закупки'!H16</f>
        <v/>
      </c>
      <c r="I16" s="522" t="str">
        <f>'5-1 Сбор КП Закупки'!I16</f>
        <v/>
      </c>
      <c r="J16" s="197"/>
      <c r="K16" s="522" t="str">
        <f>'5-1 Сбор КП Закупки'!G16</f>
        <v/>
      </c>
      <c r="L16" s="523">
        <f>IF(A16="Да",'5-1 Сбор КП Закупки'!K16,)</f>
        <v>3</v>
      </c>
      <c r="M16" s="197"/>
      <c r="N16" s="197">
        <v>0.0</v>
      </c>
      <c r="O16" s="197"/>
      <c r="P16" s="525" t="str">
        <f>'5-1 Сбор КП Закупки'!P16</f>
        <v/>
      </c>
      <c r="Q16" s="197"/>
      <c r="R16" s="197"/>
      <c r="S16" s="197"/>
      <c r="T16" s="197"/>
      <c r="U16" s="197"/>
      <c r="V16" s="197"/>
      <c r="W16" s="522" t="str">
        <f>'5-1 Сбор КП Закупки'!O16</f>
        <v/>
      </c>
      <c r="X16" s="197"/>
      <c r="Y16" s="197"/>
      <c r="Z16" s="197"/>
      <c r="AA16" s="197"/>
      <c r="AB16" s="197">
        <v>-950.0</v>
      </c>
      <c r="AC16" s="197">
        <v>-2850.0</v>
      </c>
      <c r="AD16" s="197"/>
      <c r="AE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5-3'!$D$11:$Q319,AE$4,AE$5)"),"")</f>
        <v/>
      </c>
      <c r="AF16" s="528">
        <f>IFERROR(__xludf.DUMMYFUNCTION("""COMPUTED_VALUE"""),950.0)</f>
        <v>950</v>
      </c>
      <c r="AG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5-3'!$D$11:$Q319,AG$4,AG$5)"),"")</f>
        <v/>
      </c>
      <c r="AH16" s="527" t="str">
        <f>IFERROR(__xludf.DUMMYFUNCTION("""COMPUTED_VALUE"""),"zap-premium@mail.ru")</f>
        <v>zap-premium@mail.ru</v>
      </c>
      <c r="AI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5-3'!$D$11:$Q319,AI$4,AI$5)"),"")</f>
        <v/>
      </c>
      <c r="AJ16" s="527" t="str">
        <f>IFERROR(__xludf.DUMMYFUNCTION("""COMPUTED_VALUE"""),"1-1 Сбор КП BQ")</f>
        <v>1-1 Сбор КП BQ</v>
      </c>
      <c r="AK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5-3'!$D$11:$Q319,AK$4,AK$5)"),"")</f>
        <v/>
      </c>
      <c r="AL16" s="527"/>
      <c r="AM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5-3'!$D$11:$Q319,AM$4,AM$5)"),"")</f>
        <v/>
      </c>
      <c r="AN16" s="529" t="str">
        <f>IFERROR(__xludf.DUMMYFUNCTION("""COMPUTED_VALUE"""),"7 рд")</f>
        <v>7 рд</v>
      </c>
      <c r="AO16"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5-3'!$D$11:$Q319,AO$4,AO$5)"),"")</f>
        <v/>
      </c>
      <c r="AP16" s="533" t="str">
        <f>IFERROR(__xludf.DUMMYFUNCTION("""COMPUTED_VALUE"""),"Фильтр масляный 89675429 аналог")</f>
        <v>Фильтр масляный 89675429 аналог</v>
      </c>
      <c r="AQ16" s="527"/>
      <c r="AR16" s="527"/>
      <c r="AS16" s="527"/>
      <c r="AT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5-3'!$D$11:$Q319,AT$4,AT$5)"),"")</f>
        <v/>
      </c>
      <c r="AU16" s="531">
        <f>IFERROR(__xludf.DUMMYFUNCTION("""COMPUTED_VALUE"""),2547.36)</f>
        <v>2547.36</v>
      </c>
      <c r="AV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5-3'!$D$11:$Q319,AV$4,AV$5)"),"")</f>
        <v/>
      </c>
      <c r="AW16" s="530" t="str">
        <f>IFERROR(__xludf.DUMMYFUNCTION("""COMPUTED_VALUE"""),"r.staroverov@evlart.ru")</f>
        <v>r.staroverov@evlart.ru</v>
      </c>
      <c r="AX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5-3'!$D$11:$Q319,AX$4,AX$5)"),"")</f>
        <v/>
      </c>
      <c r="AY16" s="530" t="str">
        <f>IFERROR(__xludf.DUMMYFUNCTION("""COMPUTED_VALUE"""),"1-1 Сбор КП BZ")</f>
        <v>1-1 Сбор КП BZ</v>
      </c>
      <c r="AZ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5-3'!$D$11:$Q319,AZ$4,AZ$5)"),"")</f>
        <v/>
      </c>
      <c r="BA16" s="530"/>
      <c r="BB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5-3'!$D$11:$Q319,BB$4,BB$5)"),"")</f>
        <v/>
      </c>
      <c r="BC16" s="532" t="str">
        <f>IFERROR(__xludf.DUMMYFUNCTION("""COMPUTED_VALUE"""),"12 нед")</f>
        <v>12 нед</v>
      </c>
      <c r="BD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5-3'!$D$11:$Q319,BD$4,BD$5)"),"")</f>
        <v/>
      </c>
      <c r="BE16" s="530" t="str">
        <f>IFERROR(__xludf.DUMMYFUNCTION("""COMPUTED_VALUE"""),"Масляный фильтр Артикул 89675429")</f>
        <v>Масляный фильтр Артикул 89675429</v>
      </c>
      <c r="BF16" s="530"/>
      <c r="BG16" s="530"/>
      <c r="BH16" s="530"/>
      <c r="BI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5-3'!$D$11:$Q319,BI$4,BI$5)"),"")</f>
        <v/>
      </c>
      <c r="BJ16" s="535">
        <f>IFERROR(__xludf.DUMMYFUNCTION("""COMPUTED_VALUE"""),2750.0)</f>
        <v>2750</v>
      </c>
      <c r="BK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5-3'!$D$11:$Q319,BK$4,BK$5)"),"")</f>
        <v/>
      </c>
      <c r="BL16" s="534" t="str">
        <f>IFERROR(__xludf.DUMMYFUNCTION("""COMPUTED_VALUE"""),"order@techfil.ru")</f>
        <v>order@techfil.ru</v>
      </c>
      <c r="BM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5-3'!$D$11:$Q319,BM$4,BM$5)"),"")</f>
        <v/>
      </c>
      <c r="BN16" s="534" t="str">
        <f>IFERROR(__xludf.DUMMYFUNCTION("""COMPUTED_VALUE"""),"1-1 Сбор КП BE")</f>
        <v>1-1 Сбор КП BE</v>
      </c>
      <c r="BO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5-3'!$D$11:$Q319,BO$4,BO$5)"),"")</f>
        <v/>
      </c>
      <c r="BP16" s="534"/>
      <c r="BQ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5-3'!$D$11:$Q319,BQ$4,BQ$5)"),"")</f>
        <v/>
      </c>
      <c r="BR16" s="536" t="str">
        <f>IFERROR(__xludf.DUMMYFUNCTION("""COMPUTED_VALUE"""),"5 рд")</f>
        <v>5 рд</v>
      </c>
      <c r="BS16"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5-3'!$D$11:$Q319,BS$4,BS$5)"),"")</f>
        <v/>
      </c>
      <c r="BT16" s="533" t="str">
        <f>IFERROR(__xludf.DUMMYFUNCTION("""COMPUTED_VALUE"""),"Масляный фильтр 89675429 [ Аналог SH8130 ] ")</f>
        <v>Масляный фильтр 89675429 [ Аналог SH8130 ] </v>
      </c>
      <c r="BU16" s="534"/>
      <c r="BV16" s="534"/>
      <c r="BW16" s="534"/>
      <c r="BX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5-3'!$D$11:$Q319,BX$4,BX$5)"),"")</f>
        <v/>
      </c>
      <c r="BY16" s="538">
        <f>IFERROR(__xludf.DUMMYFUNCTION("""COMPUTED_VALUE"""),3650.0)</f>
        <v>3650</v>
      </c>
      <c r="BZ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5-3'!$D$11:$Q319,BZ$4,BZ$5)"),"")</f>
        <v/>
      </c>
      <c r="CA16" s="537" t="str">
        <f>IFERROR(__xludf.DUMMYFUNCTION("""COMPUTED_VALUE"""),"davidov@pressair.ru")</f>
        <v>davidov@pressair.ru</v>
      </c>
      <c r="CB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5-3'!$D$11:$Q319,CB$4,CB$5)"),"")</f>
        <v/>
      </c>
      <c r="CC16" s="537" t="str">
        <f>IFERROR(__xludf.DUMMYFUNCTION("""COMPUTED_VALUE"""),"1-1 Сбор КП CI")</f>
        <v>1-1 Сбор КП CI</v>
      </c>
      <c r="CD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5-3'!$D$11:$Q319,CD$4,CD$5)"),"")</f>
        <v/>
      </c>
      <c r="CE16" s="537"/>
      <c r="CF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5-3'!$D$11:$Q319,CF$4,CF$5)"),"")</f>
        <v/>
      </c>
      <c r="CG16" s="539" t="str">
        <f>IFERROR(__xludf.DUMMYFUNCTION("""COMPUTED_VALUE"""),"5 рд")</f>
        <v>5 рд</v>
      </c>
      <c r="CH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5-3'!$D$11:$Q319,CH$4,CH$5)"),"")</f>
        <v/>
      </c>
      <c r="CI16" s="537" t="str">
        <f>IFERROR(__xludf.DUMMYFUNCTION("""COMPUTED_VALUE"""),"Масляный фильтр 89675429 = SH8229")</f>
        <v>Масляный фильтр 89675429 = SH8229</v>
      </c>
      <c r="CJ16" s="537"/>
      <c r="CK16" s="537"/>
      <c r="CL16" s="537"/>
      <c r="CM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5-3'!$D$11:$Q319,CM$4,CM$5)"),"")</f>
        <v/>
      </c>
      <c r="CN16" s="541">
        <f>IFERROR(__xludf.DUMMYFUNCTION("""COMPUTED_VALUE"""),3900.0)</f>
        <v>3900</v>
      </c>
      <c r="CO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5-3'!$D$11:$Q319,CO$4,CO$5)"),"")</f>
        <v/>
      </c>
      <c r="CP16" s="540" t="str">
        <f>IFERROR(__xludf.DUMMYFUNCTION("""COMPUTED_VALUE"""),"ca@air-part.ru (2)")</f>
        <v>ca@air-part.ru (2)</v>
      </c>
      <c r="CQ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5-3'!$D$11:$Q319,CQ$4,CQ$5)"),"")</f>
        <v/>
      </c>
      <c r="CR16" s="540" t="str">
        <f>IFERROR(__xludf.DUMMYFUNCTION("""COMPUTED_VALUE"""),"1-1 Сбор КП BK")</f>
        <v>1-1 Сбор КП BK</v>
      </c>
      <c r="CS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5-3'!$D$11:$Q319,CS$4,CS$5)"),"")</f>
        <v/>
      </c>
      <c r="CT16" s="540"/>
      <c r="CU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5-3'!$D$11:$Q319,CU$4,CU$5)"),"")</f>
        <v/>
      </c>
      <c r="CV16" s="545" t="str">
        <f>IFERROR(__xludf.DUMMYFUNCTION("""COMPUTED_VALUE"""),"нал")</f>
        <v>нал</v>
      </c>
      <c r="CW16"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5-3'!$D$11:$Q319,CW$4,CW$5)"),"")</f>
        <v/>
      </c>
      <c r="CX16" s="533" t="str">
        <f>IFERROR(__xludf.DUMMYFUNCTION("""COMPUTED_VALUE"""),"Масляный фильтр Артикул 89675429 (аналог)")</f>
        <v>Масляный фильтр Артикул 89675429 (аналог)</v>
      </c>
      <c r="CY16" s="540"/>
      <c r="CZ16" s="540"/>
      <c r="DA16" s="540"/>
      <c r="DB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5-3'!$D$11:$Q319,DB$4,DB$5)"),"")</f>
        <v/>
      </c>
      <c r="DC16" s="555">
        <f>IFERROR(__xludf.DUMMYFUNCTION("""COMPUTED_VALUE"""),9800.0)</f>
        <v>9800</v>
      </c>
      <c r="DD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5-3'!$D$11:$Q319,DD$4,DD$5)"),"")</f>
        <v/>
      </c>
      <c r="DE16" s="554" t="str">
        <f>IFERROR(__xludf.DUMMYFUNCTION("""COMPUTED_VALUE"""),"ca@air-part.ru (1)")</f>
        <v>ca@air-part.ru (1)</v>
      </c>
      <c r="DF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5-3'!$D$11:$Q319,DF$4,DF$5)"),"")</f>
        <v/>
      </c>
      <c r="DG16" s="554" t="str">
        <f>IFERROR(__xludf.DUMMYFUNCTION("""COMPUTED_VALUE"""),"1-1 Сбор КП BH")</f>
        <v>1-1 Сбор КП BH</v>
      </c>
      <c r="DH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5-3'!$D$11:$Q319,DH$4,DH$5)"),"")</f>
        <v/>
      </c>
      <c r="DI16" s="554"/>
      <c r="DJ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5-3'!$D$11:$Q319,DJ$4,DJ$5)"),"")</f>
        <v/>
      </c>
      <c r="DK16" s="566" t="str">
        <f>IFERROR(__xludf.DUMMYFUNCTION("""COMPUTED_VALUE"""),"18 нед")</f>
        <v>18 нед</v>
      </c>
      <c r="DL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5-3'!$D$11:$Q319,DL$4,DL$5)"),"")</f>
        <v/>
      </c>
      <c r="DM16" s="554" t="str">
        <f>IFERROR(__xludf.DUMMYFUNCTION("""COMPUTED_VALUE"""),"Масляный фильтр Артикул 89675429 (оригинал) ")</f>
        <v>Масляный фильтр Артикул 89675429 (оригинал) </v>
      </c>
      <c r="DN16" s="554"/>
      <c r="DO16" s="554"/>
      <c r="DP16" s="554"/>
      <c r="DQ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5-3'!$D$11:$Q319,DQ$4,DQ$5)"),"")</f>
        <v/>
      </c>
      <c r="DR16" s="569"/>
      <c r="DS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5-3'!$D$11:$Q319,DS$4,DS$5)"),"")</f>
        <v/>
      </c>
      <c r="DT16" s="568"/>
      <c r="DU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5-3'!$D$11:$Q319,DU$4,DU$5)"),"")</f>
        <v/>
      </c>
      <c r="DV16" s="568"/>
      <c r="DW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5-3'!$D$11:$Q319,DW$4,DW$5)"),"")</f>
        <v/>
      </c>
      <c r="DX16" s="568"/>
      <c r="DY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5-3'!$D$11:$Q319,DY$4,DY$5)"),"")</f>
        <v/>
      </c>
      <c r="DZ16" s="578"/>
      <c r="EA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 'S-10 Топ 5-3'!$D$11:$Q319,EA$4,EA$5)"),"")</f>
        <v/>
      </c>
      <c r="EB16" s="568"/>
      <c r="EC16" s="568"/>
      <c r="ED16" s="568"/>
      <c r="EE16" s="568"/>
    </row>
    <row r="17">
      <c r="A17" s="519" t="str">
        <f t="shared" si="1"/>
        <v>Да</v>
      </c>
      <c r="B17" s="520" t="str">
        <f>'5-0 Товары'!B17</f>
        <v/>
      </c>
      <c r="C17" s="521" t="str">
        <f>'5-1 Сбор КП Закупки'!C17</f>
        <v>ID_T007</v>
      </c>
      <c r="D17" s="521" t="str">
        <f>'5-1 Сбор КП Закупки'!D17</f>
        <v>7</v>
      </c>
      <c r="E17" s="521" t="str">
        <f>'5-1 Сбор КП Закупки'!E17</f>
        <v>Воздушный фильтр - Артикул 81166609</v>
      </c>
      <c r="F17" s="521" t="str">
        <f>'5-1 Сбор КП Закупки'!F17</f>
        <v/>
      </c>
      <c r="G17" s="522" t="str">
        <f>'5-1 Сбор КП Закупки'!G17</f>
        <v/>
      </c>
      <c r="H17" s="522" t="str">
        <f>'5-1 Сбор КП Закупки'!H17</f>
        <v/>
      </c>
      <c r="I17" s="522" t="str">
        <f>'5-1 Сбор КП Закупки'!I17</f>
        <v/>
      </c>
      <c r="J17" s="197"/>
      <c r="K17" s="522" t="str">
        <f>'5-1 Сбор КП Закупки'!G17</f>
        <v/>
      </c>
      <c r="L17" s="523">
        <f>IF(A17="Да",'5-1 Сбор КП Закупки'!K17,)</f>
        <v>3</v>
      </c>
      <c r="M17" s="197"/>
      <c r="N17" s="197">
        <v>0.0</v>
      </c>
      <c r="O17" s="197"/>
      <c r="P17" s="525" t="str">
        <f>'5-1 Сбор КП Закупки'!P17</f>
        <v/>
      </c>
      <c r="Q17" s="197"/>
      <c r="R17" s="197"/>
      <c r="S17" s="197"/>
      <c r="T17" s="197"/>
      <c r="U17" s="197"/>
      <c r="V17" s="197"/>
      <c r="W17" s="522" t="str">
        <f>'5-1 Сбор КП Закупки'!O17</f>
        <v/>
      </c>
      <c r="X17" s="197"/>
      <c r="Y17" s="197"/>
      <c r="Z17" s="197"/>
      <c r="AA17" s="197"/>
      <c r="AB17" s="197">
        <v>-1600.0</v>
      </c>
      <c r="AC17" s="197">
        <v>-4800.0</v>
      </c>
      <c r="AD17" s="197"/>
      <c r="AE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5-3'!$D$11:$Q319,AE$4,AE$5)"),"")</f>
        <v/>
      </c>
      <c r="AF17" s="528">
        <f>IFERROR(__xludf.DUMMYFUNCTION("""COMPUTED_VALUE"""),1600.0)</f>
        <v>1600</v>
      </c>
      <c r="AG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5-3'!$D$11:$Q319,AG$4,AG$5)"),"")</f>
        <v/>
      </c>
      <c r="AH17" s="527" t="str">
        <f>IFERROR(__xludf.DUMMYFUNCTION("""COMPUTED_VALUE"""),"davidov@pressair.ru")</f>
        <v>davidov@pressair.ru</v>
      </c>
      <c r="AI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5-3'!$D$11:$Q319,AI$4,AI$5)"),"")</f>
        <v/>
      </c>
      <c r="AJ17" s="527" t="str">
        <f>IFERROR(__xludf.DUMMYFUNCTION("""COMPUTED_VALUE"""),"1-1 Сбор КП CI")</f>
        <v>1-1 Сбор КП CI</v>
      </c>
      <c r="AK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5-3'!$D$11:$Q319,AK$4,AK$5)"),"")</f>
        <v/>
      </c>
      <c r="AL17" s="527"/>
      <c r="AM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5-3'!$D$11:$Q319,AM$4,AM$5)"),"")</f>
        <v/>
      </c>
      <c r="AN17" s="529" t="str">
        <f>IFERROR(__xludf.DUMMYFUNCTION("""COMPUTED_VALUE"""),"5 рд")</f>
        <v>5 рд</v>
      </c>
      <c r="AO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5-3'!$D$11:$Q319,AO$4,AO$5)"),"")</f>
        <v/>
      </c>
      <c r="AP17" s="527" t="str">
        <f>IFERROR(__xludf.DUMMYFUNCTION("""COMPUTED_VALUE"""),"Воздушный фильтр 81166609 = SA6007")</f>
        <v>Воздушный фильтр 81166609 = SA6007</v>
      </c>
      <c r="AQ17" s="527"/>
      <c r="AR17" s="527"/>
      <c r="AS17" s="527"/>
      <c r="AT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5-3'!$D$11:$Q319,AT$4,AT$5)"),"")</f>
        <v/>
      </c>
      <c r="AU17" s="531">
        <f>IFERROR(__xludf.DUMMYFUNCTION("""COMPUTED_VALUE"""),1850.0)</f>
        <v>1850</v>
      </c>
      <c r="AV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5-3'!$D$11:$Q319,AV$4,AV$5)"),"")</f>
        <v/>
      </c>
      <c r="AW17" s="530" t="str">
        <f>IFERROR(__xludf.DUMMYFUNCTION("""COMPUTED_VALUE"""),"order@techfil.ru")</f>
        <v>order@techfil.ru</v>
      </c>
      <c r="AX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5-3'!$D$11:$Q319,AX$4,AX$5)"),"")</f>
        <v/>
      </c>
      <c r="AY17" s="530" t="str">
        <f>IFERROR(__xludf.DUMMYFUNCTION("""COMPUTED_VALUE"""),"1-1 Сбор КП BE")</f>
        <v>1-1 Сбор КП BE</v>
      </c>
      <c r="AZ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5-3'!$D$11:$Q319,AZ$4,AZ$5)"),"")</f>
        <v/>
      </c>
      <c r="BA17" s="530"/>
      <c r="BB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5-3'!$D$11:$Q319,BB$4,BB$5)"),"")</f>
        <v/>
      </c>
      <c r="BC17" s="532" t="str">
        <f>IFERROR(__xludf.DUMMYFUNCTION("""COMPUTED_VALUE"""),"5 рд")</f>
        <v>5 рд</v>
      </c>
      <c r="BD17"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5-3'!$D$11:$Q319,BD$4,BD$5)"),"")</f>
        <v/>
      </c>
      <c r="BE17" s="533" t="str">
        <f>IFERROR(__xludf.DUMMYFUNCTION("""COMPUTED_VALUE"""),"Воздушный фильтр 81166609 [ Аналог SA6007 ]")</f>
        <v>Воздушный фильтр 81166609 [ Аналог SA6007 ]</v>
      </c>
      <c r="BF17" s="530"/>
      <c r="BG17" s="530"/>
      <c r="BH17" s="530"/>
      <c r="BI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5-3'!$D$11:$Q319,BI$4,BI$5)"),"")</f>
        <v/>
      </c>
      <c r="BJ17" s="535">
        <f>IFERROR(__xludf.DUMMYFUNCTION("""COMPUTED_VALUE"""),1900.0)</f>
        <v>1900</v>
      </c>
      <c r="BK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5-3'!$D$11:$Q319,BK$4,BK$5)"),"")</f>
        <v/>
      </c>
      <c r="BL17" s="534" t="str">
        <f>IFERROR(__xludf.DUMMYFUNCTION("""COMPUTED_VALUE"""),"zap-premium@mail.ru")</f>
        <v>zap-premium@mail.ru</v>
      </c>
      <c r="BM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5-3'!$D$11:$Q319,BM$4,BM$5)"),"")</f>
        <v/>
      </c>
      <c r="BN17" s="534" t="str">
        <f>IFERROR(__xludf.DUMMYFUNCTION("""COMPUTED_VALUE"""),"1-1 Сбор КП BQ")</f>
        <v>1-1 Сбор КП BQ</v>
      </c>
      <c r="BO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5-3'!$D$11:$Q319,BO$4,BO$5)"),"")</f>
        <v/>
      </c>
      <c r="BP17" s="534"/>
      <c r="BQ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5-3'!$D$11:$Q319,BQ$4,BQ$5)"),"")</f>
        <v/>
      </c>
      <c r="BR17" s="536" t="str">
        <f>IFERROR(__xludf.DUMMYFUNCTION("""COMPUTED_VALUE"""),"7 рд")</f>
        <v>7 рд</v>
      </c>
      <c r="BS17"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5-3'!$D$11:$Q319,BS$4,BS$5)"),"")</f>
        <v/>
      </c>
      <c r="BT17" s="533" t="str">
        <f>IFERROR(__xludf.DUMMYFUNCTION("""COMPUTED_VALUE"""),"Фильтр воздушный 81166609 аналог")</f>
        <v>Фильтр воздушный 81166609 аналог</v>
      </c>
      <c r="BU17" s="534"/>
      <c r="BV17" s="534"/>
      <c r="BW17" s="534"/>
      <c r="BX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5-3'!$D$11:$Q319,BX$4,BX$5)"),"")</f>
        <v/>
      </c>
      <c r="BY17" s="538">
        <f>IFERROR(__xludf.DUMMYFUNCTION("""COMPUTED_VALUE"""),2275.0)</f>
        <v>2275</v>
      </c>
      <c r="BZ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5-3'!$D$11:$Q319,BZ$4,BZ$5)"),"")</f>
        <v/>
      </c>
      <c r="CA17" s="537" t="str">
        <f>IFERROR(__xludf.DUMMYFUNCTION("""COMPUTED_VALUE"""),"r.staroverov@evlart.ru")</f>
        <v>r.staroverov@evlart.ru</v>
      </c>
      <c r="CB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5-3'!$D$11:$Q319,CB$4,CB$5)"),"")</f>
        <v/>
      </c>
      <c r="CC17" s="537" t="str">
        <f>IFERROR(__xludf.DUMMYFUNCTION("""COMPUTED_VALUE"""),"1-1 Сбор КП BZ")</f>
        <v>1-1 Сбор КП BZ</v>
      </c>
      <c r="CD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5-3'!$D$11:$Q319,CD$4,CD$5)"),"")</f>
        <v/>
      </c>
      <c r="CE17" s="537"/>
      <c r="CF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5-3'!$D$11:$Q319,CF$4,CF$5)"),"")</f>
        <v/>
      </c>
      <c r="CG17" s="539" t="str">
        <f>IFERROR(__xludf.DUMMYFUNCTION("""COMPUTED_VALUE"""),"12 нед")</f>
        <v>12 нед</v>
      </c>
      <c r="CH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5-3'!$D$11:$Q319,CH$4,CH$5)"),"")</f>
        <v/>
      </c>
      <c r="CI17" s="537" t="str">
        <f>IFERROR(__xludf.DUMMYFUNCTION("""COMPUTED_VALUE"""),"Воздушный фильтр - Артикул 81166609")</f>
        <v>Воздушный фильтр - Артикул 81166609</v>
      </c>
      <c r="CJ17" s="537"/>
      <c r="CK17" s="537"/>
      <c r="CL17" s="537"/>
      <c r="CM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5-3'!$D$11:$Q319,CM$4,CM$5)"),"")</f>
        <v/>
      </c>
      <c r="CN17" s="541">
        <f>IFERROR(__xludf.DUMMYFUNCTION("""COMPUTED_VALUE"""),4400.0)</f>
        <v>4400</v>
      </c>
      <c r="CO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5-3'!$D$11:$Q319,CO$4,CO$5)"),"")</f>
        <v/>
      </c>
      <c r="CP17" s="540" t="str">
        <f>IFERROR(__xludf.DUMMYFUNCTION("""COMPUTED_VALUE"""),"ca@air-part.ru (2)")</f>
        <v>ca@air-part.ru (2)</v>
      </c>
      <c r="CQ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5-3'!$D$11:$Q319,CQ$4,CQ$5)"),"")</f>
        <v/>
      </c>
      <c r="CR17" s="540" t="str">
        <f>IFERROR(__xludf.DUMMYFUNCTION("""COMPUTED_VALUE"""),"1-1 Сбор КП BK")</f>
        <v>1-1 Сбор КП BK</v>
      </c>
      <c r="CS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5-3'!$D$11:$Q319,CS$4,CS$5)"),"")</f>
        <v/>
      </c>
      <c r="CT17" s="540"/>
      <c r="CU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5-3'!$D$11:$Q319,CU$4,CU$5)"),"")</f>
        <v/>
      </c>
      <c r="CV17" s="545" t="str">
        <f>IFERROR(__xludf.DUMMYFUNCTION("""COMPUTED_VALUE"""),"нал")</f>
        <v>нал</v>
      </c>
      <c r="CW17"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5-3'!$D$11:$Q319,CW$4,CW$5)"),"")</f>
        <v/>
      </c>
      <c r="CX17" s="533" t="str">
        <f>IFERROR(__xludf.DUMMYFUNCTION("""COMPUTED_VALUE"""),"Воздушный фильтр - Артикул 81166609 (аналог) ")</f>
        <v>Воздушный фильтр - Артикул 81166609 (аналог) </v>
      </c>
      <c r="CY17" s="540"/>
      <c r="CZ17" s="540"/>
      <c r="DA17" s="540"/>
      <c r="DB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5-3'!$D$11:$Q319,DB$4,DB$5)"),"")</f>
        <v/>
      </c>
      <c r="DC17" s="555">
        <f>IFERROR(__xludf.DUMMYFUNCTION("""COMPUTED_VALUE"""),9500.0)</f>
        <v>9500</v>
      </c>
      <c r="DD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5-3'!$D$11:$Q319,DD$4,DD$5)"),"")</f>
        <v/>
      </c>
      <c r="DE17" s="554" t="str">
        <f>IFERROR(__xludf.DUMMYFUNCTION("""COMPUTED_VALUE"""),"ca@air-part.ru (1)")</f>
        <v>ca@air-part.ru (1)</v>
      </c>
      <c r="DF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5-3'!$D$11:$Q319,DF$4,DF$5)"),"")</f>
        <v/>
      </c>
      <c r="DG17" s="554" t="str">
        <f>IFERROR(__xludf.DUMMYFUNCTION("""COMPUTED_VALUE"""),"1-1 Сбор КП BH")</f>
        <v>1-1 Сбор КП BH</v>
      </c>
      <c r="DH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5-3'!$D$11:$Q319,DH$4,DH$5)"),"")</f>
        <v/>
      </c>
      <c r="DI17" s="554"/>
      <c r="DJ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5-3'!$D$11:$Q319,DJ$4,DJ$5)"),"")</f>
        <v/>
      </c>
      <c r="DK17" s="566" t="str">
        <f>IFERROR(__xludf.DUMMYFUNCTION("""COMPUTED_VALUE"""),"18 нед")</f>
        <v>18 нед</v>
      </c>
      <c r="DL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5-3'!$D$11:$Q319,DL$4,DL$5)"),"")</f>
        <v/>
      </c>
      <c r="DM17" s="554" t="str">
        <f>IFERROR(__xludf.DUMMYFUNCTION("""COMPUTED_VALUE"""),"Воздушный фильтр - Артикул 81166609 (оригинал) ")</f>
        <v>Воздушный фильтр - Артикул 81166609 (оригинал) </v>
      </c>
      <c r="DN17" s="554"/>
      <c r="DO17" s="554"/>
      <c r="DP17" s="554"/>
      <c r="DQ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5-3'!$D$11:$Q319,DQ$4,DQ$5)"),"")</f>
        <v/>
      </c>
      <c r="DR17" s="569"/>
      <c r="DS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5-3'!$D$11:$Q319,DS$4,DS$5)"),"")</f>
        <v/>
      </c>
      <c r="DT17" s="568"/>
      <c r="DU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5-3'!$D$11:$Q319,DU$4,DU$5)"),"")</f>
        <v/>
      </c>
      <c r="DV17" s="568"/>
      <c r="DW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5-3'!$D$11:$Q319,DW$4,DW$5)"),"")</f>
        <v/>
      </c>
      <c r="DX17" s="568"/>
      <c r="DY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5-3'!$D$11:$Q319,DY$4,DY$5)"),"")</f>
        <v/>
      </c>
      <c r="DZ17" s="578"/>
      <c r="EA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 'S-10 Топ 5-3'!$D$11:$Q319,EA$4,EA$5)"),"")</f>
        <v/>
      </c>
      <c r="EB17" s="568"/>
      <c r="EC17" s="568"/>
      <c r="ED17" s="568"/>
      <c r="EE17" s="568"/>
    </row>
    <row r="18">
      <c r="A18" s="519" t="str">
        <f t="shared" si="1"/>
        <v>Да</v>
      </c>
      <c r="B18" s="520" t="str">
        <f>'5-0 Товары'!B18</f>
        <v/>
      </c>
      <c r="C18" s="521" t="str">
        <f>'5-1 Сбор КП Закупки'!C18</f>
        <v>ID_T008</v>
      </c>
      <c r="D18" s="521" t="str">
        <f>'5-1 Сбор КП Закупки'!D18</f>
        <v>8</v>
      </c>
      <c r="E18" s="521" t="str">
        <f>'5-1 Сбор КП Закупки'!E18</f>
        <v>Сервисный набор арт. 2906020000 </v>
      </c>
      <c r="F18" s="521" t="str">
        <f>'5-1 Сбор КП Закупки'!F18</f>
        <v/>
      </c>
      <c r="G18" s="522" t="str">
        <f>'5-1 Сбор КП Закупки'!G18</f>
        <v/>
      </c>
      <c r="H18" s="522" t="str">
        <f>'5-1 Сбор КП Закупки'!H18</f>
        <v/>
      </c>
      <c r="I18" s="522" t="str">
        <f>'5-1 Сбор КП Закупки'!I18</f>
        <v/>
      </c>
      <c r="J18" s="197"/>
      <c r="K18" s="522" t="str">
        <f>'5-1 Сбор КП Закупки'!G18</f>
        <v/>
      </c>
      <c r="L18" s="523">
        <f>IF(A18="Да",'5-1 Сбор КП Закупки'!K18,)</f>
        <v>3</v>
      </c>
      <c r="M18" s="197"/>
      <c r="N18" s="197">
        <v>0.0</v>
      </c>
      <c r="O18" s="197"/>
      <c r="P18" s="525" t="str">
        <f>'5-1 Сбор КП Закупки'!P18</f>
        <v/>
      </c>
      <c r="Q18" s="197"/>
      <c r="R18" s="197"/>
      <c r="S18" s="197"/>
      <c r="T18" s="197"/>
      <c r="U18" s="197"/>
      <c r="V18" s="197"/>
      <c r="W18" s="522" t="str">
        <f>'5-1 Сбор КП Закупки'!O18</f>
        <v/>
      </c>
      <c r="X18" s="197"/>
      <c r="Y18" s="197"/>
      <c r="Z18" s="197"/>
      <c r="AA18" s="197"/>
      <c r="AB18" s="197">
        <v>-42883.0</v>
      </c>
      <c r="AC18" s="197">
        <v>-128649.0</v>
      </c>
      <c r="AD18" s="197"/>
      <c r="AE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5-3'!$D$11:$Q319,AE$4,AE$5)"),"")</f>
        <v/>
      </c>
      <c r="AF18" s="528">
        <f>IFERROR(__xludf.DUMMYFUNCTION("""COMPUTED_VALUE"""),42883.0)</f>
        <v>42883</v>
      </c>
      <c r="AG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5-3'!$D$11:$Q319,AG$4,AG$5)"),"")</f>
        <v/>
      </c>
      <c r="AH18" s="527" t="str">
        <f>IFERROR(__xludf.DUMMYFUNCTION("""COMPUTED_VALUE"""),"e.omelyusik@evlart.ru")</f>
        <v>e.omelyusik@evlart.ru</v>
      </c>
      <c r="AI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5-3'!$D$11:$Q319,AI$4,AI$5)"),"")</f>
        <v/>
      </c>
      <c r="AJ18" s="527" t="str">
        <f>IFERROR(__xludf.DUMMYFUNCTION("""COMPUTED_VALUE"""),"1-1 Сбор КП CC")</f>
        <v>1-1 Сбор КП CC</v>
      </c>
      <c r="AK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5-3'!$D$11:$Q319,AK$4,AK$5)"),"")</f>
        <v/>
      </c>
      <c r="AL18" s="527"/>
      <c r="AM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5-3'!$D$11:$Q319,AM$4,AM$5)"),"")</f>
        <v/>
      </c>
      <c r="AN18" s="529" t="str">
        <f>IFERROR(__xludf.DUMMYFUNCTION("""COMPUTED_VALUE"""),"15 нед")</f>
        <v>15 нед</v>
      </c>
      <c r="AO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5-3'!$D$11:$Q319,AO$4,AO$5)"),"")</f>
        <v/>
      </c>
      <c r="AP18" s="527" t="str">
        <f>IFERROR(__xludf.DUMMYFUNCTION("""COMPUTED_VALUE"""),"Сервисный набор Atlas Copco
2906020000")</f>
        <v>Сервисный набор Atlas Copco
2906020000</v>
      </c>
      <c r="AQ18" s="527"/>
      <c r="AR18" s="527"/>
      <c r="AS18" s="527"/>
      <c r="AT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5-3'!$D$11:$Q319,AT$4,AT$5)"),"")</f>
        <v/>
      </c>
      <c r="AU18" s="531">
        <f>IFERROR(__xludf.DUMMYFUNCTION("""COMPUTED_VALUE"""),104000.0)</f>
        <v>104000</v>
      </c>
      <c r="AV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5-3'!$D$11:$Q319,AV$4,AV$5)"),"")</f>
        <v/>
      </c>
      <c r="AW18" s="530" t="str">
        <f>IFERROR(__xludf.DUMMYFUNCTION("""COMPUTED_VALUE"""),"vkorolev@rutector.ru")</f>
        <v>vkorolev@rutector.ru</v>
      </c>
      <c r="AX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5-3'!$D$11:$Q319,AX$4,AX$5)"),"")</f>
        <v/>
      </c>
      <c r="AY18" s="530" t="str">
        <f>IFERROR(__xludf.DUMMYFUNCTION("""COMPUTED_VALUE"""),"1-1 Сбор КП AP")</f>
        <v>1-1 Сбор КП AP</v>
      </c>
      <c r="AZ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5-3'!$D$11:$Q319,AZ$4,AZ$5)"),"")</f>
        <v/>
      </c>
      <c r="BA18" s="530"/>
      <c r="BB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5-3'!$D$11:$Q319,BB$4,BB$5)"),"")</f>
        <v/>
      </c>
      <c r="BC18" s="532" t="str">
        <f>IFERROR(__xludf.DUMMYFUNCTION("""COMPUTED_VALUE"""),"12 нед")</f>
        <v>12 нед</v>
      </c>
      <c r="BD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5-3'!$D$11:$Q319,BD$4,BD$5)"),"")</f>
        <v/>
      </c>
      <c r="BE18" s="530" t="str">
        <f>IFERROR(__xludf.DUMMYFUNCTION("""COMPUTED_VALUE"""),"2906020000 AIR/OIL FILTER KIT")</f>
        <v>2906020000 AIR/OIL FILTER KIT</v>
      </c>
      <c r="BF18" s="530"/>
      <c r="BG18" s="530"/>
      <c r="BH18" s="530"/>
      <c r="BI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5-3'!$D$11:$Q319,BI$4,BI$5)"),"")</f>
        <v/>
      </c>
      <c r="BJ18" s="535">
        <f>IFERROR(__xludf.DUMMYFUNCTION("""COMPUTED_VALUE"""),156500.0)</f>
        <v>156500</v>
      </c>
      <c r="BK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5-3'!$D$11:$Q319,BK$4,BK$5)"),"")</f>
        <v/>
      </c>
      <c r="BL18" s="534" t="str">
        <f>IFERROR(__xludf.DUMMYFUNCTION("""COMPUTED_VALUE"""),"104@pnevmotek.com")</f>
        <v>104@pnevmotek.com</v>
      </c>
      <c r="BM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5-3'!$D$11:$Q319,BM$4,BM$5)"),"")</f>
        <v/>
      </c>
      <c r="BN18" s="534" t="str">
        <f>IFERROR(__xludf.DUMMYFUNCTION("""COMPUTED_VALUE"""),"1-1 Сбор КП AM")</f>
        <v>1-1 Сбор КП AM</v>
      </c>
      <c r="BO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5-3'!$D$11:$Q319,BO$4,BO$5)"),"")</f>
        <v/>
      </c>
      <c r="BP18" s="534"/>
      <c r="BQ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5-3'!$D$11:$Q319,BQ$4,BQ$5)"),"")</f>
        <v/>
      </c>
      <c r="BR18" s="536" t="str">
        <f>IFERROR(__xludf.DUMMYFUNCTION("""COMPUTED_VALUE"""),"12 нед")</f>
        <v>12 нед</v>
      </c>
      <c r="BS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5-3'!$D$11:$Q319,BS$4,BS$5)"),"")</f>
        <v/>
      </c>
      <c r="BT18" s="534" t="str">
        <f>IFERROR(__xludf.DUMMYFUNCTION("""COMPUTED_VALUE"""),"Сервисный набор арт. 2906020000 GA 200 1 шт")</f>
        <v>Сервисный набор арт. 2906020000 GA 200 1 шт</v>
      </c>
      <c r="BU18" s="534"/>
      <c r="BV18" s="534"/>
      <c r="BW18" s="534"/>
      <c r="BX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5-3'!$D$11:$Q319,BX$4,BX$5)"),"")</f>
        <v/>
      </c>
      <c r="BY18" s="538">
        <f>IFERROR(__xludf.DUMMYFUNCTION("""COMPUTED_VALUE"""),417300.0)</f>
        <v>417300</v>
      </c>
      <c r="BZ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5-3'!$D$11:$Q319,BZ$4,BZ$5)"),"")</f>
        <v/>
      </c>
      <c r="CA18" s="537" t="str">
        <f>IFERROR(__xludf.DUMMYFUNCTION("""COMPUTED_VALUE"""),"rt@air-part.ru")</f>
        <v>rt@air-part.ru</v>
      </c>
      <c r="CB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5-3'!$D$11:$Q319,CB$4,CB$5)"),"")</f>
        <v/>
      </c>
      <c r="CC18" s="537" t="str">
        <f>IFERROR(__xludf.DUMMYFUNCTION("""COMPUTED_VALUE"""),"1-1 Сбор КП BB")</f>
        <v>1-1 Сбор КП BB</v>
      </c>
      <c r="CD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5-3'!$D$11:$Q319,CD$4,CD$5)"),"")</f>
        <v/>
      </c>
      <c r="CE18" s="537"/>
      <c r="CF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5-3'!$D$11:$Q319,CF$4,CF$5)"),"")</f>
        <v/>
      </c>
      <c r="CG18" s="539" t="str">
        <f>IFERROR(__xludf.DUMMYFUNCTION("""COMPUTED_VALUE"""),"14 нед")</f>
        <v>14 нед</v>
      </c>
      <c r="CH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5-3'!$D$11:$Q319,CH$4,CH$5)"),"")</f>
        <v/>
      </c>
      <c r="CI18" s="537" t="str">
        <f>IFERROR(__xludf.DUMMYFUNCTION("""COMPUTED_VALUE"""),"2906020000.")</f>
        <v>2906020000.</v>
      </c>
      <c r="CJ18" s="537"/>
      <c r="CK18" s="537"/>
      <c r="CL18" s="537"/>
      <c r="CM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5-3'!$D$11:$Q319,CM$4,CM$5)"),"")</f>
        <v/>
      </c>
      <c r="CN18" s="541"/>
      <c r="CO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5-3'!$D$11:$Q319,CO$4,CO$5)"),"")</f>
        <v/>
      </c>
      <c r="CP18" s="540"/>
      <c r="CQ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5-3'!$D$11:$Q319,CQ$4,CQ$5)"),"")</f>
        <v/>
      </c>
      <c r="CR18" s="540"/>
      <c r="CS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5-3'!$D$11:$Q319,CS$4,CS$5)"),"")</f>
        <v/>
      </c>
      <c r="CT18" s="540"/>
      <c r="CU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5-3'!$D$11:$Q319,CU$4,CU$5)"),"")</f>
        <v/>
      </c>
      <c r="CV18" s="545"/>
      <c r="CW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5-3'!$D$11:$Q319,CW$4,CW$5)"),"")</f>
        <v/>
      </c>
      <c r="CX18" s="540"/>
      <c r="CY18" s="540"/>
      <c r="CZ18" s="540"/>
      <c r="DA18" s="540"/>
      <c r="DB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5-3'!$D$11:$Q319,DB$4,DB$5)"),"")</f>
        <v/>
      </c>
      <c r="DC18" s="555"/>
      <c r="DD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5-3'!$D$11:$Q319,DD$4,DD$5)"),"")</f>
        <v/>
      </c>
      <c r="DE18" s="554"/>
      <c r="DF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5-3'!$D$11:$Q319,DF$4,DF$5)"),"")</f>
        <v/>
      </c>
      <c r="DG18" s="554"/>
      <c r="DH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5-3'!$D$11:$Q319,DH$4,DH$5)"),"")</f>
        <v/>
      </c>
      <c r="DI18" s="554"/>
      <c r="DJ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5-3'!$D$11:$Q319,DJ$4,DJ$5)"),"")</f>
        <v/>
      </c>
      <c r="DK18" s="566"/>
      <c r="DL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5-3'!$D$11:$Q319,DL$4,DL$5)"),"")</f>
        <v/>
      </c>
      <c r="DM18" s="554"/>
      <c r="DN18" s="554"/>
      <c r="DO18" s="554"/>
      <c r="DP18" s="554"/>
      <c r="DQ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5-3'!$D$11:$Q319,DQ$4,DQ$5)"),"")</f>
        <v/>
      </c>
      <c r="DR18" s="569"/>
      <c r="DS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5-3'!$D$11:$Q319,DS$4,DS$5)"),"")</f>
        <v/>
      </c>
      <c r="DT18" s="568"/>
      <c r="DU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5-3'!$D$11:$Q319,DU$4,DU$5)"),"")</f>
        <v/>
      </c>
      <c r="DV18" s="568"/>
      <c r="DW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5-3'!$D$11:$Q319,DW$4,DW$5)"),"")</f>
        <v/>
      </c>
      <c r="DX18" s="568"/>
      <c r="DY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5-3'!$D$11:$Q319,DY$4,DY$5)"),"")</f>
        <v/>
      </c>
      <c r="DZ18" s="578"/>
      <c r="EA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 'S-10 Топ 5-3'!$D$11:$Q319,EA$4,EA$5)"),"")</f>
        <v/>
      </c>
      <c r="EB18" s="568"/>
      <c r="EC18" s="568"/>
      <c r="ED18" s="568"/>
      <c r="EE18" s="568"/>
    </row>
    <row r="19">
      <c r="A19" s="519" t="str">
        <f t="shared" si="1"/>
        <v>Да</v>
      </c>
      <c r="B19" s="520" t="str">
        <f>'5-0 Товары'!B19</f>
        <v/>
      </c>
      <c r="C19" s="521" t="str">
        <f>'5-1 Сбор КП Закупки'!C19</f>
        <v>ID_T009</v>
      </c>
      <c r="D19" s="521" t="str">
        <f>'5-1 Сбор КП Закупки'!D19</f>
        <v>9</v>
      </c>
      <c r="E19" s="521" t="str">
        <f>'5-1 Сбор КП Закупки'!E19</f>
        <v>Сервисный набор 8000 ч. арт. 2906075700</v>
      </c>
      <c r="F19" s="521" t="str">
        <f>'5-1 Сбор КП Закупки'!F19</f>
        <v/>
      </c>
      <c r="G19" s="522" t="str">
        <f>'5-1 Сбор КП Закупки'!G19</f>
        <v/>
      </c>
      <c r="H19" s="522" t="str">
        <f>'5-1 Сбор КП Закупки'!H19</f>
        <v/>
      </c>
      <c r="I19" s="522" t="str">
        <f>'5-1 Сбор КП Закупки'!I19</f>
        <v/>
      </c>
      <c r="J19" s="197"/>
      <c r="K19" s="522" t="str">
        <f>'5-1 Сбор КП Закупки'!G19</f>
        <v/>
      </c>
      <c r="L19" s="523">
        <f>IF(A19="Да",'5-1 Сбор КП Закупки'!K19,)</f>
        <v>3</v>
      </c>
      <c r="M19" s="197"/>
      <c r="N19" s="197">
        <v>0.0</v>
      </c>
      <c r="O19" s="197"/>
      <c r="P19" s="525" t="str">
        <f>'5-1 Сбор КП Закупки'!P19</f>
        <v/>
      </c>
      <c r="Q19" s="197"/>
      <c r="R19" s="197"/>
      <c r="S19" s="197"/>
      <c r="T19" s="197"/>
      <c r="U19" s="197"/>
      <c r="V19" s="197"/>
      <c r="W19" s="522" t="str">
        <f>'5-1 Сбор КП Закупки'!O19</f>
        <v/>
      </c>
      <c r="X19" s="197"/>
      <c r="Y19" s="197"/>
      <c r="Z19" s="197"/>
      <c r="AA19" s="197"/>
      <c r="AB19" s="197">
        <v>-183976.0</v>
      </c>
      <c r="AC19" s="197">
        <v>-551928.0</v>
      </c>
      <c r="AD19" s="197"/>
      <c r="AE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5-3'!$D$11:$Q319,AE$4,AE$5)"),"")</f>
        <v/>
      </c>
      <c r="AF19" s="528">
        <f>IFERROR(__xludf.DUMMYFUNCTION("""COMPUTED_VALUE"""),183976.0)</f>
        <v>183976</v>
      </c>
      <c r="AG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5-3'!$D$11:$Q319,AG$4,AG$5)"),"")</f>
        <v/>
      </c>
      <c r="AH19" s="527" t="str">
        <f>IFERROR(__xludf.DUMMYFUNCTION("""COMPUTED_VALUE"""),"e.omelyusik@evlart.ru")</f>
        <v>e.omelyusik@evlart.ru</v>
      </c>
      <c r="AI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5-3'!$D$11:$Q319,AI$4,AI$5)"),"")</f>
        <v/>
      </c>
      <c r="AJ19" s="527" t="str">
        <f>IFERROR(__xludf.DUMMYFUNCTION("""COMPUTED_VALUE"""),"1-1 Сбор КП CC")</f>
        <v>1-1 Сбор КП CC</v>
      </c>
      <c r="AK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5-3'!$D$11:$Q319,AK$4,AK$5)"),"")</f>
        <v/>
      </c>
      <c r="AL19" s="527"/>
      <c r="AM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5-3'!$D$11:$Q319,AM$4,AM$5)"),"")</f>
        <v/>
      </c>
      <c r="AN19" s="529" t="str">
        <f>IFERROR(__xludf.DUMMYFUNCTION("""COMPUTED_VALUE"""),"15 нед")</f>
        <v>15 нед</v>
      </c>
      <c r="AO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5-3'!$D$11:$Q319,AO$4,AO$5)"),"")</f>
        <v/>
      </c>
      <c r="AP19" s="527" t="str">
        <f>IFERROR(__xludf.DUMMYFUNCTION("""COMPUTED_VALUE"""),"Сервисный набор Atlas Copco
2906075700")</f>
        <v>Сервисный набор Atlas Copco
2906075700</v>
      </c>
      <c r="AQ19" s="527"/>
      <c r="AR19" s="527"/>
      <c r="AS19" s="527"/>
      <c r="AT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5-3'!$D$11:$Q319,AT$4,AT$5)"),"")</f>
        <v/>
      </c>
      <c r="AU19" s="531">
        <f>IFERROR(__xludf.DUMMYFUNCTION("""COMPUTED_VALUE"""),599500.0)</f>
        <v>599500</v>
      </c>
      <c r="AV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5-3'!$D$11:$Q319,AV$4,AV$5)"),"")</f>
        <v/>
      </c>
      <c r="AW19" s="530" t="str">
        <f>IFERROR(__xludf.DUMMYFUNCTION("""COMPUTED_VALUE"""),"104@pnevmotek.com")</f>
        <v>104@pnevmotek.com</v>
      </c>
      <c r="AX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5-3'!$D$11:$Q319,AX$4,AX$5)"),"")</f>
        <v/>
      </c>
      <c r="AY19" s="530" t="str">
        <f>IFERROR(__xludf.DUMMYFUNCTION("""COMPUTED_VALUE"""),"1-1 Сбор КП AM")</f>
        <v>1-1 Сбор КП AM</v>
      </c>
      <c r="AZ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5-3'!$D$11:$Q319,AZ$4,AZ$5)"),"")</f>
        <v/>
      </c>
      <c r="BA19" s="530"/>
      <c r="BB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5-3'!$D$11:$Q319,BB$4,BB$5)"),"")</f>
        <v/>
      </c>
      <c r="BC19" s="532" t="str">
        <f>IFERROR(__xludf.DUMMYFUNCTION("""COMPUTED_VALUE"""),"12 нед")</f>
        <v>12 нед</v>
      </c>
      <c r="BD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5-3'!$D$11:$Q319,BD$4,BD$5)"),"")</f>
        <v/>
      </c>
      <c r="BE19" s="530" t="str">
        <f>IFERROR(__xludf.DUMMYFUNCTION("""COMPUTED_VALUE"""),"Сервисный набор 8000 1 шт")</f>
        <v>Сервисный набор 8000 1 шт</v>
      </c>
      <c r="BF19" s="530"/>
      <c r="BG19" s="530"/>
      <c r="BH19" s="530"/>
      <c r="BI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5-3'!$D$11:$Q319,BI$4,BI$5)"),"")</f>
        <v/>
      </c>
      <c r="BJ19" s="535">
        <f>IFERROR(__xludf.DUMMYFUNCTION("""COMPUTED_VALUE"""),1057940.0)</f>
        <v>1057940</v>
      </c>
      <c r="BK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5-3'!$D$11:$Q319,BK$4,BK$5)"),"")</f>
        <v/>
      </c>
      <c r="BL19" s="534" t="str">
        <f>IFERROR(__xludf.DUMMYFUNCTION("""COMPUTED_VALUE"""),"vkorolev@rutector.ru")</f>
        <v>vkorolev@rutector.ru</v>
      </c>
      <c r="BM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5-3'!$D$11:$Q319,BM$4,BM$5)"),"")</f>
        <v/>
      </c>
      <c r="BN19" s="534" t="str">
        <f>IFERROR(__xludf.DUMMYFUNCTION("""COMPUTED_VALUE"""),"1-1 Сбор КП AP")</f>
        <v>1-1 Сбор КП AP</v>
      </c>
      <c r="BO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5-3'!$D$11:$Q319,BO$4,BO$5)"),"")</f>
        <v/>
      </c>
      <c r="BP19" s="534"/>
      <c r="BQ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5-3'!$D$11:$Q319,BQ$4,BQ$5)"),"")</f>
        <v/>
      </c>
      <c r="BR19" s="536" t="str">
        <f>IFERROR(__xludf.DUMMYFUNCTION("""COMPUTED_VALUE"""),"12 нед")</f>
        <v>12 нед</v>
      </c>
      <c r="BS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5-3'!$D$11:$Q319,BS$4,BS$5)"),"")</f>
        <v/>
      </c>
      <c r="BT19" s="534" t="str">
        <f>IFERROR(__xludf.DUMMYFUNCTION("""COMPUTED_VALUE"""),"2906075700 8000H MAINT KIT")</f>
        <v>2906075700 8000H MAINT KIT</v>
      </c>
      <c r="BU19" s="534"/>
      <c r="BV19" s="534"/>
      <c r="BW19" s="534"/>
      <c r="BX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5-3'!$D$11:$Q319,BX$4,BX$5)"),"")</f>
        <v/>
      </c>
      <c r="BY19" s="538">
        <f>IFERROR(__xludf.DUMMYFUNCTION("""COMPUTED_VALUE"""),1615440.0)</f>
        <v>1615440</v>
      </c>
      <c r="BZ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5-3'!$D$11:$Q319,BZ$4,BZ$5)"),"")</f>
        <v/>
      </c>
      <c r="CA19" s="537" t="str">
        <f>IFERROR(__xludf.DUMMYFUNCTION("""COMPUTED_VALUE"""),"rt@air-part.ru")</f>
        <v>rt@air-part.ru</v>
      </c>
      <c r="CB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5-3'!$D$11:$Q319,CB$4,CB$5)"),"")</f>
        <v/>
      </c>
      <c r="CC19" s="537" t="str">
        <f>IFERROR(__xludf.DUMMYFUNCTION("""COMPUTED_VALUE"""),"1-1 Сбор КП BB")</f>
        <v>1-1 Сбор КП BB</v>
      </c>
      <c r="CD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5-3'!$D$11:$Q319,CD$4,CD$5)"),"")</f>
        <v/>
      </c>
      <c r="CE19" s="537"/>
      <c r="CF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5-3'!$D$11:$Q319,CF$4,CF$5)"),"")</f>
        <v/>
      </c>
      <c r="CG19" s="539" t="str">
        <f>IFERROR(__xludf.DUMMYFUNCTION("""COMPUTED_VALUE"""),"14 нед")</f>
        <v>14 нед</v>
      </c>
      <c r="CH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5-3'!$D$11:$Q319,CH$4,CH$5)"),"")</f>
        <v/>
      </c>
      <c r="CI19" s="537" t="str">
        <f>IFERROR(__xludf.DUMMYFUNCTION("""COMPUTED_VALUE"""),"2906075700 .")</f>
        <v>2906075700 .</v>
      </c>
      <c r="CJ19" s="537"/>
      <c r="CK19" s="537"/>
      <c r="CL19" s="537"/>
      <c r="CM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5-3'!$D$11:$Q319,CM$4,CM$5)"),"")</f>
        <v/>
      </c>
      <c r="CN19" s="541"/>
      <c r="CO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5-3'!$D$11:$Q319,CO$4,CO$5)"),"")</f>
        <v/>
      </c>
      <c r="CP19" s="540"/>
      <c r="CQ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5-3'!$D$11:$Q319,CQ$4,CQ$5)"),"")</f>
        <v/>
      </c>
      <c r="CR19" s="540"/>
      <c r="CS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5-3'!$D$11:$Q319,CS$4,CS$5)"),"")</f>
        <v/>
      </c>
      <c r="CT19" s="540"/>
      <c r="CU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5-3'!$D$11:$Q319,CU$4,CU$5)"),"")</f>
        <v/>
      </c>
      <c r="CV19" s="545"/>
      <c r="CW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5-3'!$D$11:$Q319,CW$4,CW$5)"),"")</f>
        <v/>
      </c>
      <c r="CX19" s="540"/>
      <c r="CY19" s="540"/>
      <c r="CZ19" s="540"/>
      <c r="DA19" s="540"/>
      <c r="DB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5-3'!$D$11:$Q319,DB$4,DB$5)"),"")</f>
        <v/>
      </c>
      <c r="DC19" s="555"/>
      <c r="DD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5-3'!$D$11:$Q319,DD$4,DD$5)"),"")</f>
        <v/>
      </c>
      <c r="DE19" s="554"/>
      <c r="DF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5-3'!$D$11:$Q319,DF$4,DF$5)"),"")</f>
        <v/>
      </c>
      <c r="DG19" s="554"/>
      <c r="DH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5-3'!$D$11:$Q319,DH$4,DH$5)"),"")</f>
        <v/>
      </c>
      <c r="DI19" s="554"/>
      <c r="DJ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5-3'!$D$11:$Q319,DJ$4,DJ$5)"),"")</f>
        <v/>
      </c>
      <c r="DK19" s="566"/>
      <c r="DL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5-3'!$D$11:$Q319,DL$4,DL$5)"),"")</f>
        <v/>
      </c>
      <c r="DM19" s="554"/>
      <c r="DN19" s="554"/>
      <c r="DO19" s="554"/>
      <c r="DP19" s="554"/>
      <c r="DQ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5-3'!$D$11:$Q319,DQ$4,DQ$5)"),"")</f>
        <v/>
      </c>
      <c r="DR19" s="569"/>
      <c r="DS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5-3'!$D$11:$Q319,DS$4,DS$5)"),"")</f>
        <v/>
      </c>
      <c r="DT19" s="568"/>
      <c r="DU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5-3'!$D$11:$Q319,DU$4,DU$5)"),"")</f>
        <v/>
      </c>
      <c r="DV19" s="568"/>
      <c r="DW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5-3'!$D$11:$Q319,DW$4,DW$5)"),"")</f>
        <v/>
      </c>
      <c r="DX19" s="568"/>
      <c r="DY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5-3'!$D$11:$Q319,DY$4,DY$5)"),"")</f>
        <v/>
      </c>
      <c r="DZ19" s="578"/>
      <c r="EA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 'S-10 Топ 5-3'!$D$11:$Q319,EA$4,EA$5)"),"")</f>
        <v/>
      </c>
      <c r="EB19" s="568"/>
      <c r="EC19" s="568"/>
      <c r="ED19" s="568"/>
      <c r="EE19" s="568"/>
    </row>
    <row r="20">
      <c r="A20" s="519" t="str">
        <f t="shared" si="1"/>
        <v>Да</v>
      </c>
      <c r="B20" s="520" t="str">
        <f>'5-0 Товары'!B20</f>
        <v/>
      </c>
      <c r="C20" s="521" t="str">
        <f>'5-1 Сбор КП Закупки'!C20</f>
        <v>ID_T010</v>
      </c>
      <c r="D20" s="521" t="str">
        <f>'5-1 Сбор КП Закупки'!D20</f>
        <v>10</v>
      </c>
      <c r="E20" s="521" t="str">
        <f>'5-1 Сбор КП Закупки'!E20</f>
        <v>Масляный сепаратор </v>
      </c>
      <c r="F20" s="521" t="str">
        <f>'5-1 Сбор КП Закупки'!F20</f>
        <v/>
      </c>
      <c r="G20" s="522" t="str">
        <f>'5-1 Сбор КП Закупки'!G20</f>
        <v/>
      </c>
      <c r="H20" s="522" t="str">
        <f>'5-1 Сбор КП Закупки'!H20</f>
        <v/>
      </c>
      <c r="I20" s="522" t="str">
        <f>'5-1 Сбор КП Закупки'!I20</f>
        <v/>
      </c>
      <c r="J20" s="197"/>
      <c r="K20" s="522" t="str">
        <f>'5-1 Сбор КП Закупки'!G20</f>
        <v/>
      </c>
      <c r="L20" s="523">
        <f>IF(A20="Да",'5-1 Сбор КП Закупки'!K20,)</f>
        <v>3</v>
      </c>
      <c r="M20" s="197"/>
      <c r="N20" s="197">
        <v>0.0</v>
      </c>
      <c r="O20" s="197"/>
      <c r="P20" s="525" t="str">
        <f>'5-1 Сбор КП Закупки'!P20</f>
        <v/>
      </c>
      <c r="Q20" s="197"/>
      <c r="R20" s="197"/>
      <c r="S20" s="197"/>
      <c r="T20" s="197"/>
      <c r="U20" s="197"/>
      <c r="V20" s="197"/>
      <c r="W20" s="522" t="str">
        <f>'5-1 Сбор КП Закупки'!O20</f>
        <v/>
      </c>
      <c r="X20" s="197"/>
      <c r="Y20" s="197"/>
      <c r="Z20" s="197"/>
      <c r="AA20" s="197"/>
      <c r="AB20" s="197">
        <v>-59800.0</v>
      </c>
      <c r="AC20" s="197">
        <v>-179400.0</v>
      </c>
      <c r="AD20" s="197"/>
      <c r="AE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5-3'!$D$11:$Q319,AE$4,AE$5)"),"")</f>
        <v/>
      </c>
      <c r="AF20" s="528">
        <f>IFERROR(__xludf.DUMMYFUNCTION("""COMPUTED_VALUE"""),59800.0)</f>
        <v>59800</v>
      </c>
      <c r="AG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5-3'!$D$11:$Q319,AG$4,AG$5)"),"")</f>
        <v/>
      </c>
      <c r="AH20" s="527" t="str">
        <f>IFERROR(__xludf.DUMMYFUNCTION("""COMPUTED_VALUE"""),"dg@air-part.ru")</f>
        <v>dg@air-part.ru</v>
      </c>
      <c r="AI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5-3'!$D$11:$Q319,AI$4,AI$5)"),"")</f>
        <v/>
      </c>
      <c r="AJ20" s="527" t="str">
        <f>IFERROR(__xludf.DUMMYFUNCTION("""COMPUTED_VALUE"""),"1-1 Сбор КП AJ")</f>
        <v>1-1 Сбор КП AJ</v>
      </c>
      <c r="AK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5-3'!$D$11:$Q319,AK$4,AK$5)"),"")</f>
        <v/>
      </c>
      <c r="AL20" s="527"/>
      <c r="AM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5-3'!$D$11:$Q319,AM$4,AM$5)"),"")</f>
        <v/>
      </c>
      <c r="AN20" s="529" t="str">
        <f>IFERROR(__xludf.DUMMYFUNCTION("""COMPUTED_VALUE"""),"5 рд")</f>
        <v>5 рд</v>
      </c>
      <c r="AO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5-3'!$D$11:$Q319,AO$4,AO$5)"),"")</f>
        <v/>
      </c>
      <c r="AP20" s="527" t="str">
        <f>IFERROR(__xludf.DUMMYFUNCTION("""COMPUTED_VALUE"""),"Масляный сепаратор")</f>
        <v>Масляный сепаратор</v>
      </c>
      <c r="AQ20" s="527"/>
      <c r="AR20" s="527"/>
      <c r="AS20" s="527"/>
      <c r="AT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5-3'!$D$11:$Q319,AT$4,AT$5)"),"")</f>
        <v/>
      </c>
      <c r="AU20" s="531"/>
      <c r="AV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5-3'!$D$11:$Q319,AV$4,AV$5)"),"")</f>
        <v/>
      </c>
      <c r="AW20" s="530"/>
      <c r="AX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5-3'!$D$11:$Q319,AX$4,AX$5)"),"")</f>
        <v/>
      </c>
      <c r="AY20" s="530"/>
      <c r="AZ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5-3'!$D$11:$Q319,AZ$4,AZ$5)"),"")</f>
        <v/>
      </c>
      <c r="BA20" s="530"/>
      <c r="BB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5-3'!$D$11:$Q319,BB$4,BB$5)"),"")</f>
        <v/>
      </c>
      <c r="BC20" s="532"/>
      <c r="BD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5-3'!$D$11:$Q319,BD$4,BD$5)"),"")</f>
        <v/>
      </c>
      <c r="BE20" s="530"/>
      <c r="BF20" s="530"/>
      <c r="BG20" s="530"/>
      <c r="BH20" s="530"/>
      <c r="BI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5-3'!$D$11:$Q319,BI$4,BI$5)"),"")</f>
        <v/>
      </c>
      <c r="BJ20" s="535"/>
      <c r="BK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5-3'!$D$11:$Q319,BK$4,BK$5)"),"")</f>
        <v/>
      </c>
      <c r="BL20" s="534"/>
      <c r="BM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5-3'!$D$11:$Q319,BM$4,BM$5)"),"")</f>
        <v/>
      </c>
      <c r="BN20" s="534"/>
      <c r="BO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5-3'!$D$11:$Q319,BO$4,BO$5)"),"")</f>
        <v/>
      </c>
      <c r="BP20" s="534"/>
      <c r="BQ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5-3'!$D$11:$Q319,BQ$4,BQ$5)"),"")</f>
        <v/>
      </c>
      <c r="BR20" s="536"/>
      <c r="BS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5-3'!$D$11:$Q319,BS$4,BS$5)"),"")</f>
        <v/>
      </c>
      <c r="BT20" s="534"/>
      <c r="BU20" s="534"/>
      <c r="BV20" s="534"/>
      <c r="BW20" s="534"/>
      <c r="BX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5-3'!$D$11:$Q319,BX$4,BX$5)"),"")</f>
        <v/>
      </c>
      <c r="BY20" s="538"/>
      <c r="BZ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5-3'!$D$11:$Q319,BZ$4,BZ$5)"),"")</f>
        <v/>
      </c>
      <c r="CA20" s="537"/>
      <c r="CB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5-3'!$D$11:$Q319,CB$4,CB$5)"),"")</f>
        <v/>
      </c>
      <c r="CC20" s="537"/>
      <c r="CD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5-3'!$D$11:$Q319,CD$4,CD$5)"),"")</f>
        <v/>
      </c>
      <c r="CE20" s="537"/>
      <c r="CF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5-3'!$D$11:$Q319,CF$4,CF$5)"),"")</f>
        <v/>
      </c>
      <c r="CG20" s="539"/>
      <c r="CH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5-3'!$D$11:$Q319,CH$4,CH$5)"),"")</f>
        <v/>
      </c>
      <c r="CI20" s="537"/>
      <c r="CJ20" s="537"/>
      <c r="CK20" s="537"/>
      <c r="CL20" s="537"/>
      <c r="CM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5-3'!$D$11:$Q319,CM$4,CM$5)"),"")</f>
        <v/>
      </c>
      <c r="CN20" s="541"/>
      <c r="CO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5-3'!$D$11:$Q319,CO$4,CO$5)"),"")</f>
        <v/>
      </c>
      <c r="CP20" s="540"/>
      <c r="CQ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5-3'!$D$11:$Q319,CQ$4,CQ$5)"),"")</f>
        <v/>
      </c>
      <c r="CR20" s="540"/>
      <c r="CS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5-3'!$D$11:$Q319,CS$4,CS$5)"),"")</f>
        <v/>
      </c>
      <c r="CT20" s="540"/>
      <c r="CU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5-3'!$D$11:$Q319,CU$4,CU$5)"),"")</f>
        <v/>
      </c>
      <c r="CV20" s="545"/>
      <c r="CW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5-3'!$D$11:$Q319,CW$4,CW$5)"),"")</f>
        <v/>
      </c>
      <c r="CX20" s="540"/>
      <c r="CY20" s="540"/>
      <c r="CZ20" s="540"/>
      <c r="DA20" s="540"/>
      <c r="DB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5-3'!$D$11:$Q319,DB$4,DB$5)"),"")</f>
        <v/>
      </c>
      <c r="DC20" s="555"/>
      <c r="DD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5-3'!$D$11:$Q319,DD$4,DD$5)"),"")</f>
        <v/>
      </c>
      <c r="DE20" s="554"/>
      <c r="DF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5-3'!$D$11:$Q319,DF$4,DF$5)"),"")</f>
        <v/>
      </c>
      <c r="DG20" s="554"/>
      <c r="DH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5-3'!$D$11:$Q319,DH$4,DH$5)"),"")</f>
        <v/>
      </c>
      <c r="DI20" s="554"/>
      <c r="DJ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5-3'!$D$11:$Q319,DJ$4,DJ$5)"),"")</f>
        <v/>
      </c>
      <c r="DK20" s="566"/>
      <c r="DL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5-3'!$D$11:$Q319,DL$4,DL$5)"),"")</f>
        <v/>
      </c>
      <c r="DM20" s="554"/>
      <c r="DN20" s="554"/>
      <c r="DO20" s="554"/>
      <c r="DP20" s="554"/>
      <c r="DQ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5-3'!$D$11:$Q319,DQ$4,DQ$5)"),"")</f>
        <v/>
      </c>
      <c r="DR20" s="569"/>
      <c r="DS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5-3'!$D$11:$Q319,DS$4,DS$5)"),"")</f>
        <v/>
      </c>
      <c r="DT20" s="568"/>
      <c r="DU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5-3'!$D$11:$Q319,DU$4,DU$5)"),"")</f>
        <v/>
      </c>
      <c r="DV20" s="568"/>
      <c r="DW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5-3'!$D$11:$Q319,DW$4,DW$5)"),"")</f>
        <v/>
      </c>
      <c r="DX20" s="568"/>
      <c r="DY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5-3'!$D$11:$Q319,DY$4,DY$5)"),"")</f>
        <v/>
      </c>
      <c r="DZ20" s="578"/>
      <c r="EA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 'S-10 Топ 5-3'!$D$11:$Q319,EA$4,EA$5)"),"")</f>
        <v/>
      </c>
      <c r="EB20" s="568"/>
      <c r="EC20" s="568"/>
      <c r="ED20" s="568"/>
      <c r="EE20" s="568"/>
    </row>
    <row r="21">
      <c r="A21" s="519" t="str">
        <f t="shared" si="1"/>
        <v>Да</v>
      </c>
      <c r="B21" s="520" t="str">
        <f>'5-0 Товары'!B21</f>
        <v/>
      </c>
      <c r="C21" s="521" t="str">
        <f>'5-1 Сбор КП Закупки'!C21</f>
        <v>ID_T011</v>
      </c>
      <c r="D21" s="521" t="str">
        <f>'5-1 Сбор КП Закупки'!D21</f>
        <v>11</v>
      </c>
      <c r="E21" s="521" t="str">
        <f>'5-1 Сбор КП Закупки'!E21</f>
        <v>Воздушный фильтр</v>
      </c>
      <c r="F21" s="521" t="str">
        <f>'5-1 Сбор КП Закупки'!F21</f>
        <v/>
      </c>
      <c r="G21" s="522" t="str">
        <f>'5-1 Сбор КП Закупки'!G21</f>
        <v/>
      </c>
      <c r="H21" s="522" t="str">
        <f>'5-1 Сбор КП Закупки'!H21</f>
        <v/>
      </c>
      <c r="I21" s="522" t="str">
        <f>'5-1 Сбор КП Закупки'!I21</f>
        <v/>
      </c>
      <c r="J21" s="197"/>
      <c r="K21" s="522" t="str">
        <f>'5-1 Сбор КП Закупки'!G21</f>
        <v/>
      </c>
      <c r="L21" s="523">
        <f>IF(A21="Да",'5-1 Сбор КП Закупки'!K21,)</f>
        <v>6</v>
      </c>
      <c r="M21" s="197"/>
      <c r="N21" s="197">
        <v>0.0</v>
      </c>
      <c r="O21" s="197"/>
      <c r="P21" s="525" t="str">
        <f>'5-1 Сбор КП Закупки'!P21</f>
        <v/>
      </c>
      <c r="Q21" s="197"/>
      <c r="R21" s="197"/>
      <c r="S21" s="197"/>
      <c r="T21" s="197"/>
      <c r="U21" s="197"/>
      <c r="V21" s="197"/>
      <c r="W21" s="522" t="str">
        <f>'5-1 Сбор КП Закупки'!O21</f>
        <v/>
      </c>
      <c r="X21" s="197"/>
      <c r="Y21" s="197"/>
      <c r="Z21" s="197"/>
      <c r="AA21" s="197"/>
      <c r="AB21" s="197">
        <v>-5100.0</v>
      </c>
      <c r="AC21" s="197">
        <v>-30600.0</v>
      </c>
      <c r="AD21" s="197"/>
      <c r="AE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5-3'!$D$11:$Q319,AE$4,AE$5)"),"")</f>
        <v/>
      </c>
      <c r="AF21" s="528">
        <f>IFERROR(__xludf.DUMMYFUNCTION("""COMPUTED_VALUE"""),5100.0)</f>
        <v>5100</v>
      </c>
      <c r="AG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5-3'!$D$11:$Q319,AG$4,AG$5)"),"")</f>
        <v/>
      </c>
      <c r="AH21" s="527" t="str">
        <f>IFERROR(__xludf.DUMMYFUNCTION("""COMPUTED_VALUE"""),"dg@air-part.ru")</f>
        <v>dg@air-part.ru</v>
      </c>
      <c r="AI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5-3'!$D$11:$Q319,AI$4,AI$5)"),"")</f>
        <v/>
      </c>
      <c r="AJ21" s="527" t="str">
        <f>IFERROR(__xludf.DUMMYFUNCTION("""COMPUTED_VALUE"""),"1-1 Сбор КП AJ")</f>
        <v>1-1 Сбор КП AJ</v>
      </c>
      <c r="AK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5-3'!$D$11:$Q319,AK$4,AK$5)"),"")</f>
        <v/>
      </c>
      <c r="AL21" s="527"/>
      <c r="AM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5-3'!$D$11:$Q319,AM$4,AM$5)"),"")</f>
        <v/>
      </c>
      <c r="AN21" s="529" t="str">
        <f>IFERROR(__xludf.DUMMYFUNCTION("""COMPUTED_VALUE"""),"5 рд")</f>
        <v>5 рд</v>
      </c>
      <c r="AO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5-3'!$D$11:$Q319,AO$4,AO$5)"),"")</f>
        <v/>
      </c>
      <c r="AP21" s="527" t="str">
        <f>IFERROR(__xludf.DUMMYFUNCTION("""COMPUTED_VALUE"""),"Воздушный фильтр")</f>
        <v>Воздушный фильтр</v>
      </c>
      <c r="AQ21" s="527"/>
      <c r="AR21" s="527"/>
      <c r="AS21" s="527"/>
      <c r="AT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5-3'!$D$11:$Q319,AT$4,AT$5)"),"")</f>
        <v/>
      </c>
      <c r="AU21" s="531"/>
      <c r="AV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5-3'!$D$11:$Q319,AV$4,AV$5)"),"")</f>
        <v/>
      </c>
      <c r="AW21" s="530"/>
      <c r="AX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5-3'!$D$11:$Q319,AX$4,AX$5)"),"")</f>
        <v/>
      </c>
      <c r="AY21" s="530"/>
      <c r="AZ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5-3'!$D$11:$Q319,AZ$4,AZ$5)"),"")</f>
        <v/>
      </c>
      <c r="BA21" s="530"/>
      <c r="BB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5-3'!$D$11:$Q319,BB$4,BB$5)"),"")</f>
        <v/>
      </c>
      <c r="BC21" s="532"/>
      <c r="BD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5-3'!$D$11:$Q319,BD$4,BD$5)"),"")</f>
        <v/>
      </c>
      <c r="BE21" s="530"/>
      <c r="BF21" s="530"/>
      <c r="BG21" s="530"/>
      <c r="BH21" s="530"/>
      <c r="BI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5-3'!$D$11:$Q319,BI$4,BI$5)"),"")</f>
        <v/>
      </c>
      <c r="BJ21" s="535"/>
      <c r="BK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5-3'!$D$11:$Q319,BK$4,BK$5)"),"")</f>
        <v/>
      </c>
      <c r="BL21" s="534"/>
      <c r="BM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5-3'!$D$11:$Q319,BM$4,BM$5)"),"")</f>
        <v/>
      </c>
      <c r="BN21" s="534"/>
      <c r="BO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5-3'!$D$11:$Q319,BO$4,BO$5)"),"")</f>
        <v/>
      </c>
      <c r="BP21" s="534"/>
      <c r="BQ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5-3'!$D$11:$Q319,BQ$4,BQ$5)"),"")</f>
        <v/>
      </c>
      <c r="BR21" s="536"/>
      <c r="BS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5-3'!$D$11:$Q319,BS$4,BS$5)"),"")</f>
        <v/>
      </c>
      <c r="BT21" s="534"/>
      <c r="BU21" s="534"/>
      <c r="BV21" s="534"/>
      <c r="BW21" s="534"/>
      <c r="BX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5-3'!$D$11:$Q319,BX$4,BX$5)"),"")</f>
        <v/>
      </c>
      <c r="BY21" s="538"/>
      <c r="BZ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5-3'!$D$11:$Q319,BZ$4,BZ$5)"),"")</f>
        <v/>
      </c>
      <c r="CA21" s="537"/>
      <c r="CB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5-3'!$D$11:$Q319,CB$4,CB$5)"),"")</f>
        <v/>
      </c>
      <c r="CC21" s="537"/>
      <c r="CD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5-3'!$D$11:$Q319,CD$4,CD$5)"),"")</f>
        <v/>
      </c>
      <c r="CE21" s="537"/>
      <c r="CF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5-3'!$D$11:$Q319,CF$4,CF$5)"),"")</f>
        <v/>
      </c>
      <c r="CG21" s="539"/>
      <c r="CH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5-3'!$D$11:$Q319,CH$4,CH$5)"),"")</f>
        <v/>
      </c>
      <c r="CI21" s="537"/>
      <c r="CJ21" s="537"/>
      <c r="CK21" s="537"/>
      <c r="CL21" s="537"/>
      <c r="CM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5-3'!$D$11:$Q319,CM$4,CM$5)"),"")</f>
        <v/>
      </c>
      <c r="CN21" s="541"/>
      <c r="CO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5-3'!$D$11:$Q319,CO$4,CO$5)"),"")</f>
        <v/>
      </c>
      <c r="CP21" s="540"/>
      <c r="CQ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5-3'!$D$11:$Q319,CQ$4,CQ$5)"),"")</f>
        <v/>
      </c>
      <c r="CR21" s="540"/>
      <c r="CS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5-3'!$D$11:$Q319,CS$4,CS$5)"),"")</f>
        <v/>
      </c>
      <c r="CT21" s="540"/>
      <c r="CU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5-3'!$D$11:$Q319,CU$4,CU$5)"),"")</f>
        <v/>
      </c>
      <c r="CV21" s="545"/>
      <c r="CW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5-3'!$D$11:$Q319,CW$4,CW$5)"),"")</f>
        <v/>
      </c>
      <c r="CX21" s="540"/>
      <c r="CY21" s="540"/>
      <c r="CZ21" s="540"/>
      <c r="DA21" s="540"/>
      <c r="DB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5-3'!$D$11:$Q319,DB$4,DB$5)"),"")</f>
        <v/>
      </c>
      <c r="DC21" s="555"/>
      <c r="DD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5-3'!$D$11:$Q319,DD$4,DD$5)"),"")</f>
        <v/>
      </c>
      <c r="DE21" s="554"/>
      <c r="DF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5-3'!$D$11:$Q319,DF$4,DF$5)"),"")</f>
        <v/>
      </c>
      <c r="DG21" s="554"/>
      <c r="DH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5-3'!$D$11:$Q319,DH$4,DH$5)"),"")</f>
        <v/>
      </c>
      <c r="DI21" s="554"/>
      <c r="DJ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5-3'!$D$11:$Q319,DJ$4,DJ$5)"),"")</f>
        <v/>
      </c>
      <c r="DK21" s="566"/>
      <c r="DL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5-3'!$D$11:$Q319,DL$4,DL$5)"),"")</f>
        <v/>
      </c>
      <c r="DM21" s="554"/>
      <c r="DN21" s="554"/>
      <c r="DO21" s="554"/>
      <c r="DP21" s="554"/>
      <c r="DQ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5-3'!$D$11:$Q319,DQ$4,DQ$5)"),"")</f>
        <v/>
      </c>
      <c r="DR21" s="569"/>
      <c r="DS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5-3'!$D$11:$Q319,DS$4,DS$5)"),"")</f>
        <v/>
      </c>
      <c r="DT21" s="568"/>
      <c r="DU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5-3'!$D$11:$Q319,DU$4,DU$5)"),"")</f>
        <v/>
      </c>
      <c r="DV21" s="568"/>
      <c r="DW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5-3'!$D$11:$Q319,DW$4,DW$5)"),"")</f>
        <v/>
      </c>
      <c r="DX21" s="568"/>
      <c r="DY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5-3'!$D$11:$Q319,DY$4,DY$5)"),"")</f>
        <v/>
      </c>
      <c r="DZ21" s="578"/>
      <c r="EA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 'S-10 Топ 5-3'!$D$11:$Q319,EA$4,EA$5)"),"")</f>
        <v/>
      </c>
      <c r="EB21" s="568"/>
      <c r="EC21" s="568"/>
      <c r="ED21" s="568"/>
      <c r="EE21" s="568"/>
    </row>
    <row r="22">
      <c r="A22" s="519" t="str">
        <f t="shared" si="1"/>
        <v>Да</v>
      </c>
      <c r="B22" s="520" t="str">
        <f>'5-0 Товары'!B22</f>
        <v/>
      </c>
      <c r="C22" s="521" t="str">
        <f>'5-1 Сбор КП Закупки'!C22</f>
        <v>ID_T012</v>
      </c>
      <c r="D22" s="521" t="str">
        <f>'5-1 Сбор КП Закупки'!D22</f>
        <v>12</v>
      </c>
      <c r="E22" s="521" t="str">
        <f>'5-1 Сбор КП Закупки'!E22</f>
        <v>Масляный фильтр</v>
      </c>
      <c r="F22" s="521" t="str">
        <f>'5-1 Сбор КП Закупки'!F22</f>
        <v/>
      </c>
      <c r="G22" s="522" t="str">
        <f>'5-1 Сбор КП Закупки'!G22</f>
        <v/>
      </c>
      <c r="H22" s="522" t="str">
        <f>'5-1 Сбор КП Закупки'!H22</f>
        <v/>
      </c>
      <c r="I22" s="522" t="str">
        <f>'5-1 Сбор КП Закупки'!I22</f>
        <v/>
      </c>
      <c r="J22" s="197"/>
      <c r="K22" s="522" t="str">
        <f>'5-1 Сбор КП Закупки'!G22</f>
        <v/>
      </c>
      <c r="L22" s="523">
        <f>IF(A22="Да",'5-1 Сбор КП Закупки'!K22,)</f>
        <v>6</v>
      </c>
      <c r="M22" s="197"/>
      <c r="N22" s="197">
        <v>0.0</v>
      </c>
      <c r="O22" s="197"/>
      <c r="P22" s="525" t="str">
        <f>'5-1 Сбор КП Закупки'!P22</f>
        <v/>
      </c>
      <c r="Q22" s="197"/>
      <c r="R22" s="197"/>
      <c r="S22" s="197"/>
      <c r="T22" s="197"/>
      <c r="U22" s="197"/>
      <c r="V22" s="197"/>
      <c r="W22" s="522" t="str">
        <f>'5-1 Сбор КП Закупки'!O22</f>
        <v/>
      </c>
      <c r="X22" s="197"/>
      <c r="Y22" s="197"/>
      <c r="Z22" s="197"/>
      <c r="AA22" s="197"/>
      <c r="AB22" s="197">
        <v>-3900.0</v>
      </c>
      <c r="AC22" s="197">
        <v>-23400.0</v>
      </c>
      <c r="AD22" s="197"/>
      <c r="AE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5-3'!$D$11:$Q319,AE$4,AE$5)"),"")</f>
        <v/>
      </c>
      <c r="AF22" s="528">
        <f>IFERROR(__xludf.DUMMYFUNCTION("""COMPUTED_VALUE"""),3900.0)</f>
        <v>3900</v>
      </c>
      <c r="AG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5-3'!$D$11:$Q319,AG$4,AG$5)"),"")</f>
        <v/>
      </c>
      <c r="AH22" s="527" t="str">
        <f>IFERROR(__xludf.DUMMYFUNCTION("""COMPUTED_VALUE"""),"dg@air-part.ru")</f>
        <v>dg@air-part.ru</v>
      </c>
      <c r="AI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5-3'!$D$11:$Q319,AI$4,AI$5)"),"")</f>
        <v/>
      </c>
      <c r="AJ22" s="527" t="str">
        <f>IFERROR(__xludf.DUMMYFUNCTION("""COMPUTED_VALUE"""),"1-1 Сбор КП AJ")</f>
        <v>1-1 Сбор КП AJ</v>
      </c>
      <c r="AK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5-3'!$D$11:$Q319,AK$4,AK$5)"),"")</f>
        <v/>
      </c>
      <c r="AL22" s="527"/>
      <c r="AM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5-3'!$D$11:$Q319,AM$4,AM$5)"),"")</f>
        <v/>
      </c>
      <c r="AN22" s="529" t="str">
        <f>IFERROR(__xludf.DUMMYFUNCTION("""COMPUTED_VALUE"""),"5 рд")</f>
        <v>5 рд</v>
      </c>
      <c r="AO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5-3'!$D$11:$Q319,AO$4,AO$5)"),"")</f>
        <v/>
      </c>
      <c r="AP22" s="527" t="str">
        <f>IFERROR(__xludf.DUMMYFUNCTION("""COMPUTED_VALUE"""),"Масляный фильтр")</f>
        <v>Масляный фильтр</v>
      </c>
      <c r="AQ22" s="527"/>
      <c r="AR22" s="527"/>
      <c r="AS22" s="527"/>
      <c r="AT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5-3'!$D$11:$Q319,AT$4,AT$5)"),"")</f>
        <v/>
      </c>
      <c r="AU22" s="531">
        <f>IFERROR(__xludf.DUMMYFUNCTION("""COMPUTED_VALUE"""),7975.0058)</f>
        <v>7975.0058</v>
      </c>
      <c r="AV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5-3'!$D$11:$Q319,AV$4,AV$5)"),"")</f>
        <v/>
      </c>
      <c r="AW22" s="530" t="str">
        <f>IFERROR(__xludf.DUMMYFUNCTION("""COMPUTED_VALUE"""),"sales@noemi-parts.ru")</f>
        <v>sales@noemi-parts.ru</v>
      </c>
      <c r="AX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5-3'!$D$11:$Q319,AX$4,AX$5)"),"")</f>
        <v/>
      </c>
      <c r="AY22" s="530" t="str">
        <f>IFERROR(__xludf.DUMMYFUNCTION("""COMPUTED_VALUE"""),"1-1 Сбор КП AD")</f>
        <v>1-1 Сбор КП AD</v>
      </c>
      <c r="AZ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5-3'!$D$11:$Q319,AZ$4,AZ$5)"),"")</f>
        <v/>
      </c>
      <c r="BA22" s="530"/>
      <c r="BB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5-3'!$D$11:$Q319,BB$4,BB$5)"),"")</f>
        <v/>
      </c>
      <c r="BC22" s="532"/>
      <c r="BD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5-3'!$D$11:$Q319,BD$4,BD$5)"),"")</f>
        <v/>
      </c>
      <c r="BE22" s="530" t="str">
        <f>IFERROR(__xludf.DUMMYFUNCTION("""COMPUTED_VALUE"""),"Масляный фильтр для
компрессора Dalgakiran Inversys
315+")</f>
        <v>Масляный фильтр для
компрессора Dalgakiran Inversys
315+</v>
      </c>
      <c r="BF22" s="530"/>
      <c r="BG22" s="530"/>
      <c r="BH22" s="530"/>
      <c r="BI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5-3'!$D$11:$Q319,BI$4,BI$5)"),"")</f>
        <v/>
      </c>
      <c r="BJ22" s="535"/>
      <c r="BK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5-3'!$D$11:$Q319,BK$4,BK$5)"),"")</f>
        <v/>
      </c>
      <c r="BL22" s="534"/>
      <c r="BM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5-3'!$D$11:$Q319,BM$4,BM$5)"),"")</f>
        <v/>
      </c>
      <c r="BN22" s="534"/>
      <c r="BO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5-3'!$D$11:$Q319,BO$4,BO$5)"),"")</f>
        <v/>
      </c>
      <c r="BP22" s="534"/>
      <c r="BQ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5-3'!$D$11:$Q319,BQ$4,BQ$5)"),"")</f>
        <v/>
      </c>
      <c r="BR22" s="536"/>
      <c r="BS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5-3'!$D$11:$Q319,BS$4,BS$5)"),"")</f>
        <v/>
      </c>
      <c r="BT22" s="534"/>
      <c r="BU22" s="534"/>
      <c r="BV22" s="534"/>
      <c r="BW22" s="534"/>
      <c r="BX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5-3'!$D$11:$Q319,BX$4,BX$5)"),"")</f>
        <v/>
      </c>
      <c r="BY22" s="538"/>
      <c r="BZ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5-3'!$D$11:$Q319,BZ$4,BZ$5)"),"")</f>
        <v/>
      </c>
      <c r="CA22" s="537"/>
      <c r="CB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5-3'!$D$11:$Q319,CB$4,CB$5)"),"")</f>
        <v/>
      </c>
      <c r="CC22" s="537"/>
      <c r="CD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5-3'!$D$11:$Q319,CD$4,CD$5)"),"")</f>
        <v/>
      </c>
      <c r="CE22" s="537"/>
      <c r="CF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5-3'!$D$11:$Q319,CF$4,CF$5)"),"")</f>
        <v/>
      </c>
      <c r="CG22" s="539"/>
      <c r="CH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5-3'!$D$11:$Q319,CH$4,CH$5)"),"")</f>
        <v/>
      </c>
      <c r="CI22" s="537"/>
      <c r="CJ22" s="537"/>
      <c r="CK22" s="537"/>
      <c r="CL22" s="537"/>
      <c r="CM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5-3'!$D$11:$Q319,CM$4,CM$5)"),"")</f>
        <v/>
      </c>
      <c r="CN22" s="541"/>
      <c r="CO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5-3'!$D$11:$Q319,CO$4,CO$5)"),"")</f>
        <v/>
      </c>
      <c r="CP22" s="540"/>
      <c r="CQ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5-3'!$D$11:$Q319,CQ$4,CQ$5)"),"")</f>
        <v/>
      </c>
      <c r="CR22" s="540"/>
      <c r="CS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5-3'!$D$11:$Q319,CS$4,CS$5)"),"")</f>
        <v/>
      </c>
      <c r="CT22" s="540"/>
      <c r="CU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5-3'!$D$11:$Q319,CU$4,CU$5)"),"")</f>
        <v/>
      </c>
      <c r="CV22" s="545"/>
      <c r="CW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5-3'!$D$11:$Q319,CW$4,CW$5)"),"")</f>
        <v/>
      </c>
      <c r="CX22" s="540"/>
      <c r="CY22" s="540"/>
      <c r="CZ22" s="540"/>
      <c r="DA22" s="540"/>
      <c r="DB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5-3'!$D$11:$Q319,DB$4,DB$5)"),"")</f>
        <v/>
      </c>
      <c r="DC22" s="555"/>
      <c r="DD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5-3'!$D$11:$Q319,DD$4,DD$5)"),"")</f>
        <v/>
      </c>
      <c r="DE22" s="554"/>
      <c r="DF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5-3'!$D$11:$Q319,DF$4,DF$5)"),"")</f>
        <v/>
      </c>
      <c r="DG22" s="554"/>
      <c r="DH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5-3'!$D$11:$Q319,DH$4,DH$5)"),"")</f>
        <v/>
      </c>
      <c r="DI22" s="554"/>
      <c r="DJ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5-3'!$D$11:$Q319,DJ$4,DJ$5)"),"")</f>
        <v/>
      </c>
      <c r="DK22" s="566"/>
      <c r="DL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5-3'!$D$11:$Q319,DL$4,DL$5)"),"")</f>
        <v/>
      </c>
      <c r="DM22" s="554"/>
      <c r="DN22" s="554"/>
      <c r="DO22" s="554"/>
      <c r="DP22" s="554"/>
      <c r="DQ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5-3'!$D$11:$Q319,DQ$4,DQ$5)"),"")</f>
        <v/>
      </c>
      <c r="DR22" s="569"/>
      <c r="DS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5-3'!$D$11:$Q319,DS$4,DS$5)"),"")</f>
        <v/>
      </c>
      <c r="DT22" s="568"/>
      <c r="DU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5-3'!$D$11:$Q319,DU$4,DU$5)"),"")</f>
        <v/>
      </c>
      <c r="DV22" s="568"/>
      <c r="DW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5-3'!$D$11:$Q319,DW$4,DW$5)"),"")</f>
        <v/>
      </c>
      <c r="DX22" s="568"/>
      <c r="DY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5-3'!$D$11:$Q319,DY$4,DY$5)"),"")</f>
        <v/>
      </c>
      <c r="DZ22" s="578"/>
      <c r="EA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 'S-10 Топ 5-3'!$D$11:$Q319,EA$4,EA$5)"),"")</f>
        <v/>
      </c>
      <c r="EB22" s="568"/>
      <c r="EC22" s="568"/>
      <c r="ED22" s="568"/>
      <c r="EE22" s="568"/>
    </row>
    <row r="23">
      <c r="A23" s="519" t="str">
        <f t="shared" si="1"/>
        <v>Да</v>
      </c>
      <c r="B23" s="520" t="str">
        <f>'5-0 Товары'!B23</f>
        <v/>
      </c>
      <c r="C23" s="521" t="str">
        <f>'5-1 Сбор КП Закупки'!C23</f>
        <v>ID_T013</v>
      </c>
      <c r="D23" s="521" t="str">
        <f>'5-1 Сбор КП Закупки'!D23</f>
        <v>13</v>
      </c>
      <c r="E23" s="521" t="str">
        <f>'5-1 Сбор КП Закупки'!E23</f>
        <v>Масляный сепаратор DS 3084 </v>
      </c>
      <c r="F23" s="521" t="str">
        <f>'5-1 Сбор КП Закупки'!F23</f>
        <v/>
      </c>
      <c r="G23" s="522" t="str">
        <f>'5-1 Сбор КП Закупки'!G23</f>
        <v/>
      </c>
      <c r="H23" s="522" t="str">
        <f>'5-1 Сбор КП Закупки'!H23</f>
        <v/>
      </c>
      <c r="I23" s="522" t="str">
        <f>'5-1 Сбор КП Закупки'!I23</f>
        <v/>
      </c>
      <c r="J23" s="197"/>
      <c r="K23" s="522" t="str">
        <f>'5-1 Сбор КП Закупки'!G23</f>
        <v/>
      </c>
      <c r="L23" s="523">
        <f>IF(A23="Да",'5-1 Сбор КП Закупки'!K23,)</f>
        <v>2</v>
      </c>
      <c r="M23" s="197"/>
      <c r="N23" s="197">
        <v>0.0</v>
      </c>
      <c r="O23" s="197"/>
      <c r="P23" s="525" t="str">
        <f>'5-1 Сбор КП Закупки'!P23</f>
        <v/>
      </c>
      <c r="Q23" s="197"/>
      <c r="R23" s="197"/>
      <c r="S23" s="197"/>
      <c r="T23" s="197"/>
      <c r="U23" s="197"/>
      <c r="V23" s="197"/>
      <c r="W23" s="522" t="str">
        <f>'5-1 Сбор КП Закупки'!O23</f>
        <v/>
      </c>
      <c r="X23" s="197"/>
      <c r="Y23" s="197"/>
      <c r="Z23" s="197"/>
      <c r="AA23" s="197"/>
      <c r="AB23" s="197">
        <v>-30825.0</v>
      </c>
      <c r="AC23" s="197">
        <v>-61650.0</v>
      </c>
      <c r="AD23" s="197"/>
      <c r="AE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5-3'!$D$11:$Q319,AE$4,AE$5)"),"")</f>
        <v/>
      </c>
      <c r="AF23" s="528">
        <f>IFERROR(__xludf.DUMMYFUNCTION("""COMPUTED_VALUE"""),30825.0)</f>
        <v>30825</v>
      </c>
      <c r="AG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5-3'!$D$11:$Q319,AG$4,AG$5)"),"")</f>
        <v/>
      </c>
      <c r="AH23" s="527" t="str">
        <f>IFERROR(__xludf.DUMMYFUNCTION("""COMPUTED_VALUE"""),"aa@kentek.ru")</f>
        <v>aa@kentek.ru</v>
      </c>
      <c r="AI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5-3'!$D$11:$Q319,AI$4,AI$5)"),"")</f>
        <v/>
      </c>
      <c r="AJ23" s="527" t="str">
        <f>IFERROR(__xludf.DUMMYFUNCTION("""COMPUTED_VALUE"""),"1-1 Сбор КП AG")</f>
        <v>1-1 Сбор КП AG</v>
      </c>
      <c r="AK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5-3'!$D$11:$Q319,AK$4,AK$5)"),"")</f>
        <v/>
      </c>
      <c r="AL23" s="527"/>
      <c r="AM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5-3'!$D$11:$Q319,AM$4,AM$5)"),"")</f>
        <v/>
      </c>
      <c r="AN23" s="529" t="str">
        <f>IFERROR(__xludf.DUMMYFUNCTION("""COMPUTED_VALUE"""),"нал")</f>
        <v>нал</v>
      </c>
      <c r="AO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5-3'!$D$11:$Q319,AO$4,AO$5)"),"")</f>
        <v/>
      </c>
      <c r="AP23" s="527" t="str">
        <f>IFERROR(__xludf.DUMMYFUNCTION("""COMPUTED_VALUE"""),"Масляный сепаратор DS 3084")</f>
        <v>Масляный сепаратор DS 3084</v>
      </c>
      <c r="AQ23" s="527"/>
      <c r="AR23" s="527"/>
      <c r="AS23" s="527"/>
      <c r="AT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5-3'!$D$11:$Q319,AT$4,AT$5)"),"")</f>
        <v/>
      </c>
      <c r="AU23" s="531">
        <f>IFERROR(__xludf.DUMMYFUNCTION("""COMPUTED_VALUE"""),36900.0)</f>
        <v>36900</v>
      </c>
      <c r="AV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5-3'!$D$11:$Q319,AV$4,AV$5)"),"")</f>
        <v/>
      </c>
      <c r="AW23" s="530" t="str">
        <f>IFERROR(__xludf.DUMMYFUNCTION("""COMPUTED_VALUE"""),"order@techfil.ru")</f>
        <v>order@techfil.ru</v>
      </c>
      <c r="AX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5-3'!$D$11:$Q319,AX$4,AX$5)"),"")</f>
        <v/>
      </c>
      <c r="AY23" s="530" t="str">
        <f>IFERROR(__xludf.DUMMYFUNCTION("""COMPUTED_VALUE"""),"1-1 Сбор КП BE")</f>
        <v>1-1 Сбор КП BE</v>
      </c>
      <c r="AZ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5-3'!$D$11:$Q319,AZ$4,AZ$5)"),"")</f>
        <v/>
      </c>
      <c r="BA23" s="530"/>
      <c r="BB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5-3'!$D$11:$Q319,BB$4,BB$5)"),"")</f>
        <v/>
      </c>
      <c r="BC23" s="532" t="str">
        <f>IFERROR(__xludf.DUMMYFUNCTION("""COMPUTED_VALUE"""),"5 рд")</f>
        <v>5 рд</v>
      </c>
      <c r="BD23"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5-3'!$D$11:$Q319,BD$4,BD$5)"),"")</f>
        <v/>
      </c>
      <c r="BE23" s="533" t="str">
        <f>IFERROR(__xludf.DUMMYFUNCTION("""COMPUTED_VALUE"""),"Cепаратор DS 3084 [ Аналог DC/S3084 ] ")</f>
        <v>Cепаратор DS 3084 [ Аналог DC/S3084 ] </v>
      </c>
      <c r="BF23" s="530"/>
      <c r="BG23" s="530"/>
      <c r="BH23" s="530"/>
      <c r="BI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5-3'!$D$11:$Q319,BI$4,BI$5)"),"")</f>
        <v/>
      </c>
      <c r="BJ23" s="535">
        <f>IFERROR(__xludf.DUMMYFUNCTION("""COMPUTED_VALUE"""),47250.0)</f>
        <v>47250</v>
      </c>
      <c r="BK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5-3'!$D$11:$Q319,BK$4,BK$5)"),"")</f>
        <v/>
      </c>
      <c r="BL23" s="534" t="str">
        <f>IFERROR(__xludf.DUMMYFUNCTION("""COMPUTED_VALUE"""),"bmd@melcom-ural.ru")</f>
        <v>bmd@melcom-ural.ru</v>
      </c>
      <c r="BM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5-3'!$D$11:$Q319,BM$4,BM$5)"),"")</f>
        <v/>
      </c>
      <c r="BN23" s="534" t="str">
        <f>IFERROR(__xludf.DUMMYFUNCTION("""COMPUTED_VALUE"""),"1-1 Сбор КП AS")</f>
        <v>1-1 Сбор КП AS</v>
      </c>
      <c r="BO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5-3'!$D$11:$Q319,BO$4,BO$5)"),"")</f>
        <v/>
      </c>
      <c r="BP23" s="534"/>
      <c r="BQ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5-3'!$D$11:$Q319,BQ$4,BQ$5)"),"")</f>
        <v/>
      </c>
      <c r="BR23" s="536" t="str">
        <f>IFERROR(__xludf.DUMMYFUNCTION("""COMPUTED_VALUE"""),"15 рд")</f>
        <v>15 рд</v>
      </c>
      <c r="BS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5-3'!$D$11:$Q319,BS$4,BS$5)"),"")</f>
        <v/>
      </c>
      <c r="BT23" s="534" t="str">
        <f>IFERROR(__xludf.DUMMYFUNCTION("""COMPUTED_VALUE"""),"Масляный сепаратор DS 3084")</f>
        <v>Масляный сепаратор DS 3084</v>
      </c>
      <c r="BU23" s="534"/>
      <c r="BV23" s="534"/>
      <c r="BW23" s="534"/>
      <c r="BX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5-3'!$D$11:$Q319,BX$4,BX$5)"),"")</f>
        <v/>
      </c>
      <c r="BY23" s="538">
        <f>IFERROR(__xludf.DUMMYFUNCTION("""COMPUTED_VALUE"""),50500.0)</f>
        <v>50500</v>
      </c>
      <c r="BZ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5-3'!$D$11:$Q319,BZ$4,BZ$5)"),"")</f>
        <v/>
      </c>
      <c r="CA23" s="537" t="str">
        <f>IFERROR(__xludf.DUMMYFUNCTION("""COMPUTED_VALUE"""),"utkm@mail.ru")</f>
        <v>utkm@mail.ru</v>
      </c>
      <c r="CB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5-3'!$D$11:$Q319,CB$4,CB$5)"),"")</f>
        <v/>
      </c>
      <c r="CC23" s="537" t="str">
        <f>IFERROR(__xludf.DUMMYFUNCTION("""COMPUTED_VALUE"""),"1-1 Сбор КП AV")</f>
        <v>1-1 Сбор КП AV</v>
      </c>
      <c r="CD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5-3'!$D$11:$Q319,CD$4,CD$5)"),"")</f>
        <v/>
      </c>
      <c r="CE23" s="537"/>
      <c r="CF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5-3'!$D$11:$Q319,CF$4,CF$5)"),"")</f>
        <v/>
      </c>
      <c r="CG23" s="539" t="str">
        <f>IFERROR(__xludf.DUMMYFUNCTION("""COMPUTED_VALUE"""),"7 д")</f>
        <v>7 д</v>
      </c>
      <c r="CH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5-3'!$D$11:$Q319,CH$4,CH$5)"),"")</f>
        <v/>
      </c>
      <c r="CI23" s="537" t="str">
        <f>IFERROR(__xludf.DUMMYFUNCTION("""COMPUTED_VALUE"""),"DS 3084")</f>
        <v>DS 3084</v>
      </c>
      <c r="CJ23" s="537"/>
      <c r="CK23" s="537"/>
      <c r="CL23" s="537"/>
      <c r="CM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5-3'!$D$11:$Q319,CM$4,CM$5)"),"")</f>
        <v/>
      </c>
      <c r="CN23" s="541">
        <f>IFERROR(__xludf.DUMMYFUNCTION("""COMPUTED_VALUE"""),55000.0)</f>
        <v>55000</v>
      </c>
      <c r="CO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5-3'!$D$11:$Q319,CO$4,CO$5)"),"")</f>
        <v/>
      </c>
      <c r="CP23" s="540" t="str">
        <f>IFERROR(__xludf.DUMMYFUNCTION("""COMPUTED_VALUE"""),"amkomplekt@mail.ru")</f>
        <v>amkomplekt@mail.ru</v>
      </c>
      <c r="CQ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5-3'!$D$11:$Q319,CQ$4,CQ$5)"),"")</f>
        <v/>
      </c>
      <c r="CR23" s="540" t="str">
        <f>IFERROR(__xludf.DUMMYFUNCTION("""COMPUTED_VALUE"""),"1-1 Сбор КП AA")</f>
        <v>1-1 Сбор КП AA</v>
      </c>
      <c r="CS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5-3'!$D$11:$Q319,CS$4,CS$5)"),"")</f>
        <v/>
      </c>
      <c r="CT23" s="540"/>
      <c r="CU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5-3'!$D$11:$Q319,CU$4,CU$5)"),"")</f>
        <v/>
      </c>
      <c r="CV23" s="545" t="str">
        <f>IFERROR(__xludf.DUMMYFUNCTION("""COMPUTED_VALUE"""),"10 д")</f>
        <v>10 д</v>
      </c>
      <c r="CW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5-3'!$D$11:$Q319,CW$4,CW$5)"),"")</f>
        <v/>
      </c>
      <c r="CX23" s="540" t="str">
        <f>IFERROR(__xludf.DUMMYFUNCTION("""COMPUTED_VALUE"""),"Масляный сепаратор DS 3084 = NS 008430")</f>
        <v>Масляный сепаратор DS 3084 = NS 008430</v>
      </c>
      <c r="CY23" s="540"/>
      <c r="CZ23" s="540"/>
      <c r="DA23" s="540"/>
      <c r="DB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5-3'!$D$11:$Q319,DB$4,DB$5)"),"")</f>
        <v/>
      </c>
      <c r="DC23" s="555">
        <f>IFERROR(__xludf.DUMMYFUNCTION("""COMPUTED_VALUE"""),58476.0)</f>
        <v>58476</v>
      </c>
      <c r="DD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5-3'!$D$11:$Q319,DD$4,DD$5)"),"")</f>
        <v/>
      </c>
      <c r="DE23" s="554" t="str">
        <f>IFERROR(__xludf.DUMMYFUNCTION("""COMPUTED_VALUE"""),"m.rulev@a-ac.ru")</f>
        <v>m.rulev@a-ac.ru</v>
      </c>
      <c r="DF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5-3'!$D$11:$Q319,DF$4,DF$5)"),"")</f>
        <v/>
      </c>
      <c r="DG23" s="554" t="str">
        <f>IFERROR(__xludf.DUMMYFUNCTION("""COMPUTED_VALUE"""),"1-1 Сбор КП BN")</f>
        <v>1-1 Сбор КП BN</v>
      </c>
      <c r="DH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5-3'!$D$11:$Q319,DH$4,DH$5)"),"")</f>
        <v/>
      </c>
      <c r="DI23" s="554"/>
      <c r="DJ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5-3'!$D$11:$Q319,DJ$4,DJ$5)"),"")</f>
        <v/>
      </c>
      <c r="DK23" s="566" t="str">
        <f>IFERROR(__xludf.DUMMYFUNCTION("""COMPUTED_VALUE"""),"10 д")</f>
        <v>10 д</v>
      </c>
      <c r="DL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5-3'!$D$11:$Q319,DL$4,DL$5)"),"")</f>
        <v/>
      </c>
      <c r="DM23" s="554" t="str">
        <f>IFERROR(__xludf.DUMMYFUNCTION("""COMPUTED_VALUE"""),"Фильтр сепаратор SOTRAS DC 3084")</f>
        <v>Фильтр сепаратор SOTRAS DC 3084</v>
      </c>
      <c r="DN23" s="554"/>
      <c r="DO23" s="554"/>
      <c r="DP23" s="554"/>
      <c r="DQ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5-3'!$D$11:$Q319,DQ$4,DQ$5)"),"")</f>
        <v/>
      </c>
      <c r="DR23" s="569"/>
      <c r="DS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5-3'!$D$11:$Q319,DS$4,DS$5)"),"")</f>
        <v/>
      </c>
      <c r="DT23" s="568"/>
      <c r="DU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5-3'!$D$11:$Q319,DU$4,DU$5)"),"")</f>
        <v/>
      </c>
      <c r="DV23" s="568"/>
      <c r="DW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5-3'!$D$11:$Q319,DW$4,DW$5)"),"")</f>
        <v/>
      </c>
      <c r="DX23" s="568"/>
      <c r="DY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5-3'!$D$11:$Q319,DY$4,DY$5)"),"")</f>
        <v/>
      </c>
      <c r="DZ23" s="578"/>
      <c r="EA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 'S-10 Топ 5-3'!$D$11:$Q319,EA$4,EA$5)"),"")</f>
        <v/>
      </c>
      <c r="EB23" s="568"/>
      <c r="EC23" s="568"/>
      <c r="ED23" s="568"/>
      <c r="EE23" s="568"/>
    </row>
    <row r="24">
      <c r="A24" s="519" t="str">
        <f t="shared" si="1"/>
        <v>Да</v>
      </c>
      <c r="B24" s="520" t="str">
        <f>'5-0 Товары'!B24</f>
        <v/>
      </c>
      <c r="C24" s="521" t="str">
        <f>'5-1 Сбор КП Закупки'!C24</f>
        <v>ID_T014</v>
      </c>
      <c r="D24" s="521" t="str">
        <f>'5-1 Сбор КП Закупки'!D24</f>
        <v>14</v>
      </c>
      <c r="E24" s="521" t="str">
        <f>'5-1 Сбор КП Закупки'!E24</f>
        <v>Воздушный фильтр ЛААЗ ЭФВ 721.1109560 (7405. 1109560)</v>
      </c>
      <c r="F24" s="521" t="str">
        <f>'5-1 Сбор КП Закупки'!F24</f>
        <v/>
      </c>
      <c r="G24" s="522" t="str">
        <f>'5-1 Сбор КП Закупки'!G24</f>
        <v/>
      </c>
      <c r="H24" s="522" t="str">
        <f>'5-1 Сбор КП Закупки'!H24</f>
        <v/>
      </c>
      <c r="I24" s="522" t="str">
        <f>'5-1 Сбор КП Закупки'!I24</f>
        <v/>
      </c>
      <c r="J24" s="197"/>
      <c r="K24" s="522" t="str">
        <f>'5-1 Сбор КП Закупки'!G24</f>
        <v/>
      </c>
      <c r="L24" s="523">
        <f>IF(A24="Да",'5-1 Сбор КП Закупки'!K24,)</f>
        <v>4</v>
      </c>
      <c r="M24" s="197"/>
      <c r="N24" s="197">
        <v>0.0</v>
      </c>
      <c r="O24" s="197"/>
      <c r="P24" s="525" t="str">
        <f>'5-1 Сбор КП Закупки'!P24</f>
        <v/>
      </c>
      <c r="Q24" s="197"/>
      <c r="R24" s="197"/>
      <c r="S24" s="197"/>
      <c r="T24" s="197"/>
      <c r="U24" s="197"/>
      <c r="V24" s="197"/>
      <c r="W24" s="522" t="str">
        <f>'5-1 Сбор КП Закупки'!O24</f>
        <v/>
      </c>
      <c r="X24" s="197"/>
      <c r="Y24" s="197"/>
      <c r="Z24" s="197"/>
      <c r="AA24" s="197"/>
      <c r="AB24" s="197">
        <v>-900.0</v>
      </c>
      <c r="AC24" s="197">
        <v>-3600.0</v>
      </c>
      <c r="AD24" s="197"/>
      <c r="AE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5-3'!$D$11:$Q319,AE$4,AE$5)"),"")</f>
        <v/>
      </c>
      <c r="AF24" s="528">
        <f>IFERROR(__xludf.DUMMYFUNCTION("""COMPUTED_VALUE"""),900.0)</f>
        <v>900</v>
      </c>
      <c r="AG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5-3'!$D$11:$Q319,AG$4,AG$5)"),"")</f>
        <v/>
      </c>
      <c r="AH24" s="527" t="str">
        <f>IFERROR(__xludf.DUMMYFUNCTION("""COMPUTED_VALUE"""),"utkm@mail.ru")</f>
        <v>utkm@mail.ru</v>
      </c>
      <c r="AI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5-3'!$D$11:$Q319,AI$4,AI$5)"),"")</f>
        <v/>
      </c>
      <c r="AJ24" s="527" t="str">
        <f>IFERROR(__xludf.DUMMYFUNCTION("""COMPUTED_VALUE"""),"1-1 Сбор КП AV")</f>
        <v>1-1 Сбор КП AV</v>
      </c>
      <c r="AK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5-3'!$D$11:$Q319,AK$4,AK$5)"),"")</f>
        <v/>
      </c>
      <c r="AL24" s="527"/>
      <c r="AM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5-3'!$D$11:$Q319,AM$4,AM$5)"),"")</f>
        <v/>
      </c>
      <c r="AN24" s="529" t="str">
        <f>IFERROR(__xludf.DUMMYFUNCTION("""COMPUTED_VALUE"""),"нал")</f>
        <v>нал</v>
      </c>
      <c r="AO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5-3'!$D$11:$Q319,AO$4,AO$5)"),"")</f>
        <v/>
      </c>
      <c r="AP24" s="527" t="str">
        <f>IFERROR(__xludf.DUMMYFUNCTION("""COMPUTED_VALUE"""),"7405. 1109560")</f>
        <v>7405. 1109560</v>
      </c>
      <c r="AQ24" s="527"/>
      <c r="AR24" s="527"/>
      <c r="AS24" s="527"/>
      <c r="AT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5-3'!$D$11:$Q319,AT$4,AT$5)"),"")</f>
        <v/>
      </c>
      <c r="AU24" s="531">
        <f>IFERROR(__xludf.DUMMYFUNCTION("""COMPUTED_VALUE"""),1064.0)</f>
        <v>1064</v>
      </c>
      <c r="AV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5-3'!$D$11:$Q319,AV$4,AV$5)"),"")</f>
        <v/>
      </c>
      <c r="AW24" s="530" t="str">
        <f>IFERROR(__xludf.DUMMYFUNCTION("""COMPUTED_VALUE"""),"m.rulev@a-ac.ru")</f>
        <v>m.rulev@a-ac.ru</v>
      </c>
      <c r="AX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5-3'!$D$11:$Q319,AX$4,AX$5)"),"")</f>
        <v/>
      </c>
      <c r="AY24" s="530" t="str">
        <f>IFERROR(__xludf.DUMMYFUNCTION("""COMPUTED_VALUE"""),"1-1 Сбор КП BN")</f>
        <v>1-1 Сбор КП BN</v>
      </c>
      <c r="AZ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5-3'!$D$11:$Q319,AZ$4,AZ$5)"),"")</f>
        <v/>
      </c>
      <c r="BA24" s="530"/>
      <c r="BB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5-3'!$D$11:$Q319,BB$4,BB$5)"),"")</f>
        <v/>
      </c>
      <c r="BC24" s="532" t="str">
        <f>IFERROR(__xludf.DUMMYFUNCTION("""COMPUTED_VALUE"""),"10 д")</f>
        <v>10 д</v>
      </c>
      <c r="BD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5-3'!$D$11:$Q319,BD$4,BD$5)"),"")</f>
        <v/>
      </c>
      <c r="BE24" s="530" t="str">
        <f>IFERROR(__xludf.DUMMYFUNCTION("""COMPUTED_VALUE"""),"701.01.059 DOKA Элемент вфильтра")</f>
        <v>701.01.059 DOKA Элемент вфильтра</v>
      </c>
      <c r="BF24" s="530"/>
      <c r="BG24" s="530"/>
      <c r="BH24" s="530"/>
      <c r="BI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5-3'!$D$11:$Q319,BI$4,BI$5)"),"")</f>
        <v/>
      </c>
      <c r="BJ24" s="535">
        <f>IFERROR(__xludf.DUMMYFUNCTION("""COMPUTED_VALUE"""),1326.0)</f>
        <v>1326</v>
      </c>
      <c r="BK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5-3'!$D$11:$Q319,BK$4,BK$5)"),"")</f>
        <v/>
      </c>
      <c r="BL24" s="534" t="str">
        <f>IFERROR(__xludf.DUMMYFUNCTION("""COMPUTED_VALUE"""),"aa@kentek.ru")</f>
        <v>aa@kentek.ru</v>
      </c>
      <c r="BM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5-3'!$D$11:$Q319,BM$4,BM$5)"),"")</f>
        <v/>
      </c>
      <c r="BN24" s="534" t="str">
        <f>IFERROR(__xludf.DUMMYFUNCTION("""COMPUTED_VALUE"""),"1-1 Сбор КП AG")</f>
        <v>1-1 Сбор КП AG</v>
      </c>
      <c r="BO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5-3'!$D$11:$Q319,BO$4,BO$5)"),"")</f>
        <v/>
      </c>
      <c r="BP24" s="534"/>
      <c r="BQ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5-3'!$D$11:$Q319,BQ$4,BQ$5)"),"")</f>
        <v/>
      </c>
      <c r="BR24" s="536" t="str">
        <f>IFERROR(__xludf.DUMMYFUNCTION("""COMPUTED_VALUE"""),"нал")</f>
        <v>нал</v>
      </c>
      <c r="BS24"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5-3'!$D$11:$Q319,BS$4,BS$5)"),"")</f>
        <v/>
      </c>
      <c r="BT24" s="533" t="str">
        <f>IFERROR(__xludf.DUMMYFUNCTION("""COMPUTED_VALUE"""),"Аналог DIFA4319M")</f>
        <v>Аналог DIFA4319M</v>
      </c>
      <c r="BU24" s="534"/>
      <c r="BV24" s="534"/>
      <c r="BW24" s="534"/>
      <c r="BX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5-3'!$D$11:$Q319,BX$4,BX$5)"),"")</f>
        <v/>
      </c>
      <c r="BY24" s="538">
        <f>IFERROR(__xludf.DUMMYFUNCTION("""COMPUTED_VALUE"""),1838.86)</f>
        <v>1838.86</v>
      </c>
      <c r="BZ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5-3'!$D$11:$Q319,BZ$4,BZ$5)"),"")</f>
        <v/>
      </c>
      <c r="CA24" s="537" t="str">
        <f>IFERROR(__xludf.DUMMYFUNCTION("""COMPUTED_VALUE"""),"engelsfilter@mail.ru")</f>
        <v>engelsfilter@mail.ru</v>
      </c>
      <c r="CB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5-3'!$D$11:$Q319,CB$4,CB$5)"),"")</f>
        <v/>
      </c>
      <c r="CC24" s="537" t="str">
        <f>IFERROR(__xludf.DUMMYFUNCTION("""COMPUTED_VALUE"""),"1-1 Сбор КП AY")</f>
        <v>1-1 Сбор КП AY</v>
      </c>
      <c r="CD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5-3'!$D$11:$Q319,CD$4,CD$5)"),"")</f>
        <v/>
      </c>
      <c r="CE24" s="537"/>
      <c r="CF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5-3'!$D$11:$Q319,CF$4,CF$5)"),"")</f>
        <v/>
      </c>
      <c r="CG24" s="539"/>
      <c r="CH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5-3'!$D$11:$Q319,CH$4,CH$5)"),"")</f>
        <v/>
      </c>
      <c r="CI24" s="537" t="str">
        <f>IFERROR(__xludf.DUMMYFUNCTION("""COMPUTED_VALUE"""),"NF4502 Фильтрэлемент очистки воздуха (ФП 207.1-04 Optima) КАМАЗ-7405 Евро-1 /
OEM: 7405-1109.560")</f>
        <v>NF4502 Фильтрэлемент очистки воздуха (ФП 207.1-04 Optima) КАМАЗ-7405 Евро-1 /
OEM: 7405-1109.560</v>
      </c>
      <c r="CJ24" s="537"/>
      <c r="CK24" s="537"/>
      <c r="CL24" s="537"/>
      <c r="CM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5-3'!$D$11:$Q319,CM$4,CM$5)"),"")</f>
        <v/>
      </c>
      <c r="CN24" s="541">
        <f>IFERROR(__xludf.DUMMYFUNCTION("""COMPUTED_VALUE"""),2900.0)</f>
        <v>2900</v>
      </c>
      <c r="CO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5-3'!$D$11:$Q319,CO$4,CO$5)"),"")</f>
        <v/>
      </c>
      <c r="CP24" s="540" t="str">
        <f>IFERROR(__xludf.DUMMYFUNCTION("""COMPUTED_VALUE"""),"amkomplekt@mail.ru")</f>
        <v>amkomplekt@mail.ru</v>
      </c>
      <c r="CQ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5-3'!$D$11:$Q319,CQ$4,CQ$5)"),"")</f>
        <v/>
      </c>
      <c r="CR24" s="540" t="str">
        <f>IFERROR(__xludf.DUMMYFUNCTION("""COMPUTED_VALUE"""),"1-1 Сбор КП AA")</f>
        <v>1-1 Сбор КП AA</v>
      </c>
      <c r="CS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5-3'!$D$11:$Q319,CS$4,CS$5)"),"")</f>
        <v/>
      </c>
      <c r="CT24" s="540"/>
      <c r="CU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5-3'!$D$11:$Q319,CU$4,CU$5)"),"")</f>
        <v/>
      </c>
      <c r="CV24" s="545" t="str">
        <f>IFERROR(__xludf.DUMMYFUNCTION("""COMPUTED_VALUE"""),"7 д")</f>
        <v>7 д</v>
      </c>
      <c r="CW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5-3'!$D$11:$Q319,CW$4,CW$5)"),"")</f>
        <v/>
      </c>
      <c r="CX24" s="540" t="str">
        <f>IFERROR(__xludf.DUMMYFUNCTION("""COMPUTED_VALUE"""),"Воздушный фильтр ЛААЗ ЭФВ 721.1109560 (7405. 1109560) ")</f>
        <v>Воздушный фильтр ЛААЗ ЭФВ 721.1109560 (7405. 1109560) </v>
      </c>
      <c r="CY24" s="540"/>
      <c r="CZ24" s="540"/>
      <c r="DA24" s="540"/>
      <c r="DB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5-3'!$D$11:$Q319,DB$4,DB$5)"),"")</f>
        <v/>
      </c>
      <c r="DC24" s="555">
        <f>IFERROR(__xludf.DUMMYFUNCTION("""COMPUTED_VALUE"""),6100.0)</f>
        <v>6100</v>
      </c>
      <c r="DD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5-3'!$D$11:$Q319,DD$4,DD$5)"),"")</f>
        <v/>
      </c>
      <c r="DE24" s="554" t="str">
        <f>IFERROR(__xludf.DUMMYFUNCTION("""COMPUTED_VALUE"""),"bmd@melcom-ural.ru")</f>
        <v>bmd@melcom-ural.ru</v>
      </c>
      <c r="DF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5-3'!$D$11:$Q319,DF$4,DF$5)"),"")</f>
        <v/>
      </c>
      <c r="DG24" s="554" t="str">
        <f>IFERROR(__xludf.DUMMYFUNCTION("""COMPUTED_VALUE"""),"1-1 Сбор КП AS")</f>
        <v>1-1 Сбор КП AS</v>
      </c>
      <c r="DH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5-3'!$D$11:$Q319,DH$4,DH$5)"),"")</f>
        <v/>
      </c>
      <c r="DI24" s="554"/>
      <c r="DJ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5-3'!$D$11:$Q319,DJ$4,DJ$5)"),"")</f>
        <v/>
      </c>
      <c r="DK24" s="566" t="str">
        <f>IFERROR(__xludf.DUMMYFUNCTION("""COMPUTED_VALUE"""),"7 рд")</f>
        <v>7 рд</v>
      </c>
      <c r="DL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5-3'!$D$11:$Q319,DL$4,DL$5)"),"")</f>
        <v/>
      </c>
      <c r="DM24" s="554" t="str">
        <f>IFERROR(__xludf.DUMMYFUNCTION("""COMPUTED_VALUE"""),"721.1109560, Элемент фильтрующий очистки воздуха (основной), 
721.1109560, Элемент фильтрующий очистки воздуха (внутренний)")</f>
        <v>721.1109560, Элемент фильтрующий очистки воздуха (основной), 
721.1109560, Элемент фильтрующий очистки воздуха (внутренний)</v>
      </c>
      <c r="DN24" s="554"/>
      <c r="DO24" s="554"/>
      <c r="DP24" s="554"/>
      <c r="DQ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5-3'!$D$11:$Q319,DQ$4,DQ$5)"),"")</f>
        <v/>
      </c>
      <c r="DR24" s="569"/>
      <c r="DS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5-3'!$D$11:$Q319,DS$4,DS$5)"),"")</f>
        <v/>
      </c>
      <c r="DT24" s="568"/>
      <c r="DU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5-3'!$D$11:$Q319,DU$4,DU$5)"),"")</f>
        <v/>
      </c>
      <c r="DV24" s="568"/>
      <c r="DW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5-3'!$D$11:$Q319,DW$4,DW$5)"),"")</f>
        <v/>
      </c>
      <c r="DX24" s="568"/>
      <c r="DY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5-3'!$D$11:$Q319,DY$4,DY$5)"),"")</f>
        <v/>
      </c>
      <c r="DZ24" s="578"/>
      <c r="EA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 'S-10 Топ 5-3'!$D$11:$Q319,EA$4,EA$5)"),"")</f>
        <v/>
      </c>
      <c r="EB24" s="568"/>
      <c r="EC24" s="568"/>
      <c r="ED24" s="568"/>
      <c r="EE24" s="568"/>
    </row>
    <row r="25">
      <c r="A25" s="519" t="str">
        <f t="shared" si="1"/>
        <v>Да</v>
      </c>
      <c r="B25" s="520" t="str">
        <f>'5-0 Товары'!B25</f>
        <v/>
      </c>
      <c r="C25" s="521" t="str">
        <f>'5-1 Сбор КП Закупки'!C25</f>
        <v>ID_T015</v>
      </c>
      <c r="D25" s="521" t="str">
        <f>'5-1 Сбор КП Закупки'!D25</f>
        <v>15</v>
      </c>
      <c r="E25" s="521" t="str">
        <f>'5-1 Сбор КП Закупки'!E25</f>
        <v>Масляный фильтр W13145/3</v>
      </c>
      <c r="F25" s="521" t="str">
        <f>'5-1 Сбор КП Закупки'!F25</f>
        <v/>
      </c>
      <c r="G25" s="522" t="str">
        <f>'5-1 Сбор КП Закупки'!G25</f>
        <v/>
      </c>
      <c r="H25" s="522" t="str">
        <f>'5-1 Сбор КП Закупки'!H25</f>
        <v/>
      </c>
      <c r="I25" s="522" t="str">
        <f>'5-1 Сбор КП Закупки'!I25</f>
        <v/>
      </c>
      <c r="J25" s="197"/>
      <c r="K25" s="522" t="str">
        <f>'5-1 Сбор КП Закупки'!G25</f>
        <v/>
      </c>
      <c r="L25" s="523">
        <f>IF(A25="Да",'5-1 Сбор КП Закупки'!K25,)</f>
        <v>4</v>
      </c>
      <c r="M25" s="197"/>
      <c r="N25" s="197">
        <v>0.0</v>
      </c>
      <c r="O25" s="197"/>
      <c r="P25" s="525" t="str">
        <f>'5-1 Сбор КП Закупки'!P25</f>
        <v/>
      </c>
      <c r="Q25" s="197"/>
      <c r="R25" s="197"/>
      <c r="S25" s="197"/>
      <c r="T25" s="197"/>
      <c r="U25" s="197"/>
      <c r="V25" s="197"/>
      <c r="W25" s="522" t="str">
        <f>'5-1 Сбор КП Закупки'!O25</f>
        <v/>
      </c>
      <c r="X25" s="197"/>
      <c r="Y25" s="197"/>
      <c r="Z25" s="197"/>
      <c r="AA25" s="197"/>
      <c r="AB25" s="197">
        <v>-2200.0</v>
      </c>
      <c r="AC25" s="197">
        <v>-8800.0</v>
      </c>
      <c r="AD25" s="197"/>
      <c r="AE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5-3'!$D$11:$Q319,AE$4,AE$5)"),"")</f>
        <v/>
      </c>
      <c r="AF25" s="528">
        <f>IFERROR(__xludf.DUMMYFUNCTION("""COMPUTED_VALUE"""),2200.0)</f>
        <v>2200</v>
      </c>
      <c r="AG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5-3'!$D$11:$Q319,AG$4,AG$5)"),"")</f>
        <v/>
      </c>
      <c r="AH25" s="527" t="str">
        <f>IFERROR(__xludf.DUMMYFUNCTION("""COMPUTED_VALUE"""),"utkm@mail.ru")</f>
        <v>utkm@mail.ru</v>
      </c>
      <c r="AI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5-3'!$D$11:$Q319,AI$4,AI$5)"),"")</f>
        <v/>
      </c>
      <c r="AJ25" s="527" t="str">
        <f>IFERROR(__xludf.DUMMYFUNCTION("""COMPUTED_VALUE"""),"1-1 Сбор КП AV")</f>
        <v>1-1 Сбор КП AV</v>
      </c>
      <c r="AK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5-3'!$D$11:$Q319,AK$4,AK$5)"),"")</f>
        <v/>
      </c>
      <c r="AL25" s="527"/>
      <c r="AM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5-3'!$D$11:$Q319,AM$4,AM$5)"),"")</f>
        <v/>
      </c>
      <c r="AN25" s="529" t="str">
        <f>IFERROR(__xludf.DUMMYFUNCTION("""COMPUTED_VALUE"""),"14 д")</f>
        <v>14 д</v>
      </c>
      <c r="AO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5-3'!$D$11:$Q319,AO$4,AO$5)"),"")</f>
        <v/>
      </c>
      <c r="AP25" s="527" t="str">
        <f>IFERROR(__xludf.DUMMYFUNCTION("""COMPUTED_VALUE"""),"W13145/3")</f>
        <v>W13145/3</v>
      </c>
      <c r="AQ25" s="527"/>
      <c r="AR25" s="527"/>
      <c r="AS25" s="527"/>
      <c r="AT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5-3'!$D$11:$Q319,AT$4,AT$5)"),"")</f>
        <v/>
      </c>
      <c r="AU25" s="531">
        <f>IFERROR(__xludf.DUMMYFUNCTION("""COMPUTED_VALUE"""),2781.0)</f>
        <v>2781</v>
      </c>
      <c r="AV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5-3'!$D$11:$Q319,AV$4,AV$5)"),"")</f>
        <v/>
      </c>
      <c r="AW25" s="530" t="str">
        <f>IFERROR(__xludf.DUMMYFUNCTION("""COMPUTED_VALUE"""),"m.rulev@a-ac.ru")</f>
        <v>m.rulev@a-ac.ru</v>
      </c>
      <c r="AX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5-3'!$D$11:$Q319,AX$4,AX$5)"),"")</f>
        <v/>
      </c>
      <c r="AY25" s="530" t="str">
        <f>IFERROR(__xludf.DUMMYFUNCTION("""COMPUTED_VALUE"""),"1-1 Сбор КП BN")</f>
        <v>1-1 Сбор КП BN</v>
      </c>
      <c r="AZ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5-3'!$D$11:$Q319,AZ$4,AZ$5)"),"")</f>
        <v/>
      </c>
      <c r="BA25" s="530"/>
      <c r="BB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5-3'!$D$11:$Q319,BB$4,BB$5)"),"")</f>
        <v/>
      </c>
      <c r="BC25" s="532" t="str">
        <f>IFERROR(__xludf.DUMMYFUNCTION("""COMPUTED_VALUE"""),"10 д")</f>
        <v>10 д</v>
      </c>
      <c r="BD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5-3'!$D$11:$Q319,BD$4,BD$5)"),"")</f>
        <v/>
      </c>
      <c r="BE25" s="530" t="str">
        <f>IFERROR(__xludf.DUMMYFUNCTION("""COMPUTED_VALUE"""),"P550341 Donaldson Фильтр масляный")</f>
        <v>P550341 Donaldson Фильтр масляный</v>
      </c>
      <c r="BF25" s="530"/>
      <c r="BG25" s="530"/>
      <c r="BH25" s="530"/>
      <c r="BI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5-3'!$D$11:$Q319,BI$4,BI$5)"),"")</f>
        <v/>
      </c>
      <c r="BJ25" s="535">
        <f>IFERROR(__xludf.DUMMYFUNCTION("""COMPUTED_VALUE"""),2855.0)</f>
        <v>2855</v>
      </c>
      <c r="BK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5-3'!$D$11:$Q319,BK$4,BK$5)"),"")</f>
        <v/>
      </c>
      <c r="BL25" s="534" t="str">
        <f>IFERROR(__xludf.DUMMYFUNCTION("""COMPUTED_VALUE"""),"aa@kentek.ru")</f>
        <v>aa@kentek.ru</v>
      </c>
      <c r="BM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5-3'!$D$11:$Q319,BM$4,BM$5)"),"")</f>
        <v/>
      </c>
      <c r="BN25" s="534" t="str">
        <f>IFERROR(__xludf.DUMMYFUNCTION("""COMPUTED_VALUE"""),"1-1 Сбор КП AG")</f>
        <v>1-1 Сбор КП AG</v>
      </c>
      <c r="BO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5-3'!$D$11:$Q319,BO$4,BO$5)"),"")</f>
        <v/>
      </c>
      <c r="BP25" s="534"/>
      <c r="BQ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5-3'!$D$11:$Q319,BQ$4,BQ$5)"),"")</f>
        <v/>
      </c>
      <c r="BR25" s="536" t="str">
        <f>IFERROR(__xludf.DUMMYFUNCTION("""COMPUTED_VALUE"""),"нал")</f>
        <v>нал</v>
      </c>
      <c r="BS25"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5-3'!$D$11:$Q319,BS$4,BS$5)"),"")</f>
        <v/>
      </c>
      <c r="BT25" s="533" t="str">
        <f>IFERROR(__xludf.DUMMYFUNCTION("""COMPUTED_VALUE"""),"Аналог SP4146 ")</f>
        <v>Аналог SP4146 </v>
      </c>
      <c r="BU25" s="534"/>
      <c r="BV25" s="534"/>
      <c r="BW25" s="534"/>
      <c r="BX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5-3'!$D$11:$Q319,BX$4,BX$5)"),"")</f>
        <v/>
      </c>
      <c r="BY25" s="538">
        <f>IFERROR(__xludf.DUMMYFUNCTION("""COMPUTED_VALUE"""),3600.0)</f>
        <v>3600</v>
      </c>
      <c r="BZ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5-3'!$D$11:$Q319,BZ$4,BZ$5)"),"")</f>
        <v/>
      </c>
      <c r="CA25" s="537" t="str">
        <f>IFERROR(__xludf.DUMMYFUNCTION("""COMPUTED_VALUE"""),"order@techfil.ru")</f>
        <v>order@techfil.ru</v>
      </c>
      <c r="CB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5-3'!$D$11:$Q319,CB$4,CB$5)"),"")</f>
        <v/>
      </c>
      <c r="CC25" s="537" t="str">
        <f>IFERROR(__xludf.DUMMYFUNCTION("""COMPUTED_VALUE"""),"1-1 Сбор КП BE")</f>
        <v>1-1 Сбор КП BE</v>
      </c>
      <c r="CD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5-3'!$D$11:$Q319,CD$4,CD$5)"),"")</f>
        <v/>
      </c>
      <c r="CE25" s="537"/>
      <c r="CF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5-3'!$D$11:$Q319,CF$4,CF$5)"),"")</f>
        <v/>
      </c>
      <c r="CG25" s="539" t="str">
        <f>IFERROR(__xludf.DUMMYFUNCTION("""COMPUTED_VALUE"""),"5 рд")</f>
        <v>5 рд</v>
      </c>
      <c r="CH25"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5-3'!$D$11:$Q319,CH$4,CH$5)"),"")</f>
        <v/>
      </c>
      <c r="CI25" s="533" t="str">
        <f>IFERROR(__xludf.DUMMYFUNCTION("""COMPUTED_VALUE"""),"Масляный фильтр W13145/3 [ Аналог W13145 ] ")</f>
        <v>Масляный фильтр W13145/3 [ Аналог W13145 ] </v>
      </c>
      <c r="CJ25" s="537"/>
      <c r="CK25" s="537"/>
      <c r="CL25" s="537"/>
      <c r="CM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5-3'!$D$11:$Q319,CM$4,CM$5)"),"")</f>
        <v/>
      </c>
      <c r="CN25" s="541">
        <f>IFERROR(__xludf.DUMMYFUNCTION("""COMPUTED_VALUE"""),3900.0)</f>
        <v>3900</v>
      </c>
      <c r="CO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5-3'!$D$11:$Q319,CO$4,CO$5)"),"")</f>
        <v/>
      </c>
      <c r="CP25" s="540" t="str">
        <f>IFERROR(__xludf.DUMMYFUNCTION("""COMPUTED_VALUE"""),"amkomplekt@mail.ru")</f>
        <v>amkomplekt@mail.ru</v>
      </c>
      <c r="CQ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5-3'!$D$11:$Q319,CQ$4,CQ$5)"),"")</f>
        <v/>
      </c>
      <c r="CR25" s="540" t="str">
        <f>IFERROR(__xludf.DUMMYFUNCTION("""COMPUTED_VALUE"""),"1-1 Сбор КП AA")</f>
        <v>1-1 Сбор КП AA</v>
      </c>
      <c r="CS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5-3'!$D$11:$Q319,CS$4,CS$5)"),"")</f>
        <v/>
      </c>
      <c r="CT25" s="540"/>
      <c r="CU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5-3'!$D$11:$Q319,CU$4,CU$5)"),"")</f>
        <v/>
      </c>
      <c r="CV25" s="545" t="str">
        <f>IFERROR(__xludf.DUMMYFUNCTION("""COMPUTED_VALUE"""),"еал")</f>
        <v>еал</v>
      </c>
      <c r="CW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5-3'!$D$11:$Q319,CW$4,CW$5)"),"")</f>
        <v/>
      </c>
      <c r="CX25" s="540" t="str">
        <f>IFERROR(__xludf.DUMMYFUNCTION("""COMPUTED_VALUE"""),"Масляный фильтр W13145/3 = PO14300")</f>
        <v>Масляный фильтр W13145/3 = PO14300</v>
      </c>
      <c r="CY25" s="540"/>
      <c r="CZ25" s="540"/>
      <c r="DA25" s="540"/>
      <c r="DB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5-3'!$D$11:$Q319,DB$4,DB$5)"),"")</f>
        <v/>
      </c>
      <c r="DC25" s="555">
        <f>IFERROR(__xludf.DUMMYFUNCTION("""COMPUTED_VALUE"""),4200.0)</f>
        <v>4200</v>
      </c>
      <c r="DD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5-3'!$D$11:$Q319,DD$4,DD$5)"),"")</f>
        <v/>
      </c>
      <c r="DE25" s="554" t="str">
        <f>IFERROR(__xludf.DUMMYFUNCTION("""COMPUTED_VALUE"""),"bmd@melcom-ural.ru")</f>
        <v>bmd@melcom-ural.ru</v>
      </c>
      <c r="DF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5-3'!$D$11:$Q319,DF$4,DF$5)"),"")</f>
        <v/>
      </c>
      <c r="DG25" s="554" t="str">
        <f>IFERROR(__xludf.DUMMYFUNCTION("""COMPUTED_VALUE"""),"1-1 Сбор КП AS")</f>
        <v>1-1 Сбор КП AS</v>
      </c>
      <c r="DH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5-3'!$D$11:$Q319,DH$4,DH$5)"),"")</f>
        <v/>
      </c>
      <c r="DI25" s="554"/>
      <c r="DJ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5-3'!$D$11:$Q319,DJ$4,DJ$5)"),"")</f>
        <v/>
      </c>
      <c r="DK25" s="566" t="str">
        <f>IFERROR(__xludf.DUMMYFUNCTION("""COMPUTED_VALUE"""),"15 рд")</f>
        <v>15 рд</v>
      </c>
      <c r="DL25" s="533"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5-3'!$D$11:$Q319,DL$4,DL$5)"),"")</f>
        <v/>
      </c>
      <c r="DM25" s="533" t="str">
        <f>IFERROR(__xludf.DUMMYFUNCTION("""COMPUTED_VALUE"""),"Масляный фильтр W13145/3- Аналог")</f>
        <v>Масляный фильтр W13145/3- Аналог</v>
      </c>
      <c r="DN25" s="554"/>
      <c r="DO25" s="554"/>
      <c r="DP25" s="554"/>
      <c r="DQ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5-3'!$D$11:$Q319,DQ$4,DQ$5)"),"")</f>
        <v/>
      </c>
      <c r="DR25" s="569"/>
      <c r="DS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5-3'!$D$11:$Q319,DS$4,DS$5)"),"")</f>
        <v/>
      </c>
      <c r="DT25" s="568"/>
      <c r="DU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5-3'!$D$11:$Q319,DU$4,DU$5)"),"")</f>
        <v/>
      </c>
      <c r="DV25" s="568"/>
      <c r="DW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5-3'!$D$11:$Q319,DW$4,DW$5)"),"")</f>
        <v/>
      </c>
      <c r="DX25" s="568"/>
      <c r="DY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5-3'!$D$11:$Q319,DY$4,DY$5)"),"")</f>
        <v/>
      </c>
      <c r="DZ25" s="578"/>
      <c r="EA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 'S-10 Топ 5-3'!$D$11:$Q319,EA$4,EA$5)"),"")</f>
        <v/>
      </c>
      <c r="EB25" s="568"/>
      <c r="EC25" s="568"/>
      <c r="ED25" s="568"/>
      <c r="EE25" s="568"/>
    </row>
    <row r="26">
      <c r="A26" s="519" t="str">
        <f t="shared" si="1"/>
        <v>Да</v>
      </c>
      <c r="B26" s="520" t="str">
        <f>'5-0 Товары'!B26</f>
        <v/>
      </c>
      <c r="C26" s="521" t="str">
        <f>'5-1 Сбор КП Закупки'!C26</f>
        <v>ID_T016</v>
      </c>
      <c r="D26" s="521" t="str">
        <f>'5-1 Сбор КП Закупки'!D26</f>
        <v>16</v>
      </c>
      <c r="E26" s="521" t="str">
        <f>'5-1 Сбор КП Закупки'!E26</f>
        <v/>
      </c>
      <c r="F26" s="521" t="str">
        <f>'5-1 Сбор КП Закупки'!F26</f>
        <v/>
      </c>
      <c r="G26" s="522" t="str">
        <f>'5-1 Сбор КП Закупки'!G26</f>
        <v/>
      </c>
      <c r="H26" s="522" t="str">
        <f>'5-1 Сбор КП Закупки'!H26</f>
        <v/>
      </c>
      <c r="I26" s="522" t="str">
        <f>'5-1 Сбор КП Закупки'!I26</f>
        <v/>
      </c>
      <c r="J26" s="197"/>
      <c r="K26" s="522" t="str">
        <f>'5-1 Сбор КП Закупки'!G26</f>
        <v/>
      </c>
      <c r="L26" s="523" t="str">
        <f>IF(A26="Да",'5-1 Сбор КП Закупки'!K26,)</f>
        <v/>
      </c>
      <c r="M26" s="197"/>
      <c r="N26" s="197">
        <v>0.0</v>
      </c>
      <c r="O26" s="197"/>
      <c r="P26" s="525" t="str">
        <f>'5-1 Сбор КП Закупки'!P26</f>
        <v/>
      </c>
      <c r="Q26" s="197"/>
      <c r="R26" s="197"/>
      <c r="S26" s="197"/>
      <c r="T26" s="197"/>
      <c r="U26" s="197"/>
      <c r="V26" s="197"/>
      <c r="W26" s="522" t="str">
        <f>'5-1 Сбор КП Закупки'!O26</f>
        <v/>
      </c>
      <c r="X26" s="197"/>
      <c r="Y26" s="197"/>
      <c r="Z26" s="197"/>
      <c r="AA26" s="197"/>
      <c r="AB26" s="197">
        <v>0.0</v>
      </c>
      <c r="AC26" s="197">
        <v>0.0</v>
      </c>
      <c r="AD26" s="197"/>
      <c r="AE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5-3'!$D$11:$Q319,AE$4,AE$5)"),"")</f>
        <v/>
      </c>
      <c r="AF26" s="528"/>
      <c r="AG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5-3'!$D$11:$Q319,AG$4,AG$5)"),"")</f>
        <v/>
      </c>
      <c r="AH26" s="527"/>
      <c r="AI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5-3'!$D$11:$Q319,AI$4,AI$5)"),"")</f>
        <v/>
      </c>
      <c r="AJ26" s="527"/>
      <c r="AK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5-3'!$D$11:$Q319,AK$4,AK$5)"),"")</f>
        <v/>
      </c>
      <c r="AL26" s="527"/>
      <c r="AM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5-3'!$D$11:$Q319,AM$4,AM$5)"),"")</f>
        <v/>
      </c>
      <c r="AN26" s="529"/>
      <c r="AO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5-3'!$D$11:$Q319,AO$4,AO$5)"),"")</f>
        <v/>
      </c>
      <c r="AP26" s="527"/>
      <c r="AQ26" s="527"/>
      <c r="AR26" s="527"/>
      <c r="AS26" s="527"/>
      <c r="AT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5-3'!$D$11:$Q319,AT$4,AT$5)"),"")</f>
        <v/>
      </c>
      <c r="AU26" s="531"/>
      <c r="AV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5-3'!$D$11:$Q319,AV$4,AV$5)"),"")</f>
        <v/>
      </c>
      <c r="AW26" s="530"/>
      <c r="AX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5-3'!$D$11:$Q319,AX$4,AX$5)"),"")</f>
        <v/>
      </c>
      <c r="AY26" s="530"/>
      <c r="AZ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5-3'!$D$11:$Q319,AZ$4,AZ$5)"),"")</f>
        <v/>
      </c>
      <c r="BA26" s="530"/>
      <c r="BB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5-3'!$D$11:$Q319,BB$4,BB$5)"),"")</f>
        <v/>
      </c>
      <c r="BC26" s="532"/>
      <c r="BD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5-3'!$D$11:$Q319,BD$4,BD$5)"),"")</f>
        <v/>
      </c>
      <c r="BE26" s="530"/>
      <c r="BF26" s="530"/>
      <c r="BG26" s="530"/>
      <c r="BH26" s="530"/>
      <c r="BI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5-3'!$D$11:$Q319,BI$4,BI$5)"),"")</f>
        <v/>
      </c>
      <c r="BJ26" s="535"/>
      <c r="BK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5-3'!$D$11:$Q319,BK$4,BK$5)"),"")</f>
        <v/>
      </c>
      <c r="BL26" s="534"/>
      <c r="BM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5-3'!$D$11:$Q319,BM$4,BM$5)"),"")</f>
        <v/>
      </c>
      <c r="BN26" s="534"/>
      <c r="BO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5-3'!$D$11:$Q319,BO$4,BO$5)"),"")</f>
        <v/>
      </c>
      <c r="BP26" s="534"/>
      <c r="BQ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5-3'!$D$11:$Q319,BQ$4,BQ$5)"),"")</f>
        <v/>
      </c>
      <c r="BR26" s="536"/>
      <c r="BS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5-3'!$D$11:$Q319,BS$4,BS$5)"),"")</f>
        <v/>
      </c>
      <c r="BT26" s="534"/>
      <c r="BU26" s="534"/>
      <c r="BV26" s="534"/>
      <c r="BW26" s="534"/>
      <c r="BX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5-3'!$D$11:$Q319,BX$4,BX$5)"),"")</f>
        <v/>
      </c>
      <c r="BY26" s="538"/>
      <c r="BZ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5-3'!$D$11:$Q319,BZ$4,BZ$5)"),"")</f>
        <v/>
      </c>
      <c r="CA26" s="537"/>
      <c r="CB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5-3'!$D$11:$Q319,CB$4,CB$5)"),"")</f>
        <v/>
      </c>
      <c r="CC26" s="537"/>
      <c r="CD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5-3'!$D$11:$Q319,CD$4,CD$5)"),"")</f>
        <v/>
      </c>
      <c r="CE26" s="537"/>
      <c r="CF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5-3'!$D$11:$Q319,CF$4,CF$5)"),"")</f>
        <v/>
      </c>
      <c r="CG26" s="539"/>
      <c r="CH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5-3'!$D$11:$Q319,CH$4,CH$5)"),"")</f>
        <v/>
      </c>
      <c r="CI26" s="537"/>
      <c r="CJ26" s="537"/>
      <c r="CK26" s="537"/>
      <c r="CL26" s="537"/>
      <c r="CM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5-3'!$D$11:$Q319,CM$4,CM$5)"),"")</f>
        <v/>
      </c>
      <c r="CN26" s="541"/>
      <c r="CO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5-3'!$D$11:$Q319,CO$4,CO$5)"),"")</f>
        <v/>
      </c>
      <c r="CP26" s="540"/>
      <c r="CQ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5-3'!$D$11:$Q319,CQ$4,CQ$5)"),"")</f>
        <v/>
      </c>
      <c r="CR26" s="540"/>
      <c r="CS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5-3'!$D$11:$Q319,CS$4,CS$5)"),"")</f>
        <v/>
      </c>
      <c r="CT26" s="540"/>
      <c r="CU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5-3'!$D$11:$Q319,CU$4,CU$5)"),"")</f>
        <v/>
      </c>
      <c r="CV26" s="545"/>
      <c r="CW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5-3'!$D$11:$Q319,CW$4,CW$5)"),"")</f>
        <v/>
      </c>
      <c r="CX26" s="540"/>
      <c r="CY26" s="540"/>
      <c r="CZ26" s="540"/>
      <c r="DA26" s="540"/>
      <c r="DB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5-3'!$D$11:$Q319,DB$4,DB$5)"),"")</f>
        <v/>
      </c>
      <c r="DC26" s="555"/>
      <c r="DD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5-3'!$D$11:$Q319,DD$4,DD$5)"),"")</f>
        <v/>
      </c>
      <c r="DE26" s="554"/>
      <c r="DF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5-3'!$D$11:$Q319,DF$4,DF$5)"),"")</f>
        <v/>
      </c>
      <c r="DG26" s="554"/>
      <c r="DH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5-3'!$D$11:$Q319,DH$4,DH$5)"),"")</f>
        <v/>
      </c>
      <c r="DI26" s="554"/>
      <c r="DJ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5-3'!$D$11:$Q319,DJ$4,DJ$5)"),"")</f>
        <v/>
      </c>
      <c r="DK26" s="566"/>
      <c r="DL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5-3'!$D$11:$Q319,DL$4,DL$5)"),"")</f>
        <v/>
      </c>
      <c r="DM26" s="554"/>
      <c r="DN26" s="554"/>
      <c r="DO26" s="554"/>
      <c r="DP26" s="554"/>
      <c r="DQ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5-3'!$D$11:$Q319,DQ$4,DQ$5)"),"")</f>
        <v/>
      </c>
      <c r="DR26" s="569"/>
      <c r="DS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5-3'!$D$11:$Q319,DS$4,DS$5)"),"")</f>
        <v/>
      </c>
      <c r="DT26" s="568"/>
      <c r="DU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5-3'!$D$11:$Q319,DU$4,DU$5)"),"")</f>
        <v/>
      </c>
      <c r="DV26" s="568"/>
      <c r="DW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5-3'!$D$11:$Q319,DW$4,DW$5)"),"")</f>
        <v/>
      </c>
      <c r="DX26" s="568"/>
      <c r="DY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5-3'!$D$11:$Q319,DY$4,DY$5)"),"")</f>
        <v/>
      </c>
      <c r="DZ26" s="578"/>
      <c r="EA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 'S-10 Топ 5-3'!$D$11:$Q319,EA$4,EA$5)"),"")</f>
        <v/>
      </c>
      <c r="EB26" s="568"/>
      <c r="EC26" s="568"/>
      <c r="ED26" s="568"/>
      <c r="EE26" s="568"/>
    </row>
    <row r="27">
      <c r="A27" s="519" t="str">
        <f t="shared" si="1"/>
        <v>Да</v>
      </c>
      <c r="B27" s="520" t="str">
        <f>'5-0 Товары'!B27</f>
        <v/>
      </c>
      <c r="C27" s="521" t="str">
        <f>'5-1 Сбор КП Закупки'!C27</f>
        <v>ID_T017</v>
      </c>
      <c r="D27" s="521" t="str">
        <f>'5-1 Сбор КП Закупки'!D27</f>
        <v>17</v>
      </c>
      <c r="E27" s="521" t="str">
        <f>'5-1 Сбор КП Закупки'!E27</f>
        <v/>
      </c>
      <c r="F27" s="521" t="str">
        <f>'5-1 Сбор КП Закупки'!F27</f>
        <v/>
      </c>
      <c r="G27" s="522" t="str">
        <f>'5-1 Сбор КП Закупки'!G27</f>
        <v/>
      </c>
      <c r="H27" s="522" t="str">
        <f>'5-1 Сбор КП Закупки'!H27</f>
        <v/>
      </c>
      <c r="I27" s="522" t="str">
        <f>'5-1 Сбор КП Закупки'!I27</f>
        <v/>
      </c>
      <c r="J27" s="197"/>
      <c r="K27" s="522" t="str">
        <f>'5-1 Сбор КП Закупки'!G27</f>
        <v/>
      </c>
      <c r="L27" s="523" t="str">
        <f>IF(A27="Да",'5-1 Сбор КП Закупки'!K27,)</f>
        <v/>
      </c>
      <c r="M27" s="197"/>
      <c r="N27" s="197">
        <v>0.0</v>
      </c>
      <c r="O27" s="197"/>
      <c r="P27" s="525" t="str">
        <f>'5-1 Сбор КП Закупки'!P27</f>
        <v/>
      </c>
      <c r="Q27" s="197"/>
      <c r="R27" s="197"/>
      <c r="S27" s="197"/>
      <c r="T27" s="197"/>
      <c r="U27" s="197"/>
      <c r="V27" s="197"/>
      <c r="W27" s="522" t="str">
        <f>'5-1 Сбор КП Закупки'!O27</f>
        <v/>
      </c>
      <c r="X27" s="197"/>
      <c r="Y27" s="197"/>
      <c r="Z27" s="197"/>
      <c r="AA27" s="197"/>
      <c r="AB27" s="197">
        <v>0.0</v>
      </c>
      <c r="AC27" s="197">
        <v>0.0</v>
      </c>
      <c r="AD27" s="197"/>
      <c r="AE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5-3'!$D$11:$Q319,AE$4,AE$5)"),"")</f>
        <v/>
      </c>
      <c r="AF27" s="528"/>
      <c r="AG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5-3'!$D$11:$Q319,AG$4,AG$5)"),"")</f>
        <v/>
      </c>
      <c r="AH27" s="527"/>
      <c r="AI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5-3'!$D$11:$Q319,AI$4,AI$5)"),"")</f>
        <v/>
      </c>
      <c r="AJ27" s="527"/>
      <c r="AK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5-3'!$D$11:$Q319,AK$4,AK$5)"),"")</f>
        <v/>
      </c>
      <c r="AL27" s="527"/>
      <c r="AM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5-3'!$D$11:$Q319,AM$4,AM$5)"),"")</f>
        <v/>
      </c>
      <c r="AN27" s="529"/>
      <c r="AO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5-3'!$D$11:$Q319,AO$4,AO$5)"),"")</f>
        <v/>
      </c>
      <c r="AP27" s="527"/>
      <c r="AQ27" s="527"/>
      <c r="AR27" s="527"/>
      <c r="AS27" s="527"/>
      <c r="AT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5-3'!$D$11:$Q319,AT$4,AT$5)"),"")</f>
        <v/>
      </c>
      <c r="AU27" s="531"/>
      <c r="AV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5-3'!$D$11:$Q319,AV$4,AV$5)"),"")</f>
        <v/>
      </c>
      <c r="AW27" s="530"/>
      <c r="AX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5-3'!$D$11:$Q319,AX$4,AX$5)"),"")</f>
        <v/>
      </c>
      <c r="AY27" s="530"/>
      <c r="AZ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5-3'!$D$11:$Q319,AZ$4,AZ$5)"),"")</f>
        <v/>
      </c>
      <c r="BA27" s="530"/>
      <c r="BB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5-3'!$D$11:$Q319,BB$4,BB$5)"),"")</f>
        <v/>
      </c>
      <c r="BC27" s="532"/>
      <c r="BD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5-3'!$D$11:$Q319,BD$4,BD$5)"),"")</f>
        <v/>
      </c>
      <c r="BE27" s="530"/>
      <c r="BF27" s="530"/>
      <c r="BG27" s="530"/>
      <c r="BH27" s="530"/>
      <c r="BI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5-3'!$D$11:$Q319,BI$4,BI$5)"),"")</f>
        <v/>
      </c>
      <c r="BJ27" s="535"/>
      <c r="BK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5-3'!$D$11:$Q319,BK$4,BK$5)"),"")</f>
        <v/>
      </c>
      <c r="BL27" s="534"/>
      <c r="BM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5-3'!$D$11:$Q319,BM$4,BM$5)"),"")</f>
        <v/>
      </c>
      <c r="BN27" s="534"/>
      <c r="BO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5-3'!$D$11:$Q319,BO$4,BO$5)"),"")</f>
        <v/>
      </c>
      <c r="BP27" s="534"/>
      <c r="BQ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5-3'!$D$11:$Q319,BQ$4,BQ$5)"),"")</f>
        <v/>
      </c>
      <c r="BR27" s="536"/>
      <c r="BS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5-3'!$D$11:$Q319,BS$4,BS$5)"),"")</f>
        <v/>
      </c>
      <c r="BT27" s="534"/>
      <c r="BU27" s="534"/>
      <c r="BV27" s="534"/>
      <c r="BW27" s="534"/>
      <c r="BX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5-3'!$D$11:$Q319,BX$4,BX$5)"),"")</f>
        <v/>
      </c>
      <c r="BY27" s="538"/>
      <c r="BZ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5-3'!$D$11:$Q319,BZ$4,BZ$5)"),"")</f>
        <v/>
      </c>
      <c r="CA27" s="537"/>
      <c r="CB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5-3'!$D$11:$Q319,CB$4,CB$5)"),"")</f>
        <v/>
      </c>
      <c r="CC27" s="537"/>
      <c r="CD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5-3'!$D$11:$Q319,CD$4,CD$5)"),"")</f>
        <v/>
      </c>
      <c r="CE27" s="537"/>
      <c r="CF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5-3'!$D$11:$Q319,CF$4,CF$5)"),"")</f>
        <v/>
      </c>
      <c r="CG27" s="539"/>
      <c r="CH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5-3'!$D$11:$Q319,CH$4,CH$5)"),"")</f>
        <v/>
      </c>
      <c r="CI27" s="537"/>
      <c r="CJ27" s="537"/>
      <c r="CK27" s="537"/>
      <c r="CL27" s="537"/>
      <c r="CM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5-3'!$D$11:$Q319,CM$4,CM$5)"),"")</f>
        <v/>
      </c>
      <c r="CN27" s="541"/>
      <c r="CO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5-3'!$D$11:$Q319,CO$4,CO$5)"),"")</f>
        <v/>
      </c>
      <c r="CP27" s="540"/>
      <c r="CQ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5-3'!$D$11:$Q319,CQ$4,CQ$5)"),"")</f>
        <v/>
      </c>
      <c r="CR27" s="540"/>
      <c r="CS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5-3'!$D$11:$Q319,CS$4,CS$5)"),"")</f>
        <v/>
      </c>
      <c r="CT27" s="540"/>
      <c r="CU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5-3'!$D$11:$Q319,CU$4,CU$5)"),"")</f>
        <v/>
      </c>
      <c r="CV27" s="545"/>
      <c r="CW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5-3'!$D$11:$Q319,CW$4,CW$5)"),"")</f>
        <v/>
      </c>
      <c r="CX27" s="540"/>
      <c r="CY27" s="540"/>
      <c r="CZ27" s="540"/>
      <c r="DA27" s="540"/>
      <c r="DB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5-3'!$D$11:$Q319,DB$4,DB$5)"),"")</f>
        <v/>
      </c>
      <c r="DC27" s="555"/>
      <c r="DD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5-3'!$D$11:$Q319,DD$4,DD$5)"),"")</f>
        <v/>
      </c>
      <c r="DE27" s="554"/>
      <c r="DF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5-3'!$D$11:$Q319,DF$4,DF$5)"),"")</f>
        <v/>
      </c>
      <c r="DG27" s="554"/>
      <c r="DH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5-3'!$D$11:$Q319,DH$4,DH$5)"),"")</f>
        <v/>
      </c>
      <c r="DI27" s="554"/>
      <c r="DJ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5-3'!$D$11:$Q319,DJ$4,DJ$5)"),"")</f>
        <v/>
      </c>
      <c r="DK27" s="566"/>
      <c r="DL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5-3'!$D$11:$Q319,DL$4,DL$5)"),"")</f>
        <v/>
      </c>
      <c r="DM27" s="554"/>
      <c r="DN27" s="554"/>
      <c r="DO27" s="554"/>
      <c r="DP27" s="554"/>
      <c r="DQ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5-3'!$D$11:$Q319,DQ$4,DQ$5)"),"")</f>
        <v/>
      </c>
      <c r="DR27" s="569"/>
      <c r="DS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5-3'!$D$11:$Q319,DS$4,DS$5)"),"")</f>
        <v/>
      </c>
      <c r="DT27" s="568"/>
      <c r="DU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5-3'!$D$11:$Q319,DU$4,DU$5)"),"")</f>
        <v/>
      </c>
      <c r="DV27" s="568"/>
      <c r="DW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5-3'!$D$11:$Q319,DW$4,DW$5)"),"")</f>
        <v/>
      </c>
      <c r="DX27" s="568"/>
      <c r="DY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5-3'!$D$11:$Q319,DY$4,DY$5)"),"")</f>
        <v/>
      </c>
      <c r="DZ27" s="578"/>
      <c r="EA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 'S-10 Топ 5-3'!$D$11:$Q319,EA$4,EA$5)"),"")</f>
        <v/>
      </c>
      <c r="EB27" s="568"/>
      <c r="EC27" s="568"/>
      <c r="ED27" s="568"/>
      <c r="EE27" s="568"/>
    </row>
    <row r="28">
      <c r="A28" s="519" t="str">
        <f t="shared" si="1"/>
        <v>Да</v>
      </c>
      <c r="B28" s="520" t="str">
        <f>'5-0 Товары'!B28</f>
        <v/>
      </c>
      <c r="C28" s="521" t="str">
        <f>'5-1 Сбор КП Закупки'!C28</f>
        <v>ID_T018</v>
      </c>
      <c r="D28" s="521" t="str">
        <f>'5-1 Сбор КП Закупки'!D28</f>
        <v>18</v>
      </c>
      <c r="E28" s="521" t="str">
        <f>'5-1 Сбор КП Закупки'!E28</f>
        <v/>
      </c>
      <c r="F28" s="521" t="str">
        <f>'5-1 Сбор КП Закупки'!F28</f>
        <v/>
      </c>
      <c r="G28" s="522" t="str">
        <f>'5-1 Сбор КП Закупки'!G28</f>
        <v/>
      </c>
      <c r="H28" s="522" t="str">
        <f>'5-1 Сбор КП Закупки'!H28</f>
        <v/>
      </c>
      <c r="I28" s="522" t="str">
        <f>'5-1 Сбор КП Закупки'!I28</f>
        <v/>
      </c>
      <c r="J28" s="197"/>
      <c r="K28" s="522" t="str">
        <f>'5-1 Сбор КП Закупки'!G28</f>
        <v/>
      </c>
      <c r="L28" s="523" t="str">
        <f>IF(A28="Да",'5-1 Сбор КП Закупки'!K28,)</f>
        <v/>
      </c>
      <c r="M28" s="197"/>
      <c r="N28" s="197">
        <v>0.0</v>
      </c>
      <c r="O28" s="197"/>
      <c r="P28" s="525" t="str">
        <f>'5-1 Сбор КП Закупки'!P28</f>
        <v/>
      </c>
      <c r="Q28" s="197"/>
      <c r="R28" s="197"/>
      <c r="S28" s="197"/>
      <c r="T28" s="197"/>
      <c r="U28" s="197"/>
      <c r="V28" s="197"/>
      <c r="W28" s="522" t="str">
        <f>'5-1 Сбор КП Закупки'!O28</f>
        <v/>
      </c>
      <c r="X28" s="197"/>
      <c r="Y28" s="197"/>
      <c r="Z28" s="197"/>
      <c r="AA28" s="197"/>
      <c r="AB28" s="197">
        <v>0.0</v>
      </c>
      <c r="AC28" s="197">
        <v>0.0</v>
      </c>
      <c r="AD28" s="197"/>
      <c r="AE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5-3'!$D$11:$Q319,AE$4,AE$5)"),"")</f>
        <v/>
      </c>
      <c r="AF28" s="528"/>
      <c r="AG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5-3'!$D$11:$Q319,AG$4,AG$5)"),"")</f>
        <v/>
      </c>
      <c r="AH28" s="527"/>
      <c r="AI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5-3'!$D$11:$Q319,AI$4,AI$5)"),"")</f>
        <v/>
      </c>
      <c r="AJ28" s="527"/>
      <c r="AK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5-3'!$D$11:$Q319,AK$4,AK$5)"),"")</f>
        <v/>
      </c>
      <c r="AL28" s="527"/>
      <c r="AM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5-3'!$D$11:$Q319,AM$4,AM$5)"),"")</f>
        <v/>
      </c>
      <c r="AN28" s="529"/>
      <c r="AO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5-3'!$D$11:$Q319,AO$4,AO$5)"),"")</f>
        <v/>
      </c>
      <c r="AP28" s="527"/>
      <c r="AQ28" s="527"/>
      <c r="AR28" s="527"/>
      <c r="AS28" s="527"/>
      <c r="AT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5-3'!$D$11:$Q319,AT$4,AT$5)"),"")</f>
        <v/>
      </c>
      <c r="AU28" s="531"/>
      <c r="AV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5-3'!$D$11:$Q319,AV$4,AV$5)"),"")</f>
        <v/>
      </c>
      <c r="AW28" s="530"/>
      <c r="AX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5-3'!$D$11:$Q319,AX$4,AX$5)"),"")</f>
        <v/>
      </c>
      <c r="AY28" s="530"/>
      <c r="AZ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5-3'!$D$11:$Q319,AZ$4,AZ$5)"),"")</f>
        <v/>
      </c>
      <c r="BA28" s="530"/>
      <c r="BB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5-3'!$D$11:$Q319,BB$4,BB$5)"),"")</f>
        <v/>
      </c>
      <c r="BC28" s="532"/>
      <c r="BD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5-3'!$D$11:$Q319,BD$4,BD$5)"),"")</f>
        <v/>
      </c>
      <c r="BE28" s="530"/>
      <c r="BF28" s="530"/>
      <c r="BG28" s="530"/>
      <c r="BH28" s="530"/>
      <c r="BI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5-3'!$D$11:$Q319,BI$4,BI$5)"),"")</f>
        <v/>
      </c>
      <c r="BJ28" s="535"/>
      <c r="BK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5-3'!$D$11:$Q319,BK$4,BK$5)"),"")</f>
        <v/>
      </c>
      <c r="BL28" s="534"/>
      <c r="BM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5-3'!$D$11:$Q319,BM$4,BM$5)"),"")</f>
        <v/>
      </c>
      <c r="BN28" s="534"/>
      <c r="BO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5-3'!$D$11:$Q319,BO$4,BO$5)"),"")</f>
        <v/>
      </c>
      <c r="BP28" s="534"/>
      <c r="BQ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5-3'!$D$11:$Q319,BQ$4,BQ$5)"),"")</f>
        <v/>
      </c>
      <c r="BR28" s="536"/>
      <c r="BS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5-3'!$D$11:$Q319,BS$4,BS$5)"),"")</f>
        <v/>
      </c>
      <c r="BT28" s="534"/>
      <c r="BU28" s="534"/>
      <c r="BV28" s="534"/>
      <c r="BW28" s="534"/>
      <c r="BX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5-3'!$D$11:$Q319,BX$4,BX$5)"),"")</f>
        <v/>
      </c>
      <c r="BY28" s="538"/>
      <c r="BZ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5-3'!$D$11:$Q319,BZ$4,BZ$5)"),"")</f>
        <v/>
      </c>
      <c r="CA28" s="537"/>
      <c r="CB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5-3'!$D$11:$Q319,CB$4,CB$5)"),"")</f>
        <v/>
      </c>
      <c r="CC28" s="537"/>
      <c r="CD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5-3'!$D$11:$Q319,CD$4,CD$5)"),"")</f>
        <v/>
      </c>
      <c r="CE28" s="537"/>
      <c r="CF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5-3'!$D$11:$Q319,CF$4,CF$5)"),"")</f>
        <v/>
      </c>
      <c r="CG28" s="539"/>
      <c r="CH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5-3'!$D$11:$Q319,CH$4,CH$5)"),"")</f>
        <v/>
      </c>
      <c r="CI28" s="537"/>
      <c r="CJ28" s="537"/>
      <c r="CK28" s="537"/>
      <c r="CL28" s="537"/>
      <c r="CM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5-3'!$D$11:$Q319,CM$4,CM$5)"),"")</f>
        <v/>
      </c>
      <c r="CN28" s="541"/>
      <c r="CO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5-3'!$D$11:$Q319,CO$4,CO$5)"),"")</f>
        <v/>
      </c>
      <c r="CP28" s="540"/>
      <c r="CQ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5-3'!$D$11:$Q319,CQ$4,CQ$5)"),"")</f>
        <v/>
      </c>
      <c r="CR28" s="540"/>
      <c r="CS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5-3'!$D$11:$Q319,CS$4,CS$5)"),"")</f>
        <v/>
      </c>
      <c r="CT28" s="540"/>
      <c r="CU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5-3'!$D$11:$Q319,CU$4,CU$5)"),"")</f>
        <v/>
      </c>
      <c r="CV28" s="545"/>
      <c r="CW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5-3'!$D$11:$Q319,CW$4,CW$5)"),"")</f>
        <v/>
      </c>
      <c r="CX28" s="540"/>
      <c r="CY28" s="540"/>
      <c r="CZ28" s="540"/>
      <c r="DA28" s="540"/>
      <c r="DB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5-3'!$D$11:$Q319,DB$4,DB$5)"),"")</f>
        <v/>
      </c>
      <c r="DC28" s="555"/>
      <c r="DD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5-3'!$D$11:$Q319,DD$4,DD$5)"),"")</f>
        <v/>
      </c>
      <c r="DE28" s="554"/>
      <c r="DF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5-3'!$D$11:$Q319,DF$4,DF$5)"),"")</f>
        <v/>
      </c>
      <c r="DG28" s="554"/>
      <c r="DH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5-3'!$D$11:$Q319,DH$4,DH$5)"),"")</f>
        <v/>
      </c>
      <c r="DI28" s="554"/>
      <c r="DJ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5-3'!$D$11:$Q319,DJ$4,DJ$5)"),"")</f>
        <v/>
      </c>
      <c r="DK28" s="566"/>
      <c r="DL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5-3'!$D$11:$Q319,DL$4,DL$5)"),"")</f>
        <v/>
      </c>
      <c r="DM28" s="554"/>
      <c r="DN28" s="554"/>
      <c r="DO28" s="554"/>
      <c r="DP28" s="554"/>
      <c r="DQ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5-3'!$D$11:$Q319,DQ$4,DQ$5)"),"")</f>
        <v/>
      </c>
      <c r="DR28" s="569"/>
      <c r="DS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5-3'!$D$11:$Q319,DS$4,DS$5)"),"")</f>
        <v/>
      </c>
      <c r="DT28" s="568"/>
      <c r="DU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5-3'!$D$11:$Q319,DU$4,DU$5)"),"")</f>
        <v/>
      </c>
      <c r="DV28" s="568"/>
      <c r="DW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5-3'!$D$11:$Q319,DW$4,DW$5)"),"")</f>
        <v/>
      </c>
      <c r="DX28" s="568"/>
      <c r="DY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5-3'!$D$11:$Q319,DY$4,DY$5)"),"")</f>
        <v/>
      </c>
      <c r="DZ28" s="578"/>
      <c r="EA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 'S-10 Топ 5-3'!$D$11:$Q319,EA$4,EA$5)"),"")</f>
        <v/>
      </c>
      <c r="EB28" s="568"/>
      <c r="EC28" s="568"/>
      <c r="ED28" s="568"/>
      <c r="EE28" s="568"/>
    </row>
    <row r="29">
      <c r="A29" s="519" t="str">
        <f t="shared" si="1"/>
        <v>Да</v>
      </c>
      <c r="B29" s="520" t="str">
        <f>'5-0 Товары'!B29</f>
        <v/>
      </c>
      <c r="C29" s="521" t="str">
        <f>'5-1 Сбор КП Закупки'!C29</f>
        <v>ID_T019</v>
      </c>
      <c r="D29" s="521" t="str">
        <f>'5-1 Сбор КП Закупки'!D29</f>
        <v>19</v>
      </c>
      <c r="E29" s="521" t="str">
        <f>'5-1 Сбор КП Закупки'!E29</f>
        <v/>
      </c>
      <c r="F29" s="521" t="str">
        <f>'5-1 Сбор КП Закупки'!F29</f>
        <v/>
      </c>
      <c r="G29" s="522" t="str">
        <f>'5-1 Сбор КП Закупки'!G29</f>
        <v/>
      </c>
      <c r="H29" s="522" t="str">
        <f>'5-1 Сбор КП Закупки'!H29</f>
        <v/>
      </c>
      <c r="I29" s="522" t="str">
        <f>'5-1 Сбор КП Закупки'!I29</f>
        <v/>
      </c>
      <c r="J29" s="197"/>
      <c r="K29" s="522" t="str">
        <f>'5-1 Сбор КП Закупки'!G29</f>
        <v/>
      </c>
      <c r="L29" s="523" t="str">
        <f>IF(A29="Да",'5-1 Сбор КП Закупки'!K29,)</f>
        <v/>
      </c>
      <c r="M29" s="197"/>
      <c r="N29" s="197">
        <v>0.0</v>
      </c>
      <c r="O29" s="197"/>
      <c r="P29" s="525" t="str">
        <f>'5-1 Сбор КП Закупки'!P29</f>
        <v/>
      </c>
      <c r="Q29" s="197"/>
      <c r="R29" s="197"/>
      <c r="S29" s="197"/>
      <c r="T29" s="197"/>
      <c r="U29" s="197"/>
      <c r="V29" s="197"/>
      <c r="W29" s="522" t="str">
        <f>'5-1 Сбор КП Закупки'!O29</f>
        <v/>
      </c>
      <c r="X29" s="197"/>
      <c r="Y29" s="197"/>
      <c r="Z29" s="197"/>
      <c r="AA29" s="197"/>
      <c r="AB29" s="197">
        <v>0.0</v>
      </c>
      <c r="AC29" s="197">
        <v>0.0</v>
      </c>
      <c r="AD29" s="197"/>
      <c r="AE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5-3'!$D$11:$Q319,AE$4,AE$5)"),"")</f>
        <v/>
      </c>
      <c r="AF29" s="528"/>
      <c r="AG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5-3'!$D$11:$Q319,AG$4,AG$5)"),"")</f>
        <v/>
      </c>
      <c r="AH29" s="527"/>
      <c r="AI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5-3'!$D$11:$Q319,AI$4,AI$5)"),"")</f>
        <v/>
      </c>
      <c r="AJ29" s="527"/>
      <c r="AK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5-3'!$D$11:$Q319,AK$4,AK$5)"),"")</f>
        <v/>
      </c>
      <c r="AL29" s="527"/>
      <c r="AM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5-3'!$D$11:$Q319,AM$4,AM$5)"),"")</f>
        <v/>
      </c>
      <c r="AN29" s="529"/>
      <c r="AO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5-3'!$D$11:$Q319,AO$4,AO$5)"),"")</f>
        <v/>
      </c>
      <c r="AP29" s="527"/>
      <c r="AQ29" s="527"/>
      <c r="AR29" s="527"/>
      <c r="AS29" s="527"/>
      <c r="AT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5-3'!$D$11:$Q319,AT$4,AT$5)"),"")</f>
        <v/>
      </c>
      <c r="AU29" s="531"/>
      <c r="AV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5-3'!$D$11:$Q319,AV$4,AV$5)"),"")</f>
        <v/>
      </c>
      <c r="AW29" s="530"/>
      <c r="AX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5-3'!$D$11:$Q319,AX$4,AX$5)"),"")</f>
        <v/>
      </c>
      <c r="AY29" s="530"/>
      <c r="AZ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5-3'!$D$11:$Q319,AZ$4,AZ$5)"),"")</f>
        <v/>
      </c>
      <c r="BA29" s="530"/>
      <c r="BB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5-3'!$D$11:$Q319,BB$4,BB$5)"),"")</f>
        <v/>
      </c>
      <c r="BC29" s="532"/>
      <c r="BD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5-3'!$D$11:$Q319,BD$4,BD$5)"),"")</f>
        <v/>
      </c>
      <c r="BE29" s="530"/>
      <c r="BF29" s="530"/>
      <c r="BG29" s="530"/>
      <c r="BH29" s="530"/>
      <c r="BI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5-3'!$D$11:$Q319,BI$4,BI$5)"),"")</f>
        <v/>
      </c>
      <c r="BJ29" s="535"/>
      <c r="BK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5-3'!$D$11:$Q319,BK$4,BK$5)"),"")</f>
        <v/>
      </c>
      <c r="BL29" s="534"/>
      <c r="BM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5-3'!$D$11:$Q319,BM$4,BM$5)"),"")</f>
        <v/>
      </c>
      <c r="BN29" s="534"/>
      <c r="BO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5-3'!$D$11:$Q319,BO$4,BO$5)"),"")</f>
        <v/>
      </c>
      <c r="BP29" s="534"/>
      <c r="BQ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5-3'!$D$11:$Q319,BQ$4,BQ$5)"),"")</f>
        <v/>
      </c>
      <c r="BR29" s="536"/>
      <c r="BS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5-3'!$D$11:$Q319,BS$4,BS$5)"),"")</f>
        <v/>
      </c>
      <c r="BT29" s="534"/>
      <c r="BU29" s="534"/>
      <c r="BV29" s="534"/>
      <c r="BW29" s="534"/>
      <c r="BX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5-3'!$D$11:$Q319,BX$4,BX$5)"),"")</f>
        <v/>
      </c>
      <c r="BY29" s="538"/>
      <c r="BZ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5-3'!$D$11:$Q319,BZ$4,BZ$5)"),"")</f>
        <v/>
      </c>
      <c r="CA29" s="537"/>
      <c r="CB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5-3'!$D$11:$Q319,CB$4,CB$5)"),"")</f>
        <v/>
      </c>
      <c r="CC29" s="537"/>
      <c r="CD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5-3'!$D$11:$Q319,CD$4,CD$5)"),"")</f>
        <v/>
      </c>
      <c r="CE29" s="537"/>
      <c r="CF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5-3'!$D$11:$Q319,CF$4,CF$5)"),"")</f>
        <v/>
      </c>
      <c r="CG29" s="539"/>
      <c r="CH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5-3'!$D$11:$Q319,CH$4,CH$5)"),"")</f>
        <v/>
      </c>
      <c r="CI29" s="537"/>
      <c r="CJ29" s="537"/>
      <c r="CK29" s="537"/>
      <c r="CL29" s="537"/>
      <c r="CM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5-3'!$D$11:$Q319,CM$4,CM$5)"),"")</f>
        <v/>
      </c>
      <c r="CN29" s="541"/>
      <c r="CO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5-3'!$D$11:$Q319,CO$4,CO$5)"),"")</f>
        <v/>
      </c>
      <c r="CP29" s="540"/>
      <c r="CQ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5-3'!$D$11:$Q319,CQ$4,CQ$5)"),"")</f>
        <v/>
      </c>
      <c r="CR29" s="540"/>
      <c r="CS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5-3'!$D$11:$Q319,CS$4,CS$5)"),"")</f>
        <v/>
      </c>
      <c r="CT29" s="540"/>
      <c r="CU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5-3'!$D$11:$Q319,CU$4,CU$5)"),"")</f>
        <v/>
      </c>
      <c r="CV29" s="545"/>
      <c r="CW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5-3'!$D$11:$Q319,CW$4,CW$5)"),"")</f>
        <v/>
      </c>
      <c r="CX29" s="540"/>
      <c r="CY29" s="540"/>
      <c r="CZ29" s="540"/>
      <c r="DA29" s="540"/>
      <c r="DB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5-3'!$D$11:$Q319,DB$4,DB$5)"),"")</f>
        <v/>
      </c>
      <c r="DC29" s="555"/>
      <c r="DD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5-3'!$D$11:$Q319,DD$4,DD$5)"),"")</f>
        <v/>
      </c>
      <c r="DE29" s="554"/>
      <c r="DF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5-3'!$D$11:$Q319,DF$4,DF$5)"),"")</f>
        <v/>
      </c>
      <c r="DG29" s="554"/>
      <c r="DH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5-3'!$D$11:$Q319,DH$4,DH$5)"),"")</f>
        <v/>
      </c>
      <c r="DI29" s="554"/>
      <c r="DJ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5-3'!$D$11:$Q319,DJ$4,DJ$5)"),"")</f>
        <v/>
      </c>
      <c r="DK29" s="566"/>
      <c r="DL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5-3'!$D$11:$Q319,DL$4,DL$5)"),"")</f>
        <v/>
      </c>
      <c r="DM29" s="554"/>
      <c r="DN29" s="554"/>
      <c r="DO29" s="554"/>
      <c r="DP29" s="554"/>
      <c r="DQ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5-3'!$D$11:$Q319,DQ$4,DQ$5)"),"")</f>
        <v/>
      </c>
      <c r="DR29" s="569"/>
      <c r="DS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5-3'!$D$11:$Q319,DS$4,DS$5)"),"")</f>
        <v/>
      </c>
      <c r="DT29" s="568"/>
      <c r="DU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5-3'!$D$11:$Q319,DU$4,DU$5)"),"")</f>
        <v/>
      </c>
      <c r="DV29" s="568"/>
      <c r="DW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5-3'!$D$11:$Q319,DW$4,DW$5)"),"")</f>
        <v/>
      </c>
      <c r="DX29" s="568"/>
      <c r="DY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5-3'!$D$11:$Q319,DY$4,DY$5)"),"")</f>
        <v/>
      </c>
      <c r="DZ29" s="578"/>
      <c r="EA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 'S-10 Топ 5-3'!$D$11:$Q319,EA$4,EA$5)"),"")</f>
        <v/>
      </c>
      <c r="EB29" s="568"/>
      <c r="EC29" s="568"/>
      <c r="ED29" s="568"/>
      <c r="EE29" s="568"/>
    </row>
    <row r="30">
      <c r="A30" s="519" t="str">
        <f t="shared" si="1"/>
        <v>Да</v>
      </c>
      <c r="B30" s="520" t="str">
        <f>'5-0 Товары'!B30</f>
        <v/>
      </c>
      <c r="C30" s="521" t="str">
        <f>'5-1 Сбор КП Закупки'!C30</f>
        <v>ID_T020</v>
      </c>
      <c r="D30" s="521" t="str">
        <f>'5-1 Сбор КП Закупки'!D30</f>
        <v>20</v>
      </c>
      <c r="E30" s="521" t="str">
        <f>'5-1 Сбор КП Закупки'!E30</f>
        <v/>
      </c>
      <c r="F30" s="521" t="str">
        <f>'5-1 Сбор КП Закупки'!F30</f>
        <v/>
      </c>
      <c r="G30" s="522" t="str">
        <f>'5-1 Сбор КП Закупки'!G30</f>
        <v/>
      </c>
      <c r="H30" s="522" t="str">
        <f>'5-1 Сбор КП Закупки'!H30</f>
        <v/>
      </c>
      <c r="I30" s="522" t="str">
        <f>'5-1 Сбор КП Закупки'!I30</f>
        <v/>
      </c>
      <c r="J30" s="197"/>
      <c r="K30" s="522" t="str">
        <f>'5-1 Сбор КП Закупки'!G30</f>
        <v/>
      </c>
      <c r="L30" s="523" t="str">
        <f>IF(A30="Да",'5-1 Сбор КП Закупки'!K30,)</f>
        <v/>
      </c>
      <c r="M30" s="197"/>
      <c r="N30" s="197">
        <v>0.0</v>
      </c>
      <c r="O30" s="197"/>
      <c r="P30" s="525" t="str">
        <f>'5-1 Сбор КП Закупки'!P30</f>
        <v/>
      </c>
      <c r="Q30" s="197"/>
      <c r="R30" s="197"/>
      <c r="S30" s="197"/>
      <c r="T30" s="197"/>
      <c r="U30" s="197"/>
      <c r="V30" s="197"/>
      <c r="W30" s="522" t="str">
        <f>'5-1 Сбор КП Закупки'!O30</f>
        <v/>
      </c>
      <c r="X30" s="197"/>
      <c r="Y30" s="197"/>
      <c r="Z30" s="197"/>
      <c r="AA30" s="197"/>
      <c r="AB30" s="197">
        <v>0.0</v>
      </c>
      <c r="AC30" s="197">
        <v>0.0</v>
      </c>
      <c r="AD30" s="197"/>
      <c r="AE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5-3'!$D$11:$Q319,AE$4,AE$5)"),"")</f>
        <v/>
      </c>
      <c r="AF30" s="528"/>
      <c r="AG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5-3'!$D$11:$Q319,AG$4,AG$5)"),"")</f>
        <v/>
      </c>
      <c r="AH30" s="527"/>
      <c r="AI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5-3'!$D$11:$Q319,AI$4,AI$5)"),"")</f>
        <v/>
      </c>
      <c r="AJ30" s="527"/>
      <c r="AK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5-3'!$D$11:$Q319,AK$4,AK$5)"),"")</f>
        <v/>
      </c>
      <c r="AL30" s="527"/>
      <c r="AM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5-3'!$D$11:$Q319,AM$4,AM$5)"),"")</f>
        <v/>
      </c>
      <c r="AN30" s="529"/>
      <c r="AO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5-3'!$D$11:$Q319,AO$4,AO$5)"),"")</f>
        <v/>
      </c>
      <c r="AP30" s="527"/>
      <c r="AQ30" s="527"/>
      <c r="AR30" s="527"/>
      <c r="AS30" s="527"/>
      <c r="AT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5-3'!$D$11:$Q319,AT$4,AT$5)"),"")</f>
        <v/>
      </c>
      <c r="AU30" s="531"/>
      <c r="AV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5-3'!$D$11:$Q319,AV$4,AV$5)"),"")</f>
        <v/>
      </c>
      <c r="AW30" s="530"/>
      <c r="AX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5-3'!$D$11:$Q319,AX$4,AX$5)"),"")</f>
        <v/>
      </c>
      <c r="AY30" s="530"/>
      <c r="AZ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5-3'!$D$11:$Q319,AZ$4,AZ$5)"),"")</f>
        <v/>
      </c>
      <c r="BA30" s="530"/>
      <c r="BB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5-3'!$D$11:$Q319,BB$4,BB$5)"),"")</f>
        <v/>
      </c>
      <c r="BC30" s="532"/>
      <c r="BD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5-3'!$D$11:$Q319,BD$4,BD$5)"),"")</f>
        <v/>
      </c>
      <c r="BE30" s="530"/>
      <c r="BF30" s="530"/>
      <c r="BG30" s="530"/>
      <c r="BH30" s="530"/>
      <c r="BI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5-3'!$D$11:$Q319,BI$4,BI$5)"),"")</f>
        <v/>
      </c>
      <c r="BJ30" s="535"/>
      <c r="BK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5-3'!$D$11:$Q319,BK$4,BK$5)"),"")</f>
        <v/>
      </c>
      <c r="BL30" s="534"/>
      <c r="BM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5-3'!$D$11:$Q319,BM$4,BM$5)"),"")</f>
        <v/>
      </c>
      <c r="BN30" s="534"/>
      <c r="BO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5-3'!$D$11:$Q319,BO$4,BO$5)"),"")</f>
        <v/>
      </c>
      <c r="BP30" s="534"/>
      <c r="BQ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5-3'!$D$11:$Q319,BQ$4,BQ$5)"),"")</f>
        <v/>
      </c>
      <c r="BR30" s="536"/>
      <c r="BS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5-3'!$D$11:$Q319,BS$4,BS$5)"),"")</f>
        <v/>
      </c>
      <c r="BT30" s="534"/>
      <c r="BU30" s="534"/>
      <c r="BV30" s="534"/>
      <c r="BW30" s="534"/>
      <c r="BX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5-3'!$D$11:$Q319,BX$4,BX$5)"),"")</f>
        <v/>
      </c>
      <c r="BY30" s="538"/>
      <c r="BZ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5-3'!$D$11:$Q319,BZ$4,BZ$5)"),"")</f>
        <v/>
      </c>
      <c r="CA30" s="537"/>
      <c r="CB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5-3'!$D$11:$Q319,CB$4,CB$5)"),"")</f>
        <v/>
      </c>
      <c r="CC30" s="537"/>
      <c r="CD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5-3'!$D$11:$Q319,CD$4,CD$5)"),"")</f>
        <v/>
      </c>
      <c r="CE30" s="537"/>
      <c r="CF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5-3'!$D$11:$Q319,CF$4,CF$5)"),"")</f>
        <v/>
      </c>
      <c r="CG30" s="539"/>
      <c r="CH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5-3'!$D$11:$Q319,CH$4,CH$5)"),"")</f>
        <v/>
      </c>
      <c r="CI30" s="537"/>
      <c r="CJ30" s="537"/>
      <c r="CK30" s="537"/>
      <c r="CL30" s="537"/>
      <c r="CM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5-3'!$D$11:$Q319,CM$4,CM$5)"),"")</f>
        <v/>
      </c>
      <c r="CN30" s="541"/>
      <c r="CO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5-3'!$D$11:$Q319,CO$4,CO$5)"),"")</f>
        <v/>
      </c>
      <c r="CP30" s="540"/>
      <c r="CQ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5-3'!$D$11:$Q319,CQ$4,CQ$5)"),"")</f>
        <v/>
      </c>
      <c r="CR30" s="540"/>
      <c r="CS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5-3'!$D$11:$Q319,CS$4,CS$5)"),"")</f>
        <v/>
      </c>
      <c r="CT30" s="540"/>
      <c r="CU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5-3'!$D$11:$Q319,CU$4,CU$5)"),"")</f>
        <v/>
      </c>
      <c r="CV30" s="545"/>
      <c r="CW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5-3'!$D$11:$Q319,CW$4,CW$5)"),"")</f>
        <v/>
      </c>
      <c r="CX30" s="540"/>
      <c r="CY30" s="540"/>
      <c r="CZ30" s="540"/>
      <c r="DA30" s="540"/>
      <c r="DB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5-3'!$D$11:$Q319,DB$4,DB$5)"),"")</f>
        <v/>
      </c>
      <c r="DC30" s="555"/>
      <c r="DD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5-3'!$D$11:$Q319,DD$4,DD$5)"),"")</f>
        <v/>
      </c>
      <c r="DE30" s="554"/>
      <c r="DF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5-3'!$D$11:$Q319,DF$4,DF$5)"),"")</f>
        <v/>
      </c>
      <c r="DG30" s="554"/>
      <c r="DH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5-3'!$D$11:$Q319,DH$4,DH$5)"),"")</f>
        <v/>
      </c>
      <c r="DI30" s="554"/>
      <c r="DJ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5-3'!$D$11:$Q319,DJ$4,DJ$5)"),"")</f>
        <v/>
      </c>
      <c r="DK30" s="566"/>
      <c r="DL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5-3'!$D$11:$Q319,DL$4,DL$5)"),"")</f>
        <v/>
      </c>
      <c r="DM30" s="554"/>
      <c r="DN30" s="554"/>
      <c r="DO30" s="554"/>
      <c r="DP30" s="554"/>
      <c r="DQ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5-3'!$D$11:$Q319,DQ$4,DQ$5)"),"")</f>
        <v/>
      </c>
      <c r="DR30" s="569"/>
      <c r="DS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5-3'!$D$11:$Q319,DS$4,DS$5)"),"")</f>
        <v/>
      </c>
      <c r="DT30" s="568"/>
      <c r="DU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5-3'!$D$11:$Q319,DU$4,DU$5)"),"")</f>
        <v/>
      </c>
      <c r="DV30" s="568"/>
      <c r="DW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5-3'!$D$11:$Q319,DW$4,DW$5)"),"")</f>
        <v/>
      </c>
      <c r="DX30" s="568"/>
      <c r="DY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5-3'!$D$11:$Q319,DY$4,DY$5)"),"")</f>
        <v/>
      </c>
      <c r="DZ30" s="578"/>
      <c r="EA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 'S-10 Топ 5-3'!$D$11:$Q319,EA$4,EA$5)"),"")</f>
        <v/>
      </c>
      <c r="EB30" s="568"/>
      <c r="EC30" s="568"/>
      <c r="ED30" s="568"/>
      <c r="EE30" s="568"/>
    </row>
    <row r="31">
      <c r="A31" s="519" t="str">
        <f t="shared" si="1"/>
        <v/>
      </c>
      <c r="B31" s="520" t="str">
        <f>'5-0 Товары'!B31</f>
        <v/>
      </c>
      <c r="C31" s="521" t="str">
        <f>'5-1 Сбор КП Закупки'!C31</f>
        <v/>
      </c>
      <c r="D31" s="521" t="str">
        <f>'5-1 Сбор КП Закупки'!D31</f>
        <v/>
      </c>
      <c r="E31" s="521" t="str">
        <f>'5-1 Сбор КП Закупки'!E31</f>
        <v/>
      </c>
      <c r="F31" s="521" t="str">
        <f>'5-1 Сбор КП Закупки'!F31</f>
        <v/>
      </c>
      <c r="G31" s="522" t="str">
        <f>'5-1 Сбор КП Закупки'!G31</f>
        <v/>
      </c>
      <c r="H31" s="522" t="str">
        <f>'5-1 Сбор КП Закупки'!H31</f>
        <v/>
      </c>
      <c r="I31" s="522" t="str">
        <f>'5-1 Сбор КП Закупки'!I31</f>
        <v/>
      </c>
      <c r="J31" s="197"/>
      <c r="K31" s="522" t="str">
        <f>'5-1 Сбор КП Закупки'!G31</f>
        <v/>
      </c>
      <c r="L31" s="523" t="str">
        <f>IF(A31="Да",'5-1 Сбор КП Закупки'!K31,)</f>
        <v/>
      </c>
      <c r="M31" s="197"/>
      <c r="N31" s="197"/>
      <c r="O31" s="197"/>
      <c r="P31" s="525" t="str">
        <f>'5-1 Сбор КП Закупки'!P31</f>
        <v/>
      </c>
      <c r="Q31" s="197"/>
      <c r="R31" s="197"/>
      <c r="S31" s="197"/>
      <c r="T31" s="197"/>
      <c r="U31" s="197"/>
      <c r="V31" s="197"/>
      <c r="W31" s="522" t="str">
        <f>'5-1 Сбор КП Закупки'!O31</f>
        <v/>
      </c>
      <c r="X31" s="197"/>
      <c r="Y31" s="197"/>
      <c r="Z31" s="197"/>
      <c r="AA31" s="197"/>
      <c r="AB31" s="197">
        <v>0.0</v>
      </c>
      <c r="AC31" s="197"/>
      <c r="AD31" s="197"/>
      <c r="AE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5-3'!$D$11:$Q319,AE$4,AE$5)"),"")</f>
        <v/>
      </c>
      <c r="AF31" s="528"/>
      <c r="AG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5-3'!$D$11:$Q319,AG$4,AG$5)"),"")</f>
        <v/>
      </c>
      <c r="AH31" s="527"/>
      <c r="AI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5-3'!$D$11:$Q319,AI$4,AI$5)"),"")</f>
        <v/>
      </c>
      <c r="AJ31" s="527"/>
      <c r="AK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5-3'!$D$11:$Q319,AK$4,AK$5)"),"")</f>
        <v/>
      </c>
      <c r="AL31" s="527"/>
      <c r="AM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5-3'!$D$11:$Q319,AM$4,AM$5)"),"")</f>
        <v/>
      </c>
      <c r="AN31" s="529"/>
      <c r="AO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5-3'!$D$11:$Q319,AO$4,AO$5)"),"")</f>
        <v/>
      </c>
      <c r="AP31" s="527"/>
      <c r="AQ31" s="527"/>
      <c r="AR31" s="527"/>
      <c r="AS31" s="527"/>
      <c r="AT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5-3'!$D$11:$Q319,AT$4,AT$5)"),"")</f>
        <v/>
      </c>
      <c r="AU31" s="531"/>
      <c r="AV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5-3'!$D$11:$Q319,AV$4,AV$5)"),"")</f>
        <v/>
      </c>
      <c r="AW31" s="530"/>
      <c r="AX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5-3'!$D$11:$Q319,AX$4,AX$5)"),"")</f>
        <v/>
      </c>
      <c r="AY31" s="530"/>
      <c r="AZ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5-3'!$D$11:$Q319,AZ$4,AZ$5)"),"")</f>
        <v/>
      </c>
      <c r="BA31" s="530"/>
      <c r="BB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5-3'!$D$11:$Q319,BB$4,BB$5)"),"")</f>
        <v/>
      </c>
      <c r="BC31" s="532"/>
      <c r="BD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5-3'!$D$11:$Q319,BD$4,BD$5)"),"")</f>
        <v/>
      </c>
      <c r="BE31" s="530"/>
      <c r="BF31" s="530"/>
      <c r="BG31" s="530"/>
      <c r="BH31" s="530"/>
      <c r="BI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5-3'!$D$11:$Q319,BI$4,BI$5)"),"")</f>
        <v/>
      </c>
      <c r="BJ31" s="535"/>
      <c r="BK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5-3'!$D$11:$Q319,BK$4,BK$5)"),"")</f>
        <v/>
      </c>
      <c r="BL31" s="534"/>
      <c r="BM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5-3'!$D$11:$Q319,BM$4,BM$5)"),"")</f>
        <v/>
      </c>
      <c r="BN31" s="534"/>
      <c r="BO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5-3'!$D$11:$Q319,BO$4,BO$5)"),"")</f>
        <v/>
      </c>
      <c r="BP31" s="534"/>
      <c r="BQ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5-3'!$D$11:$Q319,BQ$4,BQ$5)"),"")</f>
        <v/>
      </c>
      <c r="BR31" s="536"/>
      <c r="BS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5-3'!$D$11:$Q319,BS$4,BS$5)"),"")</f>
        <v/>
      </c>
      <c r="BT31" s="534"/>
      <c r="BU31" s="534"/>
      <c r="BV31" s="534"/>
      <c r="BW31" s="534"/>
      <c r="BX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5-3'!$D$11:$Q319,BX$4,BX$5)"),"")</f>
        <v/>
      </c>
      <c r="BY31" s="538"/>
      <c r="BZ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5-3'!$D$11:$Q319,BZ$4,BZ$5)"),"")</f>
        <v/>
      </c>
      <c r="CA31" s="537"/>
      <c r="CB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5-3'!$D$11:$Q319,CB$4,CB$5)"),"")</f>
        <v/>
      </c>
      <c r="CC31" s="537"/>
      <c r="CD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5-3'!$D$11:$Q319,CD$4,CD$5)"),"")</f>
        <v/>
      </c>
      <c r="CE31" s="537"/>
      <c r="CF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5-3'!$D$11:$Q319,CF$4,CF$5)"),"")</f>
        <v/>
      </c>
      <c r="CG31" s="539"/>
      <c r="CH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5-3'!$D$11:$Q319,CH$4,CH$5)"),"")</f>
        <v/>
      </c>
      <c r="CI31" s="537"/>
      <c r="CJ31" s="537"/>
      <c r="CK31" s="537"/>
      <c r="CL31" s="537"/>
      <c r="CM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5-3'!$D$11:$Q319,CM$4,CM$5)"),"")</f>
        <v/>
      </c>
      <c r="CN31" s="541"/>
      <c r="CO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5-3'!$D$11:$Q319,CO$4,CO$5)"),"")</f>
        <v/>
      </c>
      <c r="CP31" s="540"/>
      <c r="CQ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5-3'!$D$11:$Q319,CQ$4,CQ$5)"),"")</f>
        <v/>
      </c>
      <c r="CR31" s="540"/>
      <c r="CS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5-3'!$D$11:$Q319,CS$4,CS$5)"),"")</f>
        <v/>
      </c>
      <c r="CT31" s="540"/>
      <c r="CU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5-3'!$D$11:$Q319,CU$4,CU$5)"),"")</f>
        <v/>
      </c>
      <c r="CV31" s="545"/>
      <c r="CW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5-3'!$D$11:$Q319,CW$4,CW$5)"),"")</f>
        <v/>
      </c>
      <c r="CX31" s="540"/>
      <c r="CY31" s="540"/>
      <c r="CZ31" s="540"/>
      <c r="DA31" s="540"/>
      <c r="DB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5-3'!$D$11:$Q319,DB$4,DB$5)"),"")</f>
        <v/>
      </c>
      <c r="DC31" s="555"/>
      <c r="DD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5-3'!$D$11:$Q319,DD$4,DD$5)"),"")</f>
        <v/>
      </c>
      <c r="DE31" s="554"/>
      <c r="DF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5-3'!$D$11:$Q319,DF$4,DF$5)"),"")</f>
        <v/>
      </c>
      <c r="DG31" s="554"/>
      <c r="DH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5-3'!$D$11:$Q319,DH$4,DH$5)"),"")</f>
        <v/>
      </c>
      <c r="DI31" s="554"/>
      <c r="DJ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5-3'!$D$11:$Q319,DJ$4,DJ$5)"),"")</f>
        <v/>
      </c>
      <c r="DK31" s="566"/>
      <c r="DL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5-3'!$D$11:$Q319,DL$4,DL$5)"),"")</f>
        <v/>
      </c>
      <c r="DM31" s="554"/>
      <c r="DN31" s="554"/>
      <c r="DO31" s="554"/>
      <c r="DP31" s="554"/>
      <c r="DQ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5-3'!$D$11:$Q319,DQ$4,DQ$5)"),"")</f>
        <v/>
      </c>
      <c r="DR31" s="569"/>
      <c r="DS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5-3'!$D$11:$Q319,DS$4,DS$5)"),"")</f>
        <v/>
      </c>
      <c r="DT31" s="568"/>
      <c r="DU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5-3'!$D$11:$Q319,DU$4,DU$5)"),"")</f>
        <v/>
      </c>
      <c r="DV31" s="568"/>
      <c r="DW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5-3'!$D$11:$Q319,DW$4,DW$5)"),"")</f>
        <v/>
      </c>
      <c r="DX31" s="568"/>
      <c r="DY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5-3'!$D$11:$Q319,DY$4,DY$5)"),"")</f>
        <v/>
      </c>
      <c r="DZ31" s="578"/>
      <c r="EA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 'S-10 Топ 5-3'!$D$11:$Q319,EA$4,EA$5)"),"")</f>
        <v/>
      </c>
      <c r="EB31" s="568"/>
      <c r="EC31" s="568"/>
      <c r="ED31" s="568"/>
      <c r="EE31" s="568"/>
    </row>
    <row r="32">
      <c r="A32" s="519" t="str">
        <f t="shared" si="1"/>
        <v/>
      </c>
      <c r="B32" s="520" t="str">
        <f>'5-0 Товары'!B32</f>
        <v/>
      </c>
      <c r="C32" s="521" t="str">
        <f>'5-1 Сбор КП Закупки'!C32</f>
        <v/>
      </c>
      <c r="D32" s="521" t="str">
        <f>'5-1 Сбор КП Закупки'!D32</f>
        <v/>
      </c>
      <c r="E32" s="521" t="str">
        <f>'5-1 Сбор КП Закупки'!E32</f>
        <v/>
      </c>
      <c r="F32" s="521" t="str">
        <f>'5-1 Сбор КП Закупки'!F32</f>
        <v/>
      </c>
      <c r="G32" s="522" t="str">
        <f>'5-1 Сбор КП Закупки'!G32</f>
        <v/>
      </c>
      <c r="H32" s="522" t="str">
        <f>'5-1 Сбор КП Закупки'!H32</f>
        <v/>
      </c>
      <c r="I32" s="522" t="str">
        <f>'5-1 Сбор КП Закупки'!I32</f>
        <v/>
      </c>
      <c r="J32" s="197"/>
      <c r="K32" s="522" t="str">
        <f>'5-1 Сбор КП Закупки'!G32</f>
        <v/>
      </c>
      <c r="L32" s="523" t="str">
        <f>IF(A32="Да",'5-1 Сбор КП Закупки'!K32,)</f>
        <v/>
      </c>
      <c r="M32" s="197"/>
      <c r="N32" s="197"/>
      <c r="O32" s="197"/>
      <c r="P32" s="525" t="str">
        <f>'5-1 Сбор КП Закупки'!P32</f>
        <v/>
      </c>
      <c r="Q32" s="197"/>
      <c r="R32" s="197"/>
      <c r="S32" s="197"/>
      <c r="T32" s="197"/>
      <c r="U32" s="197"/>
      <c r="V32" s="197"/>
      <c r="W32" s="522" t="str">
        <f>'5-1 Сбор КП Закупки'!O32</f>
        <v/>
      </c>
      <c r="X32" s="197"/>
      <c r="Y32" s="197"/>
      <c r="Z32" s="197"/>
      <c r="AA32" s="197"/>
      <c r="AB32" s="197">
        <v>0.0</v>
      </c>
      <c r="AC32" s="197"/>
      <c r="AD32" s="197"/>
      <c r="AE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5-3'!$D$11:$Q319,AE$4,AE$5)"),"")</f>
        <v/>
      </c>
      <c r="AF32" s="528"/>
      <c r="AG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5-3'!$D$11:$Q319,AG$4,AG$5)"),"")</f>
        <v/>
      </c>
      <c r="AH32" s="527"/>
      <c r="AI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5-3'!$D$11:$Q319,AI$4,AI$5)"),"")</f>
        <v/>
      </c>
      <c r="AJ32" s="527"/>
      <c r="AK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5-3'!$D$11:$Q319,AK$4,AK$5)"),"")</f>
        <v/>
      </c>
      <c r="AL32" s="527"/>
      <c r="AM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5-3'!$D$11:$Q319,AM$4,AM$5)"),"")</f>
        <v/>
      </c>
      <c r="AN32" s="529"/>
      <c r="AO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5-3'!$D$11:$Q319,AO$4,AO$5)"),"")</f>
        <v/>
      </c>
      <c r="AP32" s="527"/>
      <c r="AQ32" s="527"/>
      <c r="AR32" s="527"/>
      <c r="AS32" s="527"/>
      <c r="AT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5-3'!$D$11:$Q319,AT$4,AT$5)"),"")</f>
        <v/>
      </c>
      <c r="AU32" s="531"/>
      <c r="AV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5-3'!$D$11:$Q319,AV$4,AV$5)"),"")</f>
        <v/>
      </c>
      <c r="AW32" s="530"/>
      <c r="AX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5-3'!$D$11:$Q319,AX$4,AX$5)"),"")</f>
        <v/>
      </c>
      <c r="AY32" s="530"/>
      <c r="AZ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5-3'!$D$11:$Q319,AZ$4,AZ$5)"),"")</f>
        <v/>
      </c>
      <c r="BA32" s="530"/>
      <c r="BB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5-3'!$D$11:$Q319,BB$4,BB$5)"),"")</f>
        <v/>
      </c>
      <c r="BC32" s="532"/>
      <c r="BD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5-3'!$D$11:$Q319,BD$4,BD$5)"),"")</f>
        <v/>
      </c>
      <c r="BE32" s="530"/>
      <c r="BF32" s="530"/>
      <c r="BG32" s="530"/>
      <c r="BH32" s="530"/>
      <c r="BI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5-3'!$D$11:$Q319,BI$4,BI$5)"),"")</f>
        <v/>
      </c>
      <c r="BJ32" s="535"/>
      <c r="BK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5-3'!$D$11:$Q319,BK$4,BK$5)"),"")</f>
        <v/>
      </c>
      <c r="BL32" s="534"/>
      <c r="BM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5-3'!$D$11:$Q319,BM$4,BM$5)"),"")</f>
        <v/>
      </c>
      <c r="BN32" s="534"/>
      <c r="BO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5-3'!$D$11:$Q319,BO$4,BO$5)"),"")</f>
        <v/>
      </c>
      <c r="BP32" s="534"/>
      <c r="BQ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5-3'!$D$11:$Q319,BQ$4,BQ$5)"),"")</f>
        <v/>
      </c>
      <c r="BR32" s="536"/>
      <c r="BS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5-3'!$D$11:$Q319,BS$4,BS$5)"),"")</f>
        <v/>
      </c>
      <c r="BT32" s="534"/>
      <c r="BU32" s="534"/>
      <c r="BV32" s="534"/>
      <c r="BW32" s="534"/>
      <c r="BX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5-3'!$D$11:$Q319,BX$4,BX$5)"),"")</f>
        <v/>
      </c>
      <c r="BY32" s="538"/>
      <c r="BZ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5-3'!$D$11:$Q319,BZ$4,BZ$5)"),"")</f>
        <v/>
      </c>
      <c r="CA32" s="537"/>
      <c r="CB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5-3'!$D$11:$Q319,CB$4,CB$5)"),"")</f>
        <v/>
      </c>
      <c r="CC32" s="537"/>
      <c r="CD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5-3'!$D$11:$Q319,CD$4,CD$5)"),"")</f>
        <v/>
      </c>
      <c r="CE32" s="537"/>
      <c r="CF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5-3'!$D$11:$Q319,CF$4,CF$5)"),"")</f>
        <v/>
      </c>
      <c r="CG32" s="539"/>
      <c r="CH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5-3'!$D$11:$Q319,CH$4,CH$5)"),"")</f>
        <v/>
      </c>
      <c r="CI32" s="537"/>
      <c r="CJ32" s="537"/>
      <c r="CK32" s="537"/>
      <c r="CL32" s="537"/>
      <c r="CM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5-3'!$D$11:$Q319,CM$4,CM$5)"),"")</f>
        <v/>
      </c>
      <c r="CN32" s="541"/>
      <c r="CO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5-3'!$D$11:$Q319,CO$4,CO$5)"),"")</f>
        <v/>
      </c>
      <c r="CP32" s="540"/>
      <c r="CQ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5-3'!$D$11:$Q319,CQ$4,CQ$5)"),"")</f>
        <v/>
      </c>
      <c r="CR32" s="540"/>
      <c r="CS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5-3'!$D$11:$Q319,CS$4,CS$5)"),"")</f>
        <v/>
      </c>
      <c r="CT32" s="540"/>
      <c r="CU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5-3'!$D$11:$Q319,CU$4,CU$5)"),"")</f>
        <v/>
      </c>
      <c r="CV32" s="545"/>
      <c r="CW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5-3'!$D$11:$Q319,CW$4,CW$5)"),"")</f>
        <v/>
      </c>
      <c r="CX32" s="540"/>
      <c r="CY32" s="540"/>
      <c r="CZ32" s="540"/>
      <c r="DA32" s="540"/>
      <c r="DB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5-3'!$D$11:$Q319,DB$4,DB$5)"),"")</f>
        <v/>
      </c>
      <c r="DC32" s="555"/>
      <c r="DD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5-3'!$D$11:$Q319,DD$4,DD$5)"),"")</f>
        <v/>
      </c>
      <c r="DE32" s="554"/>
      <c r="DF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5-3'!$D$11:$Q319,DF$4,DF$5)"),"")</f>
        <v/>
      </c>
      <c r="DG32" s="554"/>
      <c r="DH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5-3'!$D$11:$Q319,DH$4,DH$5)"),"")</f>
        <v/>
      </c>
      <c r="DI32" s="554"/>
      <c r="DJ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5-3'!$D$11:$Q319,DJ$4,DJ$5)"),"")</f>
        <v/>
      </c>
      <c r="DK32" s="566"/>
      <c r="DL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5-3'!$D$11:$Q319,DL$4,DL$5)"),"")</f>
        <v/>
      </c>
      <c r="DM32" s="554"/>
      <c r="DN32" s="554"/>
      <c r="DO32" s="554"/>
      <c r="DP32" s="554"/>
      <c r="DQ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5-3'!$D$11:$Q319,DQ$4,DQ$5)"),"")</f>
        <v/>
      </c>
      <c r="DR32" s="569"/>
      <c r="DS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5-3'!$D$11:$Q319,DS$4,DS$5)"),"")</f>
        <v/>
      </c>
      <c r="DT32" s="568"/>
      <c r="DU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5-3'!$D$11:$Q319,DU$4,DU$5)"),"")</f>
        <v/>
      </c>
      <c r="DV32" s="568"/>
      <c r="DW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5-3'!$D$11:$Q319,DW$4,DW$5)"),"")</f>
        <v/>
      </c>
      <c r="DX32" s="568"/>
      <c r="DY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5-3'!$D$11:$Q319,DY$4,DY$5)"),"")</f>
        <v/>
      </c>
      <c r="DZ32" s="578"/>
      <c r="EA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$C32, 'S-10 Топ 5-3'!$D$11:$Q319,EA$4,EA$5)"),"")</f>
        <v/>
      </c>
      <c r="EB32" s="568"/>
      <c r="EC32" s="568"/>
      <c r="ED32" s="568"/>
      <c r="EE32" s="568"/>
    </row>
    <row r="33">
      <c r="A33" s="519" t="str">
        <f t="shared" si="1"/>
        <v/>
      </c>
      <c r="B33" s="520" t="str">
        <f>'5-0 Товары'!B33</f>
        <v/>
      </c>
      <c r="C33" s="521" t="str">
        <f>'5-1 Сбор КП Закупки'!C33</f>
        <v/>
      </c>
      <c r="D33" s="521" t="str">
        <f>'5-1 Сбор КП Закупки'!D33</f>
        <v/>
      </c>
      <c r="E33" s="521" t="str">
        <f>'5-1 Сбор КП Закупки'!E33</f>
        <v/>
      </c>
      <c r="F33" s="521" t="str">
        <f>'5-1 Сбор КП Закупки'!F33</f>
        <v/>
      </c>
      <c r="G33" s="522" t="str">
        <f>'5-1 Сбор КП Закупки'!G33</f>
        <v/>
      </c>
      <c r="H33" s="522" t="str">
        <f>'5-1 Сбор КП Закупки'!H33</f>
        <v/>
      </c>
      <c r="I33" s="522" t="str">
        <f>'5-1 Сбор КП Закупки'!I33</f>
        <v/>
      </c>
      <c r="J33" s="197"/>
      <c r="K33" s="522" t="str">
        <f>'5-1 Сбор КП Закупки'!G33</f>
        <v/>
      </c>
      <c r="L33" s="523" t="str">
        <f>IF(A33="Да",'5-1 Сбор КП Закупки'!K33,)</f>
        <v/>
      </c>
      <c r="M33" s="197"/>
      <c r="N33" s="197"/>
      <c r="O33" s="197"/>
      <c r="P33" s="525" t="str">
        <f>'5-1 Сбор КП Закупки'!P33</f>
        <v/>
      </c>
      <c r="Q33" s="197"/>
      <c r="R33" s="197"/>
      <c r="S33" s="197"/>
      <c r="T33" s="197"/>
      <c r="U33" s="197"/>
      <c r="V33" s="197"/>
      <c r="W33" s="522" t="str">
        <f>'5-1 Сбор КП Закупки'!O33</f>
        <v/>
      </c>
      <c r="X33" s="197"/>
      <c r="Y33" s="197"/>
      <c r="Z33" s="197"/>
      <c r="AA33" s="197"/>
      <c r="AB33" s="197">
        <v>0.0</v>
      </c>
      <c r="AC33" s="197"/>
      <c r="AD33" s="197"/>
      <c r="AE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5-3'!$D$11:$Q319,AE$4,AE$5)"),"")</f>
        <v/>
      </c>
      <c r="AF33" s="528"/>
      <c r="AG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5-3'!$D$11:$Q319,AG$4,AG$5)"),"")</f>
        <v/>
      </c>
      <c r="AH33" s="527"/>
      <c r="AI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5-3'!$D$11:$Q319,AI$4,AI$5)"),"")</f>
        <v/>
      </c>
      <c r="AJ33" s="527"/>
      <c r="AK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5-3'!$D$11:$Q319,AK$4,AK$5)"),"")</f>
        <v/>
      </c>
      <c r="AL33" s="527"/>
      <c r="AM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5-3'!$D$11:$Q319,AM$4,AM$5)"),"")</f>
        <v/>
      </c>
      <c r="AN33" s="529"/>
      <c r="AO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5-3'!$D$11:$Q319,AO$4,AO$5)"),"")</f>
        <v/>
      </c>
      <c r="AP33" s="527"/>
      <c r="AQ33" s="527"/>
      <c r="AR33" s="527"/>
      <c r="AS33" s="527"/>
      <c r="AT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5-3'!$D$11:$Q319,AT$4,AT$5)"),"")</f>
        <v/>
      </c>
      <c r="AU33" s="531"/>
      <c r="AV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5-3'!$D$11:$Q319,AV$4,AV$5)"),"")</f>
        <v/>
      </c>
      <c r="AW33" s="530"/>
      <c r="AX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5-3'!$D$11:$Q319,AX$4,AX$5)"),"")</f>
        <v/>
      </c>
      <c r="AY33" s="530"/>
      <c r="AZ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5-3'!$D$11:$Q319,AZ$4,AZ$5)"),"")</f>
        <v/>
      </c>
      <c r="BA33" s="530"/>
      <c r="BB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5-3'!$D$11:$Q319,BB$4,BB$5)"),"")</f>
        <v/>
      </c>
      <c r="BC33" s="532"/>
      <c r="BD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5-3'!$D$11:$Q319,BD$4,BD$5)"),"")</f>
        <v/>
      </c>
      <c r="BE33" s="530"/>
      <c r="BF33" s="530"/>
      <c r="BG33" s="530"/>
      <c r="BH33" s="530"/>
      <c r="BI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5-3'!$D$11:$Q319,BI$4,BI$5)"),"")</f>
        <v/>
      </c>
      <c r="BJ33" s="535"/>
      <c r="BK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5-3'!$D$11:$Q319,BK$4,BK$5)"),"")</f>
        <v/>
      </c>
      <c r="BL33" s="534"/>
      <c r="BM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5-3'!$D$11:$Q319,BM$4,BM$5)"),"")</f>
        <v/>
      </c>
      <c r="BN33" s="534"/>
      <c r="BO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5-3'!$D$11:$Q319,BO$4,BO$5)"),"")</f>
        <v/>
      </c>
      <c r="BP33" s="534"/>
      <c r="BQ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5-3'!$D$11:$Q319,BQ$4,BQ$5)"),"")</f>
        <v/>
      </c>
      <c r="BR33" s="536"/>
      <c r="BS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5-3'!$D$11:$Q319,BS$4,BS$5)"),"")</f>
        <v/>
      </c>
      <c r="BT33" s="534"/>
      <c r="BU33" s="534"/>
      <c r="BV33" s="534"/>
      <c r="BW33" s="534"/>
      <c r="BX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5-3'!$D$11:$Q319,BX$4,BX$5)"),"")</f>
        <v/>
      </c>
      <c r="BY33" s="538"/>
      <c r="BZ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5-3'!$D$11:$Q319,BZ$4,BZ$5)"),"")</f>
        <v/>
      </c>
      <c r="CA33" s="537"/>
      <c r="CB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5-3'!$D$11:$Q319,CB$4,CB$5)"),"")</f>
        <v/>
      </c>
      <c r="CC33" s="537"/>
      <c r="CD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5-3'!$D$11:$Q319,CD$4,CD$5)"),"")</f>
        <v/>
      </c>
      <c r="CE33" s="537"/>
      <c r="CF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5-3'!$D$11:$Q319,CF$4,CF$5)"),"")</f>
        <v/>
      </c>
      <c r="CG33" s="539"/>
      <c r="CH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5-3'!$D$11:$Q319,CH$4,CH$5)"),"")</f>
        <v/>
      </c>
      <c r="CI33" s="537"/>
      <c r="CJ33" s="537"/>
      <c r="CK33" s="537"/>
      <c r="CL33" s="537"/>
      <c r="CM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5-3'!$D$11:$Q319,CM$4,CM$5)"),"")</f>
        <v/>
      </c>
      <c r="CN33" s="541"/>
      <c r="CO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5-3'!$D$11:$Q319,CO$4,CO$5)"),"")</f>
        <v/>
      </c>
      <c r="CP33" s="540"/>
      <c r="CQ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5-3'!$D$11:$Q319,CQ$4,CQ$5)"),"")</f>
        <v/>
      </c>
      <c r="CR33" s="540"/>
      <c r="CS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5-3'!$D$11:$Q319,CS$4,CS$5)"),"")</f>
        <v/>
      </c>
      <c r="CT33" s="540"/>
      <c r="CU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5-3'!$D$11:$Q319,CU$4,CU$5)"),"")</f>
        <v/>
      </c>
      <c r="CV33" s="545"/>
      <c r="CW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5-3'!$D$11:$Q319,CW$4,CW$5)"),"")</f>
        <v/>
      </c>
      <c r="CX33" s="540"/>
      <c r="CY33" s="540"/>
      <c r="CZ33" s="540"/>
      <c r="DA33" s="540"/>
      <c r="DB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5-3'!$D$11:$Q319,DB$4,DB$5)"),"")</f>
        <v/>
      </c>
      <c r="DC33" s="555"/>
      <c r="DD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5-3'!$D$11:$Q319,DD$4,DD$5)"),"")</f>
        <v/>
      </c>
      <c r="DE33" s="554"/>
      <c r="DF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5-3'!$D$11:$Q319,DF$4,DF$5)"),"")</f>
        <v/>
      </c>
      <c r="DG33" s="554"/>
      <c r="DH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5-3'!$D$11:$Q319,DH$4,DH$5)"),"")</f>
        <v/>
      </c>
      <c r="DI33" s="554"/>
      <c r="DJ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5-3'!$D$11:$Q319,DJ$4,DJ$5)"),"")</f>
        <v/>
      </c>
      <c r="DK33" s="566"/>
      <c r="DL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5-3'!$D$11:$Q319,DL$4,DL$5)"),"")</f>
        <v/>
      </c>
      <c r="DM33" s="554"/>
      <c r="DN33" s="554"/>
      <c r="DO33" s="554"/>
      <c r="DP33" s="554"/>
      <c r="DQ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5-3'!$D$11:$Q319,DQ$4,DQ$5)"),"")</f>
        <v/>
      </c>
      <c r="DR33" s="569"/>
      <c r="DS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5-3'!$D$11:$Q319,DS$4,DS$5)"),"")</f>
        <v/>
      </c>
      <c r="DT33" s="568"/>
      <c r="DU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5-3'!$D$11:$Q319,DU$4,DU$5)"),"")</f>
        <v/>
      </c>
      <c r="DV33" s="568"/>
      <c r="DW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5-3'!$D$11:$Q319,DW$4,DW$5)"),"")</f>
        <v/>
      </c>
      <c r="DX33" s="568"/>
      <c r="DY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5-3'!$D$11:$Q319,DY$4,DY$5)"),"")</f>
        <v/>
      </c>
      <c r="DZ33" s="578"/>
      <c r="EA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$C33, 'S-10 Топ 5-3'!$D$11:$Q319,EA$4,EA$5)"),"")</f>
        <v/>
      </c>
      <c r="EB33" s="568"/>
      <c r="EC33" s="568"/>
      <c r="ED33" s="568"/>
      <c r="EE33" s="568"/>
    </row>
    <row r="34">
      <c r="A34" s="519" t="str">
        <f t="shared" si="1"/>
        <v/>
      </c>
      <c r="B34" s="520" t="str">
        <f>'5-0 Товары'!B34</f>
        <v/>
      </c>
      <c r="C34" s="521" t="str">
        <f>'5-1 Сбор КП Закупки'!C34</f>
        <v/>
      </c>
      <c r="D34" s="521" t="str">
        <f>'5-1 Сбор КП Закупки'!D34</f>
        <v/>
      </c>
      <c r="E34" s="521" t="str">
        <f>'5-1 Сбор КП Закупки'!E34</f>
        <v/>
      </c>
      <c r="F34" s="521" t="str">
        <f>'5-1 Сбор КП Закупки'!F34</f>
        <v/>
      </c>
      <c r="G34" s="522" t="str">
        <f>'5-1 Сбор КП Закупки'!G34</f>
        <v/>
      </c>
      <c r="H34" s="522" t="str">
        <f>'5-1 Сбор КП Закупки'!H34</f>
        <v/>
      </c>
      <c r="I34" s="522" t="str">
        <f>'5-1 Сбор КП Закупки'!I34</f>
        <v/>
      </c>
      <c r="J34" s="197"/>
      <c r="K34" s="522" t="str">
        <f>'5-1 Сбор КП Закупки'!G34</f>
        <v/>
      </c>
      <c r="L34" s="523" t="str">
        <f>IF(A34="Да",'5-1 Сбор КП Закупки'!K34,)</f>
        <v/>
      </c>
      <c r="M34" s="197"/>
      <c r="N34" s="197"/>
      <c r="O34" s="197"/>
      <c r="P34" s="525" t="str">
        <f>'5-1 Сбор КП Закупки'!P34</f>
        <v/>
      </c>
      <c r="Q34" s="197"/>
      <c r="R34" s="197"/>
      <c r="S34" s="197"/>
      <c r="T34" s="197"/>
      <c r="U34" s="197"/>
      <c r="V34" s="197"/>
      <c r="W34" s="522" t="str">
        <f>'5-1 Сбор КП Закупки'!O34</f>
        <v/>
      </c>
      <c r="X34" s="197"/>
      <c r="Y34" s="197"/>
      <c r="Z34" s="197"/>
      <c r="AA34" s="197"/>
      <c r="AB34" s="197">
        <v>0.0</v>
      </c>
      <c r="AC34" s="197"/>
      <c r="AD34" s="197"/>
      <c r="AE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5-3'!$D$11:$Q319,AE$4,AE$5)"),"")</f>
        <v/>
      </c>
      <c r="AF34" s="528"/>
      <c r="AG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5-3'!$D$11:$Q319,AG$4,AG$5)"),"")</f>
        <v/>
      </c>
      <c r="AH34" s="527"/>
      <c r="AI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5-3'!$D$11:$Q319,AI$4,AI$5)"),"")</f>
        <v/>
      </c>
      <c r="AJ34" s="527"/>
      <c r="AK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5-3'!$D$11:$Q319,AK$4,AK$5)"),"")</f>
        <v/>
      </c>
      <c r="AL34" s="527"/>
      <c r="AM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5-3'!$D$11:$Q319,AM$4,AM$5)"),"")</f>
        <v/>
      </c>
      <c r="AN34" s="529"/>
      <c r="AO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5-3'!$D$11:$Q319,AO$4,AO$5)"),"")</f>
        <v/>
      </c>
      <c r="AP34" s="527"/>
      <c r="AQ34" s="527"/>
      <c r="AR34" s="527"/>
      <c r="AS34" s="527"/>
      <c r="AT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5-3'!$D$11:$Q319,AT$4,AT$5)"),"")</f>
        <v/>
      </c>
      <c r="AU34" s="531"/>
      <c r="AV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5-3'!$D$11:$Q319,AV$4,AV$5)"),"")</f>
        <v/>
      </c>
      <c r="AW34" s="530"/>
      <c r="AX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5-3'!$D$11:$Q319,AX$4,AX$5)"),"")</f>
        <v/>
      </c>
      <c r="AY34" s="530"/>
      <c r="AZ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5-3'!$D$11:$Q319,AZ$4,AZ$5)"),"")</f>
        <v/>
      </c>
      <c r="BA34" s="530"/>
      <c r="BB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5-3'!$D$11:$Q319,BB$4,BB$5)"),"")</f>
        <v/>
      </c>
      <c r="BC34" s="532"/>
      <c r="BD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5-3'!$D$11:$Q319,BD$4,BD$5)"),"")</f>
        <v/>
      </c>
      <c r="BE34" s="530"/>
      <c r="BF34" s="530"/>
      <c r="BG34" s="530"/>
      <c r="BH34" s="530"/>
      <c r="BI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5-3'!$D$11:$Q319,BI$4,BI$5)"),"")</f>
        <v/>
      </c>
      <c r="BJ34" s="535"/>
      <c r="BK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5-3'!$D$11:$Q319,BK$4,BK$5)"),"")</f>
        <v/>
      </c>
      <c r="BL34" s="534"/>
      <c r="BM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5-3'!$D$11:$Q319,BM$4,BM$5)"),"")</f>
        <v/>
      </c>
      <c r="BN34" s="534"/>
      <c r="BO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5-3'!$D$11:$Q319,BO$4,BO$5)"),"")</f>
        <v/>
      </c>
      <c r="BP34" s="534"/>
      <c r="BQ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5-3'!$D$11:$Q319,BQ$4,BQ$5)"),"")</f>
        <v/>
      </c>
      <c r="BR34" s="536"/>
      <c r="BS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5-3'!$D$11:$Q319,BS$4,BS$5)"),"")</f>
        <v/>
      </c>
      <c r="BT34" s="534"/>
      <c r="BU34" s="534"/>
      <c r="BV34" s="534"/>
      <c r="BW34" s="534"/>
      <c r="BX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5-3'!$D$11:$Q319,BX$4,BX$5)"),"")</f>
        <v/>
      </c>
      <c r="BY34" s="538"/>
      <c r="BZ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5-3'!$D$11:$Q319,BZ$4,BZ$5)"),"")</f>
        <v/>
      </c>
      <c r="CA34" s="537"/>
      <c r="CB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5-3'!$D$11:$Q319,CB$4,CB$5)"),"")</f>
        <v/>
      </c>
      <c r="CC34" s="537"/>
      <c r="CD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5-3'!$D$11:$Q319,CD$4,CD$5)"),"")</f>
        <v/>
      </c>
      <c r="CE34" s="537"/>
      <c r="CF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5-3'!$D$11:$Q319,CF$4,CF$5)"),"")</f>
        <v/>
      </c>
      <c r="CG34" s="539"/>
      <c r="CH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5-3'!$D$11:$Q319,CH$4,CH$5)"),"")</f>
        <v/>
      </c>
      <c r="CI34" s="537"/>
      <c r="CJ34" s="537"/>
      <c r="CK34" s="537"/>
      <c r="CL34" s="537"/>
      <c r="CM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5-3'!$D$11:$Q319,CM$4,CM$5)"),"")</f>
        <v/>
      </c>
      <c r="CN34" s="541"/>
      <c r="CO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5-3'!$D$11:$Q319,CO$4,CO$5)"),"")</f>
        <v/>
      </c>
      <c r="CP34" s="540"/>
      <c r="CQ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5-3'!$D$11:$Q319,CQ$4,CQ$5)"),"")</f>
        <v/>
      </c>
      <c r="CR34" s="540"/>
      <c r="CS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5-3'!$D$11:$Q319,CS$4,CS$5)"),"")</f>
        <v/>
      </c>
      <c r="CT34" s="540"/>
      <c r="CU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5-3'!$D$11:$Q319,CU$4,CU$5)"),"")</f>
        <v/>
      </c>
      <c r="CV34" s="545"/>
      <c r="CW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5-3'!$D$11:$Q319,CW$4,CW$5)"),"")</f>
        <v/>
      </c>
      <c r="CX34" s="540"/>
      <c r="CY34" s="540"/>
      <c r="CZ34" s="540"/>
      <c r="DA34" s="540"/>
      <c r="DB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5-3'!$D$11:$Q319,DB$4,DB$5)"),"")</f>
        <v/>
      </c>
      <c r="DC34" s="555"/>
      <c r="DD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5-3'!$D$11:$Q319,DD$4,DD$5)"),"")</f>
        <v/>
      </c>
      <c r="DE34" s="554"/>
      <c r="DF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5-3'!$D$11:$Q319,DF$4,DF$5)"),"")</f>
        <v/>
      </c>
      <c r="DG34" s="554"/>
      <c r="DH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5-3'!$D$11:$Q319,DH$4,DH$5)"),"")</f>
        <v/>
      </c>
      <c r="DI34" s="554"/>
      <c r="DJ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5-3'!$D$11:$Q319,DJ$4,DJ$5)"),"")</f>
        <v/>
      </c>
      <c r="DK34" s="566"/>
      <c r="DL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5-3'!$D$11:$Q319,DL$4,DL$5)"),"")</f>
        <v/>
      </c>
      <c r="DM34" s="554"/>
      <c r="DN34" s="554"/>
      <c r="DO34" s="554"/>
      <c r="DP34" s="554"/>
      <c r="DQ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5-3'!$D$11:$Q319,DQ$4,DQ$5)"),"")</f>
        <v/>
      </c>
      <c r="DR34" s="569"/>
      <c r="DS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5-3'!$D$11:$Q319,DS$4,DS$5)"),"")</f>
        <v/>
      </c>
      <c r="DT34" s="568"/>
      <c r="DU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5-3'!$D$11:$Q319,DU$4,DU$5)"),"")</f>
        <v/>
      </c>
      <c r="DV34" s="568"/>
      <c r="DW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5-3'!$D$11:$Q319,DW$4,DW$5)"),"")</f>
        <v/>
      </c>
      <c r="DX34" s="568"/>
      <c r="DY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5-3'!$D$11:$Q319,DY$4,DY$5)"),"")</f>
        <v/>
      </c>
      <c r="DZ34" s="578"/>
      <c r="EA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$C34, 'S-10 Топ 5-3'!$D$11:$Q319,EA$4,EA$5)"),"")</f>
        <v/>
      </c>
      <c r="EB34" s="568"/>
      <c r="EC34" s="568"/>
      <c r="ED34" s="568"/>
      <c r="EE34" s="568"/>
    </row>
    <row r="35">
      <c r="A35" s="519" t="str">
        <f t="shared" si="1"/>
        <v/>
      </c>
      <c r="B35" s="520" t="str">
        <f>'5-0 Товары'!B35</f>
        <v/>
      </c>
      <c r="C35" s="521" t="str">
        <f>'5-1 Сбор КП Закупки'!C35</f>
        <v/>
      </c>
      <c r="D35" s="521" t="str">
        <f>'5-1 Сбор КП Закупки'!D35</f>
        <v/>
      </c>
      <c r="E35" s="521" t="str">
        <f>'5-1 Сбор КП Закупки'!E35</f>
        <v/>
      </c>
      <c r="F35" s="521" t="str">
        <f>'5-1 Сбор КП Закупки'!F35</f>
        <v/>
      </c>
      <c r="G35" s="522" t="str">
        <f>'5-1 Сбор КП Закупки'!G35</f>
        <v/>
      </c>
      <c r="H35" s="522" t="str">
        <f>'5-1 Сбор КП Закупки'!H35</f>
        <v/>
      </c>
      <c r="I35" s="522" t="str">
        <f>'5-1 Сбор КП Закупки'!I35</f>
        <v/>
      </c>
      <c r="J35" s="197"/>
      <c r="K35" s="522" t="str">
        <f>'5-1 Сбор КП Закупки'!G35</f>
        <v/>
      </c>
      <c r="L35" s="523" t="str">
        <f>IF(A35="Да",'5-1 Сбор КП Закупки'!K35,)</f>
        <v/>
      </c>
      <c r="M35" s="197"/>
      <c r="N35" s="197"/>
      <c r="O35" s="197"/>
      <c r="P35" s="525" t="str">
        <f>'5-1 Сбор КП Закупки'!P35</f>
        <v/>
      </c>
      <c r="Q35" s="197"/>
      <c r="R35" s="197"/>
      <c r="S35" s="197"/>
      <c r="T35" s="197"/>
      <c r="U35" s="197"/>
      <c r="V35" s="197"/>
      <c r="W35" s="522" t="str">
        <f>'5-1 Сбор КП Закупки'!O35</f>
        <v/>
      </c>
      <c r="X35" s="197"/>
      <c r="Y35" s="197"/>
      <c r="Z35" s="197"/>
      <c r="AA35" s="197"/>
      <c r="AB35" s="197">
        <v>0.0</v>
      </c>
      <c r="AC35" s="197"/>
      <c r="AD35" s="197"/>
      <c r="AE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5-3'!$D$11:$Q319,AE$4,AE$5)"),"")</f>
        <v/>
      </c>
      <c r="AF35" s="528"/>
      <c r="AG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5-3'!$D$11:$Q319,AG$4,AG$5)"),"")</f>
        <v/>
      </c>
      <c r="AH35" s="527"/>
      <c r="AI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5-3'!$D$11:$Q319,AI$4,AI$5)"),"")</f>
        <v/>
      </c>
      <c r="AJ35" s="527"/>
      <c r="AK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5-3'!$D$11:$Q319,AK$4,AK$5)"),"")</f>
        <v/>
      </c>
      <c r="AL35" s="527"/>
      <c r="AM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5-3'!$D$11:$Q319,AM$4,AM$5)"),"")</f>
        <v/>
      </c>
      <c r="AN35" s="529"/>
      <c r="AO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5-3'!$D$11:$Q319,AO$4,AO$5)"),"")</f>
        <v/>
      </c>
      <c r="AP35" s="527"/>
      <c r="AQ35" s="527"/>
      <c r="AR35" s="527"/>
      <c r="AS35" s="527"/>
      <c r="AT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5-3'!$D$11:$Q319,AT$4,AT$5)"),"")</f>
        <v/>
      </c>
      <c r="AU35" s="531"/>
      <c r="AV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5-3'!$D$11:$Q319,AV$4,AV$5)"),"")</f>
        <v/>
      </c>
      <c r="AW35" s="530"/>
      <c r="AX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5-3'!$D$11:$Q319,AX$4,AX$5)"),"")</f>
        <v/>
      </c>
      <c r="AY35" s="530"/>
      <c r="AZ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5-3'!$D$11:$Q319,AZ$4,AZ$5)"),"")</f>
        <v/>
      </c>
      <c r="BA35" s="530"/>
      <c r="BB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5-3'!$D$11:$Q319,BB$4,BB$5)"),"")</f>
        <v/>
      </c>
      <c r="BC35" s="532"/>
      <c r="BD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5-3'!$D$11:$Q319,BD$4,BD$5)"),"")</f>
        <v/>
      </c>
      <c r="BE35" s="530"/>
      <c r="BF35" s="530"/>
      <c r="BG35" s="530"/>
      <c r="BH35" s="530"/>
      <c r="BI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5-3'!$D$11:$Q319,BI$4,BI$5)"),"")</f>
        <v/>
      </c>
      <c r="BJ35" s="535"/>
      <c r="BK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5-3'!$D$11:$Q319,BK$4,BK$5)"),"")</f>
        <v/>
      </c>
      <c r="BL35" s="534"/>
      <c r="BM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5-3'!$D$11:$Q319,BM$4,BM$5)"),"")</f>
        <v/>
      </c>
      <c r="BN35" s="534"/>
      <c r="BO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5-3'!$D$11:$Q319,BO$4,BO$5)"),"")</f>
        <v/>
      </c>
      <c r="BP35" s="534"/>
      <c r="BQ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5-3'!$D$11:$Q319,BQ$4,BQ$5)"),"")</f>
        <v/>
      </c>
      <c r="BR35" s="536"/>
      <c r="BS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5-3'!$D$11:$Q319,BS$4,BS$5)"),"")</f>
        <v/>
      </c>
      <c r="BT35" s="534"/>
      <c r="BU35" s="534"/>
      <c r="BV35" s="534"/>
      <c r="BW35" s="534"/>
      <c r="BX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5-3'!$D$11:$Q319,BX$4,BX$5)"),"")</f>
        <v/>
      </c>
      <c r="BY35" s="538"/>
      <c r="BZ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5-3'!$D$11:$Q319,BZ$4,BZ$5)"),"")</f>
        <v/>
      </c>
      <c r="CA35" s="537"/>
      <c r="CB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5-3'!$D$11:$Q319,CB$4,CB$5)"),"")</f>
        <v/>
      </c>
      <c r="CC35" s="537"/>
      <c r="CD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5-3'!$D$11:$Q319,CD$4,CD$5)"),"")</f>
        <v/>
      </c>
      <c r="CE35" s="537"/>
      <c r="CF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5-3'!$D$11:$Q319,CF$4,CF$5)"),"")</f>
        <v/>
      </c>
      <c r="CG35" s="539"/>
      <c r="CH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5-3'!$D$11:$Q319,CH$4,CH$5)"),"")</f>
        <v/>
      </c>
      <c r="CI35" s="537"/>
      <c r="CJ35" s="537"/>
      <c r="CK35" s="537"/>
      <c r="CL35" s="537"/>
      <c r="CM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5-3'!$D$11:$Q319,CM$4,CM$5)"),"")</f>
        <v/>
      </c>
      <c r="CN35" s="541"/>
      <c r="CO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5-3'!$D$11:$Q319,CO$4,CO$5)"),"")</f>
        <v/>
      </c>
      <c r="CP35" s="540"/>
      <c r="CQ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5-3'!$D$11:$Q319,CQ$4,CQ$5)"),"")</f>
        <v/>
      </c>
      <c r="CR35" s="540"/>
      <c r="CS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5-3'!$D$11:$Q319,CS$4,CS$5)"),"")</f>
        <v/>
      </c>
      <c r="CT35" s="540"/>
      <c r="CU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5-3'!$D$11:$Q319,CU$4,CU$5)"),"")</f>
        <v/>
      </c>
      <c r="CV35" s="545"/>
      <c r="CW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5-3'!$D$11:$Q319,CW$4,CW$5)"),"")</f>
        <v/>
      </c>
      <c r="CX35" s="540"/>
      <c r="CY35" s="540"/>
      <c r="CZ35" s="540"/>
      <c r="DA35" s="540"/>
      <c r="DB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5-3'!$D$11:$Q319,DB$4,DB$5)"),"")</f>
        <v/>
      </c>
      <c r="DC35" s="555"/>
      <c r="DD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5-3'!$D$11:$Q319,DD$4,DD$5)"),"")</f>
        <v/>
      </c>
      <c r="DE35" s="554"/>
      <c r="DF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5-3'!$D$11:$Q319,DF$4,DF$5)"),"")</f>
        <v/>
      </c>
      <c r="DG35" s="554"/>
      <c r="DH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5-3'!$D$11:$Q319,DH$4,DH$5)"),"")</f>
        <v/>
      </c>
      <c r="DI35" s="554"/>
      <c r="DJ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5-3'!$D$11:$Q319,DJ$4,DJ$5)"),"")</f>
        <v/>
      </c>
      <c r="DK35" s="566"/>
      <c r="DL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5-3'!$D$11:$Q319,DL$4,DL$5)"),"")</f>
        <v/>
      </c>
      <c r="DM35" s="554"/>
      <c r="DN35" s="554"/>
      <c r="DO35" s="554"/>
      <c r="DP35" s="554"/>
      <c r="DQ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5-3'!$D$11:$Q319,DQ$4,DQ$5)"),"")</f>
        <v/>
      </c>
      <c r="DR35" s="569"/>
      <c r="DS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5-3'!$D$11:$Q319,DS$4,DS$5)"),"")</f>
        <v/>
      </c>
      <c r="DT35" s="568"/>
      <c r="DU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5-3'!$D$11:$Q319,DU$4,DU$5)"),"")</f>
        <v/>
      </c>
      <c r="DV35" s="568"/>
      <c r="DW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5-3'!$D$11:$Q319,DW$4,DW$5)"),"")</f>
        <v/>
      </c>
      <c r="DX35" s="568"/>
      <c r="DY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5-3'!$D$11:$Q319,DY$4,DY$5)"),"")</f>
        <v/>
      </c>
      <c r="DZ35" s="578"/>
      <c r="EA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$C35, 'S-10 Топ 5-3'!$D$11:$Q319,EA$4,EA$5)"),"")</f>
        <v/>
      </c>
      <c r="EB35" s="568"/>
      <c r="EC35" s="568"/>
      <c r="ED35" s="568"/>
      <c r="EE35" s="568"/>
    </row>
    <row r="36">
      <c r="A36" s="519" t="str">
        <f t="shared" si="1"/>
        <v/>
      </c>
      <c r="B36" s="520" t="str">
        <f>'5-0 Товары'!B36</f>
        <v/>
      </c>
      <c r="C36" s="521" t="str">
        <f>'5-1 Сбор КП Закупки'!C36</f>
        <v/>
      </c>
      <c r="D36" s="521" t="str">
        <f>'5-1 Сбор КП Закупки'!D36</f>
        <v/>
      </c>
      <c r="E36" s="521" t="str">
        <f>'5-1 Сбор КП Закупки'!E36</f>
        <v/>
      </c>
      <c r="F36" s="521" t="str">
        <f>'5-1 Сбор КП Закупки'!F36</f>
        <v/>
      </c>
      <c r="G36" s="522" t="str">
        <f>'5-1 Сбор КП Закупки'!G36</f>
        <v/>
      </c>
      <c r="H36" s="522" t="str">
        <f>'5-1 Сбор КП Закупки'!H36</f>
        <v/>
      </c>
      <c r="I36" s="522" t="str">
        <f>'5-1 Сбор КП Закупки'!I36</f>
        <v/>
      </c>
      <c r="J36" s="197"/>
      <c r="K36" s="522" t="str">
        <f>'5-1 Сбор КП Закупки'!G36</f>
        <v/>
      </c>
      <c r="L36" s="523" t="str">
        <f>IF(A36="Да",'5-1 Сбор КП Закупки'!K36,)</f>
        <v/>
      </c>
      <c r="M36" s="197"/>
      <c r="N36" s="197"/>
      <c r="O36" s="197"/>
      <c r="P36" s="525" t="str">
        <f>'5-1 Сбор КП Закупки'!P36</f>
        <v/>
      </c>
      <c r="Q36" s="197"/>
      <c r="R36" s="197"/>
      <c r="S36" s="197"/>
      <c r="T36" s="197"/>
      <c r="U36" s="197"/>
      <c r="V36" s="197"/>
      <c r="W36" s="522" t="str">
        <f>'5-1 Сбор КП Закупки'!O36</f>
        <v/>
      </c>
      <c r="X36" s="197"/>
      <c r="Y36" s="197"/>
      <c r="Z36" s="197"/>
      <c r="AA36" s="197"/>
      <c r="AB36" s="197">
        <v>0.0</v>
      </c>
      <c r="AC36" s="197"/>
      <c r="AD36" s="197"/>
      <c r="AE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5-3'!$D$11:$Q319,AE$4,AE$5)"),"")</f>
        <v/>
      </c>
      <c r="AF36" s="528"/>
      <c r="AG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5-3'!$D$11:$Q319,AG$4,AG$5)"),"")</f>
        <v/>
      </c>
      <c r="AH36" s="527"/>
      <c r="AI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5-3'!$D$11:$Q319,AI$4,AI$5)"),"")</f>
        <v/>
      </c>
      <c r="AJ36" s="527"/>
      <c r="AK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5-3'!$D$11:$Q319,AK$4,AK$5)"),"")</f>
        <v/>
      </c>
      <c r="AL36" s="527"/>
      <c r="AM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5-3'!$D$11:$Q319,AM$4,AM$5)"),"")</f>
        <v/>
      </c>
      <c r="AN36" s="529"/>
      <c r="AO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5-3'!$D$11:$Q319,AO$4,AO$5)"),"")</f>
        <v/>
      </c>
      <c r="AP36" s="527"/>
      <c r="AQ36" s="527"/>
      <c r="AR36" s="527"/>
      <c r="AS36" s="527"/>
      <c r="AT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5-3'!$D$11:$Q319,AT$4,AT$5)"),"")</f>
        <v/>
      </c>
      <c r="AU36" s="531"/>
      <c r="AV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5-3'!$D$11:$Q319,AV$4,AV$5)"),"")</f>
        <v/>
      </c>
      <c r="AW36" s="530"/>
      <c r="AX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5-3'!$D$11:$Q319,AX$4,AX$5)"),"")</f>
        <v/>
      </c>
      <c r="AY36" s="530"/>
      <c r="AZ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5-3'!$D$11:$Q319,AZ$4,AZ$5)"),"")</f>
        <v/>
      </c>
      <c r="BA36" s="530"/>
      <c r="BB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5-3'!$D$11:$Q319,BB$4,BB$5)"),"")</f>
        <v/>
      </c>
      <c r="BC36" s="532"/>
      <c r="BD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5-3'!$D$11:$Q319,BD$4,BD$5)"),"")</f>
        <v/>
      </c>
      <c r="BE36" s="530"/>
      <c r="BF36" s="530"/>
      <c r="BG36" s="530"/>
      <c r="BH36" s="530"/>
      <c r="BI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5-3'!$D$11:$Q319,BI$4,BI$5)"),"")</f>
        <v/>
      </c>
      <c r="BJ36" s="535"/>
      <c r="BK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5-3'!$D$11:$Q319,BK$4,BK$5)"),"")</f>
        <v/>
      </c>
      <c r="BL36" s="534"/>
      <c r="BM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5-3'!$D$11:$Q319,BM$4,BM$5)"),"")</f>
        <v/>
      </c>
      <c r="BN36" s="534"/>
      <c r="BO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5-3'!$D$11:$Q319,BO$4,BO$5)"),"")</f>
        <v/>
      </c>
      <c r="BP36" s="534"/>
      <c r="BQ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5-3'!$D$11:$Q319,BQ$4,BQ$5)"),"")</f>
        <v/>
      </c>
      <c r="BR36" s="536"/>
      <c r="BS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5-3'!$D$11:$Q319,BS$4,BS$5)"),"")</f>
        <v/>
      </c>
      <c r="BT36" s="534"/>
      <c r="BU36" s="534"/>
      <c r="BV36" s="534"/>
      <c r="BW36" s="534"/>
      <c r="BX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5-3'!$D$11:$Q319,BX$4,BX$5)"),"")</f>
        <v/>
      </c>
      <c r="BY36" s="538"/>
      <c r="BZ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5-3'!$D$11:$Q319,BZ$4,BZ$5)"),"")</f>
        <v/>
      </c>
      <c r="CA36" s="537"/>
      <c r="CB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5-3'!$D$11:$Q319,CB$4,CB$5)"),"")</f>
        <v/>
      </c>
      <c r="CC36" s="537"/>
      <c r="CD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5-3'!$D$11:$Q319,CD$4,CD$5)"),"")</f>
        <v/>
      </c>
      <c r="CE36" s="537"/>
      <c r="CF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5-3'!$D$11:$Q319,CF$4,CF$5)"),"")</f>
        <v/>
      </c>
      <c r="CG36" s="539"/>
      <c r="CH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5-3'!$D$11:$Q319,CH$4,CH$5)"),"")</f>
        <v/>
      </c>
      <c r="CI36" s="537"/>
      <c r="CJ36" s="537"/>
      <c r="CK36" s="537"/>
      <c r="CL36" s="537"/>
      <c r="CM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5-3'!$D$11:$Q319,CM$4,CM$5)"),"")</f>
        <v/>
      </c>
      <c r="CN36" s="541"/>
      <c r="CO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5-3'!$D$11:$Q319,CO$4,CO$5)"),"")</f>
        <v/>
      </c>
      <c r="CP36" s="540"/>
      <c r="CQ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5-3'!$D$11:$Q319,CQ$4,CQ$5)"),"")</f>
        <v/>
      </c>
      <c r="CR36" s="540"/>
      <c r="CS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5-3'!$D$11:$Q319,CS$4,CS$5)"),"")</f>
        <v/>
      </c>
      <c r="CT36" s="540"/>
      <c r="CU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5-3'!$D$11:$Q319,CU$4,CU$5)"),"")</f>
        <v/>
      </c>
      <c r="CV36" s="545"/>
      <c r="CW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5-3'!$D$11:$Q319,CW$4,CW$5)"),"")</f>
        <v/>
      </c>
      <c r="CX36" s="540"/>
      <c r="CY36" s="540"/>
      <c r="CZ36" s="540"/>
      <c r="DA36" s="540"/>
      <c r="DB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5-3'!$D$11:$Q319,DB$4,DB$5)"),"")</f>
        <v/>
      </c>
      <c r="DC36" s="555"/>
      <c r="DD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5-3'!$D$11:$Q319,DD$4,DD$5)"),"")</f>
        <v/>
      </c>
      <c r="DE36" s="554"/>
      <c r="DF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5-3'!$D$11:$Q319,DF$4,DF$5)"),"")</f>
        <v/>
      </c>
      <c r="DG36" s="554"/>
      <c r="DH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5-3'!$D$11:$Q319,DH$4,DH$5)"),"")</f>
        <v/>
      </c>
      <c r="DI36" s="554"/>
      <c r="DJ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5-3'!$D$11:$Q319,DJ$4,DJ$5)"),"")</f>
        <v/>
      </c>
      <c r="DK36" s="566"/>
      <c r="DL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5-3'!$D$11:$Q319,DL$4,DL$5)"),"")</f>
        <v/>
      </c>
      <c r="DM36" s="554"/>
      <c r="DN36" s="554"/>
      <c r="DO36" s="554"/>
      <c r="DP36" s="554"/>
      <c r="DQ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5-3'!$D$11:$Q319,DQ$4,DQ$5)"),"")</f>
        <v/>
      </c>
      <c r="DR36" s="569"/>
      <c r="DS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5-3'!$D$11:$Q319,DS$4,DS$5)"),"")</f>
        <v/>
      </c>
      <c r="DT36" s="568"/>
      <c r="DU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5-3'!$D$11:$Q319,DU$4,DU$5)"),"")</f>
        <v/>
      </c>
      <c r="DV36" s="568"/>
      <c r="DW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5-3'!$D$11:$Q319,DW$4,DW$5)"),"")</f>
        <v/>
      </c>
      <c r="DX36" s="568"/>
      <c r="DY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5-3'!$D$11:$Q319,DY$4,DY$5)"),"")</f>
        <v/>
      </c>
      <c r="DZ36" s="578"/>
      <c r="EA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$C36, 'S-10 Топ 5-3'!$D$11:$Q319,EA$4,EA$5)"),"")</f>
        <v/>
      </c>
      <c r="EB36" s="568"/>
      <c r="EC36" s="568"/>
      <c r="ED36" s="568"/>
      <c r="EE36" s="568"/>
    </row>
    <row r="37">
      <c r="A37" s="519" t="str">
        <f t="shared" si="1"/>
        <v/>
      </c>
      <c r="B37" s="520" t="str">
        <f>'5-0 Товары'!B37</f>
        <v/>
      </c>
      <c r="C37" s="521" t="str">
        <f>'5-1 Сбор КП Закупки'!C37</f>
        <v/>
      </c>
      <c r="D37" s="521" t="str">
        <f>'5-1 Сбор КП Закупки'!D37</f>
        <v/>
      </c>
      <c r="E37" s="521" t="str">
        <f>'5-1 Сбор КП Закупки'!E37</f>
        <v/>
      </c>
      <c r="F37" s="521" t="str">
        <f>'5-1 Сбор КП Закупки'!F37</f>
        <v/>
      </c>
      <c r="G37" s="522" t="str">
        <f>'5-1 Сбор КП Закупки'!G37</f>
        <v/>
      </c>
      <c r="H37" s="522" t="str">
        <f>'5-1 Сбор КП Закупки'!H37</f>
        <v/>
      </c>
      <c r="I37" s="522" t="str">
        <f>'5-1 Сбор КП Закупки'!I37</f>
        <v/>
      </c>
      <c r="J37" s="197"/>
      <c r="K37" s="522" t="str">
        <f>'5-1 Сбор КП Закупки'!G37</f>
        <v/>
      </c>
      <c r="L37" s="523" t="str">
        <f>IF(A37="Да",'5-1 Сбор КП Закупки'!K37,)</f>
        <v/>
      </c>
      <c r="M37" s="197"/>
      <c r="N37" s="197"/>
      <c r="O37" s="197"/>
      <c r="P37" s="525" t="str">
        <f>'5-1 Сбор КП Закупки'!P37</f>
        <v/>
      </c>
      <c r="Q37" s="197"/>
      <c r="R37" s="197"/>
      <c r="S37" s="197"/>
      <c r="T37" s="197"/>
      <c r="U37" s="197"/>
      <c r="V37" s="197"/>
      <c r="W37" s="522" t="str">
        <f>'5-1 Сбор КП Закупки'!O37</f>
        <v/>
      </c>
      <c r="X37" s="197"/>
      <c r="Y37" s="197"/>
      <c r="Z37" s="197"/>
      <c r="AA37" s="197"/>
      <c r="AB37" s="197">
        <v>0.0</v>
      </c>
      <c r="AC37" s="197"/>
      <c r="AD37" s="197"/>
      <c r="AE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5-3'!$D$11:$Q319,AE$4,AE$5)"),"")</f>
        <v/>
      </c>
      <c r="AF37" s="528"/>
      <c r="AG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5-3'!$D$11:$Q319,AG$4,AG$5)"),"")</f>
        <v/>
      </c>
      <c r="AH37" s="527"/>
      <c r="AI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5-3'!$D$11:$Q319,AI$4,AI$5)"),"")</f>
        <v/>
      </c>
      <c r="AJ37" s="527"/>
      <c r="AK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5-3'!$D$11:$Q319,AK$4,AK$5)"),"")</f>
        <v/>
      </c>
      <c r="AL37" s="527"/>
      <c r="AM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5-3'!$D$11:$Q319,AM$4,AM$5)"),"")</f>
        <v/>
      </c>
      <c r="AN37" s="529"/>
      <c r="AO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5-3'!$D$11:$Q319,AO$4,AO$5)"),"")</f>
        <v/>
      </c>
      <c r="AP37" s="527"/>
      <c r="AQ37" s="527"/>
      <c r="AR37" s="527"/>
      <c r="AS37" s="527"/>
      <c r="AT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5-3'!$D$11:$Q319,AT$4,AT$5)"),"")</f>
        <v/>
      </c>
      <c r="AU37" s="531"/>
      <c r="AV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5-3'!$D$11:$Q319,AV$4,AV$5)"),"")</f>
        <v/>
      </c>
      <c r="AW37" s="530"/>
      <c r="AX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5-3'!$D$11:$Q319,AX$4,AX$5)"),"")</f>
        <v/>
      </c>
      <c r="AY37" s="530"/>
      <c r="AZ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5-3'!$D$11:$Q319,AZ$4,AZ$5)"),"")</f>
        <v/>
      </c>
      <c r="BA37" s="530"/>
      <c r="BB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5-3'!$D$11:$Q319,BB$4,BB$5)"),"")</f>
        <v/>
      </c>
      <c r="BC37" s="532"/>
      <c r="BD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5-3'!$D$11:$Q319,BD$4,BD$5)"),"")</f>
        <v/>
      </c>
      <c r="BE37" s="530"/>
      <c r="BF37" s="530"/>
      <c r="BG37" s="530"/>
      <c r="BH37" s="530"/>
      <c r="BI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5-3'!$D$11:$Q319,BI$4,BI$5)"),"")</f>
        <v/>
      </c>
      <c r="BJ37" s="535"/>
      <c r="BK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5-3'!$D$11:$Q319,BK$4,BK$5)"),"")</f>
        <v/>
      </c>
      <c r="BL37" s="534"/>
      <c r="BM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5-3'!$D$11:$Q319,BM$4,BM$5)"),"")</f>
        <v/>
      </c>
      <c r="BN37" s="534"/>
      <c r="BO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5-3'!$D$11:$Q319,BO$4,BO$5)"),"")</f>
        <v/>
      </c>
      <c r="BP37" s="534"/>
      <c r="BQ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5-3'!$D$11:$Q319,BQ$4,BQ$5)"),"")</f>
        <v/>
      </c>
      <c r="BR37" s="536"/>
      <c r="BS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5-3'!$D$11:$Q319,BS$4,BS$5)"),"")</f>
        <v/>
      </c>
      <c r="BT37" s="534"/>
      <c r="BU37" s="534"/>
      <c r="BV37" s="534"/>
      <c r="BW37" s="534"/>
      <c r="BX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5-3'!$D$11:$Q319,BX$4,BX$5)"),"")</f>
        <v/>
      </c>
      <c r="BY37" s="538"/>
      <c r="BZ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5-3'!$D$11:$Q319,BZ$4,BZ$5)"),"")</f>
        <v/>
      </c>
      <c r="CA37" s="537"/>
      <c r="CB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5-3'!$D$11:$Q319,CB$4,CB$5)"),"")</f>
        <v/>
      </c>
      <c r="CC37" s="537"/>
      <c r="CD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5-3'!$D$11:$Q319,CD$4,CD$5)"),"")</f>
        <v/>
      </c>
      <c r="CE37" s="537"/>
      <c r="CF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5-3'!$D$11:$Q319,CF$4,CF$5)"),"")</f>
        <v/>
      </c>
      <c r="CG37" s="539"/>
      <c r="CH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5-3'!$D$11:$Q319,CH$4,CH$5)"),"")</f>
        <v/>
      </c>
      <c r="CI37" s="537"/>
      <c r="CJ37" s="537"/>
      <c r="CK37" s="537"/>
      <c r="CL37" s="537"/>
      <c r="CM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5-3'!$D$11:$Q319,CM$4,CM$5)"),"")</f>
        <v/>
      </c>
      <c r="CN37" s="541"/>
      <c r="CO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5-3'!$D$11:$Q319,CO$4,CO$5)"),"")</f>
        <v/>
      </c>
      <c r="CP37" s="540"/>
      <c r="CQ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5-3'!$D$11:$Q319,CQ$4,CQ$5)"),"")</f>
        <v/>
      </c>
      <c r="CR37" s="540"/>
      <c r="CS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5-3'!$D$11:$Q319,CS$4,CS$5)"),"")</f>
        <v/>
      </c>
      <c r="CT37" s="540"/>
      <c r="CU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5-3'!$D$11:$Q319,CU$4,CU$5)"),"")</f>
        <v/>
      </c>
      <c r="CV37" s="545"/>
      <c r="CW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5-3'!$D$11:$Q319,CW$4,CW$5)"),"")</f>
        <v/>
      </c>
      <c r="CX37" s="540"/>
      <c r="CY37" s="540"/>
      <c r="CZ37" s="540"/>
      <c r="DA37" s="540"/>
      <c r="DB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5-3'!$D$11:$Q319,DB$4,DB$5)"),"")</f>
        <v/>
      </c>
      <c r="DC37" s="555"/>
      <c r="DD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5-3'!$D$11:$Q319,DD$4,DD$5)"),"")</f>
        <v/>
      </c>
      <c r="DE37" s="554"/>
      <c r="DF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5-3'!$D$11:$Q319,DF$4,DF$5)"),"")</f>
        <v/>
      </c>
      <c r="DG37" s="554"/>
      <c r="DH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5-3'!$D$11:$Q319,DH$4,DH$5)"),"")</f>
        <v/>
      </c>
      <c r="DI37" s="554"/>
      <c r="DJ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5-3'!$D$11:$Q319,DJ$4,DJ$5)"),"")</f>
        <v/>
      </c>
      <c r="DK37" s="566"/>
      <c r="DL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5-3'!$D$11:$Q319,DL$4,DL$5)"),"")</f>
        <v/>
      </c>
      <c r="DM37" s="554"/>
      <c r="DN37" s="554"/>
      <c r="DO37" s="554"/>
      <c r="DP37" s="554"/>
      <c r="DQ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5-3'!$D$11:$Q319,DQ$4,DQ$5)"),"")</f>
        <v/>
      </c>
      <c r="DR37" s="569"/>
      <c r="DS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5-3'!$D$11:$Q319,DS$4,DS$5)"),"")</f>
        <v/>
      </c>
      <c r="DT37" s="568"/>
      <c r="DU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5-3'!$D$11:$Q319,DU$4,DU$5)"),"")</f>
        <v/>
      </c>
      <c r="DV37" s="568"/>
      <c r="DW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5-3'!$D$11:$Q319,DW$4,DW$5)"),"")</f>
        <v/>
      </c>
      <c r="DX37" s="568"/>
      <c r="DY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5-3'!$D$11:$Q319,DY$4,DY$5)"),"")</f>
        <v/>
      </c>
      <c r="DZ37" s="578"/>
      <c r="EA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$C37, 'S-10 Топ 5-3'!$D$11:$Q319,EA$4,EA$5)"),"")</f>
        <v/>
      </c>
      <c r="EB37" s="568"/>
      <c r="EC37" s="568"/>
      <c r="ED37" s="568"/>
      <c r="EE37" s="568"/>
    </row>
    <row r="38">
      <c r="A38" s="519" t="str">
        <f t="shared" si="1"/>
        <v/>
      </c>
      <c r="B38" s="520" t="str">
        <f>'5-0 Товары'!B38</f>
        <v/>
      </c>
      <c r="C38" s="521" t="str">
        <f>'5-1 Сбор КП Закупки'!C38</f>
        <v/>
      </c>
      <c r="D38" s="521" t="str">
        <f>'5-1 Сбор КП Закупки'!D38</f>
        <v/>
      </c>
      <c r="E38" s="521" t="str">
        <f>'5-1 Сбор КП Закупки'!E38</f>
        <v/>
      </c>
      <c r="F38" s="521" t="str">
        <f>'5-1 Сбор КП Закупки'!F38</f>
        <v/>
      </c>
      <c r="G38" s="522" t="str">
        <f>'5-1 Сбор КП Закупки'!G38</f>
        <v/>
      </c>
      <c r="H38" s="522" t="str">
        <f>'5-1 Сбор КП Закупки'!H38</f>
        <v/>
      </c>
      <c r="I38" s="522" t="str">
        <f>'5-1 Сбор КП Закупки'!I38</f>
        <v/>
      </c>
      <c r="J38" s="197"/>
      <c r="K38" s="522" t="str">
        <f>'5-1 Сбор КП Закупки'!G38</f>
        <v/>
      </c>
      <c r="L38" s="523" t="str">
        <f>IF(A38="Да",'5-1 Сбор КП Закупки'!K38,)</f>
        <v/>
      </c>
      <c r="M38" s="197"/>
      <c r="N38" s="197"/>
      <c r="O38" s="197"/>
      <c r="P38" s="525" t="str">
        <f>'5-1 Сбор КП Закупки'!P38</f>
        <v/>
      </c>
      <c r="Q38" s="197"/>
      <c r="R38" s="197"/>
      <c r="S38" s="197"/>
      <c r="T38" s="197"/>
      <c r="U38" s="197"/>
      <c r="V38" s="197"/>
      <c r="W38" s="522" t="str">
        <f>'5-1 Сбор КП Закупки'!O38</f>
        <v/>
      </c>
      <c r="X38" s="197"/>
      <c r="Y38" s="197"/>
      <c r="Z38" s="197"/>
      <c r="AA38" s="197"/>
      <c r="AB38" s="197">
        <v>0.0</v>
      </c>
      <c r="AC38" s="197"/>
      <c r="AD38" s="197"/>
      <c r="AE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5-3'!$D$11:$Q319,AE$4,AE$5)"),"")</f>
        <v/>
      </c>
      <c r="AF38" s="528"/>
      <c r="AG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5-3'!$D$11:$Q319,AG$4,AG$5)"),"")</f>
        <v/>
      </c>
      <c r="AH38" s="527"/>
      <c r="AI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5-3'!$D$11:$Q319,AI$4,AI$5)"),"")</f>
        <v/>
      </c>
      <c r="AJ38" s="527"/>
      <c r="AK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5-3'!$D$11:$Q319,AK$4,AK$5)"),"")</f>
        <v/>
      </c>
      <c r="AL38" s="527"/>
      <c r="AM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5-3'!$D$11:$Q319,AM$4,AM$5)"),"")</f>
        <v/>
      </c>
      <c r="AN38" s="529"/>
      <c r="AO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5-3'!$D$11:$Q319,AO$4,AO$5)"),"")</f>
        <v/>
      </c>
      <c r="AP38" s="527"/>
      <c r="AQ38" s="527"/>
      <c r="AR38" s="527"/>
      <c r="AS38" s="527"/>
      <c r="AT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5-3'!$D$11:$Q319,AT$4,AT$5)"),"")</f>
        <v/>
      </c>
      <c r="AU38" s="531"/>
      <c r="AV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5-3'!$D$11:$Q319,AV$4,AV$5)"),"")</f>
        <v/>
      </c>
      <c r="AW38" s="530"/>
      <c r="AX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5-3'!$D$11:$Q319,AX$4,AX$5)"),"")</f>
        <v/>
      </c>
      <c r="AY38" s="530"/>
      <c r="AZ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5-3'!$D$11:$Q319,AZ$4,AZ$5)"),"")</f>
        <v/>
      </c>
      <c r="BA38" s="530"/>
      <c r="BB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5-3'!$D$11:$Q319,BB$4,BB$5)"),"")</f>
        <v/>
      </c>
      <c r="BC38" s="532"/>
      <c r="BD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5-3'!$D$11:$Q319,BD$4,BD$5)"),"")</f>
        <v/>
      </c>
      <c r="BE38" s="530"/>
      <c r="BF38" s="530"/>
      <c r="BG38" s="530"/>
      <c r="BH38" s="530"/>
      <c r="BI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5-3'!$D$11:$Q319,BI$4,BI$5)"),"")</f>
        <v/>
      </c>
      <c r="BJ38" s="535"/>
      <c r="BK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5-3'!$D$11:$Q319,BK$4,BK$5)"),"")</f>
        <v/>
      </c>
      <c r="BL38" s="534"/>
      <c r="BM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5-3'!$D$11:$Q319,BM$4,BM$5)"),"")</f>
        <v/>
      </c>
      <c r="BN38" s="534"/>
      <c r="BO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5-3'!$D$11:$Q319,BO$4,BO$5)"),"")</f>
        <v/>
      </c>
      <c r="BP38" s="534"/>
      <c r="BQ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5-3'!$D$11:$Q319,BQ$4,BQ$5)"),"")</f>
        <v/>
      </c>
      <c r="BR38" s="536"/>
      <c r="BS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5-3'!$D$11:$Q319,BS$4,BS$5)"),"")</f>
        <v/>
      </c>
      <c r="BT38" s="534"/>
      <c r="BU38" s="534"/>
      <c r="BV38" s="534"/>
      <c r="BW38" s="534"/>
      <c r="BX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5-3'!$D$11:$Q319,BX$4,BX$5)"),"")</f>
        <v/>
      </c>
      <c r="BY38" s="538"/>
      <c r="BZ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5-3'!$D$11:$Q319,BZ$4,BZ$5)"),"")</f>
        <v/>
      </c>
      <c r="CA38" s="537"/>
      <c r="CB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5-3'!$D$11:$Q319,CB$4,CB$5)"),"")</f>
        <v/>
      </c>
      <c r="CC38" s="537"/>
      <c r="CD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5-3'!$D$11:$Q319,CD$4,CD$5)"),"")</f>
        <v/>
      </c>
      <c r="CE38" s="537"/>
      <c r="CF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5-3'!$D$11:$Q319,CF$4,CF$5)"),"")</f>
        <v/>
      </c>
      <c r="CG38" s="539"/>
      <c r="CH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5-3'!$D$11:$Q319,CH$4,CH$5)"),"")</f>
        <v/>
      </c>
      <c r="CI38" s="537"/>
      <c r="CJ38" s="537"/>
      <c r="CK38" s="537"/>
      <c r="CL38" s="537"/>
      <c r="CM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5-3'!$D$11:$Q319,CM$4,CM$5)"),"")</f>
        <v/>
      </c>
      <c r="CN38" s="541"/>
      <c r="CO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5-3'!$D$11:$Q319,CO$4,CO$5)"),"")</f>
        <v/>
      </c>
      <c r="CP38" s="540"/>
      <c r="CQ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5-3'!$D$11:$Q319,CQ$4,CQ$5)"),"")</f>
        <v/>
      </c>
      <c r="CR38" s="540"/>
      <c r="CS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5-3'!$D$11:$Q319,CS$4,CS$5)"),"")</f>
        <v/>
      </c>
      <c r="CT38" s="540"/>
      <c r="CU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5-3'!$D$11:$Q319,CU$4,CU$5)"),"")</f>
        <v/>
      </c>
      <c r="CV38" s="545"/>
      <c r="CW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5-3'!$D$11:$Q319,CW$4,CW$5)"),"")</f>
        <v/>
      </c>
      <c r="CX38" s="540"/>
      <c r="CY38" s="540"/>
      <c r="CZ38" s="540"/>
      <c r="DA38" s="540"/>
      <c r="DB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5-3'!$D$11:$Q319,DB$4,DB$5)"),"")</f>
        <v/>
      </c>
      <c r="DC38" s="555"/>
      <c r="DD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5-3'!$D$11:$Q319,DD$4,DD$5)"),"")</f>
        <v/>
      </c>
      <c r="DE38" s="554"/>
      <c r="DF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5-3'!$D$11:$Q319,DF$4,DF$5)"),"")</f>
        <v/>
      </c>
      <c r="DG38" s="554"/>
      <c r="DH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5-3'!$D$11:$Q319,DH$4,DH$5)"),"")</f>
        <v/>
      </c>
      <c r="DI38" s="554"/>
      <c r="DJ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5-3'!$D$11:$Q319,DJ$4,DJ$5)"),"")</f>
        <v/>
      </c>
      <c r="DK38" s="566"/>
      <c r="DL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5-3'!$D$11:$Q319,DL$4,DL$5)"),"")</f>
        <v/>
      </c>
      <c r="DM38" s="554"/>
      <c r="DN38" s="554"/>
      <c r="DO38" s="554"/>
      <c r="DP38" s="554"/>
      <c r="DQ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5-3'!$D$11:$Q319,DQ$4,DQ$5)"),"")</f>
        <v/>
      </c>
      <c r="DR38" s="569"/>
      <c r="DS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5-3'!$D$11:$Q319,DS$4,DS$5)"),"")</f>
        <v/>
      </c>
      <c r="DT38" s="568"/>
      <c r="DU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5-3'!$D$11:$Q319,DU$4,DU$5)"),"")</f>
        <v/>
      </c>
      <c r="DV38" s="568"/>
      <c r="DW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5-3'!$D$11:$Q319,DW$4,DW$5)"),"")</f>
        <v/>
      </c>
      <c r="DX38" s="568"/>
      <c r="DY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5-3'!$D$11:$Q319,DY$4,DY$5)"),"")</f>
        <v/>
      </c>
      <c r="DZ38" s="578"/>
      <c r="EA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$C38, 'S-10 Топ 5-3'!$D$11:$Q319,EA$4,EA$5)"),"")</f>
        <v/>
      </c>
      <c r="EB38" s="568"/>
      <c r="EC38" s="568"/>
      <c r="ED38" s="568"/>
      <c r="EE38" s="568"/>
    </row>
    <row r="39">
      <c r="A39" s="519" t="str">
        <f t="shared" si="1"/>
        <v/>
      </c>
      <c r="B39" s="520" t="str">
        <f>'5-0 Товары'!B39</f>
        <v/>
      </c>
      <c r="C39" s="521" t="str">
        <f>'5-1 Сбор КП Закупки'!C39</f>
        <v/>
      </c>
      <c r="D39" s="521" t="str">
        <f>'5-1 Сбор КП Закупки'!D39</f>
        <v/>
      </c>
      <c r="E39" s="521" t="str">
        <f>'5-1 Сбор КП Закупки'!E39</f>
        <v/>
      </c>
      <c r="F39" s="521" t="str">
        <f>'5-1 Сбор КП Закупки'!F39</f>
        <v/>
      </c>
      <c r="G39" s="522" t="str">
        <f>'5-1 Сбор КП Закупки'!G39</f>
        <v/>
      </c>
      <c r="H39" s="522" t="str">
        <f>'5-1 Сбор КП Закупки'!H39</f>
        <v/>
      </c>
      <c r="I39" s="522" t="str">
        <f>'5-1 Сбор КП Закупки'!I39</f>
        <v/>
      </c>
      <c r="J39" s="197"/>
      <c r="K39" s="522" t="str">
        <f>'5-1 Сбор КП Закупки'!G39</f>
        <v/>
      </c>
      <c r="L39" s="523" t="str">
        <f>IF(A39="Да",'5-1 Сбор КП Закупки'!K39,)</f>
        <v/>
      </c>
      <c r="M39" s="197"/>
      <c r="N39" s="197"/>
      <c r="O39" s="197"/>
      <c r="P39" s="525" t="str">
        <f>'5-1 Сбор КП Закупки'!P39</f>
        <v/>
      </c>
      <c r="Q39" s="197"/>
      <c r="R39" s="197"/>
      <c r="S39" s="197"/>
      <c r="T39" s="197"/>
      <c r="U39" s="197"/>
      <c r="V39" s="197"/>
      <c r="W39" s="522" t="str">
        <f>'5-1 Сбор КП Закупки'!O39</f>
        <v/>
      </c>
      <c r="X39" s="197"/>
      <c r="Y39" s="197"/>
      <c r="Z39" s="197"/>
      <c r="AA39" s="197"/>
      <c r="AB39" s="197">
        <v>0.0</v>
      </c>
      <c r="AC39" s="197"/>
      <c r="AD39" s="197"/>
      <c r="AE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5-3'!$D$11:$Q319,AE$4,AE$5)"),"")</f>
        <v/>
      </c>
      <c r="AF39" s="528"/>
      <c r="AG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5-3'!$D$11:$Q319,AG$4,AG$5)"),"")</f>
        <v/>
      </c>
      <c r="AH39" s="527"/>
      <c r="AI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5-3'!$D$11:$Q319,AI$4,AI$5)"),"")</f>
        <v/>
      </c>
      <c r="AJ39" s="527"/>
      <c r="AK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5-3'!$D$11:$Q319,AK$4,AK$5)"),"")</f>
        <v/>
      </c>
      <c r="AL39" s="527"/>
      <c r="AM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5-3'!$D$11:$Q319,AM$4,AM$5)"),"")</f>
        <v/>
      </c>
      <c r="AN39" s="529"/>
      <c r="AO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5-3'!$D$11:$Q319,AO$4,AO$5)"),"")</f>
        <v/>
      </c>
      <c r="AP39" s="527"/>
      <c r="AQ39" s="527"/>
      <c r="AR39" s="527"/>
      <c r="AS39" s="527"/>
      <c r="AT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5-3'!$D$11:$Q319,AT$4,AT$5)"),"")</f>
        <v/>
      </c>
      <c r="AU39" s="531"/>
      <c r="AV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5-3'!$D$11:$Q319,AV$4,AV$5)"),"")</f>
        <v/>
      </c>
      <c r="AW39" s="530"/>
      <c r="AX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5-3'!$D$11:$Q319,AX$4,AX$5)"),"")</f>
        <v/>
      </c>
      <c r="AY39" s="530"/>
      <c r="AZ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5-3'!$D$11:$Q319,AZ$4,AZ$5)"),"")</f>
        <v/>
      </c>
      <c r="BA39" s="530"/>
      <c r="BB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5-3'!$D$11:$Q319,BB$4,BB$5)"),"")</f>
        <v/>
      </c>
      <c r="BC39" s="532"/>
      <c r="BD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5-3'!$D$11:$Q319,BD$4,BD$5)"),"")</f>
        <v/>
      </c>
      <c r="BE39" s="530"/>
      <c r="BF39" s="530"/>
      <c r="BG39" s="530"/>
      <c r="BH39" s="530"/>
      <c r="BI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5-3'!$D$11:$Q319,BI$4,BI$5)"),"")</f>
        <v/>
      </c>
      <c r="BJ39" s="535"/>
      <c r="BK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5-3'!$D$11:$Q319,BK$4,BK$5)"),"")</f>
        <v/>
      </c>
      <c r="BL39" s="534"/>
      <c r="BM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5-3'!$D$11:$Q319,BM$4,BM$5)"),"")</f>
        <v/>
      </c>
      <c r="BN39" s="534"/>
      <c r="BO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5-3'!$D$11:$Q319,BO$4,BO$5)"),"")</f>
        <v/>
      </c>
      <c r="BP39" s="534"/>
      <c r="BQ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5-3'!$D$11:$Q319,BQ$4,BQ$5)"),"")</f>
        <v/>
      </c>
      <c r="BR39" s="536"/>
      <c r="BS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5-3'!$D$11:$Q319,BS$4,BS$5)"),"")</f>
        <v/>
      </c>
      <c r="BT39" s="534"/>
      <c r="BU39" s="534"/>
      <c r="BV39" s="534"/>
      <c r="BW39" s="534"/>
      <c r="BX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5-3'!$D$11:$Q319,BX$4,BX$5)"),"")</f>
        <v/>
      </c>
      <c r="BY39" s="538"/>
      <c r="BZ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5-3'!$D$11:$Q319,BZ$4,BZ$5)"),"")</f>
        <v/>
      </c>
      <c r="CA39" s="537"/>
      <c r="CB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5-3'!$D$11:$Q319,CB$4,CB$5)"),"")</f>
        <v/>
      </c>
      <c r="CC39" s="537"/>
      <c r="CD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5-3'!$D$11:$Q319,CD$4,CD$5)"),"")</f>
        <v/>
      </c>
      <c r="CE39" s="537"/>
      <c r="CF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5-3'!$D$11:$Q319,CF$4,CF$5)"),"")</f>
        <v/>
      </c>
      <c r="CG39" s="539"/>
      <c r="CH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5-3'!$D$11:$Q319,CH$4,CH$5)"),"")</f>
        <v/>
      </c>
      <c r="CI39" s="537"/>
      <c r="CJ39" s="537"/>
      <c r="CK39" s="537"/>
      <c r="CL39" s="537"/>
      <c r="CM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5-3'!$D$11:$Q319,CM$4,CM$5)"),"")</f>
        <v/>
      </c>
      <c r="CN39" s="541"/>
      <c r="CO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5-3'!$D$11:$Q319,CO$4,CO$5)"),"")</f>
        <v/>
      </c>
      <c r="CP39" s="540"/>
      <c r="CQ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5-3'!$D$11:$Q319,CQ$4,CQ$5)"),"")</f>
        <v/>
      </c>
      <c r="CR39" s="540"/>
      <c r="CS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5-3'!$D$11:$Q319,CS$4,CS$5)"),"")</f>
        <v/>
      </c>
      <c r="CT39" s="540"/>
      <c r="CU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5-3'!$D$11:$Q319,CU$4,CU$5)"),"")</f>
        <v/>
      </c>
      <c r="CV39" s="545"/>
      <c r="CW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5-3'!$D$11:$Q319,CW$4,CW$5)"),"")</f>
        <v/>
      </c>
      <c r="CX39" s="540"/>
      <c r="CY39" s="540"/>
      <c r="CZ39" s="540"/>
      <c r="DA39" s="540"/>
      <c r="DB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5-3'!$D$11:$Q319,DB$4,DB$5)"),"")</f>
        <v/>
      </c>
      <c r="DC39" s="555"/>
      <c r="DD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5-3'!$D$11:$Q319,DD$4,DD$5)"),"")</f>
        <v/>
      </c>
      <c r="DE39" s="554"/>
      <c r="DF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5-3'!$D$11:$Q319,DF$4,DF$5)"),"")</f>
        <v/>
      </c>
      <c r="DG39" s="554"/>
      <c r="DH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5-3'!$D$11:$Q319,DH$4,DH$5)"),"")</f>
        <v/>
      </c>
      <c r="DI39" s="554"/>
      <c r="DJ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5-3'!$D$11:$Q319,DJ$4,DJ$5)"),"")</f>
        <v/>
      </c>
      <c r="DK39" s="566"/>
      <c r="DL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5-3'!$D$11:$Q319,DL$4,DL$5)"),"")</f>
        <v/>
      </c>
      <c r="DM39" s="554"/>
      <c r="DN39" s="554"/>
      <c r="DO39" s="554"/>
      <c r="DP39" s="554"/>
      <c r="DQ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5-3'!$D$11:$Q319,DQ$4,DQ$5)"),"")</f>
        <v/>
      </c>
      <c r="DR39" s="569"/>
      <c r="DS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5-3'!$D$11:$Q319,DS$4,DS$5)"),"")</f>
        <v/>
      </c>
      <c r="DT39" s="568"/>
      <c r="DU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5-3'!$D$11:$Q319,DU$4,DU$5)"),"")</f>
        <v/>
      </c>
      <c r="DV39" s="568"/>
      <c r="DW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5-3'!$D$11:$Q319,DW$4,DW$5)"),"")</f>
        <v/>
      </c>
      <c r="DX39" s="568"/>
      <c r="DY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5-3'!$D$11:$Q319,DY$4,DY$5)"),"")</f>
        <v/>
      </c>
      <c r="DZ39" s="578"/>
      <c r="EA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$C39, 'S-10 Топ 5-3'!$D$11:$Q319,EA$4,EA$5)"),"")</f>
        <v/>
      </c>
      <c r="EB39" s="568"/>
      <c r="EC39" s="568"/>
      <c r="ED39" s="568"/>
      <c r="EE39" s="568"/>
    </row>
    <row r="40">
      <c r="A40" s="519" t="str">
        <f t="shared" si="1"/>
        <v/>
      </c>
      <c r="B40" s="520" t="str">
        <f>'5-0 Товары'!B40</f>
        <v/>
      </c>
      <c r="C40" s="521" t="str">
        <f>'5-1 Сбор КП Закупки'!C40</f>
        <v/>
      </c>
      <c r="D40" s="521" t="str">
        <f>'5-1 Сбор КП Закупки'!D40</f>
        <v/>
      </c>
      <c r="E40" s="521" t="str">
        <f>'5-1 Сбор КП Закупки'!E40</f>
        <v/>
      </c>
      <c r="F40" s="521" t="str">
        <f>'5-1 Сбор КП Закупки'!F40</f>
        <v/>
      </c>
      <c r="G40" s="522" t="str">
        <f>'5-1 Сбор КП Закупки'!G40</f>
        <v/>
      </c>
      <c r="H40" s="522" t="str">
        <f>'5-1 Сбор КП Закупки'!H40</f>
        <v/>
      </c>
      <c r="I40" s="522" t="str">
        <f>'5-1 Сбор КП Закупки'!I40</f>
        <v/>
      </c>
      <c r="J40" s="197"/>
      <c r="K40" s="522" t="str">
        <f>'5-1 Сбор КП Закупки'!G40</f>
        <v/>
      </c>
      <c r="L40" s="523" t="str">
        <f>IF(A40="Да",'5-1 Сбор КП Закупки'!K40,)</f>
        <v/>
      </c>
      <c r="M40" s="197"/>
      <c r="N40" s="197"/>
      <c r="O40" s="197"/>
      <c r="P40" s="525" t="str">
        <f>'5-1 Сбор КП Закупки'!P40</f>
        <v/>
      </c>
      <c r="Q40" s="197"/>
      <c r="R40" s="197"/>
      <c r="S40" s="197"/>
      <c r="T40" s="197"/>
      <c r="U40" s="197"/>
      <c r="V40" s="197"/>
      <c r="W40" s="522" t="str">
        <f>'5-1 Сбор КП Закупки'!O40</f>
        <v/>
      </c>
      <c r="X40" s="197"/>
      <c r="Y40" s="197"/>
      <c r="Z40" s="197"/>
      <c r="AA40" s="197"/>
      <c r="AB40" s="197">
        <v>0.0</v>
      </c>
      <c r="AC40" s="197"/>
      <c r="AD40" s="197"/>
      <c r="AE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5-3'!$D$11:$Q319,AE$4,AE$5)"),"")</f>
        <v/>
      </c>
      <c r="AF40" s="528"/>
      <c r="AG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5-3'!$D$11:$Q319,AG$4,AG$5)"),"")</f>
        <v/>
      </c>
      <c r="AH40" s="527"/>
      <c r="AI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5-3'!$D$11:$Q319,AI$4,AI$5)"),"")</f>
        <v/>
      </c>
      <c r="AJ40" s="527"/>
      <c r="AK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5-3'!$D$11:$Q319,AK$4,AK$5)"),"")</f>
        <v/>
      </c>
      <c r="AL40" s="527"/>
      <c r="AM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5-3'!$D$11:$Q319,AM$4,AM$5)"),"")</f>
        <v/>
      </c>
      <c r="AN40" s="529"/>
      <c r="AO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5-3'!$D$11:$Q319,AO$4,AO$5)"),"")</f>
        <v/>
      </c>
      <c r="AP40" s="527"/>
      <c r="AQ40" s="527"/>
      <c r="AR40" s="527"/>
      <c r="AS40" s="527"/>
      <c r="AT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5-3'!$D$11:$Q319,AT$4,AT$5)"),"")</f>
        <v/>
      </c>
      <c r="AU40" s="531"/>
      <c r="AV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5-3'!$D$11:$Q319,AV$4,AV$5)"),"")</f>
        <v/>
      </c>
      <c r="AW40" s="530"/>
      <c r="AX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5-3'!$D$11:$Q319,AX$4,AX$5)"),"")</f>
        <v/>
      </c>
      <c r="AY40" s="530"/>
      <c r="AZ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5-3'!$D$11:$Q319,AZ$4,AZ$5)"),"")</f>
        <v/>
      </c>
      <c r="BA40" s="530"/>
      <c r="BB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5-3'!$D$11:$Q319,BB$4,BB$5)"),"")</f>
        <v/>
      </c>
      <c r="BC40" s="532"/>
      <c r="BD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5-3'!$D$11:$Q319,BD$4,BD$5)"),"")</f>
        <v/>
      </c>
      <c r="BE40" s="530"/>
      <c r="BF40" s="530"/>
      <c r="BG40" s="530"/>
      <c r="BH40" s="530"/>
      <c r="BI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5-3'!$D$11:$Q319,BI$4,BI$5)"),"")</f>
        <v/>
      </c>
      <c r="BJ40" s="535"/>
      <c r="BK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5-3'!$D$11:$Q319,BK$4,BK$5)"),"")</f>
        <v/>
      </c>
      <c r="BL40" s="534"/>
      <c r="BM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5-3'!$D$11:$Q319,BM$4,BM$5)"),"")</f>
        <v/>
      </c>
      <c r="BN40" s="534"/>
      <c r="BO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5-3'!$D$11:$Q319,BO$4,BO$5)"),"")</f>
        <v/>
      </c>
      <c r="BP40" s="534"/>
      <c r="BQ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5-3'!$D$11:$Q319,BQ$4,BQ$5)"),"")</f>
        <v/>
      </c>
      <c r="BR40" s="536"/>
      <c r="BS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5-3'!$D$11:$Q319,BS$4,BS$5)"),"")</f>
        <v/>
      </c>
      <c r="BT40" s="534"/>
      <c r="BU40" s="534"/>
      <c r="BV40" s="534"/>
      <c r="BW40" s="534"/>
      <c r="BX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5-3'!$D$11:$Q319,BX$4,BX$5)"),"")</f>
        <v/>
      </c>
      <c r="BY40" s="538"/>
      <c r="BZ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5-3'!$D$11:$Q319,BZ$4,BZ$5)"),"")</f>
        <v/>
      </c>
      <c r="CA40" s="537"/>
      <c r="CB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5-3'!$D$11:$Q319,CB$4,CB$5)"),"")</f>
        <v/>
      </c>
      <c r="CC40" s="537"/>
      <c r="CD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5-3'!$D$11:$Q319,CD$4,CD$5)"),"")</f>
        <v/>
      </c>
      <c r="CE40" s="537"/>
      <c r="CF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5-3'!$D$11:$Q319,CF$4,CF$5)"),"")</f>
        <v/>
      </c>
      <c r="CG40" s="539"/>
      <c r="CH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5-3'!$D$11:$Q319,CH$4,CH$5)"),"")</f>
        <v/>
      </c>
      <c r="CI40" s="537"/>
      <c r="CJ40" s="537"/>
      <c r="CK40" s="537"/>
      <c r="CL40" s="537"/>
      <c r="CM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5-3'!$D$11:$Q319,CM$4,CM$5)"),"")</f>
        <v/>
      </c>
      <c r="CN40" s="541"/>
      <c r="CO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5-3'!$D$11:$Q319,CO$4,CO$5)"),"")</f>
        <v/>
      </c>
      <c r="CP40" s="540"/>
      <c r="CQ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5-3'!$D$11:$Q319,CQ$4,CQ$5)"),"")</f>
        <v/>
      </c>
      <c r="CR40" s="540"/>
      <c r="CS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5-3'!$D$11:$Q319,CS$4,CS$5)"),"")</f>
        <v/>
      </c>
      <c r="CT40" s="540"/>
      <c r="CU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5-3'!$D$11:$Q319,CU$4,CU$5)"),"")</f>
        <v/>
      </c>
      <c r="CV40" s="545"/>
      <c r="CW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5-3'!$D$11:$Q319,CW$4,CW$5)"),"")</f>
        <v/>
      </c>
      <c r="CX40" s="540"/>
      <c r="CY40" s="540"/>
      <c r="CZ40" s="540"/>
      <c r="DA40" s="540"/>
      <c r="DB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5-3'!$D$11:$Q319,DB$4,DB$5)"),"")</f>
        <v/>
      </c>
      <c r="DC40" s="555"/>
      <c r="DD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5-3'!$D$11:$Q319,DD$4,DD$5)"),"")</f>
        <v/>
      </c>
      <c r="DE40" s="554"/>
      <c r="DF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5-3'!$D$11:$Q319,DF$4,DF$5)"),"")</f>
        <v/>
      </c>
      <c r="DG40" s="554"/>
      <c r="DH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5-3'!$D$11:$Q319,DH$4,DH$5)"),"")</f>
        <v/>
      </c>
      <c r="DI40" s="554"/>
      <c r="DJ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5-3'!$D$11:$Q319,DJ$4,DJ$5)"),"")</f>
        <v/>
      </c>
      <c r="DK40" s="566"/>
      <c r="DL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5-3'!$D$11:$Q319,DL$4,DL$5)"),"")</f>
        <v/>
      </c>
      <c r="DM40" s="554"/>
      <c r="DN40" s="554"/>
      <c r="DO40" s="554"/>
      <c r="DP40" s="554"/>
      <c r="DQ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5-3'!$D$11:$Q319,DQ$4,DQ$5)"),"")</f>
        <v/>
      </c>
      <c r="DR40" s="569"/>
      <c r="DS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5-3'!$D$11:$Q319,DS$4,DS$5)"),"")</f>
        <v/>
      </c>
      <c r="DT40" s="568"/>
      <c r="DU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5-3'!$D$11:$Q319,DU$4,DU$5)"),"")</f>
        <v/>
      </c>
      <c r="DV40" s="568"/>
      <c r="DW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5-3'!$D$11:$Q319,DW$4,DW$5)"),"")</f>
        <v/>
      </c>
      <c r="DX40" s="568"/>
      <c r="DY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5-3'!$D$11:$Q319,DY$4,DY$5)"),"")</f>
        <v/>
      </c>
      <c r="DZ40" s="578"/>
      <c r="EA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$C40, 'S-10 Топ 5-3'!$D$11:$Q319,EA$4,EA$5)"),"")</f>
        <v/>
      </c>
      <c r="EB40" s="568"/>
      <c r="EC40" s="568"/>
      <c r="ED40" s="568"/>
      <c r="EE40" s="568"/>
    </row>
    <row r="41">
      <c r="A41" s="519" t="str">
        <f t="shared" si="1"/>
        <v/>
      </c>
      <c r="B41" s="520" t="str">
        <f>'5-0 Товары'!B41</f>
        <v/>
      </c>
      <c r="C41" s="521" t="str">
        <f>'5-1 Сбор КП Закупки'!C41</f>
        <v/>
      </c>
      <c r="D41" s="521" t="str">
        <f>'5-1 Сбор КП Закупки'!D41</f>
        <v/>
      </c>
      <c r="E41" s="521" t="str">
        <f>'5-1 Сбор КП Закупки'!E41</f>
        <v/>
      </c>
      <c r="F41" s="521" t="str">
        <f>'5-1 Сбор КП Закупки'!F41</f>
        <v/>
      </c>
      <c r="G41" s="522" t="str">
        <f>'5-1 Сбор КП Закупки'!G41</f>
        <v/>
      </c>
      <c r="H41" s="522" t="str">
        <f>'5-1 Сбор КП Закупки'!H41</f>
        <v/>
      </c>
      <c r="I41" s="522" t="str">
        <f>'5-1 Сбор КП Закупки'!I41</f>
        <v/>
      </c>
      <c r="J41" s="197"/>
      <c r="K41" s="522" t="str">
        <f>'5-1 Сбор КП Закупки'!G41</f>
        <v/>
      </c>
      <c r="L41" s="523" t="str">
        <f>IF(A41="Да",'5-1 Сбор КП Закупки'!K41,)</f>
        <v/>
      </c>
      <c r="M41" s="197"/>
      <c r="N41" s="197"/>
      <c r="O41" s="197"/>
      <c r="P41" s="525" t="str">
        <f>'5-1 Сбор КП Закупки'!P41</f>
        <v/>
      </c>
      <c r="Q41" s="197"/>
      <c r="R41" s="197"/>
      <c r="S41" s="197"/>
      <c r="T41" s="197"/>
      <c r="U41" s="197"/>
      <c r="V41" s="197"/>
      <c r="W41" s="522" t="str">
        <f>'5-1 Сбор КП Закупки'!O41</f>
        <v/>
      </c>
      <c r="X41" s="197"/>
      <c r="Y41" s="197"/>
      <c r="Z41" s="197"/>
      <c r="AA41" s="197"/>
      <c r="AB41" s="197">
        <v>0.0</v>
      </c>
      <c r="AC41" s="197"/>
      <c r="AD41" s="197"/>
      <c r="AE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5-3'!$D$11:$Q319,AE$4,AE$5)"),"")</f>
        <v/>
      </c>
      <c r="AF41" s="528"/>
      <c r="AG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5-3'!$D$11:$Q319,AG$4,AG$5)"),"")</f>
        <v/>
      </c>
      <c r="AH41" s="527"/>
      <c r="AI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5-3'!$D$11:$Q319,AI$4,AI$5)"),"")</f>
        <v/>
      </c>
      <c r="AJ41" s="527"/>
      <c r="AK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5-3'!$D$11:$Q319,AK$4,AK$5)"),"")</f>
        <v/>
      </c>
      <c r="AL41" s="527"/>
      <c r="AM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5-3'!$D$11:$Q319,AM$4,AM$5)"),"")</f>
        <v/>
      </c>
      <c r="AN41" s="529"/>
      <c r="AO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5-3'!$D$11:$Q319,AO$4,AO$5)"),"")</f>
        <v/>
      </c>
      <c r="AP41" s="527"/>
      <c r="AQ41" s="527"/>
      <c r="AR41" s="527"/>
      <c r="AS41" s="527"/>
      <c r="AT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5-3'!$D$11:$Q319,AT$4,AT$5)"),"")</f>
        <v/>
      </c>
      <c r="AU41" s="531"/>
      <c r="AV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5-3'!$D$11:$Q319,AV$4,AV$5)"),"")</f>
        <v/>
      </c>
      <c r="AW41" s="530"/>
      <c r="AX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5-3'!$D$11:$Q319,AX$4,AX$5)"),"")</f>
        <v/>
      </c>
      <c r="AY41" s="530"/>
      <c r="AZ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5-3'!$D$11:$Q319,AZ$4,AZ$5)"),"")</f>
        <v/>
      </c>
      <c r="BA41" s="530"/>
      <c r="BB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5-3'!$D$11:$Q319,BB$4,BB$5)"),"")</f>
        <v/>
      </c>
      <c r="BC41" s="532"/>
      <c r="BD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5-3'!$D$11:$Q319,BD$4,BD$5)"),"")</f>
        <v/>
      </c>
      <c r="BE41" s="530"/>
      <c r="BF41" s="530"/>
      <c r="BG41" s="530"/>
      <c r="BH41" s="530"/>
      <c r="BI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5-3'!$D$11:$Q319,BI$4,BI$5)"),"")</f>
        <v/>
      </c>
      <c r="BJ41" s="535"/>
      <c r="BK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5-3'!$D$11:$Q319,BK$4,BK$5)"),"")</f>
        <v/>
      </c>
      <c r="BL41" s="534"/>
      <c r="BM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5-3'!$D$11:$Q319,BM$4,BM$5)"),"")</f>
        <v/>
      </c>
      <c r="BN41" s="534"/>
      <c r="BO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5-3'!$D$11:$Q319,BO$4,BO$5)"),"")</f>
        <v/>
      </c>
      <c r="BP41" s="534"/>
      <c r="BQ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5-3'!$D$11:$Q319,BQ$4,BQ$5)"),"")</f>
        <v/>
      </c>
      <c r="BR41" s="536"/>
      <c r="BS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5-3'!$D$11:$Q319,BS$4,BS$5)"),"")</f>
        <v/>
      </c>
      <c r="BT41" s="534"/>
      <c r="BU41" s="534"/>
      <c r="BV41" s="534"/>
      <c r="BW41" s="534"/>
      <c r="BX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5-3'!$D$11:$Q319,BX$4,BX$5)"),"")</f>
        <v/>
      </c>
      <c r="BY41" s="538"/>
      <c r="BZ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5-3'!$D$11:$Q319,BZ$4,BZ$5)"),"")</f>
        <v/>
      </c>
      <c r="CA41" s="537"/>
      <c r="CB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5-3'!$D$11:$Q319,CB$4,CB$5)"),"")</f>
        <v/>
      </c>
      <c r="CC41" s="537"/>
      <c r="CD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5-3'!$D$11:$Q319,CD$4,CD$5)"),"")</f>
        <v/>
      </c>
      <c r="CE41" s="537"/>
      <c r="CF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5-3'!$D$11:$Q319,CF$4,CF$5)"),"")</f>
        <v/>
      </c>
      <c r="CG41" s="539"/>
      <c r="CH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5-3'!$D$11:$Q319,CH$4,CH$5)"),"")</f>
        <v/>
      </c>
      <c r="CI41" s="537"/>
      <c r="CJ41" s="537"/>
      <c r="CK41" s="537"/>
      <c r="CL41" s="537"/>
      <c r="CM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5-3'!$D$11:$Q319,CM$4,CM$5)"),"")</f>
        <v/>
      </c>
      <c r="CN41" s="541"/>
      <c r="CO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5-3'!$D$11:$Q319,CO$4,CO$5)"),"")</f>
        <v/>
      </c>
      <c r="CP41" s="540"/>
      <c r="CQ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5-3'!$D$11:$Q319,CQ$4,CQ$5)"),"")</f>
        <v/>
      </c>
      <c r="CR41" s="540"/>
      <c r="CS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5-3'!$D$11:$Q319,CS$4,CS$5)"),"")</f>
        <v/>
      </c>
      <c r="CT41" s="540"/>
      <c r="CU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5-3'!$D$11:$Q319,CU$4,CU$5)"),"")</f>
        <v/>
      </c>
      <c r="CV41" s="545"/>
      <c r="CW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5-3'!$D$11:$Q319,CW$4,CW$5)"),"")</f>
        <v/>
      </c>
      <c r="CX41" s="540"/>
      <c r="CY41" s="540"/>
      <c r="CZ41" s="540"/>
      <c r="DA41" s="540"/>
      <c r="DB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5-3'!$D$11:$Q319,DB$4,DB$5)"),"")</f>
        <v/>
      </c>
      <c r="DC41" s="555"/>
      <c r="DD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5-3'!$D$11:$Q319,DD$4,DD$5)"),"")</f>
        <v/>
      </c>
      <c r="DE41" s="554"/>
      <c r="DF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5-3'!$D$11:$Q319,DF$4,DF$5)"),"")</f>
        <v/>
      </c>
      <c r="DG41" s="554"/>
      <c r="DH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5-3'!$D$11:$Q319,DH$4,DH$5)"),"")</f>
        <v/>
      </c>
      <c r="DI41" s="554"/>
      <c r="DJ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5-3'!$D$11:$Q319,DJ$4,DJ$5)"),"")</f>
        <v/>
      </c>
      <c r="DK41" s="566"/>
      <c r="DL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5-3'!$D$11:$Q319,DL$4,DL$5)"),"")</f>
        <v/>
      </c>
      <c r="DM41" s="554"/>
      <c r="DN41" s="554"/>
      <c r="DO41" s="554"/>
      <c r="DP41" s="554"/>
      <c r="DQ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5-3'!$D$11:$Q319,DQ$4,DQ$5)"),"")</f>
        <v/>
      </c>
      <c r="DR41" s="569"/>
      <c r="DS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5-3'!$D$11:$Q319,DS$4,DS$5)"),"")</f>
        <v/>
      </c>
      <c r="DT41" s="568"/>
      <c r="DU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5-3'!$D$11:$Q319,DU$4,DU$5)"),"")</f>
        <v/>
      </c>
      <c r="DV41" s="568"/>
      <c r="DW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5-3'!$D$11:$Q319,DW$4,DW$5)"),"")</f>
        <v/>
      </c>
      <c r="DX41" s="568"/>
      <c r="DY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5-3'!$D$11:$Q319,DY$4,DY$5)"),"")</f>
        <v/>
      </c>
      <c r="DZ41" s="578"/>
      <c r="EA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$C41, 'S-10 Топ 5-3'!$D$11:$Q319,EA$4,EA$5)"),"")</f>
        <v/>
      </c>
      <c r="EB41" s="568"/>
      <c r="EC41" s="568"/>
      <c r="ED41" s="568"/>
      <c r="EE41" s="568"/>
    </row>
    <row r="42">
      <c r="A42" s="519" t="str">
        <f t="shared" si="1"/>
        <v/>
      </c>
      <c r="B42" s="520" t="str">
        <f>'5-0 Товары'!B42</f>
        <v/>
      </c>
      <c r="C42" s="521" t="str">
        <f>'5-1 Сбор КП Закупки'!C42</f>
        <v/>
      </c>
      <c r="D42" s="521" t="str">
        <f>'5-1 Сбор КП Закупки'!D42</f>
        <v/>
      </c>
      <c r="E42" s="521" t="str">
        <f>'5-1 Сбор КП Закупки'!E42</f>
        <v/>
      </c>
      <c r="F42" s="521" t="str">
        <f>'5-1 Сбор КП Закупки'!F42</f>
        <v/>
      </c>
      <c r="G42" s="522" t="str">
        <f>'5-1 Сбор КП Закупки'!G42</f>
        <v/>
      </c>
      <c r="H42" s="522" t="str">
        <f>'5-1 Сбор КП Закупки'!H42</f>
        <v/>
      </c>
      <c r="I42" s="522" t="str">
        <f>'5-1 Сбор КП Закупки'!I42</f>
        <v/>
      </c>
      <c r="J42" s="197"/>
      <c r="K42" s="522" t="str">
        <f>'5-1 Сбор КП Закупки'!G42</f>
        <v/>
      </c>
      <c r="L42" s="523" t="str">
        <f>IF(A42="Да",'5-1 Сбор КП Закупки'!K42,)</f>
        <v/>
      </c>
      <c r="M42" s="197"/>
      <c r="N42" s="197"/>
      <c r="O42" s="197"/>
      <c r="P42" s="525" t="str">
        <f>'5-1 Сбор КП Закупки'!P42</f>
        <v/>
      </c>
      <c r="Q42" s="197"/>
      <c r="R42" s="197"/>
      <c r="S42" s="197"/>
      <c r="T42" s="197"/>
      <c r="U42" s="197"/>
      <c r="V42" s="197"/>
      <c r="W42" s="522" t="str">
        <f>'5-1 Сбор КП Закупки'!O42</f>
        <v/>
      </c>
      <c r="X42" s="197"/>
      <c r="Y42" s="197"/>
      <c r="Z42" s="197"/>
      <c r="AA42" s="197"/>
      <c r="AB42" s="197">
        <v>0.0</v>
      </c>
      <c r="AC42" s="197"/>
      <c r="AD42" s="197"/>
      <c r="AE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5-3'!$D$11:$Q319,AE$4,AE$5)"),"")</f>
        <v/>
      </c>
      <c r="AF42" s="528"/>
      <c r="AG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5-3'!$D$11:$Q319,AG$4,AG$5)"),"")</f>
        <v/>
      </c>
      <c r="AH42" s="527"/>
      <c r="AI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5-3'!$D$11:$Q319,AI$4,AI$5)"),"")</f>
        <v/>
      </c>
      <c r="AJ42" s="527"/>
      <c r="AK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5-3'!$D$11:$Q319,AK$4,AK$5)"),"")</f>
        <v/>
      </c>
      <c r="AL42" s="527"/>
      <c r="AM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5-3'!$D$11:$Q319,AM$4,AM$5)"),"")</f>
        <v/>
      </c>
      <c r="AN42" s="529"/>
      <c r="AO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5-3'!$D$11:$Q319,AO$4,AO$5)"),"")</f>
        <v/>
      </c>
      <c r="AP42" s="527"/>
      <c r="AQ42" s="527"/>
      <c r="AR42" s="527"/>
      <c r="AS42" s="527"/>
      <c r="AT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5-3'!$D$11:$Q319,AT$4,AT$5)"),"")</f>
        <v/>
      </c>
      <c r="AU42" s="531"/>
      <c r="AV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5-3'!$D$11:$Q319,AV$4,AV$5)"),"")</f>
        <v/>
      </c>
      <c r="AW42" s="530"/>
      <c r="AX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5-3'!$D$11:$Q319,AX$4,AX$5)"),"")</f>
        <v/>
      </c>
      <c r="AY42" s="530"/>
      <c r="AZ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5-3'!$D$11:$Q319,AZ$4,AZ$5)"),"")</f>
        <v/>
      </c>
      <c r="BA42" s="530"/>
      <c r="BB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5-3'!$D$11:$Q319,BB$4,BB$5)"),"")</f>
        <v/>
      </c>
      <c r="BC42" s="532"/>
      <c r="BD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5-3'!$D$11:$Q319,BD$4,BD$5)"),"")</f>
        <v/>
      </c>
      <c r="BE42" s="530"/>
      <c r="BF42" s="530"/>
      <c r="BG42" s="530"/>
      <c r="BH42" s="530"/>
      <c r="BI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5-3'!$D$11:$Q319,BI$4,BI$5)"),"")</f>
        <v/>
      </c>
      <c r="BJ42" s="535"/>
      <c r="BK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5-3'!$D$11:$Q319,BK$4,BK$5)"),"")</f>
        <v/>
      </c>
      <c r="BL42" s="534"/>
      <c r="BM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5-3'!$D$11:$Q319,BM$4,BM$5)"),"")</f>
        <v/>
      </c>
      <c r="BN42" s="534"/>
      <c r="BO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5-3'!$D$11:$Q319,BO$4,BO$5)"),"")</f>
        <v/>
      </c>
      <c r="BP42" s="534"/>
      <c r="BQ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5-3'!$D$11:$Q319,BQ$4,BQ$5)"),"")</f>
        <v/>
      </c>
      <c r="BR42" s="536"/>
      <c r="BS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5-3'!$D$11:$Q319,BS$4,BS$5)"),"")</f>
        <v/>
      </c>
      <c r="BT42" s="534"/>
      <c r="BU42" s="534"/>
      <c r="BV42" s="534"/>
      <c r="BW42" s="534"/>
      <c r="BX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5-3'!$D$11:$Q319,BX$4,BX$5)"),"")</f>
        <v/>
      </c>
      <c r="BY42" s="538"/>
      <c r="BZ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5-3'!$D$11:$Q319,BZ$4,BZ$5)"),"")</f>
        <v/>
      </c>
      <c r="CA42" s="537"/>
      <c r="CB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5-3'!$D$11:$Q319,CB$4,CB$5)"),"")</f>
        <v/>
      </c>
      <c r="CC42" s="537"/>
      <c r="CD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5-3'!$D$11:$Q319,CD$4,CD$5)"),"")</f>
        <v/>
      </c>
      <c r="CE42" s="537"/>
      <c r="CF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5-3'!$D$11:$Q319,CF$4,CF$5)"),"")</f>
        <v/>
      </c>
      <c r="CG42" s="539"/>
      <c r="CH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5-3'!$D$11:$Q319,CH$4,CH$5)"),"")</f>
        <v/>
      </c>
      <c r="CI42" s="537"/>
      <c r="CJ42" s="537"/>
      <c r="CK42" s="537"/>
      <c r="CL42" s="537"/>
      <c r="CM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5-3'!$D$11:$Q319,CM$4,CM$5)"),"")</f>
        <v/>
      </c>
      <c r="CN42" s="541"/>
      <c r="CO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5-3'!$D$11:$Q319,CO$4,CO$5)"),"")</f>
        <v/>
      </c>
      <c r="CP42" s="540"/>
      <c r="CQ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5-3'!$D$11:$Q319,CQ$4,CQ$5)"),"")</f>
        <v/>
      </c>
      <c r="CR42" s="540"/>
      <c r="CS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5-3'!$D$11:$Q319,CS$4,CS$5)"),"")</f>
        <v/>
      </c>
      <c r="CT42" s="540"/>
      <c r="CU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5-3'!$D$11:$Q319,CU$4,CU$5)"),"")</f>
        <v/>
      </c>
      <c r="CV42" s="545"/>
      <c r="CW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5-3'!$D$11:$Q319,CW$4,CW$5)"),"")</f>
        <v/>
      </c>
      <c r="CX42" s="540"/>
      <c r="CY42" s="540"/>
      <c r="CZ42" s="540"/>
      <c r="DA42" s="540"/>
      <c r="DB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5-3'!$D$11:$Q319,DB$4,DB$5)"),"")</f>
        <v/>
      </c>
      <c r="DC42" s="555"/>
      <c r="DD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5-3'!$D$11:$Q319,DD$4,DD$5)"),"")</f>
        <v/>
      </c>
      <c r="DE42" s="554"/>
      <c r="DF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5-3'!$D$11:$Q319,DF$4,DF$5)"),"")</f>
        <v/>
      </c>
      <c r="DG42" s="554"/>
      <c r="DH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5-3'!$D$11:$Q319,DH$4,DH$5)"),"")</f>
        <v/>
      </c>
      <c r="DI42" s="554"/>
      <c r="DJ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5-3'!$D$11:$Q319,DJ$4,DJ$5)"),"")</f>
        <v/>
      </c>
      <c r="DK42" s="566"/>
      <c r="DL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5-3'!$D$11:$Q319,DL$4,DL$5)"),"")</f>
        <v/>
      </c>
      <c r="DM42" s="554"/>
      <c r="DN42" s="554"/>
      <c r="DO42" s="554"/>
      <c r="DP42" s="554"/>
      <c r="DQ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5-3'!$D$11:$Q319,DQ$4,DQ$5)"),"")</f>
        <v/>
      </c>
      <c r="DR42" s="569"/>
      <c r="DS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5-3'!$D$11:$Q319,DS$4,DS$5)"),"")</f>
        <v/>
      </c>
      <c r="DT42" s="568"/>
      <c r="DU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5-3'!$D$11:$Q319,DU$4,DU$5)"),"")</f>
        <v/>
      </c>
      <c r="DV42" s="568"/>
      <c r="DW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5-3'!$D$11:$Q319,DW$4,DW$5)"),"")</f>
        <v/>
      </c>
      <c r="DX42" s="568"/>
      <c r="DY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5-3'!$D$11:$Q319,DY$4,DY$5)"),"")</f>
        <v/>
      </c>
      <c r="DZ42" s="578"/>
      <c r="EA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$C42, 'S-10 Топ 5-3'!$D$11:$Q319,EA$4,EA$5)"),"")</f>
        <v/>
      </c>
      <c r="EB42" s="568"/>
      <c r="EC42" s="568"/>
      <c r="ED42" s="568"/>
      <c r="EE42" s="568"/>
    </row>
    <row r="43">
      <c r="A43" s="519" t="str">
        <f t="shared" si="1"/>
        <v/>
      </c>
      <c r="B43" s="520" t="str">
        <f>'5-0 Товары'!B43</f>
        <v/>
      </c>
      <c r="C43" s="521" t="str">
        <f>'5-1 Сбор КП Закупки'!C43</f>
        <v/>
      </c>
      <c r="D43" s="521" t="str">
        <f>'5-1 Сбор КП Закупки'!D43</f>
        <v/>
      </c>
      <c r="E43" s="521" t="str">
        <f>'5-1 Сбор КП Закупки'!E43</f>
        <v/>
      </c>
      <c r="F43" s="521" t="str">
        <f>'5-1 Сбор КП Закупки'!F43</f>
        <v/>
      </c>
      <c r="G43" s="522" t="str">
        <f>'5-1 Сбор КП Закупки'!G43</f>
        <v/>
      </c>
      <c r="H43" s="522" t="str">
        <f>'5-1 Сбор КП Закупки'!H43</f>
        <v/>
      </c>
      <c r="I43" s="522" t="str">
        <f>'5-1 Сбор КП Закупки'!I43</f>
        <v/>
      </c>
      <c r="J43" s="197"/>
      <c r="K43" s="522" t="str">
        <f>'5-1 Сбор КП Закупки'!G43</f>
        <v/>
      </c>
      <c r="L43" s="523" t="str">
        <f>IF(A43="Да",'5-1 Сбор КП Закупки'!K43,)</f>
        <v/>
      </c>
      <c r="M43" s="197"/>
      <c r="N43" s="197"/>
      <c r="O43" s="197"/>
      <c r="P43" s="525" t="str">
        <f>'5-1 Сбор КП Закупки'!P43</f>
        <v/>
      </c>
      <c r="Q43" s="197"/>
      <c r="R43" s="197"/>
      <c r="S43" s="197"/>
      <c r="T43" s="197"/>
      <c r="U43" s="197"/>
      <c r="V43" s="197"/>
      <c r="W43" s="522" t="str">
        <f>'5-1 Сбор КП Закупки'!O43</f>
        <v/>
      </c>
      <c r="X43" s="197"/>
      <c r="Y43" s="197"/>
      <c r="Z43" s="197"/>
      <c r="AA43" s="197"/>
      <c r="AB43" s="197">
        <v>0.0</v>
      </c>
      <c r="AC43" s="197"/>
      <c r="AD43" s="197"/>
      <c r="AE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5-3'!$D$11:$Q319,AE$4,AE$5)"),"")</f>
        <v/>
      </c>
      <c r="AF43" s="528"/>
      <c r="AG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5-3'!$D$11:$Q319,AG$4,AG$5)"),"")</f>
        <v/>
      </c>
      <c r="AH43" s="527"/>
      <c r="AI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5-3'!$D$11:$Q319,AI$4,AI$5)"),"")</f>
        <v/>
      </c>
      <c r="AJ43" s="527"/>
      <c r="AK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5-3'!$D$11:$Q319,AK$4,AK$5)"),"")</f>
        <v/>
      </c>
      <c r="AL43" s="527"/>
      <c r="AM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5-3'!$D$11:$Q319,AM$4,AM$5)"),"")</f>
        <v/>
      </c>
      <c r="AN43" s="529"/>
      <c r="AO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5-3'!$D$11:$Q319,AO$4,AO$5)"),"")</f>
        <v/>
      </c>
      <c r="AP43" s="527"/>
      <c r="AQ43" s="527"/>
      <c r="AR43" s="527"/>
      <c r="AS43" s="527"/>
      <c r="AT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5-3'!$D$11:$Q319,AT$4,AT$5)"),"")</f>
        <v/>
      </c>
      <c r="AU43" s="531"/>
      <c r="AV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5-3'!$D$11:$Q319,AV$4,AV$5)"),"")</f>
        <v/>
      </c>
      <c r="AW43" s="530"/>
      <c r="AX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5-3'!$D$11:$Q319,AX$4,AX$5)"),"")</f>
        <v/>
      </c>
      <c r="AY43" s="530"/>
      <c r="AZ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5-3'!$D$11:$Q319,AZ$4,AZ$5)"),"")</f>
        <v/>
      </c>
      <c r="BA43" s="530"/>
      <c r="BB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5-3'!$D$11:$Q319,BB$4,BB$5)"),"")</f>
        <v/>
      </c>
      <c r="BC43" s="532"/>
      <c r="BD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5-3'!$D$11:$Q319,BD$4,BD$5)"),"")</f>
        <v/>
      </c>
      <c r="BE43" s="530"/>
      <c r="BF43" s="530"/>
      <c r="BG43" s="530"/>
      <c r="BH43" s="530"/>
      <c r="BI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5-3'!$D$11:$Q319,BI$4,BI$5)"),"")</f>
        <v/>
      </c>
      <c r="BJ43" s="535"/>
      <c r="BK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5-3'!$D$11:$Q319,BK$4,BK$5)"),"")</f>
        <v/>
      </c>
      <c r="BL43" s="534"/>
      <c r="BM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5-3'!$D$11:$Q319,BM$4,BM$5)"),"")</f>
        <v/>
      </c>
      <c r="BN43" s="534"/>
      <c r="BO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5-3'!$D$11:$Q319,BO$4,BO$5)"),"")</f>
        <v/>
      </c>
      <c r="BP43" s="534"/>
      <c r="BQ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5-3'!$D$11:$Q319,BQ$4,BQ$5)"),"")</f>
        <v/>
      </c>
      <c r="BR43" s="536"/>
      <c r="BS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5-3'!$D$11:$Q319,BS$4,BS$5)"),"")</f>
        <v/>
      </c>
      <c r="BT43" s="534"/>
      <c r="BU43" s="534"/>
      <c r="BV43" s="534"/>
      <c r="BW43" s="534"/>
      <c r="BX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5-3'!$D$11:$Q319,BX$4,BX$5)"),"")</f>
        <v/>
      </c>
      <c r="BY43" s="538"/>
      <c r="BZ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5-3'!$D$11:$Q319,BZ$4,BZ$5)"),"")</f>
        <v/>
      </c>
      <c r="CA43" s="537"/>
      <c r="CB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5-3'!$D$11:$Q319,CB$4,CB$5)"),"")</f>
        <v/>
      </c>
      <c r="CC43" s="537"/>
      <c r="CD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5-3'!$D$11:$Q319,CD$4,CD$5)"),"")</f>
        <v/>
      </c>
      <c r="CE43" s="537"/>
      <c r="CF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5-3'!$D$11:$Q319,CF$4,CF$5)"),"")</f>
        <v/>
      </c>
      <c r="CG43" s="539"/>
      <c r="CH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5-3'!$D$11:$Q319,CH$4,CH$5)"),"")</f>
        <v/>
      </c>
      <c r="CI43" s="537"/>
      <c r="CJ43" s="537"/>
      <c r="CK43" s="537"/>
      <c r="CL43" s="537"/>
      <c r="CM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5-3'!$D$11:$Q319,CM$4,CM$5)"),"")</f>
        <v/>
      </c>
      <c r="CN43" s="541"/>
      <c r="CO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5-3'!$D$11:$Q319,CO$4,CO$5)"),"")</f>
        <v/>
      </c>
      <c r="CP43" s="540"/>
      <c r="CQ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5-3'!$D$11:$Q319,CQ$4,CQ$5)"),"")</f>
        <v/>
      </c>
      <c r="CR43" s="540"/>
      <c r="CS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5-3'!$D$11:$Q319,CS$4,CS$5)"),"")</f>
        <v/>
      </c>
      <c r="CT43" s="540"/>
      <c r="CU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5-3'!$D$11:$Q319,CU$4,CU$5)"),"")</f>
        <v/>
      </c>
      <c r="CV43" s="545"/>
      <c r="CW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5-3'!$D$11:$Q319,CW$4,CW$5)"),"")</f>
        <v/>
      </c>
      <c r="CX43" s="540"/>
      <c r="CY43" s="540"/>
      <c r="CZ43" s="540"/>
      <c r="DA43" s="540"/>
      <c r="DB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5-3'!$D$11:$Q319,DB$4,DB$5)"),"")</f>
        <v/>
      </c>
      <c r="DC43" s="555"/>
      <c r="DD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5-3'!$D$11:$Q319,DD$4,DD$5)"),"")</f>
        <v/>
      </c>
      <c r="DE43" s="554"/>
      <c r="DF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5-3'!$D$11:$Q319,DF$4,DF$5)"),"")</f>
        <v/>
      </c>
      <c r="DG43" s="554"/>
      <c r="DH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5-3'!$D$11:$Q319,DH$4,DH$5)"),"")</f>
        <v/>
      </c>
      <c r="DI43" s="554"/>
      <c r="DJ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5-3'!$D$11:$Q319,DJ$4,DJ$5)"),"")</f>
        <v/>
      </c>
      <c r="DK43" s="566"/>
      <c r="DL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5-3'!$D$11:$Q319,DL$4,DL$5)"),"")</f>
        <v/>
      </c>
      <c r="DM43" s="554"/>
      <c r="DN43" s="554"/>
      <c r="DO43" s="554"/>
      <c r="DP43" s="554"/>
      <c r="DQ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5-3'!$D$11:$Q319,DQ$4,DQ$5)"),"")</f>
        <v/>
      </c>
      <c r="DR43" s="569"/>
      <c r="DS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5-3'!$D$11:$Q319,DS$4,DS$5)"),"")</f>
        <v/>
      </c>
      <c r="DT43" s="568"/>
      <c r="DU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5-3'!$D$11:$Q319,DU$4,DU$5)"),"")</f>
        <v/>
      </c>
      <c r="DV43" s="568"/>
      <c r="DW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5-3'!$D$11:$Q319,DW$4,DW$5)"),"")</f>
        <v/>
      </c>
      <c r="DX43" s="568"/>
      <c r="DY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5-3'!$D$11:$Q319,DY$4,DY$5)"),"")</f>
        <v/>
      </c>
      <c r="DZ43" s="578"/>
      <c r="EA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$C43, 'S-10 Топ 5-3'!$D$11:$Q319,EA$4,EA$5)"),"")</f>
        <v/>
      </c>
      <c r="EB43" s="568"/>
      <c r="EC43" s="568"/>
      <c r="ED43" s="568"/>
      <c r="EE43" s="568"/>
    </row>
    <row r="44">
      <c r="A44" s="519" t="str">
        <f t="shared" si="1"/>
        <v/>
      </c>
      <c r="B44" s="520" t="str">
        <f>'5-0 Товары'!B44</f>
        <v/>
      </c>
      <c r="C44" s="521" t="str">
        <f>'5-1 Сбор КП Закупки'!C44</f>
        <v/>
      </c>
      <c r="D44" s="521" t="str">
        <f>'5-1 Сбор КП Закупки'!D44</f>
        <v/>
      </c>
      <c r="E44" s="521" t="str">
        <f>'5-1 Сбор КП Закупки'!E44</f>
        <v/>
      </c>
      <c r="F44" s="521" t="str">
        <f>'5-1 Сбор КП Закупки'!F44</f>
        <v/>
      </c>
      <c r="G44" s="522" t="str">
        <f>'5-1 Сбор КП Закупки'!G44</f>
        <v/>
      </c>
      <c r="H44" s="522" t="str">
        <f>'5-1 Сбор КП Закупки'!H44</f>
        <v/>
      </c>
      <c r="I44" s="522" t="str">
        <f>'5-1 Сбор КП Закупки'!I44</f>
        <v/>
      </c>
      <c r="J44" s="197"/>
      <c r="K44" s="522" t="str">
        <f>'5-1 Сбор КП Закупки'!G44</f>
        <v/>
      </c>
      <c r="L44" s="523" t="str">
        <f>IF(A44="Да",'5-1 Сбор КП Закупки'!K44,)</f>
        <v/>
      </c>
      <c r="M44" s="197"/>
      <c r="N44" s="197"/>
      <c r="O44" s="197"/>
      <c r="P44" s="525" t="str">
        <f>'5-1 Сбор КП Закупки'!P44</f>
        <v/>
      </c>
      <c r="Q44" s="197"/>
      <c r="R44" s="197"/>
      <c r="S44" s="197"/>
      <c r="T44" s="197"/>
      <c r="U44" s="197"/>
      <c r="V44" s="197"/>
      <c r="W44" s="522" t="str">
        <f>'5-1 Сбор КП Закупки'!O44</f>
        <v/>
      </c>
      <c r="X44" s="197"/>
      <c r="Y44" s="197"/>
      <c r="Z44" s="197"/>
      <c r="AA44" s="197"/>
      <c r="AB44" s="197">
        <v>0.0</v>
      </c>
      <c r="AC44" s="197"/>
      <c r="AD44" s="197"/>
      <c r="AE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5-3'!$D$11:$Q319,AE$4,AE$5)"),"")</f>
        <v/>
      </c>
      <c r="AF44" s="528"/>
      <c r="AG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5-3'!$D$11:$Q319,AG$4,AG$5)"),"")</f>
        <v/>
      </c>
      <c r="AH44" s="527"/>
      <c r="AI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5-3'!$D$11:$Q319,AI$4,AI$5)"),"")</f>
        <v/>
      </c>
      <c r="AJ44" s="527"/>
      <c r="AK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5-3'!$D$11:$Q319,AK$4,AK$5)"),"")</f>
        <v/>
      </c>
      <c r="AL44" s="527"/>
      <c r="AM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5-3'!$D$11:$Q319,AM$4,AM$5)"),"")</f>
        <v/>
      </c>
      <c r="AN44" s="529"/>
      <c r="AO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5-3'!$D$11:$Q319,AO$4,AO$5)"),"")</f>
        <v/>
      </c>
      <c r="AP44" s="527"/>
      <c r="AQ44" s="527"/>
      <c r="AR44" s="527"/>
      <c r="AS44" s="527"/>
      <c r="AT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5-3'!$D$11:$Q319,AT$4,AT$5)"),"")</f>
        <v/>
      </c>
      <c r="AU44" s="531"/>
      <c r="AV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5-3'!$D$11:$Q319,AV$4,AV$5)"),"")</f>
        <v/>
      </c>
      <c r="AW44" s="530"/>
      <c r="AX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5-3'!$D$11:$Q319,AX$4,AX$5)"),"")</f>
        <v/>
      </c>
      <c r="AY44" s="530"/>
      <c r="AZ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5-3'!$D$11:$Q319,AZ$4,AZ$5)"),"")</f>
        <v/>
      </c>
      <c r="BA44" s="530"/>
      <c r="BB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5-3'!$D$11:$Q319,BB$4,BB$5)"),"")</f>
        <v/>
      </c>
      <c r="BC44" s="532"/>
      <c r="BD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5-3'!$D$11:$Q319,BD$4,BD$5)"),"")</f>
        <v/>
      </c>
      <c r="BE44" s="530"/>
      <c r="BF44" s="530"/>
      <c r="BG44" s="530"/>
      <c r="BH44" s="530"/>
      <c r="BI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5-3'!$D$11:$Q319,BI$4,BI$5)"),"")</f>
        <v/>
      </c>
      <c r="BJ44" s="535"/>
      <c r="BK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5-3'!$D$11:$Q319,BK$4,BK$5)"),"")</f>
        <v/>
      </c>
      <c r="BL44" s="534"/>
      <c r="BM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5-3'!$D$11:$Q319,BM$4,BM$5)"),"")</f>
        <v/>
      </c>
      <c r="BN44" s="534"/>
      <c r="BO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5-3'!$D$11:$Q319,BO$4,BO$5)"),"")</f>
        <v/>
      </c>
      <c r="BP44" s="534"/>
      <c r="BQ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5-3'!$D$11:$Q319,BQ$4,BQ$5)"),"")</f>
        <v/>
      </c>
      <c r="BR44" s="536"/>
      <c r="BS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5-3'!$D$11:$Q319,BS$4,BS$5)"),"")</f>
        <v/>
      </c>
      <c r="BT44" s="534"/>
      <c r="BU44" s="534"/>
      <c r="BV44" s="534"/>
      <c r="BW44" s="534"/>
      <c r="BX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5-3'!$D$11:$Q319,BX$4,BX$5)"),"")</f>
        <v/>
      </c>
      <c r="BY44" s="538"/>
      <c r="BZ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5-3'!$D$11:$Q319,BZ$4,BZ$5)"),"")</f>
        <v/>
      </c>
      <c r="CA44" s="537"/>
      <c r="CB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5-3'!$D$11:$Q319,CB$4,CB$5)"),"")</f>
        <v/>
      </c>
      <c r="CC44" s="537"/>
      <c r="CD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5-3'!$D$11:$Q319,CD$4,CD$5)"),"")</f>
        <v/>
      </c>
      <c r="CE44" s="537"/>
      <c r="CF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5-3'!$D$11:$Q319,CF$4,CF$5)"),"")</f>
        <v/>
      </c>
      <c r="CG44" s="539"/>
      <c r="CH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5-3'!$D$11:$Q319,CH$4,CH$5)"),"")</f>
        <v/>
      </c>
      <c r="CI44" s="537"/>
      <c r="CJ44" s="537"/>
      <c r="CK44" s="537"/>
      <c r="CL44" s="537"/>
      <c r="CM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5-3'!$D$11:$Q319,CM$4,CM$5)"),"")</f>
        <v/>
      </c>
      <c r="CN44" s="541"/>
      <c r="CO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5-3'!$D$11:$Q319,CO$4,CO$5)"),"")</f>
        <v/>
      </c>
      <c r="CP44" s="540"/>
      <c r="CQ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5-3'!$D$11:$Q319,CQ$4,CQ$5)"),"")</f>
        <v/>
      </c>
      <c r="CR44" s="540"/>
      <c r="CS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5-3'!$D$11:$Q319,CS$4,CS$5)"),"")</f>
        <v/>
      </c>
      <c r="CT44" s="540"/>
      <c r="CU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5-3'!$D$11:$Q319,CU$4,CU$5)"),"")</f>
        <v/>
      </c>
      <c r="CV44" s="545"/>
      <c r="CW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5-3'!$D$11:$Q319,CW$4,CW$5)"),"")</f>
        <v/>
      </c>
      <c r="CX44" s="540"/>
      <c r="CY44" s="540"/>
      <c r="CZ44" s="540"/>
      <c r="DA44" s="540"/>
      <c r="DB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5-3'!$D$11:$Q319,DB$4,DB$5)"),"")</f>
        <v/>
      </c>
      <c r="DC44" s="555"/>
      <c r="DD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5-3'!$D$11:$Q319,DD$4,DD$5)"),"")</f>
        <v/>
      </c>
      <c r="DE44" s="554"/>
      <c r="DF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5-3'!$D$11:$Q319,DF$4,DF$5)"),"")</f>
        <v/>
      </c>
      <c r="DG44" s="554"/>
      <c r="DH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5-3'!$D$11:$Q319,DH$4,DH$5)"),"")</f>
        <v/>
      </c>
      <c r="DI44" s="554"/>
      <c r="DJ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5-3'!$D$11:$Q319,DJ$4,DJ$5)"),"")</f>
        <v/>
      </c>
      <c r="DK44" s="566"/>
      <c r="DL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5-3'!$D$11:$Q319,DL$4,DL$5)"),"")</f>
        <v/>
      </c>
      <c r="DM44" s="554"/>
      <c r="DN44" s="554"/>
      <c r="DO44" s="554"/>
      <c r="DP44" s="554"/>
      <c r="DQ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5-3'!$D$11:$Q319,DQ$4,DQ$5)"),"")</f>
        <v/>
      </c>
      <c r="DR44" s="569"/>
      <c r="DS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5-3'!$D$11:$Q319,DS$4,DS$5)"),"")</f>
        <v/>
      </c>
      <c r="DT44" s="568"/>
      <c r="DU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5-3'!$D$11:$Q319,DU$4,DU$5)"),"")</f>
        <v/>
      </c>
      <c r="DV44" s="568"/>
      <c r="DW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5-3'!$D$11:$Q319,DW$4,DW$5)"),"")</f>
        <v/>
      </c>
      <c r="DX44" s="568"/>
      <c r="DY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5-3'!$D$11:$Q319,DY$4,DY$5)"),"")</f>
        <v/>
      </c>
      <c r="DZ44" s="578"/>
      <c r="EA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$C44, 'S-10 Топ 5-3'!$D$11:$Q319,EA$4,EA$5)"),"")</f>
        <v/>
      </c>
      <c r="EB44" s="568"/>
      <c r="EC44" s="568"/>
      <c r="ED44" s="568"/>
      <c r="EE44" s="568"/>
    </row>
    <row r="45">
      <c r="A45" s="519" t="str">
        <f t="shared" si="1"/>
        <v/>
      </c>
      <c r="B45" s="520" t="str">
        <f>'5-0 Товары'!B45</f>
        <v/>
      </c>
      <c r="C45" s="521" t="str">
        <f>'5-1 Сбор КП Закупки'!C45</f>
        <v/>
      </c>
      <c r="D45" s="521" t="str">
        <f>'5-1 Сбор КП Закупки'!D45</f>
        <v/>
      </c>
      <c r="E45" s="521" t="str">
        <f>'5-1 Сбор КП Закупки'!E45</f>
        <v/>
      </c>
      <c r="F45" s="521" t="str">
        <f>'5-1 Сбор КП Закупки'!F45</f>
        <v/>
      </c>
      <c r="G45" s="522" t="str">
        <f>'5-1 Сбор КП Закупки'!G45</f>
        <v/>
      </c>
      <c r="H45" s="522" t="str">
        <f>'5-1 Сбор КП Закупки'!H45</f>
        <v/>
      </c>
      <c r="I45" s="522" t="str">
        <f>'5-1 Сбор КП Закупки'!I45</f>
        <v/>
      </c>
      <c r="J45" s="197"/>
      <c r="K45" s="522" t="str">
        <f>'5-1 Сбор КП Закупки'!G45</f>
        <v/>
      </c>
      <c r="L45" s="523" t="str">
        <f>IF(A45="Да",'5-1 Сбор КП Закупки'!K45,)</f>
        <v/>
      </c>
      <c r="M45" s="197"/>
      <c r="N45" s="197"/>
      <c r="O45" s="197"/>
      <c r="P45" s="525" t="str">
        <f>'5-1 Сбор КП Закупки'!P45</f>
        <v/>
      </c>
      <c r="Q45" s="197"/>
      <c r="R45" s="197"/>
      <c r="S45" s="197"/>
      <c r="T45" s="197"/>
      <c r="U45" s="197"/>
      <c r="V45" s="197"/>
      <c r="W45" s="522" t="str">
        <f>'5-1 Сбор КП Закупки'!O45</f>
        <v/>
      </c>
      <c r="X45" s="197"/>
      <c r="Y45" s="197"/>
      <c r="Z45" s="197"/>
      <c r="AA45" s="197"/>
      <c r="AB45" s="197">
        <v>0.0</v>
      </c>
      <c r="AC45" s="197"/>
      <c r="AD45" s="197"/>
      <c r="AE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5-3'!$D$11:$Q319,AE$4,AE$5)"),"")</f>
        <v/>
      </c>
      <c r="AF45" s="528"/>
      <c r="AG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5-3'!$D$11:$Q319,AG$4,AG$5)"),"")</f>
        <v/>
      </c>
      <c r="AH45" s="527"/>
      <c r="AI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5-3'!$D$11:$Q319,AI$4,AI$5)"),"")</f>
        <v/>
      </c>
      <c r="AJ45" s="527"/>
      <c r="AK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5-3'!$D$11:$Q319,AK$4,AK$5)"),"")</f>
        <v/>
      </c>
      <c r="AL45" s="527"/>
      <c r="AM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5-3'!$D$11:$Q319,AM$4,AM$5)"),"")</f>
        <v/>
      </c>
      <c r="AN45" s="529"/>
      <c r="AO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5-3'!$D$11:$Q319,AO$4,AO$5)"),"")</f>
        <v/>
      </c>
      <c r="AP45" s="527"/>
      <c r="AQ45" s="527"/>
      <c r="AR45" s="527"/>
      <c r="AS45" s="527"/>
      <c r="AT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5-3'!$D$11:$Q319,AT$4,AT$5)"),"")</f>
        <v/>
      </c>
      <c r="AU45" s="531"/>
      <c r="AV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5-3'!$D$11:$Q319,AV$4,AV$5)"),"")</f>
        <v/>
      </c>
      <c r="AW45" s="530"/>
      <c r="AX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5-3'!$D$11:$Q319,AX$4,AX$5)"),"")</f>
        <v/>
      </c>
      <c r="AY45" s="530"/>
      <c r="AZ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5-3'!$D$11:$Q319,AZ$4,AZ$5)"),"")</f>
        <v/>
      </c>
      <c r="BA45" s="530"/>
      <c r="BB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5-3'!$D$11:$Q319,BB$4,BB$5)"),"")</f>
        <v/>
      </c>
      <c r="BC45" s="532"/>
      <c r="BD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5-3'!$D$11:$Q319,BD$4,BD$5)"),"")</f>
        <v/>
      </c>
      <c r="BE45" s="530"/>
      <c r="BF45" s="530"/>
      <c r="BG45" s="530"/>
      <c r="BH45" s="530"/>
      <c r="BI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5-3'!$D$11:$Q319,BI$4,BI$5)"),"")</f>
        <v/>
      </c>
      <c r="BJ45" s="535"/>
      <c r="BK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5-3'!$D$11:$Q319,BK$4,BK$5)"),"")</f>
        <v/>
      </c>
      <c r="BL45" s="534"/>
      <c r="BM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5-3'!$D$11:$Q319,BM$4,BM$5)"),"")</f>
        <v/>
      </c>
      <c r="BN45" s="534"/>
      <c r="BO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5-3'!$D$11:$Q319,BO$4,BO$5)"),"")</f>
        <v/>
      </c>
      <c r="BP45" s="534"/>
      <c r="BQ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5-3'!$D$11:$Q319,BQ$4,BQ$5)"),"")</f>
        <v/>
      </c>
      <c r="BR45" s="536"/>
      <c r="BS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5-3'!$D$11:$Q319,BS$4,BS$5)"),"")</f>
        <v/>
      </c>
      <c r="BT45" s="534"/>
      <c r="BU45" s="534"/>
      <c r="BV45" s="534"/>
      <c r="BW45" s="534"/>
      <c r="BX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5-3'!$D$11:$Q319,BX$4,BX$5)"),"")</f>
        <v/>
      </c>
      <c r="BY45" s="538"/>
      <c r="BZ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5-3'!$D$11:$Q319,BZ$4,BZ$5)"),"")</f>
        <v/>
      </c>
      <c r="CA45" s="537"/>
      <c r="CB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5-3'!$D$11:$Q319,CB$4,CB$5)"),"")</f>
        <v/>
      </c>
      <c r="CC45" s="537"/>
      <c r="CD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5-3'!$D$11:$Q319,CD$4,CD$5)"),"")</f>
        <v/>
      </c>
      <c r="CE45" s="537"/>
      <c r="CF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5-3'!$D$11:$Q319,CF$4,CF$5)"),"")</f>
        <v/>
      </c>
      <c r="CG45" s="539"/>
      <c r="CH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5-3'!$D$11:$Q319,CH$4,CH$5)"),"")</f>
        <v/>
      </c>
      <c r="CI45" s="537"/>
      <c r="CJ45" s="537"/>
      <c r="CK45" s="537"/>
      <c r="CL45" s="537"/>
      <c r="CM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5-3'!$D$11:$Q319,CM$4,CM$5)"),"")</f>
        <v/>
      </c>
      <c r="CN45" s="541"/>
      <c r="CO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5-3'!$D$11:$Q319,CO$4,CO$5)"),"")</f>
        <v/>
      </c>
      <c r="CP45" s="540"/>
      <c r="CQ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5-3'!$D$11:$Q319,CQ$4,CQ$5)"),"")</f>
        <v/>
      </c>
      <c r="CR45" s="540"/>
      <c r="CS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5-3'!$D$11:$Q319,CS$4,CS$5)"),"")</f>
        <v/>
      </c>
      <c r="CT45" s="540"/>
      <c r="CU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5-3'!$D$11:$Q319,CU$4,CU$5)"),"")</f>
        <v/>
      </c>
      <c r="CV45" s="545"/>
      <c r="CW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5-3'!$D$11:$Q319,CW$4,CW$5)"),"")</f>
        <v/>
      </c>
      <c r="CX45" s="540"/>
      <c r="CY45" s="540"/>
      <c r="CZ45" s="540"/>
      <c r="DA45" s="540"/>
      <c r="DB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5-3'!$D$11:$Q319,DB$4,DB$5)"),"")</f>
        <v/>
      </c>
      <c r="DC45" s="555"/>
      <c r="DD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5-3'!$D$11:$Q319,DD$4,DD$5)"),"")</f>
        <v/>
      </c>
      <c r="DE45" s="554"/>
      <c r="DF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5-3'!$D$11:$Q319,DF$4,DF$5)"),"")</f>
        <v/>
      </c>
      <c r="DG45" s="554"/>
      <c r="DH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5-3'!$D$11:$Q319,DH$4,DH$5)"),"")</f>
        <v/>
      </c>
      <c r="DI45" s="554"/>
      <c r="DJ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5-3'!$D$11:$Q319,DJ$4,DJ$5)"),"")</f>
        <v/>
      </c>
      <c r="DK45" s="566"/>
      <c r="DL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5-3'!$D$11:$Q319,DL$4,DL$5)"),"")</f>
        <v/>
      </c>
      <c r="DM45" s="554"/>
      <c r="DN45" s="554"/>
      <c r="DO45" s="554"/>
      <c r="DP45" s="554"/>
      <c r="DQ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5-3'!$D$11:$Q319,DQ$4,DQ$5)"),"")</f>
        <v/>
      </c>
      <c r="DR45" s="569"/>
      <c r="DS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5-3'!$D$11:$Q319,DS$4,DS$5)"),"")</f>
        <v/>
      </c>
      <c r="DT45" s="568"/>
      <c r="DU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5-3'!$D$11:$Q319,DU$4,DU$5)"),"")</f>
        <v/>
      </c>
      <c r="DV45" s="568"/>
      <c r="DW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5-3'!$D$11:$Q319,DW$4,DW$5)"),"")</f>
        <v/>
      </c>
      <c r="DX45" s="568"/>
      <c r="DY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5-3'!$D$11:$Q319,DY$4,DY$5)"),"")</f>
        <v/>
      </c>
      <c r="DZ45" s="578"/>
      <c r="EA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$C45, 'S-10 Топ 5-3'!$D$11:$Q319,EA$4,EA$5)"),"")</f>
        <v/>
      </c>
      <c r="EB45" s="568"/>
      <c r="EC45" s="568"/>
      <c r="ED45" s="568"/>
      <c r="EE45" s="568"/>
    </row>
    <row r="46">
      <c r="A46" s="519" t="str">
        <f t="shared" si="1"/>
        <v/>
      </c>
      <c r="B46" s="520" t="str">
        <f>'5-0 Товары'!B46</f>
        <v/>
      </c>
      <c r="C46" s="521" t="str">
        <f>'5-1 Сбор КП Закупки'!C46</f>
        <v/>
      </c>
      <c r="D46" s="521" t="str">
        <f>'5-1 Сбор КП Закупки'!D46</f>
        <v/>
      </c>
      <c r="E46" s="521" t="str">
        <f>'5-1 Сбор КП Закупки'!E46</f>
        <v/>
      </c>
      <c r="F46" s="521" t="str">
        <f>'5-1 Сбор КП Закупки'!F46</f>
        <v/>
      </c>
      <c r="G46" s="522" t="str">
        <f>'5-1 Сбор КП Закупки'!G46</f>
        <v/>
      </c>
      <c r="H46" s="522" t="str">
        <f>'5-1 Сбор КП Закупки'!H46</f>
        <v/>
      </c>
      <c r="I46" s="522" t="str">
        <f>'5-1 Сбор КП Закупки'!I46</f>
        <v/>
      </c>
      <c r="J46" s="197"/>
      <c r="K46" s="522" t="str">
        <f>'5-1 Сбор КП Закупки'!G46</f>
        <v/>
      </c>
      <c r="L46" s="523" t="str">
        <f>IF(A46="Да",'5-1 Сбор КП Закупки'!K46,)</f>
        <v/>
      </c>
      <c r="M46" s="197"/>
      <c r="N46" s="197"/>
      <c r="O46" s="197"/>
      <c r="P46" s="525" t="str">
        <f>'5-1 Сбор КП Закупки'!P46</f>
        <v/>
      </c>
      <c r="Q46" s="197"/>
      <c r="R46" s="197"/>
      <c r="S46" s="197"/>
      <c r="T46" s="197"/>
      <c r="U46" s="197"/>
      <c r="V46" s="197"/>
      <c r="W46" s="522" t="str">
        <f>'5-1 Сбор КП Закупки'!O46</f>
        <v/>
      </c>
      <c r="X46" s="197"/>
      <c r="Y46" s="197"/>
      <c r="Z46" s="197"/>
      <c r="AA46" s="197"/>
      <c r="AB46" s="197">
        <v>0.0</v>
      </c>
      <c r="AC46" s="197"/>
      <c r="AD46" s="197"/>
      <c r="AE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5-3'!$D$11:$Q319,AE$4,AE$5)"),"")</f>
        <v/>
      </c>
      <c r="AF46" s="528"/>
      <c r="AG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5-3'!$D$11:$Q319,AG$4,AG$5)"),"")</f>
        <v/>
      </c>
      <c r="AH46" s="527"/>
      <c r="AI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5-3'!$D$11:$Q319,AI$4,AI$5)"),"")</f>
        <v/>
      </c>
      <c r="AJ46" s="527"/>
      <c r="AK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5-3'!$D$11:$Q319,AK$4,AK$5)"),"")</f>
        <v/>
      </c>
      <c r="AL46" s="527"/>
      <c r="AM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5-3'!$D$11:$Q319,AM$4,AM$5)"),"")</f>
        <v/>
      </c>
      <c r="AN46" s="529"/>
      <c r="AO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5-3'!$D$11:$Q319,AO$4,AO$5)"),"")</f>
        <v/>
      </c>
      <c r="AP46" s="527"/>
      <c r="AQ46" s="527"/>
      <c r="AR46" s="527"/>
      <c r="AS46" s="527"/>
      <c r="AT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5-3'!$D$11:$Q319,AT$4,AT$5)"),"")</f>
        <v/>
      </c>
      <c r="AU46" s="531"/>
      <c r="AV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5-3'!$D$11:$Q319,AV$4,AV$5)"),"")</f>
        <v/>
      </c>
      <c r="AW46" s="530"/>
      <c r="AX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5-3'!$D$11:$Q319,AX$4,AX$5)"),"")</f>
        <v/>
      </c>
      <c r="AY46" s="530"/>
      <c r="AZ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5-3'!$D$11:$Q319,AZ$4,AZ$5)"),"")</f>
        <v/>
      </c>
      <c r="BA46" s="530"/>
      <c r="BB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5-3'!$D$11:$Q319,BB$4,BB$5)"),"")</f>
        <v/>
      </c>
      <c r="BC46" s="532"/>
      <c r="BD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5-3'!$D$11:$Q319,BD$4,BD$5)"),"")</f>
        <v/>
      </c>
      <c r="BE46" s="530"/>
      <c r="BF46" s="530"/>
      <c r="BG46" s="530"/>
      <c r="BH46" s="530"/>
      <c r="BI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5-3'!$D$11:$Q319,BI$4,BI$5)"),"")</f>
        <v/>
      </c>
      <c r="BJ46" s="535"/>
      <c r="BK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5-3'!$D$11:$Q319,BK$4,BK$5)"),"")</f>
        <v/>
      </c>
      <c r="BL46" s="534"/>
      <c r="BM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5-3'!$D$11:$Q319,BM$4,BM$5)"),"")</f>
        <v/>
      </c>
      <c r="BN46" s="534"/>
      <c r="BO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5-3'!$D$11:$Q319,BO$4,BO$5)"),"")</f>
        <v/>
      </c>
      <c r="BP46" s="534"/>
      <c r="BQ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5-3'!$D$11:$Q319,BQ$4,BQ$5)"),"")</f>
        <v/>
      </c>
      <c r="BR46" s="536"/>
      <c r="BS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5-3'!$D$11:$Q319,BS$4,BS$5)"),"")</f>
        <v/>
      </c>
      <c r="BT46" s="534"/>
      <c r="BU46" s="534"/>
      <c r="BV46" s="534"/>
      <c r="BW46" s="534"/>
      <c r="BX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5-3'!$D$11:$Q319,BX$4,BX$5)"),"")</f>
        <v/>
      </c>
      <c r="BY46" s="538"/>
      <c r="BZ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5-3'!$D$11:$Q319,BZ$4,BZ$5)"),"")</f>
        <v/>
      </c>
      <c r="CA46" s="537"/>
      <c r="CB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5-3'!$D$11:$Q319,CB$4,CB$5)"),"")</f>
        <v/>
      </c>
      <c r="CC46" s="537"/>
      <c r="CD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5-3'!$D$11:$Q319,CD$4,CD$5)"),"")</f>
        <v/>
      </c>
      <c r="CE46" s="537"/>
      <c r="CF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5-3'!$D$11:$Q319,CF$4,CF$5)"),"")</f>
        <v/>
      </c>
      <c r="CG46" s="539"/>
      <c r="CH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5-3'!$D$11:$Q319,CH$4,CH$5)"),"")</f>
        <v/>
      </c>
      <c r="CI46" s="537"/>
      <c r="CJ46" s="537"/>
      <c r="CK46" s="537"/>
      <c r="CL46" s="537"/>
      <c r="CM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5-3'!$D$11:$Q319,CM$4,CM$5)"),"")</f>
        <v/>
      </c>
      <c r="CN46" s="541"/>
      <c r="CO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5-3'!$D$11:$Q319,CO$4,CO$5)"),"")</f>
        <v/>
      </c>
      <c r="CP46" s="540"/>
      <c r="CQ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5-3'!$D$11:$Q319,CQ$4,CQ$5)"),"")</f>
        <v/>
      </c>
      <c r="CR46" s="540"/>
      <c r="CS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5-3'!$D$11:$Q319,CS$4,CS$5)"),"")</f>
        <v/>
      </c>
      <c r="CT46" s="540"/>
      <c r="CU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5-3'!$D$11:$Q319,CU$4,CU$5)"),"")</f>
        <v/>
      </c>
      <c r="CV46" s="545"/>
      <c r="CW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5-3'!$D$11:$Q319,CW$4,CW$5)"),"")</f>
        <v/>
      </c>
      <c r="CX46" s="540"/>
      <c r="CY46" s="540"/>
      <c r="CZ46" s="540"/>
      <c r="DA46" s="540"/>
      <c r="DB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5-3'!$D$11:$Q319,DB$4,DB$5)"),"")</f>
        <v/>
      </c>
      <c r="DC46" s="555"/>
      <c r="DD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5-3'!$D$11:$Q319,DD$4,DD$5)"),"")</f>
        <v/>
      </c>
      <c r="DE46" s="554"/>
      <c r="DF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5-3'!$D$11:$Q319,DF$4,DF$5)"),"")</f>
        <v/>
      </c>
      <c r="DG46" s="554"/>
      <c r="DH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5-3'!$D$11:$Q319,DH$4,DH$5)"),"")</f>
        <v/>
      </c>
      <c r="DI46" s="554"/>
      <c r="DJ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5-3'!$D$11:$Q319,DJ$4,DJ$5)"),"")</f>
        <v/>
      </c>
      <c r="DK46" s="566"/>
      <c r="DL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5-3'!$D$11:$Q319,DL$4,DL$5)"),"")</f>
        <v/>
      </c>
      <c r="DM46" s="554"/>
      <c r="DN46" s="554"/>
      <c r="DO46" s="554"/>
      <c r="DP46" s="554"/>
      <c r="DQ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5-3'!$D$11:$Q319,DQ$4,DQ$5)"),"")</f>
        <v/>
      </c>
      <c r="DR46" s="569"/>
      <c r="DS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5-3'!$D$11:$Q319,DS$4,DS$5)"),"")</f>
        <v/>
      </c>
      <c r="DT46" s="568"/>
      <c r="DU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5-3'!$D$11:$Q319,DU$4,DU$5)"),"")</f>
        <v/>
      </c>
      <c r="DV46" s="568"/>
      <c r="DW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5-3'!$D$11:$Q319,DW$4,DW$5)"),"")</f>
        <v/>
      </c>
      <c r="DX46" s="568"/>
      <c r="DY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5-3'!$D$11:$Q319,DY$4,DY$5)"),"")</f>
        <v/>
      </c>
      <c r="DZ46" s="578"/>
      <c r="EA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$C46, 'S-10 Топ 5-3'!$D$11:$Q319,EA$4,EA$5)"),"")</f>
        <v/>
      </c>
      <c r="EB46" s="568"/>
      <c r="EC46" s="568"/>
      <c r="ED46" s="568"/>
      <c r="EE46" s="568"/>
    </row>
    <row r="47">
      <c r="A47" s="519" t="str">
        <f t="shared" si="1"/>
        <v/>
      </c>
      <c r="B47" s="520" t="str">
        <f>'5-0 Товары'!B47</f>
        <v/>
      </c>
      <c r="C47" s="521" t="str">
        <f>'5-1 Сбор КП Закупки'!C47</f>
        <v/>
      </c>
      <c r="D47" s="521" t="str">
        <f>'5-1 Сбор КП Закупки'!D47</f>
        <v/>
      </c>
      <c r="E47" s="521" t="str">
        <f>'5-1 Сбор КП Закупки'!E47</f>
        <v/>
      </c>
      <c r="F47" s="521" t="str">
        <f>'5-1 Сбор КП Закупки'!F47</f>
        <v/>
      </c>
      <c r="G47" s="522" t="str">
        <f>'5-1 Сбор КП Закупки'!G47</f>
        <v/>
      </c>
      <c r="H47" s="522" t="str">
        <f>'5-1 Сбор КП Закупки'!H47</f>
        <v/>
      </c>
      <c r="I47" s="522" t="str">
        <f>'5-1 Сбор КП Закупки'!I47</f>
        <v/>
      </c>
      <c r="J47" s="197"/>
      <c r="K47" s="522" t="str">
        <f>'5-1 Сбор КП Закупки'!G47</f>
        <v/>
      </c>
      <c r="L47" s="523" t="str">
        <f>IF(A47="Да",'5-1 Сбор КП Закупки'!K47,)</f>
        <v/>
      </c>
      <c r="M47" s="197"/>
      <c r="N47" s="197"/>
      <c r="O47" s="197"/>
      <c r="P47" s="525" t="str">
        <f>'5-1 Сбор КП Закупки'!P47</f>
        <v/>
      </c>
      <c r="Q47" s="197"/>
      <c r="R47" s="197"/>
      <c r="S47" s="197"/>
      <c r="T47" s="197"/>
      <c r="U47" s="197"/>
      <c r="V47" s="197"/>
      <c r="W47" s="522" t="str">
        <f>'5-1 Сбор КП Закупки'!O47</f>
        <v/>
      </c>
      <c r="X47" s="197"/>
      <c r="Y47" s="197"/>
      <c r="Z47" s="197"/>
      <c r="AA47" s="197"/>
      <c r="AB47" s="197">
        <v>0.0</v>
      </c>
      <c r="AC47" s="197"/>
      <c r="AD47" s="197"/>
      <c r="AE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5-3'!$D$11:$Q319,AE$4,AE$5)"),"")</f>
        <v/>
      </c>
      <c r="AF47" s="528"/>
      <c r="AG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5-3'!$D$11:$Q319,AG$4,AG$5)"),"")</f>
        <v/>
      </c>
      <c r="AH47" s="527"/>
      <c r="AI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5-3'!$D$11:$Q319,AI$4,AI$5)"),"")</f>
        <v/>
      </c>
      <c r="AJ47" s="527"/>
      <c r="AK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5-3'!$D$11:$Q319,AK$4,AK$5)"),"")</f>
        <v/>
      </c>
      <c r="AL47" s="527"/>
      <c r="AM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5-3'!$D$11:$Q319,AM$4,AM$5)"),"")</f>
        <v/>
      </c>
      <c r="AN47" s="529"/>
      <c r="AO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5-3'!$D$11:$Q319,AO$4,AO$5)"),"")</f>
        <v/>
      </c>
      <c r="AP47" s="527"/>
      <c r="AQ47" s="527"/>
      <c r="AR47" s="527"/>
      <c r="AS47" s="527"/>
      <c r="AT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5-3'!$D$11:$Q319,AT$4,AT$5)"),"")</f>
        <v/>
      </c>
      <c r="AU47" s="531"/>
      <c r="AV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5-3'!$D$11:$Q319,AV$4,AV$5)"),"")</f>
        <v/>
      </c>
      <c r="AW47" s="530"/>
      <c r="AX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5-3'!$D$11:$Q319,AX$4,AX$5)"),"")</f>
        <v/>
      </c>
      <c r="AY47" s="530"/>
      <c r="AZ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5-3'!$D$11:$Q319,AZ$4,AZ$5)"),"")</f>
        <v/>
      </c>
      <c r="BA47" s="530"/>
      <c r="BB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5-3'!$D$11:$Q319,BB$4,BB$5)"),"")</f>
        <v/>
      </c>
      <c r="BC47" s="532"/>
      <c r="BD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5-3'!$D$11:$Q319,BD$4,BD$5)"),"")</f>
        <v/>
      </c>
      <c r="BE47" s="530"/>
      <c r="BF47" s="530"/>
      <c r="BG47" s="530"/>
      <c r="BH47" s="530"/>
      <c r="BI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5-3'!$D$11:$Q319,BI$4,BI$5)"),"")</f>
        <v/>
      </c>
      <c r="BJ47" s="535"/>
      <c r="BK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5-3'!$D$11:$Q319,BK$4,BK$5)"),"")</f>
        <v/>
      </c>
      <c r="BL47" s="534"/>
      <c r="BM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5-3'!$D$11:$Q319,BM$4,BM$5)"),"")</f>
        <v/>
      </c>
      <c r="BN47" s="534"/>
      <c r="BO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5-3'!$D$11:$Q319,BO$4,BO$5)"),"")</f>
        <v/>
      </c>
      <c r="BP47" s="534"/>
      <c r="BQ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5-3'!$D$11:$Q319,BQ$4,BQ$5)"),"")</f>
        <v/>
      </c>
      <c r="BR47" s="536"/>
      <c r="BS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5-3'!$D$11:$Q319,BS$4,BS$5)"),"")</f>
        <v/>
      </c>
      <c r="BT47" s="534"/>
      <c r="BU47" s="534"/>
      <c r="BV47" s="534"/>
      <c r="BW47" s="534"/>
      <c r="BX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5-3'!$D$11:$Q319,BX$4,BX$5)"),"")</f>
        <v/>
      </c>
      <c r="BY47" s="538"/>
      <c r="BZ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5-3'!$D$11:$Q319,BZ$4,BZ$5)"),"")</f>
        <v/>
      </c>
      <c r="CA47" s="537"/>
      <c r="CB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5-3'!$D$11:$Q319,CB$4,CB$5)"),"")</f>
        <v/>
      </c>
      <c r="CC47" s="537"/>
      <c r="CD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5-3'!$D$11:$Q319,CD$4,CD$5)"),"")</f>
        <v/>
      </c>
      <c r="CE47" s="537"/>
      <c r="CF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5-3'!$D$11:$Q319,CF$4,CF$5)"),"")</f>
        <v/>
      </c>
      <c r="CG47" s="539"/>
      <c r="CH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5-3'!$D$11:$Q319,CH$4,CH$5)"),"")</f>
        <v/>
      </c>
      <c r="CI47" s="537"/>
      <c r="CJ47" s="537"/>
      <c r="CK47" s="537"/>
      <c r="CL47" s="537"/>
      <c r="CM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5-3'!$D$11:$Q319,CM$4,CM$5)"),"")</f>
        <v/>
      </c>
      <c r="CN47" s="541"/>
      <c r="CO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5-3'!$D$11:$Q319,CO$4,CO$5)"),"")</f>
        <v/>
      </c>
      <c r="CP47" s="540"/>
      <c r="CQ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5-3'!$D$11:$Q319,CQ$4,CQ$5)"),"")</f>
        <v/>
      </c>
      <c r="CR47" s="540"/>
      <c r="CS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5-3'!$D$11:$Q319,CS$4,CS$5)"),"")</f>
        <v/>
      </c>
      <c r="CT47" s="540"/>
      <c r="CU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5-3'!$D$11:$Q319,CU$4,CU$5)"),"")</f>
        <v/>
      </c>
      <c r="CV47" s="545"/>
      <c r="CW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5-3'!$D$11:$Q319,CW$4,CW$5)"),"")</f>
        <v/>
      </c>
      <c r="CX47" s="540"/>
      <c r="CY47" s="540"/>
      <c r="CZ47" s="540"/>
      <c r="DA47" s="540"/>
      <c r="DB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5-3'!$D$11:$Q319,DB$4,DB$5)"),"")</f>
        <v/>
      </c>
      <c r="DC47" s="555"/>
      <c r="DD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5-3'!$D$11:$Q319,DD$4,DD$5)"),"")</f>
        <v/>
      </c>
      <c r="DE47" s="554"/>
      <c r="DF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5-3'!$D$11:$Q319,DF$4,DF$5)"),"")</f>
        <v/>
      </c>
      <c r="DG47" s="554"/>
      <c r="DH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5-3'!$D$11:$Q319,DH$4,DH$5)"),"")</f>
        <v/>
      </c>
      <c r="DI47" s="554"/>
      <c r="DJ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5-3'!$D$11:$Q319,DJ$4,DJ$5)"),"")</f>
        <v/>
      </c>
      <c r="DK47" s="566"/>
      <c r="DL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5-3'!$D$11:$Q319,DL$4,DL$5)"),"")</f>
        <v/>
      </c>
      <c r="DM47" s="554"/>
      <c r="DN47" s="554"/>
      <c r="DO47" s="554"/>
      <c r="DP47" s="554"/>
      <c r="DQ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5-3'!$D$11:$Q319,DQ$4,DQ$5)"),"")</f>
        <v/>
      </c>
      <c r="DR47" s="569"/>
      <c r="DS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5-3'!$D$11:$Q319,DS$4,DS$5)"),"")</f>
        <v/>
      </c>
      <c r="DT47" s="568"/>
      <c r="DU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5-3'!$D$11:$Q319,DU$4,DU$5)"),"")</f>
        <v/>
      </c>
      <c r="DV47" s="568"/>
      <c r="DW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5-3'!$D$11:$Q319,DW$4,DW$5)"),"")</f>
        <v/>
      </c>
      <c r="DX47" s="568"/>
      <c r="DY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5-3'!$D$11:$Q319,DY$4,DY$5)"),"")</f>
        <v/>
      </c>
      <c r="DZ47" s="578"/>
      <c r="EA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$C47, 'S-10 Топ 5-3'!$D$11:$Q319,EA$4,EA$5)"),"")</f>
        <v/>
      </c>
      <c r="EB47" s="568"/>
      <c r="EC47" s="568"/>
      <c r="ED47" s="568"/>
      <c r="EE47" s="568"/>
    </row>
    <row r="48">
      <c r="A48" s="519" t="str">
        <f t="shared" si="1"/>
        <v/>
      </c>
      <c r="B48" s="520" t="str">
        <f>'5-0 Товары'!B48</f>
        <v/>
      </c>
      <c r="C48" s="521" t="str">
        <f>'5-1 Сбор КП Закупки'!C48</f>
        <v/>
      </c>
      <c r="D48" s="521" t="str">
        <f>'5-1 Сбор КП Закупки'!D48</f>
        <v/>
      </c>
      <c r="E48" s="521" t="str">
        <f>'5-1 Сбор КП Закупки'!E48</f>
        <v/>
      </c>
      <c r="F48" s="521" t="str">
        <f>'5-1 Сбор КП Закупки'!F48</f>
        <v/>
      </c>
      <c r="G48" s="522" t="str">
        <f>'5-1 Сбор КП Закупки'!G48</f>
        <v/>
      </c>
      <c r="H48" s="522" t="str">
        <f>'5-1 Сбор КП Закупки'!H48</f>
        <v/>
      </c>
      <c r="I48" s="522" t="str">
        <f>'5-1 Сбор КП Закупки'!I48</f>
        <v/>
      </c>
      <c r="J48" s="197"/>
      <c r="K48" s="522" t="str">
        <f>'5-1 Сбор КП Закупки'!G48</f>
        <v/>
      </c>
      <c r="L48" s="523" t="str">
        <f>IF(A48="Да",'5-1 Сбор КП Закупки'!K48,)</f>
        <v/>
      </c>
      <c r="M48" s="197"/>
      <c r="N48" s="197"/>
      <c r="O48" s="197"/>
      <c r="P48" s="525" t="str">
        <f>'5-1 Сбор КП Закупки'!P48</f>
        <v/>
      </c>
      <c r="Q48" s="197"/>
      <c r="R48" s="197"/>
      <c r="S48" s="197"/>
      <c r="T48" s="197"/>
      <c r="U48" s="197"/>
      <c r="V48" s="197"/>
      <c r="W48" s="522" t="str">
        <f>'5-1 Сбор КП Закупки'!O48</f>
        <v/>
      </c>
      <c r="X48" s="197"/>
      <c r="Y48" s="197"/>
      <c r="Z48" s="197"/>
      <c r="AA48" s="197"/>
      <c r="AB48" s="197">
        <v>0.0</v>
      </c>
      <c r="AC48" s="197"/>
      <c r="AD48" s="197"/>
      <c r="AE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5-3'!$D$11:$Q319,AE$4,AE$5)"),"")</f>
        <v/>
      </c>
      <c r="AF48" s="528"/>
      <c r="AG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5-3'!$D$11:$Q319,AG$4,AG$5)"),"")</f>
        <v/>
      </c>
      <c r="AH48" s="527"/>
      <c r="AI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5-3'!$D$11:$Q319,AI$4,AI$5)"),"")</f>
        <v/>
      </c>
      <c r="AJ48" s="527"/>
      <c r="AK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5-3'!$D$11:$Q319,AK$4,AK$5)"),"")</f>
        <v/>
      </c>
      <c r="AL48" s="527"/>
      <c r="AM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5-3'!$D$11:$Q319,AM$4,AM$5)"),"")</f>
        <v/>
      </c>
      <c r="AN48" s="529"/>
      <c r="AO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5-3'!$D$11:$Q319,AO$4,AO$5)"),"")</f>
        <v/>
      </c>
      <c r="AP48" s="527"/>
      <c r="AQ48" s="527"/>
      <c r="AR48" s="527"/>
      <c r="AS48" s="527"/>
      <c r="AT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5-3'!$D$11:$Q319,AT$4,AT$5)"),"")</f>
        <v/>
      </c>
      <c r="AU48" s="531"/>
      <c r="AV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5-3'!$D$11:$Q319,AV$4,AV$5)"),"")</f>
        <v/>
      </c>
      <c r="AW48" s="530"/>
      <c r="AX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5-3'!$D$11:$Q319,AX$4,AX$5)"),"")</f>
        <v/>
      </c>
      <c r="AY48" s="530"/>
      <c r="AZ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5-3'!$D$11:$Q319,AZ$4,AZ$5)"),"")</f>
        <v/>
      </c>
      <c r="BA48" s="530"/>
      <c r="BB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5-3'!$D$11:$Q319,BB$4,BB$5)"),"")</f>
        <v/>
      </c>
      <c r="BC48" s="532"/>
      <c r="BD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5-3'!$D$11:$Q319,BD$4,BD$5)"),"")</f>
        <v/>
      </c>
      <c r="BE48" s="530"/>
      <c r="BF48" s="530"/>
      <c r="BG48" s="530"/>
      <c r="BH48" s="530"/>
      <c r="BI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5-3'!$D$11:$Q319,BI$4,BI$5)"),"")</f>
        <v/>
      </c>
      <c r="BJ48" s="535"/>
      <c r="BK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5-3'!$D$11:$Q319,BK$4,BK$5)"),"")</f>
        <v/>
      </c>
      <c r="BL48" s="534"/>
      <c r="BM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5-3'!$D$11:$Q319,BM$4,BM$5)"),"")</f>
        <v/>
      </c>
      <c r="BN48" s="534"/>
      <c r="BO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5-3'!$D$11:$Q319,BO$4,BO$5)"),"")</f>
        <v/>
      </c>
      <c r="BP48" s="534"/>
      <c r="BQ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5-3'!$D$11:$Q319,BQ$4,BQ$5)"),"")</f>
        <v/>
      </c>
      <c r="BR48" s="536"/>
      <c r="BS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5-3'!$D$11:$Q319,BS$4,BS$5)"),"")</f>
        <v/>
      </c>
      <c r="BT48" s="534"/>
      <c r="BU48" s="534"/>
      <c r="BV48" s="534"/>
      <c r="BW48" s="534"/>
      <c r="BX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5-3'!$D$11:$Q319,BX$4,BX$5)"),"")</f>
        <v/>
      </c>
      <c r="BY48" s="538"/>
      <c r="BZ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5-3'!$D$11:$Q319,BZ$4,BZ$5)"),"")</f>
        <v/>
      </c>
      <c r="CA48" s="537"/>
      <c r="CB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5-3'!$D$11:$Q319,CB$4,CB$5)"),"")</f>
        <v/>
      </c>
      <c r="CC48" s="537"/>
      <c r="CD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5-3'!$D$11:$Q319,CD$4,CD$5)"),"")</f>
        <v/>
      </c>
      <c r="CE48" s="537"/>
      <c r="CF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5-3'!$D$11:$Q319,CF$4,CF$5)"),"")</f>
        <v/>
      </c>
      <c r="CG48" s="539"/>
      <c r="CH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5-3'!$D$11:$Q319,CH$4,CH$5)"),"")</f>
        <v/>
      </c>
      <c r="CI48" s="537"/>
      <c r="CJ48" s="537"/>
      <c r="CK48" s="537"/>
      <c r="CL48" s="537"/>
      <c r="CM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5-3'!$D$11:$Q319,CM$4,CM$5)"),"")</f>
        <v/>
      </c>
      <c r="CN48" s="541"/>
      <c r="CO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5-3'!$D$11:$Q319,CO$4,CO$5)"),"")</f>
        <v/>
      </c>
      <c r="CP48" s="540"/>
      <c r="CQ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5-3'!$D$11:$Q319,CQ$4,CQ$5)"),"")</f>
        <v/>
      </c>
      <c r="CR48" s="540"/>
      <c r="CS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5-3'!$D$11:$Q319,CS$4,CS$5)"),"")</f>
        <v/>
      </c>
      <c r="CT48" s="540"/>
      <c r="CU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5-3'!$D$11:$Q319,CU$4,CU$5)"),"")</f>
        <v/>
      </c>
      <c r="CV48" s="545"/>
      <c r="CW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5-3'!$D$11:$Q319,CW$4,CW$5)"),"")</f>
        <v/>
      </c>
      <c r="CX48" s="540"/>
      <c r="CY48" s="540"/>
      <c r="CZ48" s="540"/>
      <c r="DA48" s="540"/>
      <c r="DB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5-3'!$D$11:$Q319,DB$4,DB$5)"),"")</f>
        <v/>
      </c>
      <c r="DC48" s="555"/>
      <c r="DD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5-3'!$D$11:$Q319,DD$4,DD$5)"),"")</f>
        <v/>
      </c>
      <c r="DE48" s="554"/>
      <c r="DF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5-3'!$D$11:$Q319,DF$4,DF$5)"),"")</f>
        <v/>
      </c>
      <c r="DG48" s="554"/>
      <c r="DH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5-3'!$D$11:$Q319,DH$4,DH$5)"),"")</f>
        <v/>
      </c>
      <c r="DI48" s="554"/>
      <c r="DJ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5-3'!$D$11:$Q319,DJ$4,DJ$5)"),"")</f>
        <v/>
      </c>
      <c r="DK48" s="566"/>
      <c r="DL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5-3'!$D$11:$Q319,DL$4,DL$5)"),"")</f>
        <v/>
      </c>
      <c r="DM48" s="554"/>
      <c r="DN48" s="554"/>
      <c r="DO48" s="554"/>
      <c r="DP48" s="554"/>
      <c r="DQ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5-3'!$D$11:$Q319,DQ$4,DQ$5)"),"")</f>
        <v/>
      </c>
      <c r="DR48" s="569"/>
      <c r="DS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5-3'!$D$11:$Q319,DS$4,DS$5)"),"")</f>
        <v/>
      </c>
      <c r="DT48" s="568"/>
      <c r="DU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5-3'!$D$11:$Q319,DU$4,DU$5)"),"")</f>
        <v/>
      </c>
      <c r="DV48" s="568"/>
      <c r="DW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5-3'!$D$11:$Q319,DW$4,DW$5)"),"")</f>
        <v/>
      </c>
      <c r="DX48" s="568"/>
      <c r="DY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5-3'!$D$11:$Q319,DY$4,DY$5)"),"")</f>
        <v/>
      </c>
      <c r="DZ48" s="578"/>
      <c r="EA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$C48, 'S-10 Топ 5-3'!$D$11:$Q319,EA$4,EA$5)"),"")</f>
        <v/>
      </c>
      <c r="EB48" s="568"/>
      <c r="EC48" s="568"/>
      <c r="ED48" s="568"/>
      <c r="EE48" s="568"/>
    </row>
    <row r="49">
      <c r="A49" s="519" t="str">
        <f t="shared" si="1"/>
        <v/>
      </c>
      <c r="B49" s="520" t="str">
        <f>'5-0 Товары'!B49</f>
        <v/>
      </c>
      <c r="C49" s="521" t="str">
        <f>'5-1 Сбор КП Закупки'!C49</f>
        <v/>
      </c>
      <c r="D49" s="521" t="str">
        <f>'5-1 Сбор КП Закупки'!D49</f>
        <v/>
      </c>
      <c r="E49" s="521" t="str">
        <f>'5-1 Сбор КП Закупки'!E49</f>
        <v/>
      </c>
      <c r="F49" s="521" t="str">
        <f>'5-1 Сбор КП Закупки'!F49</f>
        <v/>
      </c>
      <c r="G49" s="522" t="str">
        <f>'5-1 Сбор КП Закупки'!G49</f>
        <v/>
      </c>
      <c r="H49" s="522" t="str">
        <f>'5-1 Сбор КП Закупки'!H49</f>
        <v/>
      </c>
      <c r="I49" s="522" t="str">
        <f>'5-1 Сбор КП Закупки'!I49</f>
        <v/>
      </c>
      <c r="J49" s="197"/>
      <c r="K49" s="522" t="str">
        <f>'5-1 Сбор КП Закупки'!G49</f>
        <v/>
      </c>
      <c r="L49" s="523" t="str">
        <f>IF(A49="Да",'5-1 Сбор КП Закупки'!K49,)</f>
        <v/>
      </c>
      <c r="M49" s="197"/>
      <c r="N49" s="197"/>
      <c r="O49" s="197"/>
      <c r="P49" s="525" t="str">
        <f>'5-1 Сбор КП Закупки'!P49</f>
        <v/>
      </c>
      <c r="Q49" s="197"/>
      <c r="R49" s="197"/>
      <c r="S49" s="197"/>
      <c r="T49" s="197"/>
      <c r="U49" s="197"/>
      <c r="V49" s="197"/>
      <c r="W49" s="522" t="str">
        <f>'5-1 Сбор КП Закупки'!O49</f>
        <v/>
      </c>
      <c r="X49" s="197"/>
      <c r="Y49" s="197"/>
      <c r="Z49" s="197"/>
      <c r="AA49" s="197"/>
      <c r="AB49" s="197">
        <v>0.0</v>
      </c>
      <c r="AC49" s="197"/>
      <c r="AD49" s="197"/>
      <c r="AE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5-3'!$D$11:$Q319,AE$4,AE$5)"),"")</f>
        <v/>
      </c>
      <c r="AF49" s="528"/>
      <c r="AG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5-3'!$D$11:$Q319,AG$4,AG$5)"),"")</f>
        <v/>
      </c>
      <c r="AH49" s="527"/>
      <c r="AI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5-3'!$D$11:$Q319,AI$4,AI$5)"),"")</f>
        <v/>
      </c>
      <c r="AJ49" s="527"/>
      <c r="AK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5-3'!$D$11:$Q319,AK$4,AK$5)"),"")</f>
        <v/>
      </c>
      <c r="AL49" s="527"/>
      <c r="AM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5-3'!$D$11:$Q319,AM$4,AM$5)"),"")</f>
        <v/>
      </c>
      <c r="AN49" s="529"/>
      <c r="AO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5-3'!$D$11:$Q319,AO$4,AO$5)"),"")</f>
        <v/>
      </c>
      <c r="AP49" s="527"/>
      <c r="AQ49" s="527"/>
      <c r="AR49" s="527"/>
      <c r="AS49" s="527"/>
      <c r="AT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5-3'!$D$11:$Q319,AT$4,AT$5)"),"")</f>
        <v/>
      </c>
      <c r="AU49" s="531"/>
      <c r="AV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5-3'!$D$11:$Q319,AV$4,AV$5)"),"")</f>
        <v/>
      </c>
      <c r="AW49" s="530"/>
      <c r="AX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5-3'!$D$11:$Q319,AX$4,AX$5)"),"")</f>
        <v/>
      </c>
      <c r="AY49" s="530"/>
      <c r="AZ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5-3'!$D$11:$Q319,AZ$4,AZ$5)"),"")</f>
        <v/>
      </c>
      <c r="BA49" s="530"/>
      <c r="BB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5-3'!$D$11:$Q319,BB$4,BB$5)"),"")</f>
        <v/>
      </c>
      <c r="BC49" s="532"/>
      <c r="BD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5-3'!$D$11:$Q319,BD$4,BD$5)"),"")</f>
        <v/>
      </c>
      <c r="BE49" s="530"/>
      <c r="BF49" s="530"/>
      <c r="BG49" s="530"/>
      <c r="BH49" s="530"/>
      <c r="BI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5-3'!$D$11:$Q319,BI$4,BI$5)"),"")</f>
        <v/>
      </c>
      <c r="BJ49" s="535"/>
      <c r="BK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5-3'!$D$11:$Q319,BK$4,BK$5)"),"")</f>
        <v/>
      </c>
      <c r="BL49" s="534"/>
      <c r="BM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5-3'!$D$11:$Q319,BM$4,BM$5)"),"")</f>
        <v/>
      </c>
      <c r="BN49" s="534"/>
      <c r="BO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5-3'!$D$11:$Q319,BO$4,BO$5)"),"")</f>
        <v/>
      </c>
      <c r="BP49" s="534"/>
      <c r="BQ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5-3'!$D$11:$Q319,BQ$4,BQ$5)"),"")</f>
        <v/>
      </c>
      <c r="BR49" s="536"/>
      <c r="BS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5-3'!$D$11:$Q319,BS$4,BS$5)"),"")</f>
        <v/>
      </c>
      <c r="BT49" s="534"/>
      <c r="BU49" s="534"/>
      <c r="BV49" s="534"/>
      <c r="BW49" s="534"/>
      <c r="BX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5-3'!$D$11:$Q319,BX$4,BX$5)"),"")</f>
        <v/>
      </c>
      <c r="BY49" s="538"/>
      <c r="BZ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5-3'!$D$11:$Q319,BZ$4,BZ$5)"),"")</f>
        <v/>
      </c>
      <c r="CA49" s="537"/>
      <c r="CB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5-3'!$D$11:$Q319,CB$4,CB$5)"),"")</f>
        <v/>
      </c>
      <c r="CC49" s="537"/>
      <c r="CD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5-3'!$D$11:$Q319,CD$4,CD$5)"),"")</f>
        <v/>
      </c>
      <c r="CE49" s="537"/>
      <c r="CF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5-3'!$D$11:$Q319,CF$4,CF$5)"),"")</f>
        <v/>
      </c>
      <c r="CG49" s="539"/>
      <c r="CH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5-3'!$D$11:$Q319,CH$4,CH$5)"),"")</f>
        <v/>
      </c>
      <c r="CI49" s="537"/>
      <c r="CJ49" s="537"/>
      <c r="CK49" s="537"/>
      <c r="CL49" s="537"/>
      <c r="CM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5-3'!$D$11:$Q319,CM$4,CM$5)"),"")</f>
        <v/>
      </c>
      <c r="CN49" s="541"/>
      <c r="CO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5-3'!$D$11:$Q319,CO$4,CO$5)"),"")</f>
        <v/>
      </c>
      <c r="CP49" s="540"/>
      <c r="CQ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5-3'!$D$11:$Q319,CQ$4,CQ$5)"),"")</f>
        <v/>
      </c>
      <c r="CR49" s="540"/>
      <c r="CS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5-3'!$D$11:$Q319,CS$4,CS$5)"),"")</f>
        <v/>
      </c>
      <c r="CT49" s="540"/>
      <c r="CU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5-3'!$D$11:$Q319,CU$4,CU$5)"),"")</f>
        <v/>
      </c>
      <c r="CV49" s="545"/>
      <c r="CW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5-3'!$D$11:$Q319,CW$4,CW$5)"),"")</f>
        <v/>
      </c>
      <c r="CX49" s="540"/>
      <c r="CY49" s="540"/>
      <c r="CZ49" s="540"/>
      <c r="DA49" s="540"/>
      <c r="DB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5-3'!$D$11:$Q319,DB$4,DB$5)"),"")</f>
        <v/>
      </c>
      <c r="DC49" s="555"/>
      <c r="DD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5-3'!$D$11:$Q319,DD$4,DD$5)"),"")</f>
        <v/>
      </c>
      <c r="DE49" s="554"/>
      <c r="DF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5-3'!$D$11:$Q319,DF$4,DF$5)"),"")</f>
        <v/>
      </c>
      <c r="DG49" s="554"/>
      <c r="DH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5-3'!$D$11:$Q319,DH$4,DH$5)"),"")</f>
        <v/>
      </c>
      <c r="DI49" s="554"/>
      <c r="DJ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5-3'!$D$11:$Q319,DJ$4,DJ$5)"),"")</f>
        <v/>
      </c>
      <c r="DK49" s="566"/>
      <c r="DL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5-3'!$D$11:$Q319,DL$4,DL$5)"),"")</f>
        <v/>
      </c>
      <c r="DM49" s="554"/>
      <c r="DN49" s="554"/>
      <c r="DO49" s="554"/>
      <c r="DP49" s="554"/>
      <c r="DQ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5-3'!$D$11:$Q319,DQ$4,DQ$5)"),"")</f>
        <v/>
      </c>
      <c r="DR49" s="569"/>
      <c r="DS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5-3'!$D$11:$Q319,DS$4,DS$5)"),"")</f>
        <v/>
      </c>
      <c r="DT49" s="568"/>
      <c r="DU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5-3'!$D$11:$Q319,DU$4,DU$5)"),"")</f>
        <v/>
      </c>
      <c r="DV49" s="568"/>
      <c r="DW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5-3'!$D$11:$Q319,DW$4,DW$5)"),"")</f>
        <v/>
      </c>
      <c r="DX49" s="568"/>
      <c r="DY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5-3'!$D$11:$Q319,DY$4,DY$5)"),"")</f>
        <v/>
      </c>
      <c r="DZ49" s="578"/>
      <c r="EA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$C49, 'S-10 Топ 5-3'!$D$11:$Q319,EA$4,EA$5)"),"")</f>
        <v/>
      </c>
      <c r="EB49" s="568"/>
      <c r="EC49" s="568"/>
      <c r="ED49" s="568"/>
      <c r="EE49" s="568"/>
    </row>
    <row r="50">
      <c r="A50" s="519" t="str">
        <f t="shared" si="1"/>
        <v/>
      </c>
      <c r="B50" s="1137" t="str">
        <f>'5-0 Товары'!B50</f>
        <v/>
      </c>
      <c r="C50" s="521" t="str">
        <f>'5-1 Сбор КП Закупки'!C50</f>
        <v/>
      </c>
      <c r="D50" s="521" t="str">
        <f>'5-1 Сбор КП Закупки'!D50</f>
        <v/>
      </c>
      <c r="E50" s="521" t="str">
        <f>'5-1 Сбор КП Закупки'!E50</f>
        <v/>
      </c>
      <c r="F50" s="521" t="str">
        <f>'5-1 Сбор КП Закупки'!F50</f>
        <v/>
      </c>
      <c r="G50" s="522" t="str">
        <f>'5-1 Сбор КП Закупки'!G50</f>
        <v/>
      </c>
      <c r="H50" s="522" t="str">
        <f>'5-1 Сбор КП Закупки'!H50</f>
        <v/>
      </c>
      <c r="I50" s="522" t="str">
        <f>'5-1 Сбор КП Закупки'!I50</f>
        <v/>
      </c>
      <c r="J50" s="197"/>
      <c r="K50" s="522" t="str">
        <f>'5-1 Сбор КП Закупки'!G50</f>
        <v/>
      </c>
      <c r="L50" s="523" t="str">
        <f>IF(A50="Да",'5-1 Сбор КП Закупки'!K50,)</f>
        <v/>
      </c>
      <c r="M50" s="197"/>
      <c r="N50" s="197"/>
      <c r="O50" s="197"/>
      <c r="P50" s="525" t="str">
        <f>'5-1 Сбор КП Закупки'!P50</f>
        <v/>
      </c>
      <c r="Q50" s="197"/>
      <c r="R50" s="197"/>
      <c r="S50" s="197"/>
      <c r="T50" s="197"/>
      <c r="U50" s="197"/>
      <c r="V50" s="197"/>
      <c r="W50" s="522" t="str">
        <f>'5-1 Сбор КП Закупки'!O50</f>
        <v/>
      </c>
      <c r="X50" s="197"/>
      <c r="Y50" s="197"/>
      <c r="Z50" s="197"/>
      <c r="AA50" s="197"/>
      <c r="AB50" s="197">
        <v>0.0</v>
      </c>
      <c r="AC50" s="197"/>
      <c r="AD50" s="197"/>
      <c r="AE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5-3'!$D$11:$Q319,AE$4,AE$5)"),"")</f>
        <v/>
      </c>
      <c r="AF50" s="528"/>
      <c r="AG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5-3'!$D$11:$Q319,AG$4,AG$5)"),"")</f>
        <v/>
      </c>
      <c r="AH50" s="527"/>
      <c r="AI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5-3'!$D$11:$Q319,AI$4,AI$5)"),"")</f>
        <v/>
      </c>
      <c r="AJ50" s="527"/>
      <c r="AK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5-3'!$D$11:$Q319,AK$4,AK$5)"),"")</f>
        <v/>
      </c>
      <c r="AL50" s="527"/>
      <c r="AM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5-3'!$D$11:$Q319,AM$4,AM$5)"),"")</f>
        <v/>
      </c>
      <c r="AN50" s="529"/>
      <c r="AO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5-3'!$D$11:$Q319,AO$4,AO$5)"),"")</f>
        <v/>
      </c>
      <c r="AP50" s="527"/>
      <c r="AQ50" s="527"/>
      <c r="AR50" s="527"/>
      <c r="AS50" s="527"/>
      <c r="AT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5-3'!$D$11:$Q319,AT$4,AT$5)"),"")</f>
        <v/>
      </c>
      <c r="AU50" s="531"/>
      <c r="AV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5-3'!$D$11:$Q319,AV$4,AV$5)"),"")</f>
        <v/>
      </c>
      <c r="AW50" s="530"/>
      <c r="AX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5-3'!$D$11:$Q319,AX$4,AX$5)"),"")</f>
        <v/>
      </c>
      <c r="AY50" s="530"/>
      <c r="AZ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5-3'!$D$11:$Q319,AZ$4,AZ$5)"),"")</f>
        <v/>
      </c>
      <c r="BA50" s="530"/>
      <c r="BB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5-3'!$D$11:$Q319,BB$4,BB$5)"),"")</f>
        <v/>
      </c>
      <c r="BC50" s="532"/>
      <c r="BD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5-3'!$D$11:$Q319,BD$4,BD$5)"),"")</f>
        <v/>
      </c>
      <c r="BE50" s="530"/>
      <c r="BF50" s="530"/>
      <c r="BG50" s="530"/>
      <c r="BH50" s="530"/>
      <c r="BI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5-3'!$D$11:$Q319,BI$4,BI$5)"),"")</f>
        <v/>
      </c>
      <c r="BJ50" s="535"/>
      <c r="BK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5-3'!$D$11:$Q319,BK$4,BK$5)"),"")</f>
        <v/>
      </c>
      <c r="BL50" s="534"/>
      <c r="BM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5-3'!$D$11:$Q319,BM$4,BM$5)"),"")</f>
        <v/>
      </c>
      <c r="BN50" s="534"/>
      <c r="BO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5-3'!$D$11:$Q319,BO$4,BO$5)"),"")</f>
        <v/>
      </c>
      <c r="BP50" s="534"/>
      <c r="BQ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5-3'!$D$11:$Q319,BQ$4,BQ$5)"),"")</f>
        <v/>
      </c>
      <c r="BR50" s="536"/>
      <c r="BS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5-3'!$D$11:$Q319,BS$4,BS$5)"),"")</f>
        <v/>
      </c>
      <c r="BT50" s="534"/>
      <c r="BU50" s="534"/>
      <c r="BV50" s="534"/>
      <c r="BW50" s="534"/>
      <c r="BX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5-3'!$D$11:$Q319,BX$4,BX$5)"),"")</f>
        <v/>
      </c>
      <c r="BY50" s="538"/>
      <c r="BZ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5-3'!$D$11:$Q319,BZ$4,BZ$5)"),"")</f>
        <v/>
      </c>
      <c r="CA50" s="537"/>
      <c r="CB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5-3'!$D$11:$Q319,CB$4,CB$5)"),"")</f>
        <v/>
      </c>
      <c r="CC50" s="537"/>
      <c r="CD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5-3'!$D$11:$Q319,CD$4,CD$5)"),"")</f>
        <v/>
      </c>
      <c r="CE50" s="537"/>
      <c r="CF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5-3'!$D$11:$Q319,CF$4,CF$5)"),"")</f>
        <v/>
      </c>
      <c r="CG50" s="539"/>
      <c r="CH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5-3'!$D$11:$Q319,CH$4,CH$5)"),"")</f>
        <v/>
      </c>
      <c r="CI50" s="537"/>
      <c r="CJ50" s="537"/>
      <c r="CK50" s="537"/>
      <c r="CL50" s="537"/>
      <c r="CM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5-3'!$D$11:$Q319,CM$4,CM$5)"),"")</f>
        <v/>
      </c>
      <c r="CN50" s="541"/>
      <c r="CO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5-3'!$D$11:$Q319,CO$4,CO$5)"),"")</f>
        <v/>
      </c>
      <c r="CP50" s="540"/>
      <c r="CQ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5-3'!$D$11:$Q319,CQ$4,CQ$5)"),"")</f>
        <v/>
      </c>
      <c r="CR50" s="540"/>
      <c r="CS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5-3'!$D$11:$Q319,CS$4,CS$5)"),"")</f>
        <v/>
      </c>
      <c r="CT50" s="540"/>
      <c r="CU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5-3'!$D$11:$Q319,CU$4,CU$5)"),"")</f>
        <v/>
      </c>
      <c r="CV50" s="545"/>
      <c r="CW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5-3'!$D$11:$Q319,CW$4,CW$5)"),"")</f>
        <v/>
      </c>
      <c r="CX50" s="540"/>
      <c r="CY50" s="540"/>
      <c r="CZ50" s="540"/>
      <c r="DA50" s="540"/>
      <c r="DB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5-3'!$D$11:$Q319,DB$4,DB$5)"),"")</f>
        <v/>
      </c>
      <c r="DC50" s="555"/>
      <c r="DD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5-3'!$D$11:$Q319,DD$4,DD$5)"),"")</f>
        <v/>
      </c>
      <c r="DE50" s="554"/>
      <c r="DF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5-3'!$D$11:$Q319,DF$4,DF$5)"),"")</f>
        <v/>
      </c>
      <c r="DG50" s="554"/>
      <c r="DH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5-3'!$D$11:$Q319,DH$4,DH$5)"),"")</f>
        <v/>
      </c>
      <c r="DI50" s="554"/>
      <c r="DJ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5-3'!$D$11:$Q319,DJ$4,DJ$5)"),"")</f>
        <v/>
      </c>
      <c r="DK50" s="566"/>
      <c r="DL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5-3'!$D$11:$Q319,DL$4,DL$5)"),"")</f>
        <v/>
      </c>
      <c r="DM50" s="554"/>
      <c r="DN50" s="554"/>
      <c r="DO50" s="554"/>
      <c r="DP50" s="554"/>
      <c r="DQ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5-3'!$D$11:$Q319,DQ$4,DQ$5)"),"")</f>
        <v/>
      </c>
      <c r="DR50" s="569"/>
      <c r="DS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5-3'!$D$11:$Q319,DS$4,DS$5)"),"")</f>
        <v/>
      </c>
      <c r="DT50" s="568"/>
      <c r="DU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5-3'!$D$11:$Q319,DU$4,DU$5)"),"")</f>
        <v/>
      </c>
      <c r="DV50" s="568"/>
      <c r="DW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5-3'!$D$11:$Q319,DW$4,DW$5)"),"")</f>
        <v/>
      </c>
      <c r="DX50" s="568"/>
      <c r="DY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5-3'!$D$11:$Q319,DY$4,DY$5)"),"")</f>
        <v/>
      </c>
      <c r="DZ50" s="578"/>
      <c r="EA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$C50, 'S-10 Топ 5-3'!$D$11:$Q319,EA$4,EA$5)"),"")</f>
        <v/>
      </c>
      <c r="EB50" s="568"/>
      <c r="EC50" s="568"/>
      <c r="ED50" s="568"/>
      <c r="EE50" s="568"/>
    </row>
    <row r="51">
      <c r="A51" s="519" t="str">
        <f t="shared" si="1"/>
        <v/>
      </c>
      <c r="B51" s="1137" t="str">
        <f>'5-0 Товары'!B51</f>
        <v/>
      </c>
      <c r="C51" s="521" t="str">
        <f>'5-1 Сбор КП Закупки'!C51</f>
        <v/>
      </c>
      <c r="D51" s="521" t="str">
        <f>'5-1 Сбор КП Закупки'!D51</f>
        <v/>
      </c>
      <c r="E51" s="521" t="str">
        <f>'5-1 Сбор КП Закупки'!E51</f>
        <v/>
      </c>
      <c r="F51" s="521" t="str">
        <f>'5-1 Сбор КП Закупки'!F51</f>
        <v/>
      </c>
      <c r="G51" s="522" t="str">
        <f>'5-1 Сбор КП Закупки'!G51</f>
        <v/>
      </c>
      <c r="H51" s="522" t="str">
        <f>'5-1 Сбор КП Закупки'!H51</f>
        <v/>
      </c>
      <c r="I51" s="522" t="str">
        <f>'5-1 Сбор КП Закупки'!I51</f>
        <v/>
      </c>
      <c r="J51" s="197"/>
      <c r="K51" s="522" t="str">
        <f>'5-1 Сбор КП Закупки'!G51</f>
        <v/>
      </c>
      <c r="L51" s="523" t="str">
        <f>IF(A51="Да",'5-1 Сбор КП Закупки'!K51,)</f>
        <v/>
      </c>
      <c r="M51" s="197"/>
      <c r="N51" s="197"/>
      <c r="O51" s="197"/>
      <c r="P51" s="525" t="str">
        <f>'5-1 Сбор КП Закупки'!P51</f>
        <v/>
      </c>
      <c r="Q51" s="197"/>
      <c r="R51" s="197"/>
      <c r="S51" s="197"/>
      <c r="T51" s="197"/>
      <c r="U51" s="197"/>
      <c r="V51" s="197"/>
      <c r="W51" s="522" t="str">
        <f>'5-1 Сбор КП Закупки'!O51</f>
        <v/>
      </c>
      <c r="X51" s="197"/>
      <c r="Y51" s="197"/>
      <c r="Z51" s="197"/>
      <c r="AA51" s="197"/>
      <c r="AB51" s="197">
        <v>0.0</v>
      </c>
      <c r="AC51" s="197"/>
      <c r="AD51" s="197"/>
      <c r="AE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5-3'!$D$11:$Q319,AE$4,AE$5)"),"")</f>
        <v/>
      </c>
      <c r="AF51" s="528"/>
      <c r="AG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5-3'!$D$11:$Q319,AG$4,AG$5)"),"")</f>
        <v/>
      </c>
      <c r="AH51" s="527"/>
      <c r="AI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5-3'!$D$11:$Q319,AI$4,AI$5)"),"")</f>
        <v/>
      </c>
      <c r="AJ51" s="527"/>
      <c r="AK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5-3'!$D$11:$Q319,AK$4,AK$5)"),"")</f>
        <v/>
      </c>
      <c r="AL51" s="527"/>
      <c r="AM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5-3'!$D$11:$Q319,AM$4,AM$5)"),"")</f>
        <v/>
      </c>
      <c r="AN51" s="529"/>
      <c r="AO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5-3'!$D$11:$Q319,AO$4,AO$5)"),"")</f>
        <v/>
      </c>
      <c r="AP51" s="527"/>
      <c r="AQ51" s="527"/>
      <c r="AR51" s="527"/>
      <c r="AS51" s="527"/>
      <c r="AT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5-3'!$D$11:$Q319,AT$4,AT$5)"),"")</f>
        <v/>
      </c>
      <c r="AU51" s="531"/>
      <c r="AV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5-3'!$D$11:$Q319,AV$4,AV$5)"),"")</f>
        <v/>
      </c>
      <c r="AW51" s="530"/>
      <c r="AX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5-3'!$D$11:$Q319,AX$4,AX$5)"),"")</f>
        <v/>
      </c>
      <c r="AY51" s="530"/>
      <c r="AZ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5-3'!$D$11:$Q319,AZ$4,AZ$5)"),"")</f>
        <v/>
      </c>
      <c r="BA51" s="530"/>
      <c r="BB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5-3'!$D$11:$Q319,BB$4,BB$5)"),"")</f>
        <v/>
      </c>
      <c r="BC51" s="532"/>
      <c r="BD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5-3'!$D$11:$Q319,BD$4,BD$5)"),"")</f>
        <v/>
      </c>
      <c r="BE51" s="530"/>
      <c r="BF51" s="530"/>
      <c r="BG51" s="530"/>
      <c r="BH51" s="530"/>
      <c r="BI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5-3'!$D$11:$Q319,BI$4,BI$5)"),"")</f>
        <v/>
      </c>
      <c r="BJ51" s="535"/>
      <c r="BK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5-3'!$D$11:$Q319,BK$4,BK$5)"),"")</f>
        <v/>
      </c>
      <c r="BL51" s="534"/>
      <c r="BM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5-3'!$D$11:$Q319,BM$4,BM$5)"),"")</f>
        <v/>
      </c>
      <c r="BN51" s="534"/>
      <c r="BO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5-3'!$D$11:$Q319,BO$4,BO$5)"),"")</f>
        <v/>
      </c>
      <c r="BP51" s="534"/>
      <c r="BQ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5-3'!$D$11:$Q319,BQ$4,BQ$5)"),"")</f>
        <v/>
      </c>
      <c r="BR51" s="536"/>
      <c r="BS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5-3'!$D$11:$Q319,BS$4,BS$5)"),"")</f>
        <v/>
      </c>
      <c r="BT51" s="534"/>
      <c r="BU51" s="534"/>
      <c r="BV51" s="534"/>
      <c r="BW51" s="534"/>
      <c r="BX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5-3'!$D$11:$Q319,BX$4,BX$5)"),"")</f>
        <v/>
      </c>
      <c r="BY51" s="538"/>
      <c r="BZ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5-3'!$D$11:$Q319,BZ$4,BZ$5)"),"")</f>
        <v/>
      </c>
      <c r="CA51" s="537"/>
      <c r="CB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5-3'!$D$11:$Q319,CB$4,CB$5)"),"")</f>
        <v/>
      </c>
      <c r="CC51" s="537"/>
      <c r="CD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5-3'!$D$11:$Q319,CD$4,CD$5)"),"")</f>
        <v/>
      </c>
      <c r="CE51" s="537"/>
      <c r="CF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5-3'!$D$11:$Q319,CF$4,CF$5)"),"")</f>
        <v/>
      </c>
      <c r="CG51" s="539"/>
      <c r="CH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5-3'!$D$11:$Q319,CH$4,CH$5)"),"")</f>
        <v/>
      </c>
      <c r="CI51" s="537"/>
      <c r="CJ51" s="537"/>
      <c r="CK51" s="537"/>
      <c r="CL51" s="537"/>
      <c r="CM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5-3'!$D$11:$Q319,CM$4,CM$5)"),"")</f>
        <v/>
      </c>
      <c r="CN51" s="541"/>
      <c r="CO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5-3'!$D$11:$Q319,CO$4,CO$5)"),"")</f>
        <v/>
      </c>
      <c r="CP51" s="540"/>
      <c r="CQ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5-3'!$D$11:$Q319,CQ$4,CQ$5)"),"")</f>
        <v/>
      </c>
      <c r="CR51" s="540"/>
      <c r="CS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5-3'!$D$11:$Q319,CS$4,CS$5)"),"")</f>
        <v/>
      </c>
      <c r="CT51" s="540"/>
      <c r="CU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5-3'!$D$11:$Q319,CU$4,CU$5)"),"")</f>
        <v/>
      </c>
      <c r="CV51" s="545"/>
      <c r="CW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5-3'!$D$11:$Q319,CW$4,CW$5)"),"")</f>
        <v/>
      </c>
      <c r="CX51" s="540"/>
      <c r="CY51" s="540"/>
      <c r="CZ51" s="540"/>
      <c r="DA51" s="540"/>
      <c r="DB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5-3'!$D$11:$Q319,DB$4,DB$5)"),"")</f>
        <v/>
      </c>
      <c r="DC51" s="555"/>
      <c r="DD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5-3'!$D$11:$Q319,DD$4,DD$5)"),"")</f>
        <v/>
      </c>
      <c r="DE51" s="554"/>
      <c r="DF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5-3'!$D$11:$Q319,DF$4,DF$5)"),"")</f>
        <v/>
      </c>
      <c r="DG51" s="554"/>
      <c r="DH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5-3'!$D$11:$Q319,DH$4,DH$5)"),"")</f>
        <v/>
      </c>
      <c r="DI51" s="554"/>
      <c r="DJ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5-3'!$D$11:$Q319,DJ$4,DJ$5)"),"")</f>
        <v/>
      </c>
      <c r="DK51" s="566"/>
      <c r="DL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5-3'!$D$11:$Q319,DL$4,DL$5)"),"")</f>
        <v/>
      </c>
      <c r="DM51" s="554"/>
      <c r="DN51" s="554"/>
      <c r="DO51" s="554"/>
      <c r="DP51" s="554"/>
      <c r="DQ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5-3'!$D$11:$Q319,DQ$4,DQ$5)"),"")</f>
        <v/>
      </c>
      <c r="DR51" s="569"/>
      <c r="DS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5-3'!$D$11:$Q319,DS$4,DS$5)"),"")</f>
        <v/>
      </c>
      <c r="DT51" s="568"/>
      <c r="DU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5-3'!$D$11:$Q319,DU$4,DU$5)"),"")</f>
        <v/>
      </c>
      <c r="DV51" s="568"/>
      <c r="DW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5-3'!$D$11:$Q319,DW$4,DW$5)"),"")</f>
        <v/>
      </c>
      <c r="DX51" s="568"/>
      <c r="DY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5-3'!$D$11:$Q319,DY$4,DY$5)"),"")</f>
        <v/>
      </c>
      <c r="DZ51" s="578"/>
      <c r="EA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$C51, 'S-10 Топ 5-3'!$D$11:$Q319,EA$4,EA$5)"),"")</f>
        <v/>
      </c>
      <c r="EB51" s="568"/>
      <c r="EC51" s="568"/>
      <c r="ED51" s="568"/>
      <c r="EE51" s="568"/>
    </row>
    <row r="52">
      <c r="A52" s="519" t="str">
        <f t="shared" si="1"/>
        <v/>
      </c>
      <c r="B52" s="1137" t="str">
        <f>'5-0 Товары'!B52</f>
        <v/>
      </c>
      <c r="C52" s="521" t="str">
        <f>'5-1 Сбор КП Закупки'!C52</f>
        <v/>
      </c>
      <c r="D52" s="521" t="str">
        <f>'5-1 Сбор КП Закупки'!D52</f>
        <v/>
      </c>
      <c r="E52" s="521" t="str">
        <f>'5-1 Сбор КП Закупки'!E52</f>
        <v/>
      </c>
      <c r="F52" s="521" t="str">
        <f>'5-1 Сбор КП Закупки'!F52</f>
        <v/>
      </c>
      <c r="G52" s="522" t="str">
        <f>'5-1 Сбор КП Закупки'!G52</f>
        <v/>
      </c>
      <c r="H52" s="522" t="str">
        <f>'5-1 Сбор КП Закупки'!H52</f>
        <v/>
      </c>
      <c r="I52" s="522" t="str">
        <f>'5-1 Сбор КП Закупки'!I52</f>
        <v/>
      </c>
      <c r="J52" s="197"/>
      <c r="K52" s="522" t="str">
        <f>'5-1 Сбор КП Закупки'!G52</f>
        <v/>
      </c>
      <c r="L52" s="523" t="str">
        <f>IF(A52="Да",'5-1 Сбор КП Закупки'!K52,)</f>
        <v/>
      </c>
      <c r="M52" s="197"/>
      <c r="N52" s="197"/>
      <c r="O52" s="197"/>
      <c r="P52" s="525" t="str">
        <f>'5-1 Сбор КП Закупки'!P52</f>
        <v/>
      </c>
      <c r="Q52" s="197"/>
      <c r="R52" s="197"/>
      <c r="S52" s="197"/>
      <c r="T52" s="197"/>
      <c r="U52" s="197"/>
      <c r="V52" s="197"/>
      <c r="W52" s="522" t="str">
        <f>'5-1 Сбор КП Закупки'!O52</f>
        <v/>
      </c>
      <c r="X52" s="197"/>
      <c r="Y52" s="197"/>
      <c r="Z52" s="197"/>
      <c r="AA52" s="197"/>
      <c r="AB52" s="197">
        <v>0.0</v>
      </c>
      <c r="AC52" s="197"/>
      <c r="AD52" s="197"/>
      <c r="AE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5-3'!$D$11:$Q319,AE$4,AE$5)"),"")</f>
        <v/>
      </c>
      <c r="AF52" s="528"/>
      <c r="AG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5-3'!$D$11:$Q319,AG$4,AG$5)"),"")</f>
        <v/>
      </c>
      <c r="AH52" s="527"/>
      <c r="AI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5-3'!$D$11:$Q319,AI$4,AI$5)"),"")</f>
        <v/>
      </c>
      <c r="AJ52" s="527"/>
      <c r="AK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5-3'!$D$11:$Q319,AK$4,AK$5)"),"")</f>
        <v/>
      </c>
      <c r="AL52" s="527"/>
      <c r="AM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5-3'!$D$11:$Q319,AM$4,AM$5)"),"")</f>
        <v/>
      </c>
      <c r="AN52" s="529"/>
      <c r="AO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5-3'!$D$11:$Q319,AO$4,AO$5)"),"")</f>
        <v/>
      </c>
      <c r="AP52" s="527"/>
      <c r="AQ52" s="527"/>
      <c r="AR52" s="527"/>
      <c r="AS52" s="527"/>
      <c r="AT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5-3'!$D$11:$Q319,AT$4,AT$5)"),"")</f>
        <v/>
      </c>
      <c r="AU52" s="531"/>
      <c r="AV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5-3'!$D$11:$Q319,AV$4,AV$5)"),"")</f>
        <v/>
      </c>
      <c r="AW52" s="530"/>
      <c r="AX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5-3'!$D$11:$Q319,AX$4,AX$5)"),"")</f>
        <v/>
      </c>
      <c r="AY52" s="530"/>
      <c r="AZ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5-3'!$D$11:$Q319,AZ$4,AZ$5)"),"")</f>
        <v/>
      </c>
      <c r="BA52" s="530"/>
      <c r="BB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5-3'!$D$11:$Q319,BB$4,BB$5)"),"")</f>
        <v/>
      </c>
      <c r="BC52" s="532"/>
      <c r="BD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5-3'!$D$11:$Q319,BD$4,BD$5)"),"")</f>
        <v/>
      </c>
      <c r="BE52" s="530"/>
      <c r="BF52" s="530"/>
      <c r="BG52" s="530"/>
      <c r="BH52" s="530"/>
      <c r="BI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5-3'!$D$11:$Q319,BI$4,BI$5)"),"")</f>
        <v/>
      </c>
      <c r="BJ52" s="535"/>
      <c r="BK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5-3'!$D$11:$Q319,BK$4,BK$5)"),"")</f>
        <v/>
      </c>
      <c r="BL52" s="534"/>
      <c r="BM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5-3'!$D$11:$Q319,BM$4,BM$5)"),"")</f>
        <v/>
      </c>
      <c r="BN52" s="534"/>
      <c r="BO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5-3'!$D$11:$Q319,BO$4,BO$5)"),"")</f>
        <v/>
      </c>
      <c r="BP52" s="534"/>
      <c r="BQ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5-3'!$D$11:$Q319,BQ$4,BQ$5)"),"")</f>
        <v/>
      </c>
      <c r="BR52" s="536"/>
      <c r="BS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5-3'!$D$11:$Q319,BS$4,BS$5)"),"")</f>
        <v/>
      </c>
      <c r="BT52" s="534"/>
      <c r="BU52" s="534"/>
      <c r="BV52" s="534"/>
      <c r="BW52" s="534"/>
      <c r="BX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5-3'!$D$11:$Q319,BX$4,BX$5)"),"")</f>
        <v/>
      </c>
      <c r="BY52" s="538"/>
      <c r="BZ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5-3'!$D$11:$Q319,BZ$4,BZ$5)"),"")</f>
        <v/>
      </c>
      <c r="CA52" s="537"/>
      <c r="CB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5-3'!$D$11:$Q319,CB$4,CB$5)"),"")</f>
        <v/>
      </c>
      <c r="CC52" s="537"/>
      <c r="CD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5-3'!$D$11:$Q319,CD$4,CD$5)"),"")</f>
        <v/>
      </c>
      <c r="CE52" s="537"/>
      <c r="CF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5-3'!$D$11:$Q319,CF$4,CF$5)"),"")</f>
        <v/>
      </c>
      <c r="CG52" s="539"/>
      <c r="CH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5-3'!$D$11:$Q319,CH$4,CH$5)"),"")</f>
        <v/>
      </c>
      <c r="CI52" s="537"/>
      <c r="CJ52" s="537"/>
      <c r="CK52" s="537"/>
      <c r="CL52" s="537"/>
      <c r="CM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5-3'!$D$11:$Q319,CM$4,CM$5)"),"")</f>
        <v/>
      </c>
      <c r="CN52" s="541"/>
      <c r="CO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5-3'!$D$11:$Q319,CO$4,CO$5)"),"")</f>
        <v/>
      </c>
      <c r="CP52" s="540"/>
      <c r="CQ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5-3'!$D$11:$Q319,CQ$4,CQ$5)"),"")</f>
        <v/>
      </c>
      <c r="CR52" s="540"/>
      <c r="CS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5-3'!$D$11:$Q319,CS$4,CS$5)"),"")</f>
        <v/>
      </c>
      <c r="CT52" s="540"/>
      <c r="CU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5-3'!$D$11:$Q319,CU$4,CU$5)"),"")</f>
        <v/>
      </c>
      <c r="CV52" s="545"/>
      <c r="CW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5-3'!$D$11:$Q319,CW$4,CW$5)"),"")</f>
        <v/>
      </c>
      <c r="CX52" s="540"/>
      <c r="CY52" s="540"/>
      <c r="CZ52" s="540"/>
      <c r="DA52" s="540"/>
      <c r="DB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5-3'!$D$11:$Q319,DB$4,DB$5)"),"")</f>
        <v/>
      </c>
      <c r="DC52" s="555"/>
      <c r="DD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5-3'!$D$11:$Q319,DD$4,DD$5)"),"")</f>
        <v/>
      </c>
      <c r="DE52" s="554"/>
      <c r="DF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5-3'!$D$11:$Q319,DF$4,DF$5)"),"")</f>
        <v/>
      </c>
      <c r="DG52" s="554"/>
      <c r="DH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5-3'!$D$11:$Q319,DH$4,DH$5)"),"")</f>
        <v/>
      </c>
      <c r="DI52" s="554"/>
      <c r="DJ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5-3'!$D$11:$Q319,DJ$4,DJ$5)"),"")</f>
        <v/>
      </c>
      <c r="DK52" s="566"/>
      <c r="DL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5-3'!$D$11:$Q319,DL$4,DL$5)"),"")</f>
        <v/>
      </c>
      <c r="DM52" s="554"/>
      <c r="DN52" s="554"/>
      <c r="DO52" s="554"/>
      <c r="DP52" s="554"/>
      <c r="DQ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5-3'!$D$11:$Q319,DQ$4,DQ$5)"),"")</f>
        <v/>
      </c>
      <c r="DR52" s="569"/>
      <c r="DS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5-3'!$D$11:$Q319,DS$4,DS$5)"),"")</f>
        <v/>
      </c>
      <c r="DT52" s="568"/>
      <c r="DU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5-3'!$D$11:$Q319,DU$4,DU$5)"),"")</f>
        <v/>
      </c>
      <c r="DV52" s="568"/>
      <c r="DW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5-3'!$D$11:$Q319,DW$4,DW$5)"),"")</f>
        <v/>
      </c>
      <c r="DX52" s="568"/>
      <c r="DY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5-3'!$D$11:$Q319,DY$4,DY$5)"),"")</f>
        <v/>
      </c>
      <c r="DZ52" s="578"/>
      <c r="EA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$C52, 'S-10 Топ 5-3'!$D$11:$Q319,EA$4,EA$5)"),"")</f>
        <v/>
      </c>
      <c r="EB52" s="568"/>
      <c r="EC52" s="568"/>
      <c r="ED52" s="568"/>
      <c r="EE52" s="568"/>
    </row>
    <row r="53">
      <c r="A53" s="519" t="str">
        <f t="shared" si="1"/>
        <v/>
      </c>
      <c r="B53" s="1137" t="str">
        <f>'5-0 Товары'!B53</f>
        <v/>
      </c>
      <c r="C53" s="521" t="str">
        <f>'5-1 Сбор КП Закупки'!C53</f>
        <v/>
      </c>
      <c r="D53" s="521" t="str">
        <f>'5-1 Сбор КП Закупки'!D53</f>
        <v/>
      </c>
      <c r="E53" s="521" t="str">
        <f>'5-1 Сбор КП Закупки'!E53</f>
        <v/>
      </c>
      <c r="F53" s="521" t="str">
        <f>'5-1 Сбор КП Закупки'!F53</f>
        <v/>
      </c>
      <c r="G53" s="522" t="str">
        <f>'5-1 Сбор КП Закупки'!G53</f>
        <v/>
      </c>
      <c r="H53" s="522" t="str">
        <f>'5-1 Сбор КП Закупки'!H53</f>
        <v/>
      </c>
      <c r="I53" s="522" t="str">
        <f>'5-1 Сбор КП Закупки'!I53</f>
        <v/>
      </c>
      <c r="J53" s="197"/>
      <c r="K53" s="522" t="str">
        <f>'5-1 Сбор КП Закупки'!G53</f>
        <v/>
      </c>
      <c r="L53" s="523" t="str">
        <f>IF(A53="Да",'5-1 Сбор КП Закупки'!K53,)</f>
        <v/>
      </c>
      <c r="M53" s="197"/>
      <c r="N53" s="197"/>
      <c r="O53" s="197"/>
      <c r="P53" s="525" t="str">
        <f>'5-1 Сбор КП Закупки'!P53</f>
        <v/>
      </c>
      <c r="Q53" s="197"/>
      <c r="R53" s="197"/>
      <c r="S53" s="197"/>
      <c r="T53" s="197"/>
      <c r="U53" s="197"/>
      <c r="V53" s="197"/>
      <c r="W53" s="522" t="str">
        <f>'5-1 Сбор КП Закупки'!O53</f>
        <v/>
      </c>
      <c r="X53" s="197"/>
      <c r="Y53" s="197"/>
      <c r="Z53" s="197"/>
      <c r="AA53" s="197"/>
      <c r="AB53" s="197">
        <v>0.0</v>
      </c>
      <c r="AC53" s="197"/>
      <c r="AD53" s="197"/>
      <c r="AE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5-3'!$D$11:$Q319,AE$4,AE$5)"),"")</f>
        <v/>
      </c>
      <c r="AF53" s="528"/>
      <c r="AG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5-3'!$D$11:$Q319,AG$4,AG$5)"),"")</f>
        <v/>
      </c>
      <c r="AH53" s="527"/>
      <c r="AI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5-3'!$D$11:$Q319,AI$4,AI$5)"),"")</f>
        <v/>
      </c>
      <c r="AJ53" s="527"/>
      <c r="AK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5-3'!$D$11:$Q319,AK$4,AK$5)"),"")</f>
        <v/>
      </c>
      <c r="AL53" s="527"/>
      <c r="AM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5-3'!$D$11:$Q319,AM$4,AM$5)"),"")</f>
        <v/>
      </c>
      <c r="AN53" s="529"/>
      <c r="AO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5-3'!$D$11:$Q319,AO$4,AO$5)"),"")</f>
        <v/>
      </c>
      <c r="AP53" s="527"/>
      <c r="AQ53" s="527"/>
      <c r="AR53" s="527"/>
      <c r="AS53" s="527"/>
      <c r="AT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5-3'!$D$11:$Q319,AT$4,AT$5)"),"")</f>
        <v/>
      </c>
      <c r="AU53" s="531"/>
      <c r="AV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5-3'!$D$11:$Q319,AV$4,AV$5)"),"")</f>
        <v/>
      </c>
      <c r="AW53" s="530"/>
      <c r="AX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5-3'!$D$11:$Q319,AX$4,AX$5)"),"")</f>
        <v/>
      </c>
      <c r="AY53" s="530"/>
      <c r="AZ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5-3'!$D$11:$Q319,AZ$4,AZ$5)"),"")</f>
        <v/>
      </c>
      <c r="BA53" s="530"/>
      <c r="BB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5-3'!$D$11:$Q319,BB$4,BB$5)"),"")</f>
        <v/>
      </c>
      <c r="BC53" s="532"/>
      <c r="BD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5-3'!$D$11:$Q319,BD$4,BD$5)"),"")</f>
        <v/>
      </c>
      <c r="BE53" s="530"/>
      <c r="BF53" s="530"/>
      <c r="BG53" s="530"/>
      <c r="BH53" s="530"/>
      <c r="BI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5-3'!$D$11:$Q319,BI$4,BI$5)"),"")</f>
        <v/>
      </c>
      <c r="BJ53" s="535"/>
      <c r="BK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5-3'!$D$11:$Q319,BK$4,BK$5)"),"")</f>
        <v/>
      </c>
      <c r="BL53" s="534"/>
      <c r="BM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5-3'!$D$11:$Q319,BM$4,BM$5)"),"")</f>
        <v/>
      </c>
      <c r="BN53" s="534"/>
      <c r="BO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5-3'!$D$11:$Q319,BO$4,BO$5)"),"")</f>
        <v/>
      </c>
      <c r="BP53" s="534"/>
      <c r="BQ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5-3'!$D$11:$Q319,BQ$4,BQ$5)"),"")</f>
        <v/>
      </c>
      <c r="BR53" s="536"/>
      <c r="BS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5-3'!$D$11:$Q319,BS$4,BS$5)"),"")</f>
        <v/>
      </c>
      <c r="BT53" s="534"/>
      <c r="BU53" s="534"/>
      <c r="BV53" s="534"/>
      <c r="BW53" s="534"/>
      <c r="BX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5-3'!$D$11:$Q319,BX$4,BX$5)"),"")</f>
        <v/>
      </c>
      <c r="BY53" s="538"/>
      <c r="BZ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5-3'!$D$11:$Q319,BZ$4,BZ$5)"),"")</f>
        <v/>
      </c>
      <c r="CA53" s="537"/>
      <c r="CB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5-3'!$D$11:$Q319,CB$4,CB$5)"),"")</f>
        <v/>
      </c>
      <c r="CC53" s="537"/>
      <c r="CD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5-3'!$D$11:$Q319,CD$4,CD$5)"),"")</f>
        <v/>
      </c>
      <c r="CE53" s="537"/>
      <c r="CF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5-3'!$D$11:$Q319,CF$4,CF$5)"),"")</f>
        <v/>
      </c>
      <c r="CG53" s="539"/>
      <c r="CH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5-3'!$D$11:$Q319,CH$4,CH$5)"),"")</f>
        <v/>
      </c>
      <c r="CI53" s="537"/>
      <c r="CJ53" s="537"/>
      <c r="CK53" s="537"/>
      <c r="CL53" s="537"/>
      <c r="CM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5-3'!$D$11:$Q319,CM$4,CM$5)"),"")</f>
        <v/>
      </c>
      <c r="CN53" s="541"/>
      <c r="CO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5-3'!$D$11:$Q319,CO$4,CO$5)"),"")</f>
        <v/>
      </c>
      <c r="CP53" s="540"/>
      <c r="CQ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5-3'!$D$11:$Q319,CQ$4,CQ$5)"),"")</f>
        <v/>
      </c>
      <c r="CR53" s="540"/>
      <c r="CS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5-3'!$D$11:$Q319,CS$4,CS$5)"),"")</f>
        <v/>
      </c>
      <c r="CT53" s="540"/>
      <c r="CU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5-3'!$D$11:$Q319,CU$4,CU$5)"),"")</f>
        <v/>
      </c>
      <c r="CV53" s="545"/>
      <c r="CW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5-3'!$D$11:$Q319,CW$4,CW$5)"),"")</f>
        <v/>
      </c>
      <c r="CX53" s="540"/>
      <c r="CY53" s="540"/>
      <c r="CZ53" s="540"/>
      <c r="DA53" s="540"/>
      <c r="DB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5-3'!$D$11:$Q319,DB$4,DB$5)"),"")</f>
        <v/>
      </c>
      <c r="DC53" s="555"/>
      <c r="DD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5-3'!$D$11:$Q319,DD$4,DD$5)"),"")</f>
        <v/>
      </c>
      <c r="DE53" s="554"/>
      <c r="DF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5-3'!$D$11:$Q319,DF$4,DF$5)"),"")</f>
        <v/>
      </c>
      <c r="DG53" s="554"/>
      <c r="DH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5-3'!$D$11:$Q319,DH$4,DH$5)"),"")</f>
        <v/>
      </c>
      <c r="DI53" s="554"/>
      <c r="DJ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5-3'!$D$11:$Q319,DJ$4,DJ$5)"),"")</f>
        <v/>
      </c>
      <c r="DK53" s="566"/>
      <c r="DL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5-3'!$D$11:$Q319,DL$4,DL$5)"),"")</f>
        <v/>
      </c>
      <c r="DM53" s="554"/>
      <c r="DN53" s="554"/>
      <c r="DO53" s="554"/>
      <c r="DP53" s="554"/>
      <c r="DQ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5-3'!$D$11:$Q319,DQ$4,DQ$5)"),"")</f>
        <v/>
      </c>
      <c r="DR53" s="569"/>
      <c r="DS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5-3'!$D$11:$Q319,DS$4,DS$5)"),"")</f>
        <v/>
      </c>
      <c r="DT53" s="568"/>
      <c r="DU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5-3'!$D$11:$Q319,DU$4,DU$5)"),"")</f>
        <v/>
      </c>
      <c r="DV53" s="568"/>
      <c r="DW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5-3'!$D$11:$Q319,DW$4,DW$5)"),"")</f>
        <v/>
      </c>
      <c r="DX53" s="568"/>
      <c r="DY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5-3'!$D$11:$Q319,DY$4,DY$5)"),"")</f>
        <v/>
      </c>
      <c r="DZ53" s="578"/>
      <c r="EA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$C53, 'S-10 Топ 5-3'!$D$11:$Q319,EA$4,EA$5)"),"")</f>
        <v/>
      </c>
      <c r="EB53" s="568"/>
      <c r="EC53" s="568"/>
      <c r="ED53" s="568"/>
      <c r="EE53" s="568"/>
    </row>
    <row r="54">
      <c r="A54" s="519" t="str">
        <f t="shared" si="1"/>
        <v/>
      </c>
      <c r="B54" s="520" t="str">
        <f>'5-0 Товары'!B54</f>
        <v/>
      </c>
      <c r="C54" s="521" t="str">
        <f>'5-1 Сбор КП Закупки'!C54</f>
        <v/>
      </c>
      <c r="D54" s="521" t="str">
        <f>'5-1 Сбор КП Закупки'!D54</f>
        <v/>
      </c>
      <c r="E54" s="521" t="str">
        <f>'5-1 Сбор КП Закупки'!E54</f>
        <v/>
      </c>
      <c r="F54" s="521" t="str">
        <f>'5-1 Сбор КП Закупки'!F54</f>
        <v/>
      </c>
      <c r="G54" s="522" t="str">
        <f>'5-1 Сбор КП Закупки'!G54</f>
        <v/>
      </c>
      <c r="H54" s="522" t="str">
        <f>'5-1 Сбор КП Закупки'!H54</f>
        <v/>
      </c>
      <c r="I54" s="522" t="str">
        <f>'5-1 Сбор КП Закупки'!I54</f>
        <v/>
      </c>
      <c r="J54" s="197"/>
      <c r="K54" s="522" t="str">
        <f>'5-1 Сбор КП Закупки'!G54</f>
        <v/>
      </c>
      <c r="L54" s="523" t="str">
        <f>IF(A54="Да",'5-1 Сбор КП Закупки'!K54,)</f>
        <v/>
      </c>
      <c r="M54" s="197"/>
      <c r="N54" s="197"/>
      <c r="O54" s="197"/>
      <c r="P54" s="525" t="str">
        <f>'5-1 Сбор КП Закупки'!P54</f>
        <v/>
      </c>
      <c r="Q54" s="197"/>
      <c r="R54" s="197"/>
      <c r="S54" s="197"/>
      <c r="T54" s="197"/>
      <c r="U54" s="197"/>
      <c r="V54" s="197"/>
      <c r="W54" s="522" t="str">
        <f>'5-1 Сбор КП Закупки'!O54</f>
        <v/>
      </c>
      <c r="X54" s="197"/>
      <c r="Y54" s="197"/>
      <c r="Z54" s="197"/>
      <c r="AA54" s="197"/>
      <c r="AB54" s="197">
        <v>0.0</v>
      </c>
      <c r="AC54" s="197"/>
      <c r="AD54" s="197"/>
      <c r="AE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5-3'!$D$11:$Q319,AE$4,AE$5)"),"")</f>
        <v/>
      </c>
      <c r="AF54" s="528"/>
      <c r="AG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5-3'!$D$11:$Q319,AG$4,AG$5)"),"")</f>
        <v/>
      </c>
      <c r="AH54" s="527"/>
      <c r="AI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5-3'!$D$11:$Q319,AI$4,AI$5)"),"")</f>
        <v/>
      </c>
      <c r="AJ54" s="527"/>
      <c r="AK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5-3'!$D$11:$Q319,AK$4,AK$5)"),"")</f>
        <v/>
      </c>
      <c r="AL54" s="527"/>
      <c r="AM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5-3'!$D$11:$Q319,AM$4,AM$5)"),"")</f>
        <v/>
      </c>
      <c r="AN54" s="529"/>
      <c r="AO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5-3'!$D$11:$Q319,AO$4,AO$5)"),"")</f>
        <v/>
      </c>
      <c r="AP54" s="527"/>
      <c r="AQ54" s="527"/>
      <c r="AR54" s="527"/>
      <c r="AS54" s="527"/>
      <c r="AT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5-3'!$D$11:$Q319,AT$4,AT$5)"),"")</f>
        <v/>
      </c>
      <c r="AU54" s="531"/>
      <c r="AV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5-3'!$D$11:$Q319,AV$4,AV$5)"),"")</f>
        <v/>
      </c>
      <c r="AW54" s="530"/>
      <c r="AX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5-3'!$D$11:$Q319,AX$4,AX$5)"),"")</f>
        <v/>
      </c>
      <c r="AY54" s="530"/>
      <c r="AZ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5-3'!$D$11:$Q319,AZ$4,AZ$5)"),"")</f>
        <v/>
      </c>
      <c r="BA54" s="530"/>
      <c r="BB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5-3'!$D$11:$Q319,BB$4,BB$5)"),"")</f>
        <v/>
      </c>
      <c r="BC54" s="532"/>
      <c r="BD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5-3'!$D$11:$Q319,BD$4,BD$5)"),"")</f>
        <v/>
      </c>
      <c r="BE54" s="530"/>
      <c r="BF54" s="530"/>
      <c r="BG54" s="530"/>
      <c r="BH54" s="530"/>
      <c r="BI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5-3'!$D$11:$Q319,BI$4,BI$5)"),"")</f>
        <v/>
      </c>
      <c r="BJ54" s="535"/>
      <c r="BK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5-3'!$D$11:$Q319,BK$4,BK$5)"),"")</f>
        <v/>
      </c>
      <c r="BL54" s="534"/>
      <c r="BM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5-3'!$D$11:$Q319,BM$4,BM$5)"),"")</f>
        <v/>
      </c>
      <c r="BN54" s="534"/>
      <c r="BO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5-3'!$D$11:$Q319,BO$4,BO$5)"),"")</f>
        <v/>
      </c>
      <c r="BP54" s="534"/>
      <c r="BQ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5-3'!$D$11:$Q319,BQ$4,BQ$5)"),"")</f>
        <v/>
      </c>
      <c r="BR54" s="536"/>
      <c r="BS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5-3'!$D$11:$Q319,BS$4,BS$5)"),"")</f>
        <v/>
      </c>
      <c r="BT54" s="534"/>
      <c r="BU54" s="534"/>
      <c r="BV54" s="534"/>
      <c r="BW54" s="534"/>
      <c r="BX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5-3'!$D$11:$Q319,BX$4,BX$5)"),"")</f>
        <v/>
      </c>
      <c r="BY54" s="538"/>
      <c r="BZ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5-3'!$D$11:$Q319,BZ$4,BZ$5)"),"")</f>
        <v/>
      </c>
      <c r="CA54" s="537"/>
      <c r="CB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5-3'!$D$11:$Q319,CB$4,CB$5)"),"")</f>
        <v/>
      </c>
      <c r="CC54" s="537"/>
      <c r="CD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5-3'!$D$11:$Q319,CD$4,CD$5)"),"")</f>
        <v/>
      </c>
      <c r="CE54" s="537"/>
      <c r="CF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5-3'!$D$11:$Q319,CF$4,CF$5)"),"")</f>
        <v/>
      </c>
      <c r="CG54" s="539"/>
      <c r="CH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5-3'!$D$11:$Q319,CH$4,CH$5)"),"")</f>
        <v/>
      </c>
      <c r="CI54" s="537"/>
      <c r="CJ54" s="537"/>
      <c r="CK54" s="537"/>
      <c r="CL54" s="537"/>
      <c r="CM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5-3'!$D$11:$Q319,CM$4,CM$5)"),"")</f>
        <v/>
      </c>
      <c r="CN54" s="541"/>
      <c r="CO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5-3'!$D$11:$Q319,CO$4,CO$5)"),"")</f>
        <v/>
      </c>
      <c r="CP54" s="540"/>
      <c r="CQ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5-3'!$D$11:$Q319,CQ$4,CQ$5)"),"")</f>
        <v/>
      </c>
      <c r="CR54" s="540"/>
      <c r="CS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5-3'!$D$11:$Q319,CS$4,CS$5)"),"")</f>
        <v/>
      </c>
      <c r="CT54" s="540"/>
      <c r="CU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5-3'!$D$11:$Q319,CU$4,CU$5)"),"")</f>
        <v/>
      </c>
      <c r="CV54" s="545"/>
      <c r="CW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5-3'!$D$11:$Q319,CW$4,CW$5)"),"")</f>
        <v/>
      </c>
      <c r="CX54" s="540"/>
      <c r="CY54" s="540"/>
      <c r="CZ54" s="540"/>
      <c r="DA54" s="540"/>
      <c r="DB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5-3'!$D$11:$Q319,DB$4,DB$5)"),"")</f>
        <v/>
      </c>
      <c r="DC54" s="555"/>
      <c r="DD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5-3'!$D$11:$Q319,DD$4,DD$5)"),"")</f>
        <v/>
      </c>
      <c r="DE54" s="554"/>
      <c r="DF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5-3'!$D$11:$Q319,DF$4,DF$5)"),"")</f>
        <v/>
      </c>
      <c r="DG54" s="554"/>
      <c r="DH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5-3'!$D$11:$Q319,DH$4,DH$5)"),"")</f>
        <v/>
      </c>
      <c r="DI54" s="554"/>
      <c r="DJ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5-3'!$D$11:$Q319,DJ$4,DJ$5)"),"")</f>
        <v/>
      </c>
      <c r="DK54" s="566"/>
      <c r="DL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5-3'!$D$11:$Q319,DL$4,DL$5)"),"")</f>
        <v/>
      </c>
      <c r="DM54" s="554"/>
      <c r="DN54" s="554"/>
      <c r="DO54" s="554"/>
      <c r="DP54" s="554"/>
      <c r="DQ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5-3'!$D$11:$Q319,DQ$4,DQ$5)"),"")</f>
        <v/>
      </c>
      <c r="DR54" s="569"/>
      <c r="DS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5-3'!$D$11:$Q319,DS$4,DS$5)"),"")</f>
        <v/>
      </c>
      <c r="DT54" s="568"/>
      <c r="DU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5-3'!$D$11:$Q319,DU$4,DU$5)"),"")</f>
        <v/>
      </c>
      <c r="DV54" s="568"/>
      <c r="DW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5-3'!$D$11:$Q319,DW$4,DW$5)"),"")</f>
        <v/>
      </c>
      <c r="DX54" s="568"/>
      <c r="DY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5-3'!$D$11:$Q319,DY$4,DY$5)"),"")</f>
        <v/>
      </c>
      <c r="DZ54" s="578"/>
      <c r="EA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$C54, 'S-10 Топ 5-3'!$D$11:$Q319,EA$4,EA$5)"),"")</f>
        <v/>
      </c>
      <c r="EB54" s="568"/>
      <c r="EC54" s="568"/>
      <c r="ED54" s="568"/>
      <c r="EE54" s="568"/>
    </row>
    <row r="55">
      <c r="A55" s="519" t="str">
        <f t="shared" si="1"/>
        <v/>
      </c>
      <c r="B55" s="520" t="str">
        <f>'5-0 Товары'!B55</f>
        <v/>
      </c>
      <c r="C55" s="521" t="str">
        <f>'5-1 Сбор КП Закупки'!C55</f>
        <v/>
      </c>
      <c r="D55" s="521" t="str">
        <f>'5-1 Сбор КП Закупки'!D55</f>
        <v/>
      </c>
      <c r="E55" s="521" t="str">
        <f>'5-1 Сбор КП Закупки'!E55</f>
        <v/>
      </c>
      <c r="F55" s="521" t="str">
        <f>'5-1 Сбор КП Закупки'!F55</f>
        <v/>
      </c>
      <c r="G55" s="522" t="str">
        <f>'5-1 Сбор КП Закупки'!G55</f>
        <v/>
      </c>
      <c r="H55" s="522" t="str">
        <f>'5-1 Сбор КП Закупки'!H55</f>
        <v/>
      </c>
      <c r="I55" s="522" t="str">
        <f>'5-1 Сбор КП Закупки'!I55</f>
        <v/>
      </c>
      <c r="J55" s="197"/>
      <c r="K55" s="522" t="str">
        <f>'5-1 Сбор КП Закупки'!G55</f>
        <v/>
      </c>
      <c r="L55" s="523" t="str">
        <f>IF(A55="Да",'5-1 Сбор КП Закупки'!K55,)</f>
        <v/>
      </c>
      <c r="M55" s="197"/>
      <c r="N55" s="197"/>
      <c r="O55" s="197"/>
      <c r="P55" s="525" t="str">
        <f>'5-1 Сбор КП Закупки'!P55</f>
        <v/>
      </c>
      <c r="Q55" s="197"/>
      <c r="R55" s="197"/>
      <c r="S55" s="197"/>
      <c r="T55" s="197"/>
      <c r="U55" s="197"/>
      <c r="V55" s="197"/>
      <c r="W55" s="522" t="str">
        <f>'5-1 Сбор КП Закупки'!O55</f>
        <v/>
      </c>
      <c r="X55" s="197"/>
      <c r="Y55" s="197"/>
      <c r="Z55" s="197"/>
      <c r="AA55" s="197"/>
      <c r="AB55" s="197">
        <v>0.0</v>
      </c>
      <c r="AC55" s="197"/>
      <c r="AD55" s="197"/>
      <c r="AE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5-3'!$D$11:$Q319,AE$4,AE$5)"),"")</f>
        <v/>
      </c>
      <c r="AF55" s="528"/>
      <c r="AG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5-3'!$D$11:$Q319,AG$4,AG$5)"),"")</f>
        <v/>
      </c>
      <c r="AH55" s="527"/>
      <c r="AI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5-3'!$D$11:$Q319,AI$4,AI$5)"),"")</f>
        <v/>
      </c>
      <c r="AJ55" s="527"/>
      <c r="AK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5-3'!$D$11:$Q319,AK$4,AK$5)"),"")</f>
        <v/>
      </c>
      <c r="AL55" s="527"/>
      <c r="AM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5-3'!$D$11:$Q319,AM$4,AM$5)"),"")</f>
        <v/>
      </c>
      <c r="AN55" s="529"/>
      <c r="AO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5-3'!$D$11:$Q319,AO$4,AO$5)"),"")</f>
        <v/>
      </c>
      <c r="AP55" s="527"/>
      <c r="AQ55" s="527"/>
      <c r="AR55" s="527"/>
      <c r="AS55" s="527"/>
      <c r="AT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5-3'!$D$11:$Q319,AT$4,AT$5)"),"")</f>
        <v/>
      </c>
      <c r="AU55" s="531"/>
      <c r="AV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5-3'!$D$11:$Q319,AV$4,AV$5)"),"")</f>
        <v/>
      </c>
      <c r="AW55" s="530"/>
      <c r="AX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5-3'!$D$11:$Q319,AX$4,AX$5)"),"")</f>
        <v/>
      </c>
      <c r="AY55" s="530"/>
      <c r="AZ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5-3'!$D$11:$Q319,AZ$4,AZ$5)"),"")</f>
        <v/>
      </c>
      <c r="BA55" s="530"/>
      <c r="BB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5-3'!$D$11:$Q319,BB$4,BB$5)"),"")</f>
        <v/>
      </c>
      <c r="BC55" s="532"/>
      <c r="BD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5-3'!$D$11:$Q319,BD$4,BD$5)"),"")</f>
        <v/>
      </c>
      <c r="BE55" s="530"/>
      <c r="BF55" s="530"/>
      <c r="BG55" s="530"/>
      <c r="BH55" s="530"/>
      <c r="BI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5-3'!$D$11:$Q319,BI$4,BI$5)"),"")</f>
        <v/>
      </c>
      <c r="BJ55" s="535"/>
      <c r="BK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5-3'!$D$11:$Q319,BK$4,BK$5)"),"")</f>
        <v/>
      </c>
      <c r="BL55" s="534"/>
      <c r="BM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5-3'!$D$11:$Q319,BM$4,BM$5)"),"")</f>
        <v/>
      </c>
      <c r="BN55" s="534"/>
      <c r="BO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5-3'!$D$11:$Q319,BO$4,BO$5)"),"")</f>
        <v/>
      </c>
      <c r="BP55" s="534"/>
      <c r="BQ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5-3'!$D$11:$Q319,BQ$4,BQ$5)"),"")</f>
        <v/>
      </c>
      <c r="BR55" s="536"/>
      <c r="BS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5-3'!$D$11:$Q319,BS$4,BS$5)"),"")</f>
        <v/>
      </c>
      <c r="BT55" s="534"/>
      <c r="BU55" s="534"/>
      <c r="BV55" s="534"/>
      <c r="BW55" s="534"/>
      <c r="BX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5-3'!$D$11:$Q319,BX$4,BX$5)"),"")</f>
        <v/>
      </c>
      <c r="BY55" s="538"/>
      <c r="BZ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5-3'!$D$11:$Q319,BZ$4,BZ$5)"),"")</f>
        <v/>
      </c>
      <c r="CA55" s="537"/>
      <c r="CB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5-3'!$D$11:$Q319,CB$4,CB$5)"),"")</f>
        <v/>
      </c>
      <c r="CC55" s="537"/>
      <c r="CD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5-3'!$D$11:$Q319,CD$4,CD$5)"),"")</f>
        <v/>
      </c>
      <c r="CE55" s="537"/>
      <c r="CF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5-3'!$D$11:$Q319,CF$4,CF$5)"),"")</f>
        <v/>
      </c>
      <c r="CG55" s="539"/>
      <c r="CH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5-3'!$D$11:$Q319,CH$4,CH$5)"),"")</f>
        <v/>
      </c>
      <c r="CI55" s="537"/>
      <c r="CJ55" s="537"/>
      <c r="CK55" s="537"/>
      <c r="CL55" s="537"/>
      <c r="CM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5-3'!$D$11:$Q319,CM$4,CM$5)"),"")</f>
        <v/>
      </c>
      <c r="CN55" s="541"/>
      <c r="CO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5-3'!$D$11:$Q319,CO$4,CO$5)"),"")</f>
        <v/>
      </c>
      <c r="CP55" s="540"/>
      <c r="CQ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5-3'!$D$11:$Q319,CQ$4,CQ$5)"),"")</f>
        <v/>
      </c>
      <c r="CR55" s="540"/>
      <c r="CS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5-3'!$D$11:$Q319,CS$4,CS$5)"),"")</f>
        <v/>
      </c>
      <c r="CT55" s="540"/>
      <c r="CU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5-3'!$D$11:$Q319,CU$4,CU$5)"),"")</f>
        <v/>
      </c>
      <c r="CV55" s="545"/>
      <c r="CW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5-3'!$D$11:$Q319,CW$4,CW$5)"),"")</f>
        <v/>
      </c>
      <c r="CX55" s="540"/>
      <c r="CY55" s="540"/>
      <c r="CZ55" s="540"/>
      <c r="DA55" s="540"/>
      <c r="DB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5-3'!$D$11:$Q319,DB$4,DB$5)"),"")</f>
        <v/>
      </c>
      <c r="DC55" s="555"/>
      <c r="DD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5-3'!$D$11:$Q319,DD$4,DD$5)"),"")</f>
        <v/>
      </c>
      <c r="DE55" s="554"/>
      <c r="DF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5-3'!$D$11:$Q319,DF$4,DF$5)"),"")</f>
        <v/>
      </c>
      <c r="DG55" s="554"/>
      <c r="DH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5-3'!$D$11:$Q319,DH$4,DH$5)"),"")</f>
        <v/>
      </c>
      <c r="DI55" s="554"/>
      <c r="DJ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5-3'!$D$11:$Q319,DJ$4,DJ$5)"),"")</f>
        <v/>
      </c>
      <c r="DK55" s="566"/>
      <c r="DL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5-3'!$D$11:$Q319,DL$4,DL$5)"),"")</f>
        <v/>
      </c>
      <c r="DM55" s="554"/>
      <c r="DN55" s="554"/>
      <c r="DO55" s="554"/>
      <c r="DP55" s="554"/>
      <c r="DQ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5-3'!$D$11:$Q319,DQ$4,DQ$5)"),"")</f>
        <v/>
      </c>
      <c r="DR55" s="569"/>
      <c r="DS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5-3'!$D$11:$Q319,DS$4,DS$5)"),"")</f>
        <v/>
      </c>
      <c r="DT55" s="568"/>
      <c r="DU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5-3'!$D$11:$Q319,DU$4,DU$5)"),"")</f>
        <v/>
      </c>
      <c r="DV55" s="568"/>
      <c r="DW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5-3'!$D$11:$Q319,DW$4,DW$5)"),"")</f>
        <v/>
      </c>
      <c r="DX55" s="568"/>
      <c r="DY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5-3'!$D$11:$Q319,DY$4,DY$5)"),"")</f>
        <v/>
      </c>
      <c r="DZ55" s="578"/>
      <c r="EA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$C55, 'S-10 Топ 5-3'!$D$11:$Q319,EA$4,EA$5)"),"")</f>
        <v/>
      </c>
      <c r="EB55" s="568"/>
      <c r="EC55" s="568"/>
      <c r="ED55" s="568"/>
      <c r="EE55" s="568"/>
    </row>
    <row r="56">
      <c r="A56" s="519" t="str">
        <f t="shared" si="1"/>
        <v/>
      </c>
      <c r="B56" s="520" t="str">
        <f>'5-0 Товары'!B56</f>
        <v/>
      </c>
      <c r="C56" s="521" t="str">
        <f>'5-1 Сбор КП Закупки'!C56</f>
        <v/>
      </c>
      <c r="D56" s="521" t="str">
        <f>'5-1 Сбор КП Закупки'!D56</f>
        <v/>
      </c>
      <c r="E56" s="521" t="str">
        <f>'5-1 Сбор КП Закупки'!E56</f>
        <v/>
      </c>
      <c r="F56" s="521" t="str">
        <f>'5-1 Сбор КП Закупки'!F56</f>
        <v/>
      </c>
      <c r="G56" s="522" t="str">
        <f>'5-1 Сбор КП Закупки'!G56</f>
        <v/>
      </c>
      <c r="H56" s="522" t="str">
        <f>'5-1 Сбор КП Закупки'!H56</f>
        <v/>
      </c>
      <c r="I56" s="522" t="str">
        <f>'5-1 Сбор КП Закупки'!I56</f>
        <v/>
      </c>
      <c r="J56" s="197"/>
      <c r="K56" s="522" t="str">
        <f>'5-1 Сбор КП Закупки'!G56</f>
        <v/>
      </c>
      <c r="L56" s="523" t="str">
        <f>IF(A56="Да",'5-1 Сбор КП Закупки'!K56,)</f>
        <v/>
      </c>
      <c r="M56" s="197"/>
      <c r="N56" s="197"/>
      <c r="O56" s="197"/>
      <c r="P56" s="525" t="str">
        <f>'5-1 Сбор КП Закупки'!P56</f>
        <v/>
      </c>
      <c r="Q56" s="197"/>
      <c r="R56" s="197"/>
      <c r="S56" s="197"/>
      <c r="T56" s="197"/>
      <c r="U56" s="197"/>
      <c r="V56" s="197"/>
      <c r="W56" s="522" t="str">
        <f>'5-1 Сбор КП Закупки'!O56</f>
        <v/>
      </c>
      <c r="X56" s="197"/>
      <c r="Y56" s="197"/>
      <c r="Z56" s="197"/>
      <c r="AA56" s="197"/>
      <c r="AB56" s="197">
        <v>0.0</v>
      </c>
      <c r="AC56" s="197"/>
      <c r="AD56" s="197"/>
      <c r="AE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5-3'!$D$11:$Q319,AE$4,AE$5)"),"")</f>
        <v/>
      </c>
      <c r="AF56" s="528"/>
      <c r="AG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5-3'!$D$11:$Q319,AG$4,AG$5)"),"")</f>
        <v/>
      </c>
      <c r="AH56" s="527"/>
      <c r="AI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5-3'!$D$11:$Q319,AI$4,AI$5)"),"")</f>
        <v/>
      </c>
      <c r="AJ56" s="527"/>
      <c r="AK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5-3'!$D$11:$Q319,AK$4,AK$5)"),"")</f>
        <v/>
      </c>
      <c r="AL56" s="527"/>
      <c r="AM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5-3'!$D$11:$Q319,AM$4,AM$5)"),"")</f>
        <v/>
      </c>
      <c r="AN56" s="529"/>
      <c r="AO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5-3'!$D$11:$Q319,AO$4,AO$5)"),"")</f>
        <v/>
      </c>
      <c r="AP56" s="527"/>
      <c r="AQ56" s="527"/>
      <c r="AR56" s="527"/>
      <c r="AS56" s="527"/>
      <c r="AT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5-3'!$D$11:$Q319,AT$4,AT$5)"),"")</f>
        <v/>
      </c>
      <c r="AU56" s="531"/>
      <c r="AV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5-3'!$D$11:$Q319,AV$4,AV$5)"),"")</f>
        <v/>
      </c>
      <c r="AW56" s="530"/>
      <c r="AX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5-3'!$D$11:$Q319,AX$4,AX$5)"),"")</f>
        <v/>
      </c>
      <c r="AY56" s="530"/>
      <c r="AZ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5-3'!$D$11:$Q319,AZ$4,AZ$5)"),"")</f>
        <v/>
      </c>
      <c r="BA56" s="530"/>
      <c r="BB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5-3'!$D$11:$Q319,BB$4,BB$5)"),"")</f>
        <v/>
      </c>
      <c r="BC56" s="532"/>
      <c r="BD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5-3'!$D$11:$Q319,BD$4,BD$5)"),"")</f>
        <v/>
      </c>
      <c r="BE56" s="530"/>
      <c r="BF56" s="530"/>
      <c r="BG56" s="530"/>
      <c r="BH56" s="530"/>
      <c r="BI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5-3'!$D$11:$Q319,BI$4,BI$5)"),"")</f>
        <v/>
      </c>
      <c r="BJ56" s="535"/>
      <c r="BK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5-3'!$D$11:$Q319,BK$4,BK$5)"),"")</f>
        <v/>
      </c>
      <c r="BL56" s="534"/>
      <c r="BM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5-3'!$D$11:$Q319,BM$4,BM$5)"),"")</f>
        <v/>
      </c>
      <c r="BN56" s="534"/>
      <c r="BO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5-3'!$D$11:$Q319,BO$4,BO$5)"),"")</f>
        <v/>
      </c>
      <c r="BP56" s="534"/>
      <c r="BQ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5-3'!$D$11:$Q319,BQ$4,BQ$5)"),"")</f>
        <v/>
      </c>
      <c r="BR56" s="536"/>
      <c r="BS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5-3'!$D$11:$Q319,BS$4,BS$5)"),"")</f>
        <v/>
      </c>
      <c r="BT56" s="534"/>
      <c r="BU56" s="534"/>
      <c r="BV56" s="534"/>
      <c r="BW56" s="534"/>
      <c r="BX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5-3'!$D$11:$Q319,BX$4,BX$5)"),"")</f>
        <v/>
      </c>
      <c r="BY56" s="538"/>
      <c r="BZ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5-3'!$D$11:$Q319,BZ$4,BZ$5)"),"")</f>
        <v/>
      </c>
      <c r="CA56" s="537"/>
      <c r="CB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5-3'!$D$11:$Q319,CB$4,CB$5)"),"")</f>
        <v/>
      </c>
      <c r="CC56" s="537"/>
      <c r="CD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5-3'!$D$11:$Q319,CD$4,CD$5)"),"")</f>
        <v/>
      </c>
      <c r="CE56" s="537"/>
      <c r="CF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5-3'!$D$11:$Q319,CF$4,CF$5)"),"")</f>
        <v/>
      </c>
      <c r="CG56" s="539"/>
      <c r="CH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5-3'!$D$11:$Q319,CH$4,CH$5)"),"")</f>
        <v/>
      </c>
      <c r="CI56" s="537"/>
      <c r="CJ56" s="537"/>
      <c r="CK56" s="537"/>
      <c r="CL56" s="537"/>
      <c r="CM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5-3'!$D$11:$Q319,CM$4,CM$5)"),"")</f>
        <v/>
      </c>
      <c r="CN56" s="541"/>
      <c r="CO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5-3'!$D$11:$Q319,CO$4,CO$5)"),"")</f>
        <v/>
      </c>
      <c r="CP56" s="540"/>
      <c r="CQ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5-3'!$D$11:$Q319,CQ$4,CQ$5)"),"")</f>
        <v/>
      </c>
      <c r="CR56" s="540"/>
      <c r="CS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5-3'!$D$11:$Q319,CS$4,CS$5)"),"")</f>
        <v/>
      </c>
      <c r="CT56" s="540"/>
      <c r="CU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5-3'!$D$11:$Q319,CU$4,CU$5)"),"")</f>
        <v/>
      </c>
      <c r="CV56" s="545"/>
      <c r="CW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5-3'!$D$11:$Q319,CW$4,CW$5)"),"")</f>
        <v/>
      </c>
      <c r="CX56" s="540"/>
      <c r="CY56" s="540"/>
      <c r="CZ56" s="540"/>
      <c r="DA56" s="540"/>
      <c r="DB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5-3'!$D$11:$Q319,DB$4,DB$5)"),"")</f>
        <v/>
      </c>
      <c r="DC56" s="555"/>
      <c r="DD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5-3'!$D$11:$Q319,DD$4,DD$5)"),"")</f>
        <v/>
      </c>
      <c r="DE56" s="554"/>
      <c r="DF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5-3'!$D$11:$Q319,DF$4,DF$5)"),"")</f>
        <v/>
      </c>
      <c r="DG56" s="554"/>
      <c r="DH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5-3'!$D$11:$Q319,DH$4,DH$5)"),"")</f>
        <v/>
      </c>
      <c r="DI56" s="554"/>
      <c r="DJ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5-3'!$D$11:$Q319,DJ$4,DJ$5)"),"")</f>
        <v/>
      </c>
      <c r="DK56" s="566"/>
      <c r="DL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5-3'!$D$11:$Q319,DL$4,DL$5)"),"")</f>
        <v/>
      </c>
      <c r="DM56" s="554"/>
      <c r="DN56" s="554"/>
      <c r="DO56" s="554"/>
      <c r="DP56" s="554"/>
      <c r="DQ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5-3'!$D$11:$Q319,DQ$4,DQ$5)"),"")</f>
        <v/>
      </c>
      <c r="DR56" s="569"/>
      <c r="DS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5-3'!$D$11:$Q319,DS$4,DS$5)"),"")</f>
        <v/>
      </c>
      <c r="DT56" s="568"/>
      <c r="DU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5-3'!$D$11:$Q319,DU$4,DU$5)"),"")</f>
        <v/>
      </c>
      <c r="DV56" s="568"/>
      <c r="DW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5-3'!$D$11:$Q319,DW$4,DW$5)"),"")</f>
        <v/>
      </c>
      <c r="DX56" s="568"/>
      <c r="DY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5-3'!$D$11:$Q319,DY$4,DY$5)"),"")</f>
        <v/>
      </c>
      <c r="DZ56" s="578"/>
      <c r="EA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$C56, 'S-10 Топ 5-3'!$D$11:$Q319,EA$4,EA$5)"),"")</f>
        <v/>
      </c>
      <c r="EB56" s="568"/>
      <c r="EC56" s="568"/>
      <c r="ED56" s="568"/>
      <c r="EE56" s="568"/>
    </row>
    <row r="57">
      <c r="A57" s="519" t="str">
        <f t="shared" si="1"/>
        <v/>
      </c>
      <c r="B57" s="520" t="str">
        <f>'5-0 Товары'!B57</f>
        <v/>
      </c>
      <c r="C57" s="521" t="str">
        <f>'5-1 Сбор КП Закупки'!C57</f>
        <v/>
      </c>
      <c r="D57" s="521" t="str">
        <f>'5-1 Сбор КП Закупки'!D57</f>
        <v/>
      </c>
      <c r="E57" s="521" t="str">
        <f>'5-1 Сбор КП Закупки'!E57</f>
        <v/>
      </c>
      <c r="F57" s="521" t="str">
        <f>'5-1 Сбор КП Закупки'!F57</f>
        <v/>
      </c>
      <c r="G57" s="522" t="str">
        <f>'5-1 Сбор КП Закупки'!G57</f>
        <v/>
      </c>
      <c r="H57" s="522" t="str">
        <f>'5-1 Сбор КП Закупки'!H57</f>
        <v/>
      </c>
      <c r="I57" s="522" t="str">
        <f>'5-1 Сбор КП Закупки'!I57</f>
        <v/>
      </c>
      <c r="J57" s="197"/>
      <c r="K57" s="522" t="str">
        <f>'5-1 Сбор КП Закупки'!G57</f>
        <v/>
      </c>
      <c r="L57" s="523" t="str">
        <f>IF(A57="Да",'5-1 Сбор КП Закупки'!K57,)</f>
        <v/>
      </c>
      <c r="M57" s="197"/>
      <c r="N57" s="197"/>
      <c r="O57" s="197"/>
      <c r="P57" s="525" t="str">
        <f>'5-1 Сбор КП Закупки'!P57</f>
        <v/>
      </c>
      <c r="Q57" s="197"/>
      <c r="R57" s="197"/>
      <c r="S57" s="197"/>
      <c r="T57" s="197"/>
      <c r="U57" s="197"/>
      <c r="V57" s="197"/>
      <c r="W57" s="522" t="str">
        <f>'5-1 Сбор КП Закупки'!O57</f>
        <v/>
      </c>
      <c r="X57" s="197"/>
      <c r="Y57" s="197"/>
      <c r="Z57" s="197"/>
      <c r="AA57" s="197"/>
      <c r="AB57" s="197">
        <v>0.0</v>
      </c>
      <c r="AC57" s="197"/>
      <c r="AD57" s="197"/>
      <c r="AE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5-3'!$D$11:$Q319,AE$4,AE$5)"),"")</f>
        <v/>
      </c>
      <c r="AF57" s="528"/>
      <c r="AG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5-3'!$D$11:$Q319,AG$4,AG$5)"),"")</f>
        <v/>
      </c>
      <c r="AH57" s="527"/>
      <c r="AI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5-3'!$D$11:$Q319,AI$4,AI$5)"),"")</f>
        <v/>
      </c>
      <c r="AJ57" s="527"/>
      <c r="AK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5-3'!$D$11:$Q319,AK$4,AK$5)"),"")</f>
        <v/>
      </c>
      <c r="AL57" s="527"/>
      <c r="AM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5-3'!$D$11:$Q319,AM$4,AM$5)"),"")</f>
        <v/>
      </c>
      <c r="AN57" s="529"/>
      <c r="AO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5-3'!$D$11:$Q319,AO$4,AO$5)"),"")</f>
        <v/>
      </c>
      <c r="AP57" s="527"/>
      <c r="AQ57" s="527"/>
      <c r="AR57" s="527"/>
      <c r="AS57" s="527"/>
      <c r="AT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5-3'!$D$11:$Q319,AT$4,AT$5)"),"")</f>
        <v/>
      </c>
      <c r="AU57" s="531"/>
      <c r="AV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5-3'!$D$11:$Q319,AV$4,AV$5)"),"")</f>
        <v/>
      </c>
      <c r="AW57" s="530"/>
      <c r="AX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5-3'!$D$11:$Q319,AX$4,AX$5)"),"")</f>
        <v/>
      </c>
      <c r="AY57" s="530"/>
      <c r="AZ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5-3'!$D$11:$Q319,AZ$4,AZ$5)"),"")</f>
        <v/>
      </c>
      <c r="BA57" s="530"/>
      <c r="BB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5-3'!$D$11:$Q319,BB$4,BB$5)"),"")</f>
        <v/>
      </c>
      <c r="BC57" s="532"/>
      <c r="BD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5-3'!$D$11:$Q319,BD$4,BD$5)"),"")</f>
        <v/>
      </c>
      <c r="BE57" s="530"/>
      <c r="BF57" s="530"/>
      <c r="BG57" s="530"/>
      <c r="BH57" s="530"/>
      <c r="BI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5-3'!$D$11:$Q319,BI$4,BI$5)"),"")</f>
        <v/>
      </c>
      <c r="BJ57" s="535"/>
      <c r="BK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5-3'!$D$11:$Q319,BK$4,BK$5)"),"")</f>
        <v/>
      </c>
      <c r="BL57" s="534"/>
      <c r="BM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5-3'!$D$11:$Q319,BM$4,BM$5)"),"")</f>
        <v/>
      </c>
      <c r="BN57" s="534"/>
      <c r="BO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5-3'!$D$11:$Q319,BO$4,BO$5)"),"")</f>
        <v/>
      </c>
      <c r="BP57" s="534"/>
      <c r="BQ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5-3'!$D$11:$Q319,BQ$4,BQ$5)"),"")</f>
        <v/>
      </c>
      <c r="BR57" s="536"/>
      <c r="BS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5-3'!$D$11:$Q319,BS$4,BS$5)"),"")</f>
        <v/>
      </c>
      <c r="BT57" s="534"/>
      <c r="BU57" s="534"/>
      <c r="BV57" s="534"/>
      <c r="BW57" s="534"/>
      <c r="BX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5-3'!$D$11:$Q319,BX$4,BX$5)"),"")</f>
        <v/>
      </c>
      <c r="BY57" s="538"/>
      <c r="BZ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5-3'!$D$11:$Q319,BZ$4,BZ$5)"),"")</f>
        <v/>
      </c>
      <c r="CA57" s="537"/>
      <c r="CB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5-3'!$D$11:$Q319,CB$4,CB$5)"),"")</f>
        <v/>
      </c>
      <c r="CC57" s="537"/>
      <c r="CD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5-3'!$D$11:$Q319,CD$4,CD$5)"),"")</f>
        <v/>
      </c>
      <c r="CE57" s="537"/>
      <c r="CF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5-3'!$D$11:$Q319,CF$4,CF$5)"),"")</f>
        <v/>
      </c>
      <c r="CG57" s="539"/>
      <c r="CH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5-3'!$D$11:$Q319,CH$4,CH$5)"),"")</f>
        <v/>
      </c>
      <c r="CI57" s="537"/>
      <c r="CJ57" s="537"/>
      <c r="CK57" s="537"/>
      <c r="CL57" s="537"/>
      <c r="CM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5-3'!$D$11:$Q319,CM$4,CM$5)"),"")</f>
        <v/>
      </c>
      <c r="CN57" s="541"/>
      <c r="CO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5-3'!$D$11:$Q319,CO$4,CO$5)"),"")</f>
        <v/>
      </c>
      <c r="CP57" s="540"/>
      <c r="CQ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5-3'!$D$11:$Q319,CQ$4,CQ$5)"),"")</f>
        <v/>
      </c>
      <c r="CR57" s="540"/>
      <c r="CS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5-3'!$D$11:$Q319,CS$4,CS$5)"),"")</f>
        <v/>
      </c>
      <c r="CT57" s="540"/>
      <c r="CU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5-3'!$D$11:$Q319,CU$4,CU$5)"),"")</f>
        <v/>
      </c>
      <c r="CV57" s="545"/>
      <c r="CW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5-3'!$D$11:$Q319,CW$4,CW$5)"),"")</f>
        <v/>
      </c>
      <c r="CX57" s="540"/>
      <c r="CY57" s="540"/>
      <c r="CZ57" s="540"/>
      <c r="DA57" s="540"/>
      <c r="DB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5-3'!$D$11:$Q319,DB$4,DB$5)"),"")</f>
        <v/>
      </c>
      <c r="DC57" s="555"/>
      <c r="DD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5-3'!$D$11:$Q319,DD$4,DD$5)"),"")</f>
        <v/>
      </c>
      <c r="DE57" s="554"/>
      <c r="DF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5-3'!$D$11:$Q319,DF$4,DF$5)"),"")</f>
        <v/>
      </c>
      <c r="DG57" s="554"/>
      <c r="DH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5-3'!$D$11:$Q319,DH$4,DH$5)"),"")</f>
        <v/>
      </c>
      <c r="DI57" s="554"/>
      <c r="DJ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5-3'!$D$11:$Q319,DJ$4,DJ$5)"),"")</f>
        <v/>
      </c>
      <c r="DK57" s="566"/>
      <c r="DL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5-3'!$D$11:$Q319,DL$4,DL$5)"),"")</f>
        <v/>
      </c>
      <c r="DM57" s="554"/>
      <c r="DN57" s="554"/>
      <c r="DO57" s="554"/>
      <c r="DP57" s="554"/>
      <c r="DQ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5-3'!$D$11:$Q319,DQ$4,DQ$5)"),"")</f>
        <v/>
      </c>
      <c r="DR57" s="569"/>
      <c r="DS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5-3'!$D$11:$Q319,DS$4,DS$5)"),"")</f>
        <v/>
      </c>
      <c r="DT57" s="568"/>
      <c r="DU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5-3'!$D$11:$Q319,DU$4,DU$5)"),"")</f>
        <v/>
      </c>
      <c r="DV57" s="568"/>
      <c r="DW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5-3'!$D$11:$Q319,DW$4,DW$5)"),"")</f>
        <v/>
      </c>
      <c r="DX57" s="568"/>
      <c r="DY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5-3'!$D$11:$Q319,DY$4,DY$5)"),"")</f>
        <v/>
      </c>
      <c r="DZ57" s="578"/>
      <c r="EA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$C57, 'S-10 Топ 5-3'!$D$11:$Q319,EA$4,EA$5)"),"")</f>
        <v/>
      </c>
      <c r="EB57" s="568"/>
      <c r="EC57" s="568"/>
      <c r="ED57" s="568"/>
      <c r="EE57" s="568"/>
    </row>
    <row r="58">
      <c r="A58" s="519" t="str">
        <f t="shared" si="1"/>
        <v/>
      </c>
      <c r="B58" s="520" t="str">
        <f>'5-0 Товары'!B58</f>
        <v/>
      </c>
      <c r="C58" s="521" t="str">
        <f>'5-1 Сбор КП Закупки'!C58</f>
        <v/>
      </c>
      <c r="D58" s="521" t="str">
        <f>'5-1 Сбор КП Закупки'!D58</f>
        <v/>
      </c>
      <c r="E58" s="521" t="str">
        <f>'5-1 Сбор КП Закупки'!E58</f>
        <v/>
      </c>
      <c r="F58" s="521" t="str">
        <f>'5-1 Сбор КП Закупки'!F58</f>
        <v/>
      </c>
      <c r="G58" s="522" t="str">
        <f>'5-1 Сбор КП Закупки'!G58</f>
        <v/>
      </c>
      <c r="H58" s="522" t="str">
        <f>'5-1 Сбор КП Закупки'!H58</f>
        <v/>
      </c>
      <c r="I58" s="522" t="str">
        <f>'5-1 Сбор КП Закупки'!I58</f>
        <v/>
      </c>
      <c r="J58" s="197"/>
      <c r="K58" s="522" t="str">
        <f>'5-1 Сбор КП Закупки'!G58</f>
        <v/>
      </c>
      <c r="L58" s="523" t="str">
        <f>IF(A58="Да",'5-1 Сбор КП Закупки'!K58,)</f>
        <v/>
      </c>
      <c r="M58" s="197"/>
      <c r="N58" s="197"/>
      <c r="O58" s="197"/>
      <c r="P58" s="525" t="str">
        <f>'5-1 Сбор КП Закупки'!P58</f>
        <v/>
      </c>
      <c r="Q58" s="197"/>
      <c r="R58" s="197"/>
      <c r="S58" s="197"/>
      <c r="T58" s="197"/>
      <c r="U58" s="197"/>
      <c r="V58" s="197"/>
      <c r="W58" s="522" t="str">
        <f>'5-1 Сбор КП Закупки'!O58</f>
        <v/>
      </c>
      <c r="X58" s="197"/>
      <c r="Y58" s="197"/>
      <c r="Z58" s="197"/>
      <c r="AA58" s="197"/>
      <c r="AB58" s="197">
        <v>0.0</v>
      </c>
      <c r="AC58" s="197"/>
      <c r="AD58" s="197"/>
      <c r="AE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5-3'!$D$11:$Q319,AE$4,AE$5)"),"")</f>
        <v/>
      </c>
      <c r="AF58" s="528"/>
      <c r="AG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5-3'!$D$11:$Q319,AG$4,AG$5)"),"")</f>
        <v/>
      </c>
      <c r="AH58" s="527"/>
      <c r="AI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5-3'!$D$11:$Q319,AI$4,AI$5)"),"")</f>
        <v/>
      </c>
      <c r="AJ58" s="527"/>
      <c r="AK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5-3'!$D$11:$Q319,AK$4,AK$5)"),"")</f>
        <v/>
      </c>
      <c r="AL58" s="527"/>
      <c r="AM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5-3'!$D$11:$Q319,AM$4,AM$5)"),"")</f>
        <v/>
      </c>
      <c r="AN58" s="529"/>
      <c r="AO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5-3'!$D$11:$Q319,AO$4,AO$5)"),"")</f>
        <v/>
      </c>
      <c r="AP58" s="527"/>
      <c r="AQ58" s="527"/>
      <c r="AR58" s="527"/>
      <c r="AS58" s="527"/>
      <c r="AT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5-3'!$D$11:$Q319,AT$4,AT$5)"),"")</f>
        <v/>
      </c>
      <c r="AU58" s="531"/>
      <c r="AV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5-3'!$D$11:$Q319,AV$4,AV$5)"),"")</f>
        <v/>
      </c>
      <c r="AW58" s="530"/>
      <c r="AX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5-3'!$D$11:$Q319,AX$4,AX$5)"),"")</f>
        <v/>
      </c>
      <c r="AY58" s="530"/>
      <c r="AZ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5-3'!$D$11:$Q319,AZ$4,AZ$5)"),"")</f>
        <v/>
      </c>
      <c r="BA58" s="530"/>
      <c r="BB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5-3'!$D$11:$Q319,BB$4,BB$5)"),"")</f>
        <v/>
      </c>
      <c r="BC58" s="532"/>
      <c r="BD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5-3'!$D$11:$Q319,BD$4,BD$5)"),"")</f>
        <v/>
      </c>
      <c r="BE58" s="530"/>
      <c r="BF58" s="530"/>
      <c r="BG58" s="530"/>
      <c r="BH58" s="530"/>
      <c r="BI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5-3'!$D$11:$Q319,BI$4,BI$5)"),"")</f>
        <v/>
      </c>
      <c r="BJ58" s="535"/>
      <c r="BK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5-3'!$D$11:$Q319,BK$4,BK$5)"),"")</f>
        <v/>
      </c>
      <c r="BL58" s="534"/>
      <c r="BM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5-3'!$D$11:$Q319,BM$4,BM$5)"),"")</f>
        <v/>
      </c>
      <c r="BN58" s="534"/>
      <c r="BO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5-3'!$D$11:$Q319,BO$4,BO$5)"),"")</f>
        <v/>
      </c>
      <c r="BP58" s="534"/>
      <c r="BQ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5-3'!$D$11:$Q319,BQ$4,BQ$5)"),"")</f>
        <v/>
      </c>
      <c r="BR58" s="536"/>
      <c r="BS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5-3'!$D$11:$Q319,BS$4,BS$5)"),"")</f>
        <v/>
      </c>
      <c r="BT58" s="534"/>
      <c r="BU58" s="534"/>
      <c r="BV58" s="534"/>
      <c r="BW58" s="534"/>
      <c r="BX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5-3'!$D$11:$Q319,BX$4,BX$5)"),"")</f>
        <v/>
      </c>
      <c r="BY58" s="538"/>
      <c r="BZ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5-3'!$D$11:$Q319,BZ$4,BZ$5)"),"")</f>
        <v/>
      </c>
      <c r="CA58" s="537"/>
      <c r="CB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5-3'!$D$11:$Q319,CB$4,CB$5)"),"")</f>
        <v/>
      </c>
      <c r="CC58" s="537"/>
      <c r="CD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5-3'!$D$11:$Q319,CD$4,CD$5)"),"")</f>
        <v/>
      </c>
      <c r="CE58" s="537"/>
      <c r="CF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5-3'!$D$11:$Q319,CF$4,CF$5)"),"")</f>
        <v/>
      </c>
      <c r="CG58" s="539"/>
      <c r="CH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5-3'!$D$11:$Q319,CH$4,CH$5)"),"")</f>
        <v/>
      </c>
      <c r="CI58" s="537"/>
      <c r="CJ58" s="537"/>
      <c r="CK58" s="537"/>
      <c r="CL58" s="537"/>
      <c r="CM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5-3'!$D$11:$Q319,CM$4,CM$5)"),"")</f>
        <v/>
      </c>
      <c r="CN58" s="541"/>
      <c r="CO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5-3'!$D$11:$Q319,CO$4,CO$5)"),"")</f>
        <v/>
      </c>
      <c r="CP58" s="540"/>
      <c r="CQ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5-3'!$D$11:$Q319,CQ$4,CQ$5)"),"")</f>
        <v/>
      </c>
      <c r="CR58" s="540"/>
      <c r="CS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5-3'!$D$11:$Q319,CS$4,CS$5)"),"")</f>
        <v/>
      </c>
      <c r="CT58" s="540"/>
      <c r="CU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5-3'!$D$11:$Q319,CU$4,CU$5)"),"")</f>
        <v/>
      </c>
      <c r="CV58" s="545"/>
      <c r="CW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5-3'!$D$11:$Q319,CW$4,CW$5)"),"")</f>
        <v/>
      </c>
      <c r="CX58" s="540"/>
      <c r="CY58" s="540"/>
      <c r="CZ58" s="540"/>
      <c r="DA58" s="540"/>
      <c r="DB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5-3'!$D$11:$Q319,DB$4,DB$5)"),"")</f>
        <v/>
      </c>
      <c r="DC58" s="555"/>
      <c r="DD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5-3'!$D$11:$Q319,DD$4,DD$5)"),"")</f>
        <v/>
      </c>
      <c r="DE58" s="554"/>
      <c r="DF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5-3'!$D$11:$Q319,DF$4,DF$5)"),"")</f>
        <v/>
      </c>
      <c r="DG58" s="554"/>
      <c r="DH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5-3'!$D$11:$Q319,DH$4,DH$5)"),"")</f>
        <v/>
      </c>
      <c r="DI58" s="554"/>
      <c r="DJ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5-3'!$D$11:$Q319,DJ$4,DJ$5)"),"")</f>
        <v/>
      </c>
      <c r="DK58" s="566"/>
      <c r="DL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5-3'!$D$11:$Q319,DL$4,DL$5)"),"")</f>
        <v/>
      </c>
      <c r="DM58" s="554"/>
      <c r="DN58" s="554"/>
      <c r="DO58" s="554"/>
      <c r="DP58" s="554"/>
      <c r="DQ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5-3'!$D$11:$Q319,DQ$4,DQ$5)"),"")</f>
        <v/>
      </c>
      <c r="DR58" s="569"/>
      <c r="DS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5-3'!$D$11:$Q319,DS$4,DS$5)"),"")</f>
        <v/>
      </c>
      <c r="DT58" s="568"/>
      <c r="DU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5-3'!$D$11:$Q319,DU$4,DU$5)"),"")</f>
        <v/>
      </c>
      <c r="DV58" s="568"/>
      <c r="DW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5-3'!$D$11:$Q319,DW$4,DW$5)"),"")</f>
        <v/>
      </c>
      <c r="DX58" s="568"/>
      <c r="DY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5-3'!$D$11:$Q319,DY$4,DY$5)"),"")</f>
        <v/>
      </c>
      <c r="DZ58" s="578"/>
      <c r="EA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$C58, 'S-10 Топ 5-3'!$D$11:$Q319,EA$4,EA$5)"),"")</f>
        <v/>
      </c>
      <c r="EB58" s="568"/>
      <c r="EC58" s="568"/>
      <c r="ED58" s="568"/>
      <c r="EE58" s="568"/>
    </row>
    <row r="59">
      <c r="A59" s="519" t="str">
        <f t="shared" si="1"/>
        <v/>
      </c>
      <c r="B59" s="520" t="str">
        <f>'5-0 Товары'!B59</f>
        <v/>
      </c>
      <c r="C59" s="521" t="str">
        <f>'5-1 Сбор КП Закупки'!C59</f>
        <v/>
      </c>
      <c r="D59" s="521" t="str">
        <f>'5-1 Сбор КП Закупки'!D59</f>
        <v/>
      </c>
      <c r="E59" s="521" t="str">
        <f>'5-1 Сбор КП Закупки'!E59</f>
        <v/>
      </c>
      <c r="F59" s="521" t="str">
        <f>'5-1 Сбор КП Закупки'!F59</f>
        <v/>
      </c>
      <c r="G59" s="522" t="str">
        <f>'5-1 Сбор КП Закупки'!G59</f>
        <v/>
      </c>
      <c r="H59" s="522" t="str">
        <f>'5-1 Сбор КП Закупки'!H59</f>
        <v/>
      </c>
      <c r="I59" s="522" t="str">
        <f>'5-1 Сбор КП Закупки'!I59</f>
        <v/>
      </c>
      <c r="J59" s="197"/>
      <c r="K59" s="522" t="str">
        <f>'5-1 Сбор КП Закупки'!G59</f>
        <v/>
      </c>
      <c r="L59" s="523" t="str">
        <f>IF(A59="Да",'5-1 Сбор КП Закупки'!K59,)</f>
        <v/>
      </c>
      <c r="M59" s="197"/>
      <c r="N59" s="197"/>
      <c r="O59" s="197"/>
      <c r="P59" s="525" t="str">
        <f>'5-1 Сбор КП Закупки'!P59</f>
        <v/>
      </c>
      <c r="Q59" s="197"/>
      <c r="R59" s="197"/>
      <c r="S59" s="197"/>
      <c r="T59" s="197"/>
      <c r="U59" s="197"/>
      <c r="V59" s="197"/>
      <c r="W59" s="522" t="str">
        <f>'5-1 Сбор КП Закупки'!O59</f>
        <v/>
      </c>
      <c r="X59" s="197"/>
      <c r="Y59" s="197"/>
      <c r="Z59" s="197"/>
      <c r="AA59" s="197"/>
      <c r="AB59" s="197">
        <v>0.0</v>
      </c>
      <c r="AC59" s="197"/>
      <c r="AD59" s="197"/>
      <c r="AE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5-3'!$D$11:$Q319,AE$4,AE$5)"),"")</f>
        <v/>
      </c>
      <c r="AF59" s="528"/>
      <c r="AG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5-3'!$D$11:$Q319,AG$4,AG$5)"),"")</f>
        <v/>
      </c>
      <c r="AH59" s="527"/>
      <c r="AI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5-3'!$D$11:$Q319,AI$4,AI$5)"),"")</f>
        <v/>
      </c>
      <c r="AJ59" s="527"/>
      <c r="AK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5-3'!$D$11:$Q319,AK$4,AK$5)"),"")</f>
        <v/>
      </c>
      <c r="AL59" s="527"/>
      <c r="AM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5-3'!$D$11:$Q319,AM$4,AM$5)"),"")</f>
        <v/>
      </c>
      <c r="AN59" s="529"/>
      <c r="AO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5-3'!$D$11:$Q319,AO$4,AO$5)"),"")</f>
        <v/>
      </c>
      <c r="AP59" s="527"/>
      <c r="AQ59" s="527"/>
      <c r="AR59" s="527"/>
      <c r="AS59" s="527"/>
      <c r="AT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5-3'!$D$11:$Q319,AT$4,AT$5)"),"")</f>
        <v/>
      </c>
      <c r="AU59" s="531"/>
      <c r="AV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5-3'!$D$11:$Q319,AV$4,AV$5)"),"")</f>
        <v/>
      </c>
      <c r="AW59" s="530"/>
      <c r="AX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5-3'!$D$11:$Q319,AX$4,AX$5)"),"")</f>
        <v/>
      </c>
      <c r="AY59" s="530"/>
      <c r="AZ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5-3'!$D$11:$Q319,AZ$4,AZ$5)"),"")</f>
        <v/>
      </c>
      <c r="BA59" s="530"/>
      <c r="BB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5-3'!$D$11:$Q319,BB$4,BB$5)"),"")</f>
        <v/>
      </c>
      <c r="BC59" s="532"/>
      <c r="BD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5-3'!$D$11:$Q319,BD$4,BD$5)"),"")</f>
        <v/>
      </c>
      <c r="BE59" s="530"/>
      <c r="BF59" s="530"/>
      <c r="BG59" s="530"/>
      <c r="BH59" s="530"/>
      <c r="BI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5-3'!$D$11:$Q319,BI$4,BI$5)"),"")</f>
        <v/>
      </c>
      <c r="BJ59" s="535"/>
      <c r="BK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5-3'!$D$11:$Q319,BK$4,BK$5)"),"")</f>
        <v/>
      </c>
      <c r="BL59" s="534"/>
      <c r="BM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5-3'!$D$11:$Q319,BM$4,BM$5)"),"")</f>
        <v/>
      </c>
      <c r="BN59" s="534"/>
      <c r="BO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5-3'!$D$11:$Q319,BO$4,BO$5)"),"")</f>
        <v/>
      </c>
      <c r="BP59" s="534"/>
      <c r="BQ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5-3'!$D$11:$Q319,BQ$4,BQ$5)"),"")</f>
        <v/>
      </c>
      <c r="BR59" s="536"/>
      <c r="BS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5-3'!$D$11:$Q319,BS$4,BS$5)"),"")</f>
        <v/>
      </c>
      <c r="BT59" s="534"/>
      <c r="BU59" s="534"/>
      <c r="BV59" s="534"/>
      <c r="BW59" s="534"/>
      <c r="BX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5-3'!$D$11:$Q319,BX$4,BX$5)"),"")</f>
        <v/>
      </c>
      <c r="BY59" s="538"/>
      <c r="BZ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5-3'!$D$11:$Q319,BZ$4,BZ$5)"),"")</f>
        <v/>
      </c>
      <c r="CA59" s="537"/>
      <c r="CB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5-3'!$D$11:$Q319,CB$4,CB$5)"),"")</f>
        <v/>
      </c>
      <c r="CC59" s="537"/>
      <c r="CD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5-3'!$D$11:$Q319,CD$4,CD$5)"),"")</f>
        <v/>
      </c>
      <c r="CE59" s="537"/>
      <c r="CF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5-3'!$D$11:$Q319,CF$4,CF$5)"),"")</f>
        <v/>
      </c>
      <c r="CG59" s="539"/>
      <c r="CH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5-3'!$D$11:$Q319,CH$4,CH$5)"),"")</f>
        <v/>
      </c>
      <c r="CI59" s="537"/>
      <c r="CJ59" s="537"/>
      <c r="CK59" s="537"/>
      <c r="CL59" s="537"/>
      <c r="CM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5-3'!$D$11:$Q319,CM$4,CM$5)"),"")</f>
        <v/>
      </c>
      <c r="CN59" s="541"/>
      <c r="CO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5-3'!$D$11:$Q319,CO$4,CO$5)"),"")</f>
        <v/>
      </c>
      <c r="CP59" s="540"/>
      <c r="CQ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5-3'!$D$11:$Q319,CQ$4,CQ$5)"),"")</f>
        <v/>
      </c>
      <c r="CR59" s="540"/>
      <c r="CS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5-3'!$D$11:$Q319,CS$4,CS$5)"),"")</f>
        <v/>
      </c>
      <c r="CT59" s="540"/>
      <c r="CU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5-3'!$D$11:$Q319,CU$4,CU$5)"),"")</f>
        <v/>
      </c>
      <c r="CV59" s="545"/>
      <c r="CW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5-3'!$D$11:$Q319,CW$4,CW$5)"),"")</f>
        <v/>
      </c>
      <c r="CX59" s="540"/>
      <c r="CY59" s="540"/>
      <c r="CZ59" s="540"/>
      <c r="DA59" s="540"/>
      <c r="DB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5-3'!$D$11:$Q319,DB$4,DB$5)"),"")</f>
        <v/>
      </c>
      <c r="DC59" s="555"/>
      <c r="DD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5-3'!$D$11:$Q319,DD$4,DD$5)"),"")</f>
        <v/>
      </c>
      <c r="DE59" s="554"/>
      <c r="DF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5-3'!$D$11:$Q319,DF$4,DF$5)"),"")</f>
        <v/>
      </c>
      <c r="DG59" s="554"/>
      <c r="DH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5-3'!$D$11:$Q319,DH$4,DH$5)"),"")</f>
        <v/>
      </c>
      <c r="DI59" s="554"/>
      <c r="DJ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5-3'!$D$11:$Q319,DJ$4,DJ$5)"),"")</f>
        <v/>
      </c>
      <c r="DK59" s="566"/>
      <c r="DL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5-3'!$D$11:$Q319,DL$4,DL$5)"),"")</f>
        <v/>
      </c>
      <c r="DM59" s="554"/>
      <c r="DN59" s="554"/>
      <c r="DO59" s="554"/>
      <c r="DP59" s="554"/>
      <c r="DQ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5-3'!$D$11:$Q319,DQ$4,DQ$5)"),"")</f>
        <v/>
      </c>
      <c r="DR59" s="569"/>
      <c r="DS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5-3'!$D$11:$Q319,DS$4,DS$5)"),"")</f>
        <v/>
      </c>
      <c r="DT59" s="568"/>
      <c r="DU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5-3'!$D$11:$Q319,DU$4,DU$5)"),"")</f>
        <v/>
      </c>
      <c r="DV59" s="568"/>
      <c r="DW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5-3'!$D$11:$Q319,DW$4,DW$5)"),"")</f>
        <v/>
      </c>
      <c r="DX59" s="568"/>
      <c r="DY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5-3'!$D$11:$Q319,DY$4,DY$5)"),"")</f>
        <v/>
      </c>
      <c r="DZ59" s="578"/>
      <c r="EA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$C59, 'S-10 Топ 5-3'!$D$11:$Q319,EA$4,EA$5)"),"")</f>
        <v/>
      </c>
      <c r="EB59" s="568"/>
      <c r="EC59" s="568"/>
      <c r="ED59" s="568"/>
      <c r="EE59" s="568"/>
    </row>
    <row r="60">
      <c r="A60" s="519" t="str">
        <f t="shared" si="1"/>
        <v/>
      </c>
      <c r="B60" s="520" t="str">
        <f>'5-0 Товары'!B60</f>
        <v/>
      </c>
      <c r="C60" s="521" t="str">
        <f>'5-1 Сбор КП Закупки'!C60</f>
        <v/>
      </c>
      <c r="D60" s="521" t="str">
        <f>'5-1 Сбор КП Закупки'!D60</f>
        <v/>
      </c>
      <c r="E60" s="521" t="str">
        <f>'5-1 Сбор КП Закупки'!E60</f>
        <v/>
      </c>
      <c r="F60" s="521" t="str">
        <f>'5-1 Сбор КП Закупки'!F60</f>
        <v/>
      </c>
      <c r="G60" s="522" t="str">
        <f>'5-1 Сбор КП Закупки'!G60</f>
        <v/>
      </c>
      <c r="H60" s="522" t="str">
        <f>'5-1 Сбор КП Закупки'!H60</f>
        <v/>
      </c>
      <c r="I60" s="522" t="str">
        <f>'5-1 Сбор КП Закупки'!I60</f>
        <v/>
      </c>
      <c r="J60" s="197"/>
      <c r="K60" s="522" t="str">
        <f>'5-1 Сбор КП Закупки'!G60</f>
        <v/>
      </c>
      <c r="L60" s="523" t="str">
        <f>IF(A60="Да",'5-1 Сбор КП Закупки'!K60,)</f>
        <v/>
      </c>
      <c r="M60" s="197"/>
      <c r="N60" s="197"/>
      <c r="O60" s="197"/>
      <c r="P60" s="525" t="str">
        <f>'5-1 Сбор КП Закупки'!P60</f>
        <v/>
      </c>
      <c r="Q60" s="197"/>
      <c r="R60" s="197"/>
      <c r="S60" s="197"/>
      <c r="T60" s="197"/>
      <c r="U60" s="197"/>
      <c r="V60" s="197"/>
      <c r="W60" s="522" t="str">
        <f>'5-1 Сбор КП Закупки'!O60</f>
        <v/>
      </c>
      <c r="X60" s="197"/>
      <c r="Y60" s="197"/>
      <c r="Z60" s="197"/>
      <c r="AA60" s="197"/>
      <c r="AB60" s="197">
        <v>0.0</v>
      </c>
      <c r="AC60" s="197"/>
      <c r="AD60" s="197"/>
      <c r="AE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5-3'!$D$11:$Q319,AE$4,AE$5)"),"")</f>
        <v/>
      </c>
      <c r="AF60" s="528"/>
      <c r="AG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5-3'!$D$11:$Q319,AG$4,AG$5)"),"")</f>
        <v/>
      </c>
      <c r="AH60" s="527"/>
      <c r="AI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5-3'!$D$11:$Q319,AI$4,AI$5)"),"")</f>
        <v/>
      </c>
      <c r="AJ60" s="527"/>
      <c r="AK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5-3'!$D$11:$Q319,AK$4,AK$5)"),"")</f>
        <v/>
      </c>
      <c r="AL60" s="527"/>
      <c r="AM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5-3'!$D$11:$Q319,AM$4,AM$5)"),"")</f>
        <v/>
      </c>
      <c r="AN60" s="529"/>
      <c r="AO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5-3'!$D$11:$Q319,AO$4,AO$5)"),"")</f>
        <v/>
      </c>
      <c r="AP60" s="527"/>
      <c r="AQ60" s="527"/>
      <c r="AR60" s="527"/>
      <c r="AS60" s="527"/>
      <c r="AT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5-3'!$D$11:$Q319,AT$4,AT$5)"),"")</f>
        <v/>
      </c>
      <c r="AU60" s="531"/>
      <c r="AV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5-3'!$D$11:$Q319,AV$4,AV$5)"),"")</f>
        <v/>
      </c>
      <c r="AW60" s="530"/>
      <c r="AX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5-3'!$D$11:$Q319,AX$4,AX$5)"),"")</f>
        <v/>
      </c>
      <c r="AY60" s="530"/>
      <c r="AZ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5-3'!$D$11:$Q319,AZ$4,AZ$5)"),"")</f>
        <v/>
      </c>
      <c r="BA60" s="530"/>
      <c r="BB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5-3'!$D$11:$Q319,BB$4,BB$5)"),"")</f>
        <v/>
      </c>
      <c r="BC60" s="532"/>
      <c r="BD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5-3'!$D$11:$Q319,BD$4,BD$5)"),"")</f>
        <v/>
      </c>
      <c r="BE60" s="530"/>
      <c r="BF60" s="530"/>
      <c r="BG60" s="530"/>
      <c r="BH60" s="530"/>
      <c r="BI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5-3'!$D$11:$Q319,BI$4,BI$5)"),"")</f>
        <v/>
      </c>
      <c r="BJ60" s="535"/>
      <c r="BK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5-3'!$D$11:$Q319,BK$4,BK$5)"),"")</f>
        <v/>
      </c>
      <c r="BL60" s="534"/>
      <c r="BM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5-3'!$D$11:$Q319,BM$4,BM$5)"),"")</f>
        <v/>
      </c>
      <c r="BN60" s="534"/>
      <c r="BO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5-3'!$D$11:$Q319,BO$4,BO$5)"),"")</f>
        <v/>
      </c>
      <c r="BP60" s="534"/>
      <c r="BQ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5-3'!$D$11:$Q319,BQ$4,BQ$5)"),"")</f>
        <v/>
      </c>
      <c r="BR60" s="536"/>
      <c r="BS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5-3'!$D$11:$Q319,BS$4,BS$5)"),"")</f>
        <v/>
      </c>
      <c r="BT60" s="534"/>
      <c r="BU60" s="534"/>
      <c r="BV60" s="534"/>
      <c r="BW60" s="534"/>
      <c r="BX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5-3'!$D$11:$Q319,BX$4,BX$5)"),"")</f>
        <v/>
      </c>
      <c r="BY60" s="538"/>
      <c r="BZ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5-3'!$D$11:$Q319,BZ$4,BZ$5)"),"")</f>
        <v/>
      </c>
      <c r="CA60" s="537"/>
      <c r="CB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5-3'!$D$11:$Q319,CB$4,CB$5)"),"")</f>
        <v/>
      </c>
      <c r="CC60" s="537"/>
      <c r="CD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5-3'!$D$11:$Q319,CD$4,CD$5)"),"")</f>
        <v/>
      </c>
      <c r="CE60" s="537"/>
      <c r="CF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5-3'!$D$11:$Q319,CF$4,CF$5)"),"")</f>
        <v/>
      </c>
      <c r="CG60" s="539"/>
      <c r="CH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5-3'!$D$11:$Q319,CH$4,CH$5)"),"")</f>
        <v/>
      </c>
      <c r="CI60" s="537"/>
      <c r="CJ60" s="537"/>
      <c r="CK60" s="537"/>
      <c r="CL60" s="537"/>
      <c r="CM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5-3'!$D$11:$Q319,CM$4,CM$5)"),"")</f>
        <v/>
      </c>
      <c r="CN60" s="541"/>
      <c r="CO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5-3'!$D$11:$Q319,CO$4,CO$5)"),"")</f>
        <v/>
      </c>
      <c r="CP60" s="540"/>
      <c r="CQ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5-3'!$D$11:$Q319,CQ$4,CQ$5)"),"")</f>
        <v/>
      </c>
      <c r="CR60" s="540"/>
      <c r="CS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5-3'!$D$11:$Q319,CS$4,CS$5)"),"")</f>
        <v/>
      </c>
      <c r="CT60" s="540"/>
      <c r="CU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5-3'!$D$11:$Q319,CU$4,CU$5)"),"")</f>
        <v/>
      </c>
      <c r="CV60" s="545"/>
      <c r="CW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5-3'!$D$11:$Q319,CW$4,CW$5)"),"")</f>
        <v/>
      </c>
      <c r="CX60" s="540"/>
      <c r="CY60" s="540"/>
      <c r="CZ60" s="540"/>
      <c r="DA60" s="540"/>
      <c r="DB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5-3'!$D$11:$Q319,DB$4,DB$5)"),"")</f>
        <v/>
      </c>
      <c r="DC60" s="555"/>
      <c r="DD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5-3'!$D$11:$Q319,DD$4,DD$5)"),"")</f>
        <v/>
      </c>
      <c r="DE60" s="554"/>
      <c r="DF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5-3'!$D$11:$Q319,DF$4,DF$5)"),"")</f>
        <v/>
      </c>
      <c r="DG60" s="554"/>
      <c r="DH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5-3'!$D$11:$Q319,DH$4,DH$5)"),"")</f>
        <v/>
      </c>
      <c r="DI60" s="554"/>
      <c r="DJ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5-3'!$D$11:$Q319,DJ$4,DJ$5)"),"")</f>
        <v/>
      </c>
      <c r="DK60" s="566"/>
      <c r="DL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5-3'!$D$11:$Q319,DL$4,DL$5)"),"")</f>
        <v/>
      </c>
      <c r="DM60" s="554"/>
      <c r="DN60" s="554"/>
      <c r="DO60" s="554"/>
      <c r="DP60" s="554"/>
      <c r="DQ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5-3'!$D$11:$Q319,DQ$4,DQ$5)"),"")</f>
        <v/>
      </c>
      <c r="DR60" s="569"/>
      <c r="DS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5-3'!$D$11:$Q319,DS$4,DS$5)"),"")</f>
        <v/>
      </c>
      <c r="DT60" s="568"/>
      <c r="DU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5-3'!$D$11:$Q319,DU$4,DU$5)"),"")</f>
        <v/>
      </c>
      <c r="DV60" s="568"/>
      <c r="DW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5-3'!$D$11:$Q319,DW$4,DW$5)"),"")</f>
        <v/>
      </c>
      <c r="DX60" s="568"/>
      <c r="DY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5-3'!$D$11:$Q319,DY$4,DY$5)"),"")</f>
        <v/>
      </c>
      <c r="DZ60" s="578"/>
      <c r="EA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$C60, 'S-10 Топ 5-3'!$D$11:$Q319,EA$4,EA$5)"),"")</f>
        <v/>
      </c>
      <c r="EB60" s="568"/>
      <c r="EC60" s="568"/>
      <c r="ED60" s="568"/>
      <c r="EE60" s="568"/>
    </row>
    <row r="61">
      <c r="A61" s="519" t="str">
        <f t="shared" si="1"/>
        <v/>
      </c>
      <c r="B61" s="520" t="str">
        <f>'5-0 Товары'!B61</f>
        <v/>
      </c>
      <c r="C61" s="521" t="str">
        <f>'5-1 Сбор КП Закупки'!C61</f>
        <v/>
      </c>
      <c r="D61" s="521" t="str">
        <f>'5-1 Сбор КП Закупки'!D61</f>
        <v/>
      </c>
      <c r="E61" s="521" t="str">
        <f>'5-1 Сбор КП Закупки'!E61</f>
        <v/>
      </c>
      <c r="F61" s="521" t="str">
        <f>'5-1 Сбор КП Закупки'!F61</f>
        <v/>
      </c>
      <c r="G61" s="522" t="str">
        <f>'5-1 Сбор КП Закупки'!G61</f>
        <v/>
      </c>
      <c r="H61" s="522" t="str">
        <f>'5-1 Сбор КП Закупки'!H61</f>
        <v/>
      </c>
      <c r="I61" s="522" t="str">
        <f>'5-1 Сбор КП Закупки'!I61</f>
        <v/>
      </c>
      <c r="J61" s="197"/>
      <c r="K61" s="522" t="str">
        <f>'5-1 Сбор КП Закупки'!G61</f>
        <v/>
      </c>
      <c r="L61" s="523" t="str">
        <f>IF(A61="Да",'5-1 Сбор КП Закупки'!K61,)</f>
        <v/>
      </c>
      <c r="M61" s="197"/>
      <c r="N61" s="197"/>
      <c r="O61" s="197"/>
      <c r="P61" s="525" t="str">
        <f>'5-1 Сбор КП Закупки'!P61</f>
        <v/>
      </c>
      <c r="Q61" s="197"/>
      <c r="R61" s="197"/>
      <c r="S61" s="197"/>
      <c r="T61" s="197"/>
      <c r="U61" s="197"/>
      <c r="V61" s="197"/>
      <c r="W61" s="522" t="str">
        <f>'5-1 Сбор КП Закупки'!O61</f>
        <v/>
      </c>
      <c r="X61" s="197"/>
      <c r="Y61" s="197"/>
      <c r="Z61" s="197"/>
      <c r="AA61" s="197"/>
      <c r="AB61" s="197">
        <v>0.0</v>
      </c>
      <c r="AC61" s="197"/>
      <c r="AD61" s="197"/>
      <c r="AE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5-3'!$D$11:$Q319,AE$4,AE$5)"),"")</f>
        <v/>
      </c>
      <c r="AF61" s="528"/>
      <c r="AG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5-3'!$D$11:$Q319,AG$4,AG$5)"),"")</f>
        <v/>
      </c>
      <c r="AH61" s="527"/>
      <c r="AI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5-3'!$D$11:$Q319,AI$4,AI$5)"),"")</f>
        <v/>
      </c>
      <c r="AJ61" s="527"/>
      <c r="AK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5-3'!$D$11:$Q319,AK$4,AK$5)"),"")</f>
        <v/>
      </c>
      <c r="AL61" s="527"/>
      <c r="AM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5-3'!$D$11:$Q319,AM$4,AM$5)"),"")</f>
        <v/>
      </c>
      <c r="AN61" s="529"/>
      <c r="AO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5-3'!$D$11:$Q319,AO$4,AO$5)"),"")</f>
        <v/>
      </c>
      <c r="AP61" s="527"/>
      <c r="AQ61" s="527"/>
      <c r="AR61" s="527"/>
      <c r="AS61" s="527"/>
      <c r="AT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5-3'!$D$11:$Q319,AT$4,AT$5)"),"")</f>
        <v/>
      </c>
      <c r="AU61" s="531"/>
      <c r="AV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5-3'!$D$11:$Q319,AV$4,AV$5)"),"")</f>
        <v/>
      </c>
      <c r="AW61" s="530"/>
      <c r="AX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5-3'!$D$11:$Q319,AX$4,AX$5)"),"")</f>
        <v/>
      </c>
      <c r="AY61" s="530"/>
      <c r="AZ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5-3'!$D$11:$Q319,AZ$4,AZ$5)"),"")</f>
        <v/>
      </c>
      <c r="BA61" s="530"/>
      <c r="BB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5-3'!$D$11:$Q319,BB$4,BB$5)"),"")</f>
        <v/>
      </c>
      <c r="BC61" s="532"/>
      <c r="BD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5-3'!$D$11:$Q319,BD$4,BD$5)"),"")</f>
        <v/>
      </c>
      <c r="BE61" s="530"/>
      <c r="BF61" s="530"/>
      <c r="BG61" s="530"/>
      <c r="BH61" s="530"/>
      <c r="BI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5-3'!$D$11:$Q319,BI$4,BI$5)"),"")</f>
        <v/>
      </c>
      <c r="BJ61" s="535"/>
      <c r="BK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5-3'!$D$11:$Q319,BK$4,BK$5)"),"")</f>
        <v/>
      </c>
      <c r="BL61" s="534"/>
      <c r="BM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5-3'!$D$11:$Q319,BM$4,BM$5)"),"")</f>
        <v/>
      </c>
      <c r="BN61" s="534"/>
      <c r="BO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5-3'!$D$11:$Q319,BO$4,BO$5)"),"")</f>
        <v/>
      </c>
      <c r="BP61" s="534"/>
      <c r="BQ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5-3'!$D$11:$Q319,BQ$4,BQ$5)"),"")</f>
        <v/>
      </c>
      <c r="BR61" s="536"/>
      <c r="BS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5-3'!$D$11:$Q319,BS$4,BS$5)"),"")</f>
        <v/>
      </c>
      <c r="BT61" s="534"/>
      <c r="BU61" s="534"/>
      <c r="BV61" s="534"/>
      <c r="BW61" s="534"/>
      <c r="BX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5-3'!$D$11:$Q319,BX$4,BX$5)"),"")</f>
        <v/>
      </c>
      <c r="BY61" s="538"/>
      <c r="BZ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5-3'!$D$11:$Q319,BZ$4,BZ$5)"),"")</f>
        <v/>
      </c>
      <c r="CA61" s="537"/>
      <c r="CB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5-3'!$D$11:$Q319,CB$4,CB$5)"),"")</f>
        <v/>
      </c>
      <c r="CC61" s="537"/>
      <c r="CD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5-3'!$D$11:$Q319,CD$4,CD$5)"),"")</f>
        <v/>
      </c>
      <c r="CE61" s="537"/>
      <c r="CF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5-3'!$D$11:$Q319,CF$4,CF$5)"),"")</f>
        <v/>
      </c>
      <c r="CG61" s="539"/>
      <c r="CH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5-3'!$D$11:$Q319,CH$4,CH$5)"),"")</f>
        <v/>
      </c>
      <c r="CI61" s="537"/>
      <c r="CJ61" s="537"/>
      <c r="CK61" s="537"/>
      <c r="CL61" s="537"/>
      <c r="CM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5-3'!$D$11:$Q319,CM$4,CM$5)"),"")</f>
        <v/>
      </c>
      <c r="CN61" s="541"/>
      <c r="CO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5-3'!$D$11:$Q319,CO$4,CO$5)"),"")</f>
        <v/>
      </c>
      <c r="CP61" s="540"/>
      <c r="CQ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5-3'!$D$11:$Q319,CQ$4,CQ$5)"),"")</f>
        <v/>
      </c>
      <c r="CR61" s="540"/>
      <c r="CS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5-3'!$D$11:$Q319,CS$4,CS$5)"),"")</f>
        <v/>
      </c>
      <c r="CT61" s="540"/>
      <c r="CU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5-3'!$D$11:$Q319,CU$4,CU$5)"),"")</f>
        <v/>
      </c>
      <c r="CV61" s="545"/>
      <c r="CW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5-3'!$D$11:$Q319,CW$4,CW$5)"),"")</f>
        <v/>
      </c>
      <c r="CX61" s="540"/>
      <c r="CY61" s="540"/>
      <c r="CZ61" s="540"/>
      <c r="DA61" s="540"/>
      <c r="DB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5-3'!$D$11:$Q319,DB$4,DB$5)"),"")</f>
        <v/>
      </c>
      <c r="DC61" s="555"/>
      <c r="DD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5-3'!$D$11:$Q319,DD$4,DD$5)"),"")</f>
        <v/>
      </c>
      <c r="DE61" s="554"/>
      <c r="DF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5-3'!$D$11:$Q319,DF$4,DF$5)"),"")</f>
        <v/>
      </c>
      <c r="DG61" s="554"/>
      <c r="DH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5-3'!$D$11:$Q319,DH$4,DH$5)"),"")</f>
        <v/>
      </c>
      <c r="DI61" s="554"/>
      <c r="DJ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5-3'!$D$11:$Q319,DJ$4,DJ$5)"),"")</f>
        <v/>
      </c>
      <c r="DK61" s="566"/>
      <c r="DL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5-3'!$D$11:$Q319,DL$4,DL$5)"),"")</f>
        <v/>
      </c>
      <c r="DM61" s="554"/>
      <c r="DN61" s="554"/>
      <c r="DO61" s="554"/>
      <c r="DP61" s="554"/>
      <c r="DQ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5-3'!$D$11:$Q319,DQ$4,DQ$5)"),"")</f>
        <v/>
      </c>
      <c r="DR61" s="569"/>
      <c r="DS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5-3'!$D$11:$Q319,DS$4,DS$5)"),"")</f>
        <v/>
      </c>
      <c r="DT61" s="568"/>
      <c r="DU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5-3'!$D$11:$Q319,DU$4,DU$5)"),"")</f>
        <v/>
      </c>
      <c r="DV61" s="568"/>
      <c r="DW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5-3'!$D$11:$Q319,DW$4,DW$5)"),"")</f>
        <v/>
      </c>
      <c r="DX61" s="568"/>
      <c r="DY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5-3'!$D$11:$Q319,DY$4,DY$5)"),"")</f>
        <v/>
      </c>
      <c r="DZ61" s="578"/>
      <c r="EA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$C61, 'S-10 Топ 5-3'!$D$11:$Q319,EA$4,EA$5)"),"")</f>
        <v/>
      </c>
      <c r="EB61" s="568"/>
      <c r="EC61" s="568"/>
      <c r="ED61" s="568"/>
      <c r="EE61" s="568"/>
    </row>
    <row r="62">
      <c r="A62" s="519" t="str">
        <f t="shared" si="1"/>
        <v/>
      </c>
      <c r="B62" s="520" t="str">
        <f>'5-0 Товары'!B62</f>
        <v/>
      </c>
      <c r="C62" s="521" t="str">
        <f>'5-1 Сбор КП Закупки'!C62</f>
        <v/>
      </c>
      <c r="D62" s="521" t="str">
        <f>'5-1 Сбор КП Закупки'!D62</f>
        <v/>
      </c>
      <c r="E62" s="521" t="str">
        <f>'5-1 Сбор КП Закупки'!E62</f>
        <v/>
      </c>
      <c r="F62" s="521" t="str">
        <f>'5-1 Сбор КП Закупки'!F62</f>
        <v/>
      </c>
      <c r="G62" s="522" t="str">
        <f>'5-1 Сбор КП Закупки'!G62</f>
        <v/>
      </c>
      <c r="H62" s="522" t="str">
        <f>'5-1 Сбор КП Закупки'!H62</f>
        <v/>
      </c>
      <c r="I62" s="522" t="str">
        <f>'5-1 Сбор КП Закупки'!I62</f>
        <v/>
      </c>
      <c r="J62" s="197"/>
      <c r="K62" s="522" t="str">
        <f>'5-1 Сбор КП Закупки'!G62</f>
        <v/>
      </c>
      <c r="L62" s="523" t="str">
        <f>IF(A62="Да",'5-1 Сбор КП Закупки'!K62,)</f>
        <v/>
      </c>
      <c r="M62" s="197"/>
      <c r="N62" s="197"/>
      <c r="O62" s="197"/>
      <c r="P62" s="525" t="str">
        <f>'5-1 Сбор КП Закупки'!P62</f>
        <v/>
      </c>
      <c r="Q62" s="197"/>
      <c r="R62" s="197"/>
      <c r="S62" s="197"/>
      <c r="T62" s="197"/>
      <c r="U62" s="197"/>
      <c r="V62" s="197"/>
      <c r="W62" s="522" t="str">
        <f>'5-1 Сбор КП Закупки'!O62</f>
        <v/>
      </c>
      <c r="X62" s="197"/>
      <c r="Y62" s="197"/>
      <c r="Z62" s="197"/>
      <c r="AA62" s="197"/>
      <c r="AB62" s="197">
        <v>0.0</v>
      </c>
      <c r="AC62" s="197"/>
      <c r="AD62" s="197"/>
      <c r="AE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5-3'!$D$11:$Q319,AE$4,AE$5)"),"")</f>
        <v/>
      </c>
      <c r="AF62" s="528"/>
      <c r="AG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5-3'!$D$11:$Q319,AG$4,AG$5)"),"")</f>
        <v/>
      </c>
      <c r="AH62" s="527"/>
      <c r="AI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5-3'!$D$11:$Q319,AI$4,AI$5)"),"")</f>
        <v/>
      </c>
      <c r="AJ62" s="527"/>
      <c r="AK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5-3'!$D$11:$Q319,AK$4,AK$5)"),"")</f>
        <v/>
      </c>
      <c r="AL62" s="527"/>
      <c r="AM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5-3'!$D$11:$Q319,AM$4,AM$5)"),"")</f>
        <v/>
      </c>
      <c r="AN62" s="529"/>
      <c r="AO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5-3'!$D$11:$Q319,AO$4,AO$5)"),"")</f>
        <v/>
      </c>
      <c r="AP62" s="527"/>
      <c r="AQ62" s="527"/>
      <c r="AR62" s="527"/>
      <c r="AS62" s="527"/>
      <c r="AT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5-3'!$D$11:$Q319,AT$4,AT$5)"),"")</f>
        <v/>
      </c>
      <c r="AU62" s="531"/>
      <c r="AV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5-3'!$D$11:$Q319,AV$4,AV$5)"),"")</f>
        <v/>
      </c>
      <c r="AW62" s="530"/>
      <c r="AX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5-3'!$D$11:$Q319,AX$4,AX$5)"),"")</f>
        <v/>
      </c>
      <c r="AY62" s="530"/>
      <c r="AZ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5-3'!$D$11:$Q319,AZ$4,AZ$5)"),"")</f>
        <v/>
      </c>
      <c r="BA62" s="530"/>
      <c r="BB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5-3'!$D$11:$Q319,BB$4,BB$5)"),"")</f>
        <v/>
      </c>
      <c r="BC62" s="532"/>
      <c r="BD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5-3'!$D$11:$Q319,BD$4,BD$5)"),"")</f>
        <v/>
      </c>
      <c r="BE62" s="530"/>
      <c r="BF62" s="530"/>
      <c r="BG62" s="530"/>
      <c r="BH62" s="530"/>
      <c r="BI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5-3'!$D$11:$Q319,BI$4,BI$5)"),"")</f>
        <v/>
      </c>
      <c r="BJ62" s="535"/>
      <c r="BK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5-3'!$D$11:$Q319,BK$4,BK$5)"),"")</f>
        <v/>
      </c>
      <c r="BL62" s="534"/>
      <c r="BM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5-3'!$D$11:$Q319,BM$4,BM$5)"),"")</f>
        <v/>
      </c>
      <c r="BN62" s="534"/>
      <c r="BO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5-3'!$D$11:$Q319,BO$4,BO$5)"),"")</f>
        <v/>
      </c>
      <c r="BP62" s="534"/>
      <c r="BQ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5-3'!$D$11:$Q319,BQ$4,BQ$5)"),"")</f>
        <v/>
      </c>
      <c r="BR62" s="536"/>
      <c r="BS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5-3'!$D$11:$Q319,BS$4,BS$5)"),"")</f>
        <v/>
      </c>
      <c r="BT62" s="534"/>
      <c r="BU62" s="534"/>
      <c r="BV62" s="534"/>
      <c r="BW62" s="534"/>
      <c r="BX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5-3'!$D$11:$Q319,BX$4,BX$5)"),"")</f>
        <v/>
      </c>
      <c r="BY62" s="538"/>
      <c r="BZ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5-3'!$D$11:$Q319,BZ$4,BZ$5)"),"")</f>
        <v/>
      </c>
      <c r="CA62" s="537"/>
      <c r="CB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5-3'!$D$11:$Q319,CB$4,CB$5)"),"")</f>
        <v/>
      </c>
      <c r="CC62" s="537"/>
      <c r="CD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5-3'!$D$11:$Q319,CD$4,CD$5)"),"")</f>
        <v/>
      </c>
      <c r="CE62" s="537"/>
      <c r="CF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5-3'!$D$11:$Q319,CF$4,CF$5)"),"")</f>
        <v/>
      </c>
      <c r="CG62" s="539"/>
      <c r="CH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5-3'!$D$11:$Q319,CH$4,CH$5)"),"")</f>
        <v/>
      </c>
      <c r="CI62" s="537"/>
      <c r="CJ62" s="537"/>
      <c r="CK62" s="537"/>
      <c r="CL62" s="537"/>
      <c r="CM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5-3'!$D$11:$Q319,CM$4,CM$5)"),"")</f>
        <v/>
      </c>
      <c r="CN62" s="541"/>
      <c r="CO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5-3'!$D$11:$Q319,CO$4,CO$5)"),"")</f>
        <v/>
      </c>
      <c r="CP62" s="540"/>
      <c r="CQ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5-3'!$D$11:$Q319,CQ$4,CQ$5)"),"")</f>
        <v/>
      </c>
      <c r="CR62" s="540"/>
      <c r="CS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5-3'!$D$11:$Q319,CS$4,CS$5)"),"")</f>
        <v/>
      </c>
      <c r="CT62" s="540"/>
      <c r="CU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5-3'!$D$11:$Q319,CU$4,CU$5)"),"")</f>
        <v/>
      </c>
      <c r="CV62" s="545"/>
      <c r="CW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5-3'!$D$11:$Q319,CW$4,CW$5)"),"")</f>
        <v/>
      </c>
      <c r="CX62" s="540"/>
      <c r="CY62" s="540"/>
      <c r="CZ62" s="540"/>
      <c r="DA62" s="540"/>
      <c r="DB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5-3'!$D$11:$Q319,DB$4,DB$5)"),"")</f>
        <v/>
      </c>
      <c r="DC62" s="555"/>
      <c r="DD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5-3'!$D$11:$Q319,DD$4,DD$5)"),"")</f>
        <v/>
      </c>
      <c r="DE62" s="554"/>
      <c r="DF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5-3'!$D$11:$Q319,DF$4,DF$5)"),"")</f>
        <v/>
      </c>
      <c r="DG62" s="554"/>
      <c r="DH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5-3'!$D$11:$Q319,DH$4,DH$5)"),"")</f>
        <v/>
      </c>
      <c r="DI62" s="554"/>
      <c r="DJ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5-3'!$D$11:$Q319,DJ$4,DJ$5)"),"")</f>
        <v/>
      </c>
      <c r="DK62" s="566"/>
      <c r="DL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5-3'!$D$11:$Q319,DL$4,DL$5)"),"")</f>
        <v/>
      </c>
      <c r="DM62" s="554"/>
      <c r="DN62" s="554"/>
      <c r="DO62" s="554"/>
      <c r="DP62" s="554"/>
      <c r="DQ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5-3'!$D$11:$Q319,DQ$4,DQ$5)"),"")</f>
        <v/>
      </c>
      <c r="DR62" s="569"/>
      <c r="DS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5-3'!$D$11:$Q319,DS$4,DS$5)"),"")</f>
        <v/>
      </c>
      <c r="DT62" s="568"/>
      <c r="DU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5-3'!$D$11:$Q319,DU$4,DU$5)"),"")</f>
        <v/>
      </c>
      <c r="DV62" s="568"/>
      <c r="DW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5-3'!$D$11:$Q319,DW$4,DW$5)"),"")</f>
        <v/>
      </c>
      <c r="DX62" s="568"/>
      <c r="DY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5-3'!$D$11:$Q319,DY$4,DY$5)"),"")</f>
        <v/>
      </c>
      <c r="DZ62" s="578"/>
      <c r="EA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$C62, 'S-10 Топ 5-3'!$D$11:$Q319,EA$4,EA$5)"),"")</f>
        <v/>
      </c>
      <c r="EB62" s="568"/>
      <c r="EC62" s="568"/>
      <c r="ED62" s="568"/>
      <c r="EE62" s="568"/>
    </row>
    <row r="63">
      <c r="A63" s="519" t="str">
        <f t="shared" si="1"/>
        <v/>
      </c>
      <c r="B63" s="520" t="str">
        <f>'5-0 Товары'!B63</f>
        <v/>
      </c>
      <c r="C63" s="521" t="str">
        <f>'5-1 Сбор КП Закупки'!C63</f>
        <v/>
      </c>
      <c r="D63" s="521" t="str">
        <f>'5-1 Сбор КП Закупки'!D63</f>
        <v/>
      </c>
      <c r="E63" s="521" t="str">
        <f>'5-1 Сбор КП Закупки'!E63</f>
        <v/>
      </c>
      <c r="F63" s="521" t="str">
        <f>'5-1 Сбор КП Закупки'!F63</f>
        <v/>
      </c>
      <c r="G63" s="522" t="str">
        <f>'5-1 Сбор КП Закупки'!G63</f>
        <v/>
      </c>
      <c r="H63" s="522" t="str">
        <f>'5-1 Сбор КП Закупки'!H63</f>
        <v/>
      </c>
      <c r="I63" s="522" t="str">
        <f>'5-1 Сбор КП Закупки'!I63</f>
        <v/>
      </c>
      <c r="J63" s="197"/>
      <c r="K63" s="522" t="str">
        <f>'5-1 Сбор КП Закупки'!G63</f>
        <v/>
      </c>
      <c r="L63" s="523" t="str">
        <f>IF(A63="Да",'5-1 Сбор КП Закупки'!K63,)</f>
        <v/>
      </c>
      <c r="M63" s="197"/>
      <c r="N63" s="197"/>
      <c r="O63" s="197"/>
      <c r="P63" s="525" t="str">
        <f>'5-1 Сбор КП Закупки'!P63</f>
        <v/>
      </c>
      <c r="Q63" s="197"/>
      <c r="R63" s="197"/>
      <c r="S63" s="197"/>
      <c r="T63" s="197"/>
      <c r="U63" s="197"/>
      <c r="V63" s="197"/>
      <c r="W63" s="522" t="str">
        <f>'5-1 Сбор КП Закупки'!O63</f>
        <v/>
      </c>
      <c r="X63" s="197"/>
      <c r="Y63" s="197"/>
      <c r="Z63" s="197"/>
      <c r="AA63" s="197"/>
      <c r="AB63" s="197">
        <v>0.0</v>
      </c>
      <c r="AC63" s="197"/>
      <c r="AD63" s="197"/>
      <c r="AE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5-3'!$D$11:$Q319,AE$4,AE$5)"),"")</f>
        <v/>
      </c>
      <c r="AF63" s="528"/>
      <c r="AG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5-3'!$D$11:$Q319,AG$4,AG$5)"),"")</f>
        <v/>
      </c>
      <c r="AH63" s="527"/>
      <c r="AI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5-3'!$D$11:$Q319,AI$4,AI$5)"),"")</f>
        <v/>
      </c>
      <c r="AJ63" s="527"/>
      <c r="AK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5-3'!$D$11:$Q319,AK$4,AK$5)"),"")</f>
        <v/>
      </c>
      <c r="AL63" s="527"/>
      <c r="AM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5-3'!$D$11:$Q319,AM$4,AM$5)"),"")</f>
        <v/>
      </c>
      <c r="AN63" s="529"/>
      <c r="AO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5-3'!$D$11:$Q319,AO$4,AO$5)"),"")</f>
        <v/>
      </c>
      <c r="AP63" s="527"/>
      <c r="AQ63" s="527"/>
      <c r="AR63" s="527"/>
      <c r="AS63" s="527"/>
      <c r="AT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5-3'!$D$11:$Q319,AT$4,AT$5)"),"")</f>
        <v/>
      </c>
      <c r="AU63" s="531"/>
      <c r="AV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5-3'!$D$11:$Q319,AV$4,AV$5)"),"")</f>
        <v/>
      </c>
      <c r="AW63" s="530"/>
      <c r="AX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5-3'!$D$11:$Q319,AX$4,AX$5)"),"")</f>
        <v/>
      </c>
      <c r="AY63" s="530"/>
      <c r="AZ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5-3'!$D$11:$Q319,AZ$4,AZ$5)"),"")</f>
        <v/>
      </c>
      <c r="BA63" s="530"/>
      <c r="BB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5-3'!$D$11:$Q319,BB$4,BB$5)"),"")</f>
        <v/>
      </c>
      <c r="BC63" s="532"/>
      <c r="BD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5-3'!$D$11:$Q319,BD$4,BD$5)"),"")</f>
        <v/>
      </c>
      <c r="BE63" s="530"/>
      <c r="BF63" s="530"/>
      <c r="BG63" s="530"/>
      <c r="BH63" s="530"/>
      <c r="BI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5-3'!$D$11:$Q319,BI$4,BI$5)"),"")</f>
        <v/>
      </c>
      <c r="BJ63" s="535"/>
      <c r="BK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5-3'!$D$11:$Q319,BK$4,BK$5)"),"")</f>
        <v/>
      </c>
      <c r="BL63" s="534"/>
      <c r="BM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5-3'!$D$11:$Q319,BM$4,BM$5)"),"")</f>
        <v/>
      </c>
      <c r="BN63" s="534"/>
      <c r="BO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5-3'!$D$11:$Q319,BO$4,BO$5)"),"")</f>
        <v/>
      </c>
      <c r="BP63" s="534"/>
      <c r="BQ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5-3'!$D$11:$Q319,BQ$4,BQ$5)"),"")</f>
        <v/>
      </c>
      <c r="BR63" s="536"/>
      <c r="BS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5-3'!$D$11:$Q319,BS$4,BS$5)"),"")</f>
        <v/>
      </c>
      <c r="BT63" s="534"/>
      <c r="BU63" s="534"/>
      <c r="BV63" s="534"/>
      <c r="BW63" s="534"/>
      <c r="BX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5-3'!$D$11:$Q319,BX$4,BX$5)"),"")</f>
        <v/>
      </c>
      <c r="BY63" s="538"/>
      <c r="BZ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5-3'!$D$11:$Q319,BZ$4,BZ$5)"),"")</f>
        <v/>
      </c>
      <c r="CA63" s="537"/>
      <c r="CB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5-3'!$D$11:$Q319,CB$4,CB$5)"),"")</f>
        <v/>
      </c>
      <c r="CC63" s="537"/>
      <c r="CD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5-3'!$D$11:$Q319,CD$4,CD$5)"),"")</f>
        <v/>
      </c>
      <c r="CE63" s="537"/>
      <c r="CF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5-3'!$D$11:$Q319,CF$4,CF$5)"),"")</f>
        <v/>
      </c>
      <c r="CG63" s="539"/>
      <c r="CH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5-3'!$D$11:$Q319,CH$4,CH$5)"),"")</f>
        <v/>
      </c>
      <c r="CI63" s="537"/>
      <c r="CJ63" s="537"/>
      <c r="CK63" s="537"/>
      <c r="CL63" s="537"/>
      <c r="CM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5-3'!$D$11:$Q319,CM$4,CM$5)"),"")</f>
        <v/>
      </c>
      <c r="CN63" s="541"/>
      <c r="CO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5-3'!$D$11:$Q319,CO$4,CO$5)"),"")</f>
        <v/>
      </c>
      <c r="CP63" s="540"/>
      <c r="CQ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5-3'!$D$11:$Q319,CQ$4,CQ$5)"),"")</f>
        <v/>
      </c>
      <c r="CR63" s="540"/>
      <c r="CS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5-3'!$D$11:$Q319,CS$4,CS$5)"),"")</f>
        <v/>
      </c>
      <c r="CT63" s="540"/>
      <c r="CU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5-3'!$D$11:$Q319,CU$4,CU$5)"),"")</f>
        <v/>
      </c>
      <c r="CV63" s="545"/>
      <c r="CW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5-3'!$D$11:$Q319,CW$4,CW$5)"),"")</f>
        <v/>
      </c>
      <c r="CX63" s="540"/>
      <c r="CY63" s="540"/>
      <c r="CZ63" s="540"/>
      <c r="DA63" s="540"/>
      <c r="DB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5-3'!$D$11:$Q319,DB$4,DB$5)"),"")</f>
        <v/>
      </c>
      <c r="DC63" s="555"/>
      <c r="DD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5-3'!$D$11:$Q319,DD$4,DD$5)"),"")</f>
        <v/>
      </c>
      <c r="DE63" s="554"/>
      <c r="DF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5-3'!$D$11:$Q319,DF$4,DF$5)"),"")</f>
        <v/>
      </c>
      <c r="DG63" s="554"/>
      <c r="DH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5-3'!$D$11:$Q319,DH$4,DH$5)"),"")</f>
        <v/>
      </c>
      <c r="DI63" s="554"/>
      <c r="DJ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5-3'!$D$11:$Q319,DJ$4,DJ$5)"),"")</f>
        <v/>
      </c>
      <c r="DK63" s="566"/>
      <c r="DL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5-3'!$D$11:$Q319,DL$4,DL$5)"),"")</f>
        <v/>
      </c>
      <c r="DM63" s="554"/>
      <c r="DN63" s="554"/>
      <c r="DO63" s="554"/>
      <c r="DP63" s="554"/>
      <c r="DQ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5-3'!$D$11:$Q319,DQ$4,DQ$5)"),"")</f>
        <v/>
      </c>
      <c r="DR63" s="569"/>
      <c r="DS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5-3'!$D$11:$Q319,DS$4,DS$5)"),"")</f>
        <v/>
      </c>
      <c r="DT63" s="568"/>
      <c r="DU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5-3'!$D$11:$Q319,DU$4,DU$5)"),"")</f>
        <v/>
      </c>
      <c r="DV63" s="568"/>
      <c r="DW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5-3'!$D$11:$Q319,DW$4,DW$5)"),"")</f>
        <v/>
      </c>
      <c r="DX63" s="568"/>
      <c r="DY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5-3'!$D$11:$Q319,DY$4,DY$5)"),"")</f>
        <v/>
      </c>
      <c r="DZ63" s="578"/>
      <c r="EA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$C63, 'S-10 Топ 5-3'!$D$11:$Q319,EA$4,EA$5)"),"")</f>
        <v/>
      </c>
      <c r="EB63" s="568"/>
      <c r="EC63" s="568"/>
      <c r="ED63" s="568"/>
      <c r="EE63" s="568"/>
    </row>
    <row r="64">
      <c r="A64" s="519" t="str">
        <f t="shared" si="1"/>
        <v/>
      </c>
      <c r="B64" s="520" t="str">
        <f>'5-0 Товары'!B64</f>
        <v/>
      </c>
      <c r="C64" s="521" t="str">
        <f>'5-1 Сбор КП Закупки'!C64</f>
        <v/>
      </c>
      <c r="D64" s="521" t="str">
        <f>'5-1 Сбор КП Закупки'!D64</f>
        <v/>
      </c>
      <c r="E64" s="521" t="str">
        <f>'5-1 Сбор КП Закупки'!E64</f>
        <v/>
      </c>
      <c r="F64" s="521" t="str">
        <f>'5-1 Сбор КП Закупки'!F64</f>
        <v/>
      </c>
      <c r="G64" s="522" t="str">
        <f>'5-1 Сбор КП Закупки'!G64</f>
        <v/>
      </c>
      <c r="H64" s="522" t="str">
        <f>'5-1 Сбор КП Закупки'!H64</f>
        <v/>
      </c>
      <c r="I64" s="522" t="str">
        <f>'5-1 Сбор КП Закупки'!I64</f>
        <v/>
      </c>
      <c r="J64" s="197"/>
      <c r="K64" s="522" t="str">
        <f>'5-1 Сбор КП Закупки'!G64</f>
        <v/>
      </c>
      <c r="L64" s="523" t="str">
        <f>IF(A64="Да",'5-1 Сбор КП Закупки'!K64,)</f>
        <v/>
      </c>
      <c r="M64" s="197"/>
      <c r="N64" s="197"/>
      <c r="O64" s="197"/>
      <c r="P64" s="525" t="str">
        <f>'5-1 Сбор КП Закупки'!P64</f>
        <v/>
      </c>
      <c r="Q64" s="197"/>
      <c r="R64" s="197"/>
      <c r="S64" s="197"/>
      <c r="T64" s="197"/>
      <c r="U64" s="197"/>
      <c r="V64" s="197"/>
      <c r="W64" s="522" t="str">
        <f>'5-1 Сбор КП Закупки'!O64</f>
        <v/>
      </c>
      <c r="X64" s="197"/>
      <c r="Y64" s="197"/>
      <c r="Z64" s="197"/>
      <c r="AA64" s="197"/>
      <c r="AB64" s="197">
        <v>0.0</v>
      </c>
      <c r="AC64" s="197"/>
      <c r="AD64" s="197"/>
      <c r="AE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5-3'!$D$11:$Q319,AE$4,AE$5)"),"")</f>
        <v/>
      </c>
      <c r="AF64" s="528"/>
      <c r="AG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5-3'!$D$11:$Q319,AG$4,AG$5)"),"")</f>
        <v/>
      </c>
      <c r="AH64" s="527"/>
      <c r="AI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5-3'!$D$11:$Q319,AI$4,AI$5)"),"")</f>
        <v/>
      </c>
      <c r="AJ64" s="527"/>
      <c r="AK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5-3'!$D$11:$Q319,AK$4,AK$5)"),"")</f>
        <v/>
      </c>
      <c r="AL64" s="527"/>
      <c r="AM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5-3'!$D$11:$Q319,AM$4,AM$5)"),"")</f>
        <v/>
      </c>
      <c r="AN64" s="529"/>
      <c r="AO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5-3'!$D$11:$Q319,AO$4,AO$5)"),"")</f>
        <v/>
      </c>
      <c r="AP64" s="527"/>
      <c r="AQ64" s="527"/>
      <c r="AR64" s="527"/>
      <c r="AS64" s="527"/>
      <c r="AT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5-3'!$D$11:$Q319,AT$4,AT$5)"),"")</f>
        <v/>
      </c>
      <c r="AU64" s="531"/>
      <c r="AV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5-3'!$D$11:$Q319,AV$4,AV$5)"),"")</f>
        <v/>
      </c>
      <c r="AW64" s="530"/>
      <c r="AX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5-3'!$D$11:$Q319,AX$4,AX$5)"),"")</f>
        <v/>
      </c>
      <c r="AY64" s="530"/>
      <c r="AZ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5-3'!$D$11:$Q319,AZ$4,AZ$5)"),"")</f>
        <v/>
      </c>
      <c r="BA64" s="530"/>
      <c r="BB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5-3'!$D$11:$Q319,BB$4,BB$5)"),"")</f>
        <v/>
      </c>
      <c r="BC64" s="532"/>
      <c r="BD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5-3'!$D$11:$Q319,BD$4,BD$5)"),"")</f>
        <v/>
      </c>
      <c r="BE64" s="530"/>
      <c r="BF64" s="530"/>
      <c r="BG64" s="530"/>
      <c r="BH64" s="530"/>
      <c r="BI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5-3'!$D$11:$Q319,BI$4,BI$5)"),"")</f>
        <v/>
      </c>
      <c r="BJ64" s="535"/>
      <c r="BK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5-3'!$D$11:$Q319,BK$4,BK$5)"),"")</f>
        <v/>
      </c>
      <c r="BL64" s="534"/>
      <c r="BM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5-3'!$D$11:$Q319,BM$4,BM$5)"),"")</f>
        <v/>
      </c>
      <c r="BN64" s="534"/>
      <c r="BO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5-3'!$D$11:$Q319,BO$4,BO$5)"),"")</f>
        <v/>
      </c>
      <c r="BP64" s="534"/>
      <c r="BQ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5-3'!$D$11:$Q319,BQ$4,BQ$5)"),"")</f>
        <v/>
      </c>
      <c r="BR64" s="536"/>
      <c r="BS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5-3'!$D$11:$Q319,BS$4,BS$5)"),"")</f>
        <v/>
      </c>
      <c r="BT64" s="534"/>
      <c r="BU64" s="534"/>
      <c r="BV64" s="534"/>
      <c r="BW64" s="534"/>
      <c r="BX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5-3'!$D$11:$Q319,BX$4,BX$5)"),"")</f>
        <v/>
      </c>
      <c r="BY64" s="538"/>
      <c r="BZ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5-3'!$D$11:$Q319,BZ$4,BZ$5)"),"")</f>
        <v/>
      </c>
      <c r="CA64" s="537"/>
      <c r="CB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5-3'!$D$11:$Q319,CB$4,CB$5)"),"")</f>
        <v/>
      </c>
      <c r="CC64" s="537"/>
      <c r="CD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5-3'!$D$11:$Q319,CD$4,CD$5)"),"")</f>
        <v/>
      </c>
      <c r="CE64" s="537"/>
      <c r="CF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5-3'!$D$11:$Q319,CF$4,CF$5)"),"")</f>
        <v/>
      </c>
      <c r="CG64" s="539"/>
      <c r="CH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5-3'!$D$11:$Q319,CH$4,CH$5)"),"")</f>
        <v/>
      </c>
      <c r="CI64" s="537"/>
      <c r="CJ64" s="537"/>
      <c r="CK64" s="537"/>
      <c r="CL64" s="537"/>
      <c r="CM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5-3'!$D$11:$Q319,CM$4,CM$5)"),"")</f>
        <v/>
      </c>
      <c r="CN64" s="541"/>
      <c r="CO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5-3'!$D$11:$Q319,CO$4,CO$5)"),"")</f>
        <v/>
      </c>
      <c r="CP64" s="540"/>
      <c r="CQ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5-3'!$D$11:$Q319,CQ$4,CQ$5)"),"")</f>
        <v/>
      </c>
      <c r="CR64" s="540"/>
      <c r="CS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5-3'!$D$11:$Q319,CS$4,CS$5)"),"")</f>
        <v/>
      </c>
      <c r="CT64" s="540"/>
      <c r="CU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5-3'!$D$11:$Q319,CU$4,CU$5)"),"")</f>
        <v/>
      </c>
      <c r="CV64" s="545"/>
      <c r="CW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5-3'!$D$11:$Q319,CW$4,CW$5)"),"")</f>
        <v/>
      </c>
      <c r="CX64" s="540"/>
      <c r="CY64" s="540"/>
      <c r="CZ64" s="540"/>
      <c r="DA64" s="540"/>
      <c r="DB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5-3'!$D$11:$Q319,DB$4,DB$5)"),"")</f>
        <v/>
      </c>
      <c r="DC64" s="555"/>
      <c r="DD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5-3'!$D$11:$Q319,DD$4,DD$5)"),"")</f>
        <v/>
      </c>
      <c r="DE64" s="554"/>
      <c r="DF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5-3'!$D$11:$Q319,DF$4,DF$5)"),"")</f>
        <v/>
      </c>
      <c r="DG64" s="554"/>
      <c r="DH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5-3'!$D$11:$Q319,DH$4,DH$5)"),"")</f>
        <v/>
      </c>
      <c r="DI64" s="554"/>
      <c r="DJ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5-3'!$D$11:$Q319,DJ$4,DJ$5)"),"")</f>
        <v/>
      </c>
      <c r="DK64" s="566"/>
      <c r="DL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5-3'!$D$11:$Q319,DL$4,DL$5)"),"")</f>
        <v/>
      </c>
      <c r="DM64" s="554"/>
      <c r="DN64" s="554"/>
      <c r="DO64" s="554"/>
      <c r="DP64" s="554"/>
      <c r="DQ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5-3'!$D$11:$Q319,DQ$4,DQ$5)"),"")</f>
        <v/>
      </c>
      <c r="DR64" s="569"/>
      <c r="DS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5-3'!$D$11:$Q319,DS$4,DS$5)"),"")</f>
        <v/>
      </c>
      <c r="DT64" s="568"/>
      <c r="DU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5-3'!$D$11:$Q319,DU$4,DU$5)"),"")</f>
        <v/>
      </c>
      <c r="DV64" s="568"/>
      <c r="DW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5-3'!$D$11:$Q319,DW$4,DW$5)"),"")</f>
        <v/>
      </c>
      <c r="DX64" s="568"/>
      <c r="DY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5-3'!$D$11:$Q319,DY$4,DY$5)"),"")</f>
        <v/>
      </c>
      <c r="DZ64" s="578"/>
      <c r="EA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$C64, 'S-10 Топ 5-3'!$D$11:$Q319,EA$4,EA$5)"),"")</f>
        <v/>
      </c>
      <c r="EB64" s="568"/>
      <c r="EC64" s="568"/>
      <c r="ED64" s="568"/>
      <c r="EE64" s="568"/>
    </row>
    <row r="65">
      <c r="A65" s="519" t="str">
        <f t="shared" si="1"/>
        <v/>
      </c>
      <c r="B65" s="520" t="str">
        <f>'5-0 Товары'!B65</f>
        <v/>
      </c>
      <c r="C65" s="521" t="str">
        <f>'5-1 Сбор КП Закупки'!C65</f>
        <v/>
      </c>
      <c r="D65" s="521" t="str">
        <f>'5-1 Сбор КП Закупки'!D65</f>
        <v/>
      </c>
      <c r="E65" s="521" t="str">
        <f>'5-1 Сбор КП Закупки'!E65</f>
        <v/>
      </c>
      <c r="F65" s="521" t="str">
        <f>'5-1 Сбор КП Закупки'!F65</f>
        <v/>
      </c>
      <c r="G65" s="522" t="str">
        <f>'5-1 Сбор КП Закупки'!G65</f>
        <v/>
      </c>
      <c r="H65" s="522" t="str">
        <f>'5-1 Сбор КП Закупки'!H65</f>
        <v/>
      </c>
      <c r="I65" s="522" t="str">
        <f>'5-1 Сбор КП Закупки'!I65</f>
        <v/>
      </c>
      <c r="J65" s="197"/>
      <c r="K65" s="522" t="str">
        <f>'5-1 Сбор КП Закупки'!G65</f>
        <v/>
      </c>
      <c r="L65" s="523" t="str">
        <f>IF(A65="Да",'5-1 Сбор КП Закупки'!K65,)</f>
        <v/>
      </c>
      <c r="M65" s="197"/>
      <c r="N65" s="197"/>
      <c r="O65" s="197"/>
      <c r="P65" s="525" t="str">
        <f>'5-1 Сбор КП Закупки'!P65</f>
        <v/>
      </c>
      <c r="Q65" s="197"/>
      <c r="R65" s="197"/>
      <c r="S65" s="197"/>
      <c r="T65" s="197"/>
      <c r="U65" s="197"/>
      <c r="V65" s="197"/>
      <c r="W65" s="522" t="str">
        <f>'5-1 Сбор КП Закупки'!O65</f>
        <v/>
      </c>
      <c r="X65" s="197"/>
      <c r="Y65" s="197"/>
      <c r="Z65" s="197"/>
      <c r="AA65" s="197"/>
      <c r="AB65" s="197">
        <v>0.0</v>
      </c>
      <c r="AC65" s="197"/>
      <c r="AD65" s="197"/>
      <c r="AE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5-3'!$D$11:$Q319,AE$4,AE$5)"),"")</f>
        <v/>
      </c>
      <c r="AF65" s="528"/>
      <c r="AG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5-3'!$D$11:$Q319,AG$4,AG$5)"),"")</f>
        <v/>
      </c>
      <c r="AH65" s="527"/>
      <c r="AI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5-3'!$D$11:$Q319,AI$4,AI$5)"),"")</f>
        <v/>
      </c>
      <c r="AJ65" s="527"/>
      <c r="AK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5-3'!$D$11:$Q319,AK$4,AK$5)"),"")</f>
        <v/>
      </c>
      <c r="AL65" s="527"/>
      <c r="AM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5-3'!$D$11:$Q319,AM$4,AM$5)"),"")</f>
        <v/>
      </c>
      <c r="AN65" s="529"/>
      <c r="AO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5-3'!$D$11:$Q319,AO$4,AO$5)"),"")</f>
        <v/>
      </c>
      <c r="AP65" s="527"/>
      <c r="AQ65" s="527"/>
      <c r="AR65" s="527"/>
      <c r="AS65" s="527"/>
      <c r="AT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5-3'!$D$11:$Q319,AT$4,AT$5)"),"")</f>
        <v/>
      </c>
      <c r="AU65" s="531"/>
      <c r="AV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5-3'!$D$11:$Q319,AV$4,AV$5)"),"")</f>
        <v/>
      </c>
      <c r="AW65" s="530"/>
      <c r="AX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5-3'!$D$11:$Q319,AX$4,AX$5)"),"")</f>
        <v/>
      </c>
      <c r="AY65" s="530"/>
      <c r="AZ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5-3'!$D$11:$Q319,AZ$4,AZ$5)"),"")</f>
        <v/>
      </c>
      <c r="BA65" s="530"/>
      <c r="BB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5-3'!$D$11:$Q319,BB$4,BB$5)"),"")</f>
        <v/>
      </c>
      <c r="BC65" s="532"/>
      <c r="BD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5-3'!$D$11:$Q319,BD$4,BD$5)"),"")</f>
        <v/>
      </c>
      <c r="BE65" s="530"/>
      <c r="BF65" s="530"/>
      <c r="BG65" s="530"/>
      <c r="BH65" s="530"/>
      <c r="BI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5-3'!$D$11:$Q319,BI$4,BI$5)"),"")</f>
        <v/>
      </c>
      <c r="BJ65" s="535"/>
      <c r="BK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5-3'!$D$11:$Q319,BK$4,BK$5)"),"")</f>
        <v/>
      </c>
      <c r="BL65" s="534"/>
      <c r="BM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5-3'!$D$11:$Q319,BM$4,BM$5)"),"")</f>
        <v/>
      </c>
      <c r="BN65" s="534"/>
      <c r="BO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5-3'!$D$11:$Q319,BO$4,BO$5)"),"")</f>
        <v/>
      </c>
      <c r="BP65" s="534"/>
      <c r="BQ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5-3'!$D$11:$Q319,BQ$4,BQ$5)"),"")</f>
        <v/>
      </c>
      <c r="BR65" s="536"/>
      <c r="BS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5-3'!$D$11:$Q319,BS$4,BS$5)"),"")</f>
        <v/>
      </c>
      <c r="BT65" s="534"/>
      <c r="BU65" s="534"/>
      <c r="BV65" s="534"/>
      <c r="BW65" s="534"/>
      <c r="BX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5-3'!$D$11:$Q319,BX$4,BX$5)"),"")</f>
        <v/>
      </c>
      <c r="BY65" s="538"/>
      <c r="BZ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5-3'!$D$11:$Q319,BZ$4,BZ$5)"),"")</f>
        <v/>
      </c>
      <c r="CA65" s="537"/>
      <c r="CB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5-3'!$D$11:$Q319,CB$4,CB$5)"),"")</f>
        <v/>
      </c>
      <c r="CC65" s="537"/>
      <c r="CD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5-3'!$D$11:$Q319,CD$4,CD$5)"),"")</f>
        <v/>
      </c>
      <c r="CE65" s="537"/>
      <c r="CF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5-3'!$D$11:$Q319,CF$4,CF$5)"),"")</f>
        <v/>
      </c>
      <c r="CG65" s="539"/>
      <c r="CH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5-3'!$D$11:$Q319,CH$4,CH$5)"),"")</f>
        <v/>
      </c>
      <c r="CI65" s="537"/>
      <c r="CJ65" s="537"/>
      <c r="CK65" s="537"/>
      <c r="CL65" s="537"/>
      <c r="CM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5-3'!$D$11:$Q319,CM$4,CM$5)"),"")</f>
        <v/>
      </c>
      <c r="CN65" s="541"/>
      <c r="CO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5-3'!$D$11:$Q319,CO$4,CO$5)"),"")</f>
        <v/>
      </c>
      <c r="CP65" s="540"/>
      <c r="CQ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5-3'!$D$11:$Q319,CQ$4,CQ$5)"),"")</f>
        <v/>
      </c>
      <c r="CR65" s="540"/>
      <c r="CS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5-3'!$D$11:$Q319,CS$4,CS$5)"),"")</f>
        <v/>
      </c>
      <c r="CT65" s="540"/>
      <c r="CU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5-3'!$D$11:$Q319,CU$4,CU$5)"),"")</f>
        <v/>
      </c>
      <c r="CV65" s="545"/>
      <c r="CW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5-3'!$D$11:$Q319,CW$4,CW$5)"),"")</f>
        <v/>
      </c>
      <c r="CX65" s="540"/>
      <c r="CY65" s="540"/>
      <c r="CZ65" s="540"/>
      <c r="DA65" s="540"/>
      <c r="DB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5-3'!$D$11:$Q319,DB$4,DB$5)"),"")</f>
        <v/>
      </c>
      <c r="DC65" s="555"/>
      <c r="DD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5-3'!$D$11:$Q319,DD$4,DD$5)"),"")</f>
        <v/>
      </c>
      <c r="DE65" s="554"/>
      <c r="DF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5-3'!$D$11:$Q319,DF$4,DF$5)"),"")</f>
        <v/>
      </c>
      <c r="DG65" s="554"/>
      <c r="DH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5-3'!$D$11:$Q319,DH$4,DH$5)"),"")</f>
        <v/>
      </c>
      <c r="DI65" s="554"/>
      <c r="DJ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5-3'!$D$11:$Q319,DJ$4,DJ$5)"),"")</f>
        <v/>
      </c>
      <c r="DK65" s="566"/>
      <c r="DL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5-3'!$D$11:$Q319,DL$4,DL$5)"),"")</f>
        <v/>
      </c>
      <c r="DM65" s="554"/>
      <c r="DN65" s="554"/>
      <c r="DO65" s="554"/>
      <c r="DP65" s="554"/>
      <c r="DQ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5-3'!$D$11:$Q319,DQ$4,DQ$5)"),"")</f>
        <v/>
      </c>
      <c r="DR65" s="569"/>
      <c r="DS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5-3'!$D$11:$Q319,DS$4,DS$5)"),"")</f>
        <v/>
      </c>
      <c r="DT65" s="568"/>
      <c r="DU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5-3'!$D$11:$Q319,DU$4,DU$5)"),"")</f>
        <v/>
      </c>
      <c r="DV65" s="568"/>
      <c r="DW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5-3'!$D$11:$Q319,DW$4,DW$5)"),"")</f>
        <v/>
      </c>
      <c r="DX65" s="568"/>
      <c r="DY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5-3'!$D$11:$Q319,DY$4,DY$5)"),"")</f>
        <v/>
      </c>
      <c r="DZ65" s="578"/>
      <c r="EA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$C65, 'S-10 Топ 5-3'!$D$11:$Q319,EA$4,EA$5)"),"")</f>
        <v/>
      </c>
      <c r="EB65" s="568"/>
      <c r="EC65" s="568"/>
      <c r="ED65" s="568"/>
      <c r="EE65" s="568"/>
    </row>
    <row r="66">
      <c r="A66" s="519" t="str">
        <f t="shared" si="1"/>
        <v/>
      </c>
      <c r="B66" s="520" t="str">
        <f>'5-0 Товары'!B66</f>
        <v/>
      </c>
      <c r="C66" s="521" t="str">
        <f>'5-1 Сбор КП Закупки'!C66</f>
        <v/>
      </c>
      <c r="D66" s="521" t="str">
        <f>'5-1 Сбор КП Закупки'!D66</f>
        <v/>
      </c>
      <c r="E66" s="521" t="str">
        <f>'5-1 Сбор КП Закупки'!E66</f>
        <v/>
      </c>
      <c r="F66" s="521" t="str">
        <f>'5-1 Сбор КП Закупки'!F66</f>
        <v/>
      </c>
      <c r="G66" s="522" t="str">
        <f>'5-1 Сбор КП Закупки'!G66</f>
        <v/>
      </c>
      <c r="H66" s="522" t="str">
        <f>'5-1 Сбор КП Закупки'!H66</f>
        <v/>
      </c>
      <c r="I66" s="522" t="str">
        <f>'5-1 Сбор КП Закупки'!I66</f>
        <v/>
      </c>
      <c r="J66" s="197"/>
      <c r="K66" s="522" t="str">
        <f>'5-1 Сбор КП Закупки'!G66</f>
        <v/>
      </c>
      <c r="L66" s="523" t="str">
        <f>IF(A66="Да",'5-1 Сбор КП Закупки'!K66,)</f>
        <v/>
      </c>
      <c r="M66" s="197"/>
      <c r="N66" s="197"/>
      <c r="O66" s="197"/>
      <c r="P66" s="525" t="str">
        <f>'5-1 Сбор КП Закупки'!P66</f>
        <v/>
      </c>
      <c r="Q66" s="197"/>
      <c r="R66" s="197"/>
      <c r="S66" s="197"/>
      <c r="T66" s="197"/>
      <c r="U66" s="197"/>
      <c r="V66" s="197"/>
      <c r="W66" s="522" t="str">
        <f>'5-1 Сбор КП Закупки'!O66</f>
        <v/>
      </c>
      <c r="X66" s="197"/>
      <c r="Y66" s="197"/>
      <c r="Z66" s="197"/>
      <c r="AA66" s="197"/>
      <c r="AB66" s="197">
        <v>0.0</v>
      </c>
      <c r="AC66" s="197"/>
      <c r="AD66" s="197"/>
      <c r="AE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5-3'!$D$11:$Q319,AE$4,AE$5)"),"")</f>
        <v/>
      </c>
      <c r="AF66" s="528"/>
      <c r="AG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5-3'!$D$11:$Q319,AG$4,AG$5)"),"")</f>
        <v/>
      </c>
      <c r="AH66" s="527"/>
      <c r="AI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5-3'!$D$11:$Q319,AI$4,AI$5)"),"")</f>
        <v/>
      </c>
      <c r="AJ66" s="527"/>
      <c r="AK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5-3'!$D$11:$Q319,AK$4,AK$5)"),"")</f>
        <v/>
      </c>
      <c r="AL66" s="527"/>
      <c r="AM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5-3'!$D$11:$Q319,AM$4,AM$5)"),"")</f>
        <v/>
      </c>
      <c r="AN66" s="529"/>
      <c r="AO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5-3'!$D$11:$Q319,AO$4,AO$5)"),"")</f>
        <v/>
      </c>
      <c r="AP66" s="527"/>
      <c r="AQ66" s="527"/>
      <c r="AR66" s="527"/>
      <c r="AS66" s="527"/>
      <c r="AT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5-3'!$D$11:$Q319,AT$4,AT$5)"),"")</f>
        <v/>
      </c>
      <c r="AU66" s="531"/>
      <c r="AV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5-3'!$D$11:$Q319,AV$4,AV$5)"),"")</f>
        <v/>
      </c>
      <c r="AW66" s="530"/>
      <c r="AX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5-3'!$D$11:$Q319,AX$4,AX$5)"),"")</f>
        <v/>
      </c>
      <c r="AY66" s="530"/>
      <c r="AZ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5-3'!$D$11:$Q319,AZ$4,AZ$5)"),"")</f>
        <v/>
      </c>
      <c r="BA66" s="530"/>
      <c r="BB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5-3'!$D$11:$Q319,BB$4,BB$5)"),"")</f>
        <v/>
      </c>
      <c r="BC66" s="532"/>
      <c r="BD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5-3'!$D$11:$Q319,BD$4,BD$5)"),"")</f>
        <v/>
      </c>
      <c r="BE66" s="530"/>
      <c r="BF66" s="530"/>
      <c r="BG66" s="530"/>
      <c r="BH66" s="530"/>
      <c r="BI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5-3'!$D$11:$Q319,BI$4,BI$5)"),"")</f>
        <v/>
      </c>
      <c r="BJ66" s="535"/>
      <c r="BK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5-3'!$D$11:$Q319,BK$4,BK$5)"),"")</f>
        <v/>
      </c>
      <c r="BL66" s="534"/>
      <c r="BM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5-3'!$D$11:$Q319,BM$4,BM$5)"),"")</f>
        <v/>
      </c>
      <c r="BN66" s="534"/>
      <c r="BO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5-3'!$D$11:$Q319,BO$4,BO$5)"),"")</f>
        <v/>
      </c>
      <c r="BP66" s="534"/>
      <c r="BQ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5-3'!$D$11:$Q319,BQ$4,BQ$5)"),"")</f>
        <v/>
      </c>
      <c r="BR66" s="536"/>
      <c r="BS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5-3'!$D$11:$Q319,BS$4,BS$5)"),"")</f>
        <v/>
      </c>
      <c r="BT66" s="534"/>
      <c r="BU66" s="534"/>
      <c r="BV66" s="534"/>
      <c r="BW66" s="534"/>
      <c r="BX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5-3'!$D$11:$Q319,BX$4,BX$5)"),"")</f>
        <v/>
      </c>
      <c r="BY66" s="538"/>
      <c r="BZ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5-3'!$D$11:$Q319,BZ$4,BZ$5)"),"")</f>
        <v/>
      </c>
      <c r="CA66" s="537"/>
      <c r="CB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5-3'!$D$11:$Q319,CB$4,CB$5)"),"")</f>
        <v/>
      </c>
      <c r="CC66" s="537"/>
      <c r="CD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5-3'!$D$11:$Q319,CD$4,CD$5)"),"")</f>
        <v/>
      </c>
      <c r="CE66" s="537"/>
      <c r="CF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5-3'!$D$11:$Q319,CF$4,CF$5)"),"")</f>
        <v/>
      </c>
      <c r="CG66" s="539"/>
      <c r="CH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5-3'!$D$11:$Q319,CH$4,CH$5)"),"")</f>
        <v/>
      </c>
      <c r="CI66" s="537"/>
      <c r="CJ66" s="537"/>
      <c r="CK66" s="537"/>
      <c r="CL66" s="537"/>
      <c r="CM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5-3'!$D$11:$Q319,CM$4,CM$5)"),"")</f>
        <v/>
      </c>
      <c r="CN66" s="541"/>
      <c r="CO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5-3'!$D$11:$Q319,CO$4,CO$5)"),"")</f>
        <v/>
      </c>
      <c r="CP66" s="540"/>
      <c r="CQ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5-3'!$D$11:$Q319,CQ$4,CQ$5)"),"")</f>
        <v/>
      </c>
      <c r="CR66" s="540"/>
      <c r="CS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5-3'!$D$11:$Q319,CS$4,CS$5)"),"")</f>
        <v/>
      </c>
      <c r="CT66" s="540"/>
      <c r="CU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5-3'!$D$11:$Q319,CU$4,CU$5)"),"")</f>
        <v/>
      </c>
      <c r="CV66" s="545"/>
      <c r="CW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5-3'!$D$11:$Q319,CW$4,CW$5)"),"")</f>
        <v/>
      </c>
      <c r="CX66" s="540"/>
      <c r="CY66" s="540"/>
      <c r="CZ66" s="540"/>
      <c r="DA66" s="540"/>
      <c r="DB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5-3'!$D$11:$Q319,DB$4,DB$5)"),"")</f>
        <v/>
      </c>
      <c r="DC66" s="555"/>
      <c r="DD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5-3'!$D$11:$Q319,DD$4,DD$5)"),"")</f>
        <v/>
      </c>
      <c r="DE66" s="554"/>
      <c r="DF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5-3'!$D$11:$Q319,DF$4,DF$5)"),"")</f>
        <v/>
      </c>
      <c r="DG66" s="554"/>
      <c r="DH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5-3'!$D$11:$Q319,DH$4,DH$5)"),"")</f>
        <v/>
      </c>
      <c r="DI66" s="554"/>
      <c r="DJ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5-3'!$D$11:$Q319,DJ$4,DJ$5)"),"")</f>
        <v/>
      </c>
      <c r="DK66" s="566"/>
      <c r="DL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5-3'!$D$11:$Q319,DL$4,DL$5)"),"")</f>
        <v/>
      </c>
      <c r="DM66" s="554"/>
      <c r="DN66" s="554"/>
      <c r="DO66" s="554"/>
      <c r="DP66" s="554"/>
      <c r="DQ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5-3'!$D$11:$Q319,DQ$4,DQ$5)"),"")</f>
        <v/>
      </c>
      <c r="DR66" s="569"/>
      <c r="DS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5-3'!$D$11:$Q319,DS$4,DS$5)"),"")</f>
        <v/>
      </c>
      <c r="DT66" s="568"/>
      <c r="DU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5-3'!$D$11:$Q319,DU$4,DU$5)"),"")</f>
        <v/>
      </c>
      <c r="DV66" s="568"/>
      <c r="DW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5-3'!$D$11:$Q319,DW$4,DW$5)"),"")</f>
        <v/>
      </c>
      <c r="DX66" s="568"/>
      <c r="DY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5-3'!$D$11:$Q319,DY$4,DY$5)"),"")</f>
        <v/>
      </c>
      <c r="DZ66" s="578"/>
      <c r="EA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$C66, 'S-10 Топ 5-3'!$D$11:$Q319,EA$4,EA$5)"),"")</f>
        <v/>
      </c>
      <c r="EB66" s="568"/>
      <c r="EC66" s="568"/>
      <c r="ED66" s="568"/>
      <c r="EE66" s="568"/>
    </row>
    <row r="67">
      <c r="A67" s="519" t="str">
        <f t="shared" si="1"/>
        <v/>
      </c>
      <c r="B67" s="520" t="str">
        <f>'5-0 Товары'!B67</f>
        <v/>
      </c>
      <c r="C67" s="521" t="str">
        <f>'5-1 Сбор КП Закупки'!C67</f>
        <v/>
      </c>
      <c r="D67" s="521" t="str">
        <f>'5-1 Сбор КП Закупки'!D67</f>
        <v/>
      </c>
      <c r="E67" s="521" t="str">
        <f>'5-1 Сбор КП Закупки'!E67</f>
        <v/>
      </c>
      <c r="F67" s="521" t="str">
        <f>'5-1 Сбор КП Закупки'!F67</f>
        <v/>
      </c>
      <c r="G67" s="522" t="str">
        <f>'5-1 Сбор КП Закупки'!G67</f>
        <v/>
      </c>
      <c r="H67" s="522" t="str">
        <f>'5-1 Сбор КП Закупки'!H67</f>
        <v/>
      </c>
      <c r="I67" s="522" t="str">
        <f>'5-1 Сбор КП Закупки'!I67</f>
        <v/>
      </c>
      <c r="J67" s="197"/>
      <c r="K67" s="522" t="str">
        <f>'5-1 Сбор КП Закупки'!G67</f>
        <v/>
      </c>
      <c r="L67" s="523" t="str">
        <f>IF(A67="Да",'5-1 Сбор КП Закупки'!K67,)</f>
        <v/>
      </c>
      <c r="M67" s="197"/>
      <c r="N67" s="197"/>
      <c r="O67" s="197"/>
      <c r="P67" s="525" t="str">
        <f>'5-1 Сбор КП Закупки'!P67</f>
        <v/>
      </c>
      <c r="Q67" s="197"/>
      <c r="R67" s="197"/>
      <c r="S67" s="197"/>
      <c r="T67" s="197"/>
      <c r="U67" s="197"/>
      <c r="V67" s="197"/>
      <c r="W67" s="522" t="str">
        <f>'5-1 Сбор КП Закупки'!O67</f>
        <v/>
      </c>
      <c r="X67" s="197"/>
      <c r="Y67" s="197"/>
      <c r="Z67" s="197"/>
      <c r="AA67" s="197"/>
      <c r="AB67" s="197">
        <v>0.0</v>
      </c>
      <c r="AC67" s="197"/>
      <c r="AD67" s="197"/>
      <c r="AE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5-3'!$D$11:$Q319,AE$4,AE$5)"),"")</f>
        <v/>
      </c>
      <c r="AF67" s="528"/>
      <c r="AG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5-3'!$D$11:$Q319,AG$4,AG$5)"),"")</f>
        <v/>
      </c>
      <c r="AH67" s="527"/>
      <c r="AI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5-3'!$D$11:$Q319,AI$4,AI$5)"),"")</f>
        <v/>
      </c>
      <c r="AJ67" s="527"/>
      <c r="AK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5-3'!$D$11:$Q319,AK$4,AK$5)"),"")</f>
        <v/>
      </c>
      <c r="AL67" s="527"/>
      <c r="AM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5-3'!$D$11:$Q319,AM$4,AM$5)"),"")</f>
        <v/>
      </c>
      <c r="AN67" s="529"/>
      <c r="AO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5-3'!$D$11:$Q319,AO$4,AO$5)"),"")</f>
        <v/>
      </c>
      <c r="AP67" s="527"/>
      <c r="AQ67" s="527"/>
      <c r="AR67" s="527"/>
      <c r="AS67" s="527"/>
      <c r="AT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5-3'!$D$11:$Q319,AT$4,AT$5)"),"")</f>
        <v/>
      </c>
      <c r="AU67" s="531"/>
      <c r="AV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5-3'!$D$11:$Q319,AV$4,AV$5)"),"")</f>
        <v/>
      </c>
      <c r="AW67" s="530"/>
      <c r="AX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5-3'!$D$11:$Q319,AX$4,AX$5)"),"")</f>
        <v/>
      </c>
      <c r="AY67" s="530"/>
      <c r="AZ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5-3'!$D$11:$Q319,AZ$4,AZ$5)"),"")</f>
        <v/>
      </c>
      <c r="BA67" s="530"/>
      <c r="BB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5-3'!$D$11:$Q319,BB$4,BB$5)"),"")</f>
        <v/>
      </c>
      <c r="BC67" s="532"/>
      <c r="BD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5-3'!$D$11:$Q319,BD$4,BD$5)"),"")</f>
        <v/>
      </c>
      <c r="BE67" s="530"/>
      <c r="BF67" s="530"/>
      <c r="BG67" s="530"/>
      <c r="BH67" s="530"/>
      <c r="BI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5-3'!$D$11:$Q319,BI$4,BI$5)"),"")</f>
        <v/>
      </c>
      <c r="BJ67" s="535"/>
      <c r="BK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5-3'!$D$11:$Q319,BK$4,BK$5)"),"")</f>
        <v/>
      </c>
      <c r="BL67" s="534"/>
      <c r="BM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5-3'!$D$11:$Q319,BM$4,BM$5)"),"")</f>
        <v/>
      </c>
      <c r="BN67" s="534"/>
      <c r="BO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5-3'!$D$11:$Q319,BO$4,BO$5)"),"")</f>
        <v/>
      </c>
      <c r="BP67" s="534"/>
      <c r="BQ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5-3'!$D$11:$Q319,BQ$4,BQ$5)"),"")</f>
        <v/>
      </c>
      <c r="BR67" s="536"/>
      <c r="BS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5-3'!$D$11:$Q319,BS$4,BS$5)"),"")</f>
        <v/>
      </c>
      <c r="BT67" s="534"/>
      <c r="BU67" s="534"/>
      <c r="BV67" s="534"/>
      <c r="BW67" s="534"/>
      <c r="BX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5-3'!$D$11:$Q319,BX$4,BX$5)"),"")</f>
        <v/>
      </c>
      <c r="BY67" s="538"/>
      <c r="BZ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5-3'!$D$11:$Q319,BZ$4,BZ$5)"),"")</f>
        <v/>
      </c>
      <c r="CA67" s="537"/>
      <c r="CB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5-3'!$D$11:$Q319,CB$4,CB$5)"),"")</f>
        <v/>
      </c>
      <c r="CC67" s="537"/>
      <c r="CD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5-3'!$D$11:$Q319,CD$4,CD$5)"),"")</f>
        <v/>
      </c>
      <c r="CE67" s="537"/>
      <c r="CF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5-3'!$D$11:$Q319,CF$4,CF$5)"),"")</f>
        <v/>
      </c>
      <c r="CG67" s="539"/>
      <c r="CH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5-3'!$D$11:$Q319,CH$4,CH$5)"),"")</f>
        <v/>
      </c>
      <c r="CI67" s="537"/>
      <c r="CJ67" s="537"/>
      <c r="CK67" s="537"/>
      <c r="CL67" s="537"/>
      <c r="CM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5-3'!$D$11:$Q319,CM$4,CM$5)"),"")</f>
        <v/>
      </c>
      <c r="CN67" s="541"/>
      <c r="CO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5-3'!$D$11:$Q319,CO$4,CO$5)"),"")</f>
        <v/>
      </c>
      <c r="CP67" s="540"/>
      <c r="CQ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5-3'!$D$11:$Q319,CQ$4,CQ$5)"),"")</f>
        <v/>
      </c>
      <c r="CR67" s="540"/>
      <c r="CS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5-3'!$D$11:$Q319,CS$4,CS$5)"),"")</f>
        <v/>
      </c>
      <c r="CT67" s="540"/>
      <c r="CU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5-3'!$D$11:$Q319,CU$4,CU$5)"),"")</f>
        <v/>
      </c>
      <c r="CV67" s="545"/>
      <c r="CW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5-3'!$D$11:$Q319,CW$4,CW$5)"),"")</f>
        <v/>
      </c>
      <c r="CX67" s="540"/>
      <c r="CY67" s="540"/>
      <c r="CZ67" s="540"/>
      <c r="DA67" s="540"/>
      <c r="DB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5-3'!$D$11:$Q319,DB$4,DB$5)"),"")</f>
        <v/>
      </c>
      <c r="DC67" s="555"/>
      <c r="DD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5-3'!$D$11:$Q319,DD$4,DD$5)"),"")</f>
        <v/>
      </c>
      <c r="DE67" s="554"/>
      <c r="DF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5-3'!$D$11:$Q319,DF$4,DF$5)"),"")</f>
        <v/>
      </c>
      <c r="DG67" s="554"/>
      <c r="DH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5-3'!$D$11:$Q319,DH$4,DH$5)"),"")</f>
        <v/>
      </c>
      <c r="DI67" s="554"/>
      <c r="DJ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5-3'!$D$11:$Q319,DJ$4,DJ$5)"),"")</f>
        <v/>
      </c>
      <c r="DK67" s="566"/>
      <c r="DL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5-3'!$D$11:$Q319,DL$4,DL$5)"),"")</f>
        <v/>
      </c>
      <c r="DM67" s="554"/>
      <c r="DN67" s="554"/>
      <c r="DO67" s="554"/>
      <c r="DP67" s="554"/>
      <c r="DQ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5-3'!$D$11:$Q319,DQ$4,DQ$5)"),"")</f>
        <v/>
      </c>
      <c r="DR67" s="569"/>
      <c r="DS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5-3'!$D$11:$Q319,DS$4,DS$5)"),"")</f>
        <v/>
      </c>
      <c r="DT67" s="568"/>
      <c r="DU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5-3'!$D$11:$Q319,DU$4,DU$5)"),"")</f>
        <v/>
      </c>
      <c r="DV67" s="568"/>
      <c r="DW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5-3'!$D$11:$Q319,DW$4,DW$5)"),"")</f>
        <v/>
      </c>
      <c r="DX67" s="568"/>
      <c r="DY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5-3'!$D$11:$Q319,DY$4,DY$5)"),"")</f>
        <v/>
      </c>
      <c r="DZ67" s="578"/>
      <c r="EA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$C67, 'S-10 Топ 5-3'!$D$11:$Q319,EA$4,EA$5)"),"")</f>
        <v/>
      </c>
      <c r="EB67" s="568"/>
      <c r="EC67" s="568"/>
      <c r="ED67" s="568"/>
      <c r="EE67" s="568"/>
    </row>
    <row r="68">
      <c r="A68" s="519" t="str">
        <f t="shared" si="1"/>
        <v/>
      </c>
      <c r="B68" s="520" t="str">
        <f>'5-0 Товары'!B68</f>
        <v/>
      </c>
      <c r="C68" s="521" t="str">
        <f>'5-1 Сбор КП Закупки'!C68</f>
        <v/>
      </c>
      <c r="D68" s="521" t="str">
        <f>'5-1 Сбор КП Закупки'!D68</f>
        <v/>
      </c>
      <c r="E68" s="521" t="str">
        <f>'5-1 Сбор КП Закупки'!E68</f>
        <v/>
      </c>
      <c r="F68" s="521" t="str">
        <f>'5-1 Сбор КП Закупки'!F68</f>
        <v/>
      </c>
      <c r="G68" s="522" t="str">
        <f>'5-1 Сбор КП Закупки'!G68</f>
        <v/>
      </c>
      <c r="H68" s="522" t="str">
        <f>'5-1 Сбор КП Закупки'!H68</f>
        <v/>
      </c>
      <c r="I68" s="522" t="str">
        <f>'5-1 Сбор КП Закупки'!I68</f>
        <v/>
      </c>
      <c r="J68" s="197"/>
      <c r="K68" s="522" t="str">
        <f>'5-1 Сбор КП Закупки'!G68</f>
        <v/>
      </c>
      <c r="L68" s="523" t="str">
        <f>IF(A68="Да",'5-1 Сбор КП Закупки'!K68,)</f>
        <v/>
      </c>
      <c r="M68" s="197"/>
      <c r="N68" s="197"/>
      <c r="O68" s="197"/>
      <c r="P68" s="525" t="str">
        <f>'5-1 Сбор КП Закупки'!P68</f>
        <v/>
      </c>
      <c r="Q68" s="197"/>
      <c r="R68" s="197"/>
      <c r="S68" s="197"/>
      <c r="T68" s="197"/>
      <c r="U68" s="197"/>
      <c r="V68" s="197"/>
      <c r="W68" s="522" t="str">
        <f>'5-1 Сбор КП Закупки'!O68</f>
        <v/>
      </c>
      <c r="X68" s="197"/>
      <c r="Y68" s="197"/>
      <c r="Z68" s="197"/>
      <c r="AA68" s="197"/>
      <c r="AB68" s="197">
        <v>0.0</v>
      </c>
      <c r="AC68" s="197"/>
      <c r="AD68" s="197"/>
      <c r="AE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5-3'!$D$11:$Q319,AE$4,AE$5)"),"")</f>
        <v/>
      </c>
      <c r="AF68" s="528"/>
      <c r="AG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5-3'!$D$11:$Q319,AG$4,AG$5)"),"")</f>
        <v/>
      </c>
      <c r="AH68" s="527"/>
      <c r="AI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5-3'!$D$11:$Q319,AI$4,AI$5)"),"")</f>
        <v/>
      </c>
      <c r="AJ68" s="527"/>
      <c r="AK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5-3'!$D$11:$Q319,AK$4,AK$5)"),"")</f>
        <v/>
      </c>
      <c r="AL68" s="527"/>
      <c r="AM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5-3'!$D$11:$Q319,AM$4,AM$5)"),"")</f>
        <v/>
      </c>
      <c r="AN68" s="529"/>
      <c r="AO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5-3'!$D$11:$Q319,AO$4,AO$5)"),"")</f>
        <v/>
      </c>
      <c r="AP68" s="527"/>
      <c r="AQ68" s="527"/>
      <c r="AR68" s="527"/>
      <c r="AS68" s="527"/>
      <c r="AT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5-3'!$D$11:$Q319,AT$4,AT$5)"),"")</f>
        <v/>
      </c>
      <c r="AU68" s="531"/>
      <c r="AV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5-3'!$D$11:$Q319,AV$4,AV$5)"),"")</f>
        <v/>
      </c>
      <c r="AW68" s="530"/>
      <c r="AX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5-3'!$D$11:$Q319,AX$4,AX$5)"),"")</f>
        <v/>
      </c>
      <c r="AY68" s="530"/>
      <c r="AZ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5-3'!$D$11:$Q319,AZ$4,AZ$5)"),"")</f>
        <v/>
      </c>
      <c r="BA68" s="530"/>
      <c r="BB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5-3'!$D$11:$Q319,BB$4,BB$5)"),"")</f>
        <v/>
      </c>
      <c r="BC68" s="532"/>
      <c r="BD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5-3'!$D$11:$Q319,BD$4,BD$5)"),"")</f>
        <v/>
      </c>
      <c r="BE68" s="530"/>
      <c r="BF68" s="530"/>
      <c r="BG68" s="530"/>
      <c r="BH68" s="530"/>
      <c r="BI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5-3'!$D$11:$Q319,BI$4,BI$5)"),"")</f>
        <v/>
      </c>
      <c r="BJ68" s="535"/>
      <c r="BK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5-3'!$D$11:$Q319,BK$4,BK$5)"),"")</f>
        <v/>
      </c>
      <c r="BL68" s="534"/>
      <c r="BM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5-3'!$D$11:$Q319,BM$4,BM$5)"),"")</f>
        <v/>
      </c>
      <c r="BN68" s="534"/>
      <c r="BO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5-3'!$D$11:$Q319,BO$4,BO$5)"),"")</f>
        <v/>
      </c>
      <c r="BP68" s="534"/>
      <c r="BQ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5-3'!$D$11:$Q319,BQ$4,BQ$5)"),"")</f>
        <v/>
      </c>
      <c r="BR68" s="536"/>
      <c r="BS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5-3'!$D$11:$Q319,BS$4,BS$5)"),"")</f>
        <v/>
      </c>
      <c r="BT68" s="534"/>
      <c r="BU68" s="534"/>
      <c r="BV68" s="534"/>
      <c r="BW68" s="534"/>
      <c r="BX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5-3'!$D$11:$Q319,BX$4,BX$5)"),"")</f>
        <v/>
      </c>
      <c r="BY68" s="538"/>
      <c r="BZ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5-3'!$D$11:$Q319,BZ$4,BZ$5)"),"")</f>
        <v/>
      </c>
      <c r="CA68" s="537"/>
      <c r="CB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5-3'!$D$11:$Q319,CB$4,CB$5)"),"")</f>
        <v/>
      </c>
      <c r="CC68" s="537"/>
      <c r="CD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5-3'!$D$11:$Q319,CD$4,CD$5)"),"")</f>
        <v/>
      </c>
      <c r="CE68" s="537"/>
      <c r="CF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5-3'!$D$11:$Q319,CF$4,CF$5)"),"")</f>
        <v/>
      </c>
      <c r="CG68" s="539"/>
      <c r="CH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5-3'!$D$11:$Q319,CH$4,CH$5)"),"")</f>
        <v/>
      </c>
      <c r="CI68" s="537"/>
      <c r="CJ68" s="537"/>
      <c r="CK68" s="537"/>
      <c r="CL68" s="537"/>
      <c r="CM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5-3'!$D$11:$Q319,CM$4,CM$5)"),"")</f>
        <v/>
      </c>
      <c r="CN68" s="541"/>
      <c r="CO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5-3'!$D$11:$Q319,CO$4,CO$5)"),"")</f>
        <v/>
      </c>
      <c r="CP68" s="540"/>
      <c r="CQ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5-3'!$D$11:$Q319,CQ$4,CQ$5)"),"")</f>
        <v/>
      </c>
      <c r="CR68" s="540"/>
      <c r="CS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5-3'!$D$11:$Q319,CS$4,CS$5)"),"")</f>
        <v/>
      </c>
      <c r="CT68" s="540"/>
      <c r="CU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5-3'!$D$11:$Q319,CU$4,CU$5)"),"")</f>
        <v/>
      </c>
      <c r="CV68" s="545"/>
      <c r="CW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5-3'!$D$11:$Q319,CW$4,CW$5)"),"")</f>
        <v/>
      </c>
      <c r="CX68" s="540"/>
      <c r="CY68" s="540"/>
      <c r="CZ68" s="540"/>
      <c r="DA68" s="540"/>
      <c r="DB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5-3'!$D$11:$Q319,DB$4,DB$5)"),"")</f>
        <v/>
      </c>
      <c r="DC68" s="555"/>
      <c r="DD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5-3'!$D$11:$Q319,DD$4,DD$5)"),"")</f>
        <v/>
      </c>
      <c r="DE68" s="554"/>
      <c r="DF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5-3'!$D$11:$Q319,DF$4,DF$5)"),"")</f>
        <v/>
      </c>
      <c r="DG68" s="554"/>
      <c r="DH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5-3'!$D$11:$Q319,DH$4,DH$5)"),"")</f>
        <v/>
      </c>
      <c r="DI68" s="554"/>
      <c r="DJ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5-3'!$D$11:$Q319,DJ$4,DJ$5)"),"")</f>
        <v/>
      </c>
      <c r="DK68" s="566"/>
      <c r="DL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5-3'!$D$11:$Q319,DL$4,DL$5)"),"")</f>
        <v/>
      </c>
      <c r="DM68" s="554"/>
      <c r="DN68" s="554"/>
      <c r="DO68" s="554"/>
      <c r="DP68" s="554"/>
      <c r="DQ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5-3'!$D$11:$Q319,DQ$4,DQ$5)"),"")</f>
        <v/>
      </c>
      <c r="DR68" s="569"/>
      <c r="DS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5-3'!$D$11:$Q319,DS$4,DS$5)"),"")</f>
        <v/>
      </c>
      <c r="DT68" s="568"/>
      <c r="DU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5-3'!$D$11:$Q319,DU$4,DU$5)"),"")</f>
        <v/>
      </c>
      <c r="DV68" s="568"/>
      <c r="DW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5-3'!$D$11:$Q319,DW$4,DW$5)"),"")</f>
        <v/>
      </c>
      <c r="DX68" s="568"/>
      <c r="DY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5-3'!$D$11:$Q319,DY$4,DY$5)"),"")</f>
        <v/>
      </c>
      <c r="DZ68" s="578"/>
      <c r="EA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$C68, 'S-10 Топ 5-3'!$D$11:$Q319,EA$4,EA$5)"),"")</f>
        <v/>
      </c>
      <c r="EB68" s="568"/>
      <c r="EC68" s="568"/>
      <c r="ED68" s="568"/>
      <c r="EE68" s="568"/>
    </row>
    <row r="69">
      <c r="A69" s="519" t="str">
        <f t="shared" si="1"/>
        <v/>
      </c>
      <c r="B69" s="520" t="str">
        <f>'5-0 Товары'!B69</f>
        <v/>
      </c>
      <c r="C69" s="521" t="str">
        <f>'5-1 Сбор КП Закупки'!C69</f>
        <v/>
      </c>
      <c r="D69" s="521" t="str">
        <f>'5-1 Сбор КП Закупки'!D69</f>
        <v/>
      </c>
      <c r="E69" s="521" t="str">
        <f>'5-1 Сбор КП Закупки'!E69</f>
        <v/>
      </c>
      <c r="F69" s="521" t="str">
        <f>'5-1 Сбор КП Закупки'!F69</f>
        <v/>
      </c>
      <c r="G69" s="522" t="str">
        <f>'5-1 Сбор КП Закупки'!G69</f>
        <v/>
      </c>
      <c r="H69" s="522" t="str">
        <f>'5-1 Сбор КП Закупки'!H69</f>
        <v/>
      </c>
      <c r="I69" s="522" t="str">
        <f>'5-1 Сбор КП Закупки'!I69</f>
        <v/>
      </c>
      <c r="J69" s="197"/>
      <c r="K69" s="522" t="str">
        <f>'5-1 Сбор КП Закупки'!G69</f>
        <v/>
      </c>
      <c r="L69" s="523" t="str">
        <f>IF(A69="Да",'5-1 Сбор КП Закупки'!K69,)</f>
        <v/>
      </c>
      <c r="M69" s="197"/>
      <c r="N69" s="197"/>
      <c r="O69" s="197"/>
      <c r="P69" s="525" t="str">
        <f>'5-1 Сбор КП Закупки'!P69</f>
        <v/>
      </c>
      <c r="Q69" s="197"/>
      <c r="R69" s="197"/>
      <c r="S69" s="197"/>
      <c r="T69" s="197"/>
      <c r="U69" s="197"/>
      <c r="V69" s="197"/>
      <c r="W69" s="522" t="str">
        <f>'5-1 Сбор КП Закупки'!O69</f>
        <v/>
      </c>
      <c r="X69" s="197"/>
      <c r="Y69" s="197"/>
      <c r="Z69" s="197"/>
      <c r="AA69" s="197"/>
      <c r="AB69" s="197">
        <v>0.0</v>
      </c>
      <c r="AC69" s="197"/>
      <c r="AD69" s="197"/>
      <c r="AE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5-3'!$D$11:$Q319,AE$4,AE$5)"),"")</f>
        <v/>
      </c>
      <c r="AF69" s="528"/>
      <c r="AG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5-3'!$D$11:$Q319,AG$4,AG$5)"),"")</f>
        <v/>
      </c>
      <c r="AH69" s="527"/>
      <c r="AI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5-3'!$D$11:$Q319,AI$4,AI$5)"),"")</f>
        <v/>
      </c>
      <c r="AJ69" s="527"/>
      <c r="AK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5-3'!$D$11:$Q319,AK$4,AK$5)"),"")</f>
        <v/>
      </c>
      <c r="AL69" s="527"/>
      <c r="AM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5-3'!$D$11:$Q319,AM$4,AM$5)"),"")</f>
        <v/>
      </c>
      <c r="AN69" s="529"/>
      <c r="AO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5-3'!$D$11:$Q319,AO$4,AO$5)"),"")</f>
        <v/>
      </c>
      <c r="AP69" s="527"/>
      <c r="AQ69" s="527"/>
      <c r="AR69" s="527"/>
      <c r="AS69" s="527"/>
      <c r="AT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5-3'!$D$11:$Q319,AT$4,AT$5)"),"")</f>
        <v/>
      </c>
      <c r="AU69" s="531"/>
      <c r="AV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5-3'!$D$11:$Q319,AV$4,AV$5)"),"")</f>
        <v/>
      </c>
      <c r="AW69" s="530"/>
      <c r="AX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5-3'!$D$11:$Q319,AX$4,AX$5)"),"")</f>
        <v/>
      </c>
      <c r="AY69" s="530"/>
      <c r="AZ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5-3'!$D$11:$Q319,AZ$4,AZ$5)"),"")</f>
        <v/>
      </c>
      <c r="BA69" s="530"/>
      <c r="BB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5-3'!$D$11:$Q319,BB$4,BB$5)"),"")</f>
        <v/>
      </c>
      <c r="BC69" s="532"/>
      <c r="BD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5-3'!$D$11:$Q319,BD$4,BD$5)"),"")</f>
        <v/>
      </c>
      <c r="BE69" s="530"/>
      <c r="BF69" s="530"/>
      <c r="BG69" s="530"/>
      <c r="BH69" s="530"/>
      <c r="BI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5-3'!$D$11:$Q319,BI$4,BI$5)"),"")</f>
        <v/>
      </c>
      <c r="BJ69" s="535"/>
      <c r="BK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5-3'!$D$11:$Q319,BK$4,BK$5)"),"")</f>
        <v/>
      </c>
      <c r="BL69" s="534"/>
      <c r="BM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5-3'!$D$11:$Q319,BM$4,BM$5)"),"")</f>
        <v/>
      </c>
      <c r="BN69" s="534"/>
      <c r="BO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5-3'!$D$11:$Q319,BO$4,BO$5)"),"")</f>
        <v/>
      </c>
      <c r="BP69" s="534"/>
      <c r="BQ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5-3'!$D$11:$Q319,BQ$4,BQ$5)"),"")</f>
        <v/>
      </c>
      <c r="BR69" s="536"/>
      <c r="BS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5-3'!$D$11:$Q319,BS$4,BS$5)"),"")</f>
        <v/>
      </c>
      <c r="BT69" s="534"/>
      <c r="BU69" s="534"/>
      <c r="BV69" s="534"/>
      <c r="BW69" s="534"/>
      <c r="BX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5-3'!$D$11:$Q319,BX$4,BX$5)"),"")</f>
        <v/>
      </c>
      <c r="BY69" s="538"/>
      <c r="BZ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5-3'!$D$11:$Q319,BZ$4,BZ$5)"),"")</f>
        <v/>
      </c>
      <c r="CA69" s="537"/>
      <c r="CB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5-3'!$D$11:$Q319,CB$4,CB$5)"),"")</f>
        <v/>
      </c>
      <c r="CC69" s="537"/>
      <c r="CD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5-3'!$D$11:$Q319,CD$4,CD$5)"),"")</f>
        <v/>
      </c>
      <c r="CE69" s="537"/>
      <c r="CF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5-3'!$D$11:$Q319,CF$4,CF$5)"),"")</f>
        <v/>
      </c>
      <c r="CG69" s="539"/>
      <c r="CH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5-3'!$D$11:$Q319,CH$4,CH$5)"),"")</f>
        <v/>
      </c>
      <c r="CI69" s="537"/>
      <c r="CJ69" s="537"/>
      <c r="CK69" s="537"/>
      <c r="CL69" s="537"/>
      <c r="CM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5-3'!$D$11:$Q319,CM$4,CM$5)"),"")</f>
        <v/>
      </c>
      <c r="CN69" s="541"/>
      <c r="CO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5-3'!$D$11:$Q319,CO$4,CO$5)"),"")</f>
        <v/>
      </c>
      <c r="CP69" s="540"/>
      <c r="CQ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5-3'!$D$11:$Q319,CQ$4,CQ$5)"),"")</f>
        <v/>
      </c>
      <c r="CR69" s="540"/>
      <c r="CS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5-3'!$D$11:$Q319,CS$4,CS$5)"),"")</f>
        <v/>
      </c>
      <c r="CT69" s="540"/>
      <c r="CU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5-3'!$D$11:$Q319,CU$4,CU$5)"),"")</f>
        <v/>
      </c>
      <c r="CV69" s="545"/>
      <c r="CW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5-3'!$D$11:$Q319,CW$4,CW$5)"),"")</f>
        <v/>
      </c>
      <c r="CX69" s="540"/>
      <c r="CY69" s="540"/>
      <c r="CZ69" s="540"/>
      <c r="DA69" s="540"/>
      <c r="DB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5-3'!$D$11:$Q319,DB$4,DB$5)"),"")</f>
        <v/>
      </c>
      <c r="DC69" s="555"/>
      <c r="DD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5-3'!$D$11:$Q319,DD$4,DD$5)"),"")</f>
        <v/>
      </c>
      <c r="DE69" s="554"/>
      <c r="DF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5-3'!$D$11:$Q319,DF$4,DF$5)"),"")</f>
        <v/>
      </c>
      <c r="DG69" s="554"/>
      <c r="DH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5-3'!$D$11:$Q319,DH$4,DH$5)"),"")</f>
        <v/>
      </c>
      <c r="DI69" s="554"/>
      <c r="DJ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5-3'!$D$11:$Q319,DJ$4,DJ$5)"),"")</f>
        <v/>
      </c>
      <c r="DK69" s="566"/>
      <c r="DL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5-3'!$D$11:$Q319,DL$4,DL$5)"),"")</f>
        <v/>
      </c>
      <c r="DM69" s="554"/>
      <c r="DN69" s="554"/>
      <c r="DO69" s="554"/>
      <c r="DP69" s="554"/>
      <c r="DQ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5-3'!$D$11:$Q319,DQ$4,DQ$5)"),"")</f>
        <v/>
      </c>
      <c r="DR69" s="569"/>
      <c r="DS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5-3'!$D$11:$Q319,DS$4,DS$5)"),"")</f>
        <v/>
      </c>
      <c r="DT69" s="568"/>
      <c r="DU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5-3'!$D$11:$Q319,DU$4,DU$5)"),"")</f>
        <v/>
      </c>
      <c r="DV69" s="568"/>
      <c r="DW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5-3'!$D$11:$Q319,DW$4,DW$5)"),"")</f>
        <v/>
      </c>
      <c r="DX69" s="568"/>
      <c r="DY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5-3'!$D$11:$Q319,DY$4,DY$5)"),"")</f>
        <v/>
      </c>
      <c r="DZ69" s="578"/>
      <c r="EA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$C69, 'S-10 Топ 5-3'!$D$11:$Q319,EA$4,EA$5)"),"")</f>
        <v/>
      </c>
      <c r="EB69" s="568"/>
      <c r="EC69" s="568"/>
      <c r="ED69" s="568"/>
      <c r="EE69" s="568"/>
    </row>
    <row r="70">
      <c r="A70" s="519" t="str">
        <f t="shared" si="1"/>
        <v/>
      </c>
      <c r="B70" s="520" t="str">
        <f>'5-0 Товары'!B70</f>
        <v/>
      </c>
      <c r="C70" s="521" t="str">
        <f>'5-1 Сбор КП Закупки'!C70</f>
        <v/>
      </c>
      <c r="D70" s="521" t="str">
        <f>'5-1 Сбор КП Закупки'!D70</f>
        <v/>
      </c>
      <c r="E70" s="521" t="str">
        <f>'5-1 Сбор КП Закупки'!E70</f>
        <v/>
      </c>
      <c r="F70" s="521" t="str">
        <f>'5-1 Сбор КП Закупки'!F70</f>
        <v/>
      </c>
      <c r="G70" s="522" t="str">
        <f>'5-1 Сбор КП Закупки'!G70</f>
        <v/>
      </c>
      <c r="H70" s="522" t="str">
        <f>'5-1 Сбор КП Закупки'!H70</f>
        <v/>
      </c>
      <c r="I70" s="522" t="str">
        <f>'5-1 Сбор КП Закупки'!I70</f>
        <v/>
      </c>
      <c r="J70" s="197"/>
      <c r="K70" s="522" t="str">
        <f>'5-1 Сбор КП Закупки'!G70</f>
        <v/>
      </c>
      <c r="L70" s="523" t="str">
        <f>IF(A70="Да",'5-1 Сбор КП Закупки'!K70,)</f>
        <v/>
      </c>
      <c r="M70" s="197"/>
      <c r="N70" s="197"/>
      <c r="O70" s="197"/>
      <c r="P70" s="525" t="str">
        <f>'5-1 Сбор КП Закупки'!P70</f>
        <v/>
      </c>
      <c r="Q70" s="197"/>
      <c r="R70" s="197"/>
      <c r="S70" s="197"/>
      <c r="T70" s="197"/>
      <c r="U70" s="197"/>
      <c r="V70" s="197"/>
      <c r="W70" s="522" t="str">
        <f>'5-1 Сбор КП Закупки'!O70</f>
        <v/>
      </c>
      <c r="X70" s="197"/>
      <c r="Y70" s="197"/>
      <c r="Z70" s="197"/>
      <c r="AA70" s="197"/>
      <c r="AB70" s="197">
        <v>0.0</v>
      </c>
      <c r="AC70" s="197"/>
      <c r="AD70" s="197"/>
      <c r="AE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5-3'!$D$11:$Q319,AE$4,AE$5)"),"")</f>
        <v/>
      </c>
      <c r="AF70" s="528"/>
      <c r="AG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5-3'!$D$11:$Q319,AG$4,AG$5)"),"")</f>
        <v/>
      </c>
      <c r="AH70" s="527"/>
      <c r="AI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5-3'!$D$11:$Q319,AI$4,AI$5)"),"")</f>
        <v/>
      </c>
      <c r="AJ70" s="527"/>
      <c r="AK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5-3'!$D$11:$Q319,AK$4,AK$5)"),"")</f>
        <v/>
      </c>
      <c r="AL70" s="527"/>
      <c r="AM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5-3'!$D$11:$Q319,AM$4,AM$5)"),"")</f>
        <v/>
      </c>
      <c r="AN70" s="529"/>
      <c r="AO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5-3'!$D$11:$Q319,AO$4,AO$5)"),"")</f>
        <v/>
      </c>
      <c r="AP70" s="527"/>
      <c r="AQ70" s="527"/>
      <c r="AR70" s="527"/>
      <c r="AS70" s="527"/>
      <c r="AT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5-3'!$D$11:$Q319,AT$4,AT$5)"),"")</f>
        <v/>
      </c>
      <c r="AU70" s="531"/>
      <c r="AV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5-3'!$D$11:$Q319,AV$4,AV$5)"),"")</f>
        <v/>
      </c>
      <c r="AW70" s="530"/>
      <c r="AX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5-3'!$D$11:$Q319,AX$4,AX$5)"),"")</f>
        <v/>
      </c>
      <c r="AY70" s="530"/>
      <c r="AZ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5-3'!$D$11:$Q319,AZ$4,AZ$5)"),"")</f>
        <v/>
      </c>
      <c r="BA70" s="530"/>
      <c r="BB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5-3'!$D$11:$Q319,BB$4,BB$5)"),"")</f>
        <v/>
      </c>
      <c r="BC70" s="532"/>
      <c r="BD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5-3'!$D$11:$Q319,BD$4,BD$5)"),"")</f>
        <v/>
      </c>
      <c r="BE70" s="530"/>
      <c r="BF70" s="530"/>
      <c r="BG70" s="530"/>
      <c r="BH70" s="530"/>
      <c r="BI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5-3'!$D$11:$Q319,BI$4,BI$5)"),"")</f>
        <v/>
      </c>
      <c r="BJ70" s="535"/>
      <c r="BK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5-3'!$D$11:$Q319,BK$4,BK$5)"),"")</f>
        <v/>
      </c>
      <c r="BL70" s="534"/>
      <c r="BM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5-3'!$D$11:$Q319,BM$4,BM$5)"),"")</f>
        <v/>
      </c>
      <c r="BN70" s="534"/>
      <c r="BO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5-3'!$D$11:$Q319,BO$4,BO$5)"),"")</f>
        <v/>
      </c>
      <c r="BP70" s="534"/>
      <c r="BQ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5-3'!$D$11:$Q319,BQ$4,BQ$5)"),"")</f>
        <v/>
      </c>
      <c r="BR70" s="536"/>
      <c r="BS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5-3'!$D$11:$Q319,BS$4,BS$5)"),"")</f>
        <v/>
      </c>
      <c r="BT70" s="534"/>
      <c r="BU70" s="534"/>
      <c r="BV70" s="534"/>
      <c r="BW70" s="534"/>
      <c r="BX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5-3'!$D$11:$Q319,BX$4,BX$5)"),"")</f>
        <v/>
      </c>
      <c r="BY70" s="538"/>
      <c r="BZ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5-3'!$D$11:$Q319,BZ$4,BZ$5)"),"")</f>
        <v/>
      </c>
      <c r="CA70" s="537"/>
      <c r="CB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5-3'!$D$11:$Q319,CB$4,CB$5)"),"")</f>
        <v/>
      </c>
      <c r="CC70" s="537"/>
      <c r="CD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5-3'!$D$11:$Q319,CD$4,CD$5)"),"")</f>
        <v/>
      </c>
      <c r="CE70" s="537"/>
      <c r="CF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5-3'!$D$11:$Q319,CF$4,CF$5)"),"")</f>
        <v/>
      </c>
      <c r="CG70" s="539"/>
      <c r="CH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5-3'!$D$11:$Q319,CH$4,CH$5)"),"")</f>
        <v/>
      </c>
      <c r="CI70" s="537"/>
      <c r="CJ70" s="537"/>
      <c r="CK70" s="537"/>
      <c r="CL70" s="537"/>
      <c r="CM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5-3'!$D$11:$Q319,CM$4,CM$5)"),"")</f>
        <v/>
      </c>
      <c r="CN70" s="541"/>
      <c r="CO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5-3'!$D$11:$Q319,CO$4,CO$5)"),"")</f>
        <v/>
      </c>
      <c r="CP70" s="540"/>
      <c r="CQ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5-3'!$D$11:$Q319,CQ$4,CQ$5)"),"")</f>
        <v/>
      </c>
      <c r="CR70" s="540"/>
      <c r="CS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5-3'!$D$11:$Q319,CS$4,CS$5)"),"")</f>
        <v/>
      </c>
      <c r="CT70" s="540"/>
      <c r="CU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5-3'!$D$11:$Q319,CU$4,CU$5)"),"")</f>
        <v/>
      </c>
      <c r="CV70" s="545"/>
      <c r="CW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5-3'!$D$11:$Q319,CW$4,CW$5)"),"")</f>
        <v/>
      </c>
      <c r="CX70" s="540"/>
      <c r="CY70" s="540"/>
      <c r="CZ70" s="540"/>
      <c r="DA70" s="540"/>
      <c r="DB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5-3'!$D$11:$Q319,DB$4,DB$5)"),"")</f>
        <v/>
      </c>
      <c r="DC70" s="555"/>
      <c r="DD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5-3'!$D$11:$Q319,DD$4,DD$5)"),"")</f>
        <v/>
      </c>
      <c r="DE70" s="554"/>
      <c r="DF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5-3'!$D$11:$Q319,DF$4,DF$5)"),"")</f>
        <v/>
      </c>
      <c r="DG70" s="554"/>
      <c r="DH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5-3'!$D$11:$Q319,DH$4,DH$5)"),"")</f>
        <v/>
      </c>
      <c r="DI70" s="554"/>
      <c r="DJ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5-3'!$D$11:$Q319,DJ$4,DJ$5)"),"")</f>
        <v/>
      </c>
      <c r="DK70" s="566"/>
      <c r="DL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5-3'!$D$11:$Q319,DL$4,DL$5)"),"")</f>
        <v/>
      </c>
      <c r="DM70" s="554"/>
      <c r="DN70" s="554"/>
      <c r="DO70" s="554"/>
      <c r="DP70" s="554"/>
      <c r="DQ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5-3'!$D$11:$Q319,DQ$4,DQ$5)"),"")</f>
        <v/>
      </c>
      <c r="DR70" s="569"/>
      <c r="DS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5-3'!$D$11:$Q319,DS$4,DS$5)"),"")</f>
        <v/>
      </c>
      <c r="DT70" s="568"/>
      <c r="DU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5-3'!$D$11:$Q319,DU$4,DU$5)"),"")</f>
        <v/>
      </c>
      <c r="DV70" s="568"/>
      <c r="DW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5-3'!$D$11:$Q319,DW$4,DW$5)"),"")</f>
        <v/>
      </c>
      <c r="DX70" s="568"/>
      <c r="DY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5-3'!$D$11:$Q319,DY$4,DY$5)"),"")</f>
        <v/>
      </c>
      <c r="DZ70" s="578"/>
      <c r="EA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$C70, 'S-10 Топ 5-3'!$D$11:$Q319,EA$4,EA$5)"),"")</f>
        <v/>
      </c>
      <c r="EB70" s="568"/>
      <c r="EC70" s="568"/>
      <c r="ED70" s="568"/>
      <c r="EE70" s="568"/>
    </row>
    <row r="71">
      <c r="A71" s="519" t="str">
        <f t="shared" si="1"/>
        <v/>
      </c>
      <c r="B71" s="520" t="str">
        <f>'5-0 Товары'!B71</f>
        <v/>
      </c>
      <c r="C71" s="521" t="str">
        <f>'5-1 Сбор КП Закупки'!C71</f>
        <v/>
      </c>
      <c r="D71" s="521" t="str">
        <f>'5-1 Сбор КП Закупки'!D71</f>
        <v/>
      </c>
      <c r="E71" s="521" t="str">
        <f>'5-1 Сбор КП Закупки'!E71</f>
        <v/>
      </c>
      <c r="F71" s="521" t="str">
        <f>'5-1 Сбор КП Закупки'!F71</f>
        <v/>
      </c>
      <c r="G71" s="522" t="str">
        <f>'5-1 Сбор КП Закупки'!G71</f>
        <v/>
      </c>
      <c r="H71" s="522" t="str">
        <f>'5-1 Сбор КП Закупки'!H71</f>
        <v/>
      </c>
      <c r="I71" s="522" t="str">
        <f>'5-1 Сбор КП Закупки'!I71</f>
        <v/>
      </c>
      <c r="J71" s="197"/>
      <c r="K71" s="522" t="str">
        <f>'5-1 Сбор КП Закупки'!G71</f>
        <v/>
      </c>
      <c r="L71" s="523" t="str">
        <f>IF(A71="Да",'5-1 Сбор КП Закупки'!K71,)</f>
        <v/>
      </c>
      <c r="M71" s="197"/>
      <c r="N71" s="197"/>
      <c r="O71" s="197"/>
      <c r="P71" s="525" t="str">
        <f>'5-1 Сбор КП Закупки'!P71</f>
        <v/>
      </c>
      <c r="Q71" s="197"/>
      <c r="R71" s="197"/>
      <c r="S71" s="197"/>
      <c r="T71" s="197"/>
      <c r="U71" s="197"/>
      <c r="V71" s="197"/>
      <c r="W71" s="522" t="str">
        <f>'5-1 Сбор КП Закупки'!O71</f>
        <v/>
      </c>
      <c r="X71" s="197"/>
      <c r="Y71" s="197"/>
      <c r="Z71" s="197"/>
      <c r="AA71" s="197"/>
      <c r="AB71" s="197">
        <v>0.0</v>
      </c>
      <c r="AC71" s="197"/>
      <c r="AD71" s="197"/>
      <c r="AE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5-3'!$D$11:$Q319,AE$4,AE$5)"),"")</f>
        <v/>
      </c>
      <c r="AF71" s="528"/>
      <c r="AG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5-3'!$D$11:$Q319,AG$4,AG$5)"),"")</f>
        <v/>
      </c>
      <c r="AH71" s="527"/>
      <c r="AI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5-3'!$D$11:$Q319,AI$4,AI$5)"),"")</f>
        <v/>
      </c>
      <c r="AJ71" s="527"/>
      <c r="AK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5-3'!$D$11:$Q319,AK$4,AK$5)"),"")</f>
        <v/>
      </c>
      <c r="AL71" s="527"/>
      <c r="AM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5-3'!$D$11:$Q319,AM$4,AM$5)"),"")</f>
        <v/>
      </c>
      <c r="AN71" s="529"/>
      <c r="AO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5-3'!$D$11:$Q319,AO$4,AO$5)"),"")</f>
        <v/>
      </c>
      <c r="AP71" s="527"/>
      <c r="AQ71" s="527"/>
      <c r="AR71" s="527"/>
      <c r="AS71" s="527"/>
      <c r="AT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5-3'!$D$11:$Q319,AT$4,AT$5)"),"")</f>
        <v/>
      </c>
      <c r="AU71" s="531"/>
      <c r="AV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5-3'!$D$11:$Q319,AV$4,AV$5)"),"")</f>
        <v/>
      </c>
      <c r="AW71" s="530"/>
      <c r="AX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5-3'!$D$11:$Q319,AX$4,AX$5)"),"")</f>
        <v/>
      </c>
      <c r="AY71" s="530"/>
      <c r="AZ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5-3'!$D$11:$Q319,AZ$4,AZ$5)"),"")</f>
        <v/>
      </c>
      <c r="BA71" s="530"/>
      <c r="BB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5-3'!$D$11:$Q319,BB$4,BB$5)"),"")</f>
        <v/>
      </c>
      <c r="BC71" s="532"/>
      <c r="BD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5-3'!$D$11:$Q319,BD$4,BD$5)"),"")</f>
        <v/>
      </c>
      <c r="BE71" s="530"/>
      <c r="BF71" s="530"/>
      <c r="BG71" s="530"/>
      <c r="BH71" s="530"/>
      <c r="BI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5-3'!$D$11:$Q319,BI$4,BI$5)"),"")</f>
        <v/>
      </c>
      <c r="BJ71" s="535"/>
      <c r="BK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5-3'!$D$11:$Q319,BK$4,BK$5)"),"")</f>
        <v/>
      </c>
      <c r="BL71" s="534"/>
      <c r="BM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5-3'!$D$11:$Q319,BM$4,BM$5)"),"")</f>
        <v/>
      </c>
      <c r="BN71" s="534"/>
      <c r="BO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5-3'!$D$11:$Q319,BO$4,BO$5)"),"")</f>
        <v/>
      </c>
      <c r="BP71" s="534"/>
      <c r="BQ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5-3'!$D$11:$Q319,BQ$4,BQ$5)"),"")</f>
        <v/>
      </c>
      <c r="BR71" s="536"/>
      <c r="BS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5-3'!$D$11:$Q319,BS$4,BS$5)"),"")</f>
        <v/>
      </c>
      <c r="BT71" s="534"/>
      <c r="BU71" s="534"/>
      <c r="BV71" s="534"/>
      <c r="BW71" s="534"/>
      <c r="BX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5-3'!$D$11:$Q319,BX$4,BX$5)"),"")</f>
        <v/>
      </c>
      <c r="BY71" s="538"/>
      <c r="BZ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5-3'!$D$11:$Q319,BZ$4,BZ$5)"),"")</f>
        <v/>
      </c>
      <c r="CA71" s="537"/>
      <c r="CB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5-3'!$D$11:$Q319,CB$4,CB$5)"),"")</f>
        <v/>
      </c>
      <c r="CC71" s="537"/>
      <c r="CD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5-3'!$D$11:$Q319,CD$4,CD$5)"),"")</f>
        <v/>
      </c>
      <c r="CE71" s="537"/>
      <c r="CF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5-3'!$D$11:$Q319,CF$4,CF$5)"),"")</f>
        <v/>
      </c>
      <c r="CG71" s="539"/>
      <c r="CH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5-3'!$D$11:$Q319,CH$4,CH$5)"),"")</f>
        <v/>
      </c>
      <c r="CI71" s="537"/>
      <c r="CJ71" s="537"/>
      <c r="CK71" s="537"/>
      <c r="CL71" s="537"/>
      <c r="CM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5-3'!$D$11:$Q319,CM$4,CM$5)"),"")</f>
        <v/>
      </c>
      <c r="CN71" s="541"/>
      <c r="CO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5-3'!$D$11:$Q319,CO$4,CO$5)"),"")</f>
        <v/>
      </c>
      <c r="CP71" s="540"/>
      <c r="CQ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5-3'!$D$11:$Q319,CQ$4,CQ$5)"),"")</f>
        <v/>
      </c>
      <c r="CR71" s="540"/>
      <c r="CS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5-3'!$D$11:$Q319,CS$4,CS$5)"),"")</f>
        <v/>
      </c>
      <c r="CT71" s="540"/>
      <c r="CU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5-3'!$D$11:$Q319,CU$4,CU$5)"),"")</f>
        <v/>
      </c>
      <c r="CV71" s="545"/>
      <c r="CW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5-3'!$D$11:$Q319,CW$4,CW$5)"),"")</f>
        <v/>
      </c>
      <c r="CX71" s="540"/>
      <c r="CY71" s="540"/>
      <c r="CZ71" s="540"/>
      <c r="DA71" s="540"/>
      <c r="DB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5-3'!$D$11:$Q319,DB$4,DB$5)"),"")</f>
        <v/>
      </c>
      <c r="DC71" s="555"/>
      <c r="DD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5-3'!$D$11:$Q319,DD$4,DD$5)"),"")</f>
        <v/>
      </c>
      <c r="DE71" s="554"/>
      <c r="DF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5-3'!$D$11:$Q319,DF$4,DF$5)"),"")</f>
        <v/>
      </c>
      <c r="DG71" s="554"/>
      <c r="DH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5-3'!$D$11:$Q319,DH$4,DH$5)"),"")</f>
        <v/>
      </c>
      <c r="DI71" s="554"/>
      <c r="DJ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5-3'!$D$11:$Q319,DJ$4,DJ$5)"),"")</f>
        <v/>
      </c>
      <c r="DK71" s="566"/>
      <c r="DL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5-3'!$D$11:$Q319,DL$4,DL$5)"),"")</f>
        <v/>
      </c>
      <c r="DM71" s="554"/>
      <c r="DN71" s="554"/>
      <c r="DO71" s="554"/>
      <c r="DP71" s="554"/>
      <c r="DQ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5-3'!$D$11:$Q319,DQ$4,DQ$5)"),"")</f>
        <v/>
      </c>
      <c r="DR71" s="569"/>
      <c r="DS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5-3'!$D$11:$Q319,DS$4,DS$5)"),"")</f>
        <v/>
      </c>
      <c r="DT71" s="568"/>
      <c r="DU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5-3'!$D$11:$Q319,DU$4,DU$5)"),"")</f>
        <v/>
      </c>
      <c r="DV71" s="568"/>
      <c r="DW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5-3'!$D$11:$Q319,DW$4,DW$5)"),"")</f>
        <v/>
      </c>
      <c r="DX71" s="568"/>
      <c r="DY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5-3'!$D$11:$Q319,DY$4,DY$5)"),"")</f>
        <v/>
      </c>
      <c r="DZ71" s="578"/>
      <c r="EA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$C71, 'S-10 Топ 5-3'!$D$11:$Q319,EA$4,EA$5)"),"")</f>
        <v/>
      </c>
      <c r="EB71" s="568"/>
      <c r="EC71" s="568"/>
      <c r="ED71" s="568"/>
      <c r="EE71" s="568"/>
    </row>
    <row r="72">
      <c r="A72" s="519" t="str">
        <f t="shared" si="1"/>
        <v/>
      </c>
      <c r="B72" s="520" t="str">
        <f>'5-0 Товары'!B72</f>
        <v/>
      </c>
      <c r="C72" s="521" t="str">
        <f>'5-1 Сбор КП Закупки'!C72</f>
        <v/>
      </c>
      <c r="D72" s="521" t="str">
        <f>'5-1 Сбор КП Закупки'!D72</f>
        <v/>
      </c>
      <c r="E72" s="521" t="str">
        <f>'5-1 Сбор КП Закупки'!E72</f>
        <v/>
      </c>
      <c r="F72" s="521" t="str">
        <f>'5-1 Сбор КП Закупки'!F72</f>
        <v/>
      </c>
      <c r="G72" s="522" t="str">
        <f>'5-1 Сбор КП Закупки'!G72</f>
        <v/>
      </c>
      <c r="H72" s="522" t="str">
        <f>'5-1 Сбор КП Закупки'!H72</f>
        <v/>
      </c>
      <c r="I72" s="522" t="str">
        <f>'5-1 Сбор КП Закупки'!I72</f>
        <v/>
      </c>
      <c r="J72" s="197"/>
      <c r="K72" s="522" t="str">
        <f>'5-1 Сбор КП Закупки'!G72</f>
        <v/>
      </c>
      <c r="L72" s="523" t="str">
        <f>IF(A72="Да",'5-1 Сбор КП Закупки'!K72,)</f>
        <v/>
      </c>
      <c r="M72" s="197"/>
      <c r="N72" s="197"/>
      <c r="O72" s="197"/>
      <c r="P72" s="525" t="str">
        <f>'5-1 Сбор КП Закупки'!P72</f>
        <v/>
      </c>
      <c r="Q72" s="197"/>
      <c r="R72" s="197"/>
      <c r="S72" s="197"/>
      <c r="T72" s="197"/>
      <c r="U72" s="197"/>
      <c r="V72" s="197"/>
      <c r="W72" s="522" t="str">
        <f>'5-1 Сбор КП Закупки'!O72</f>
        <v/>
      </c>
      <c r="X72" s="197"/>
      <c r="Y72" s="197"/>
      <c r="Z72" s="197"/>
      <c r="AA72" s="197"/>
      <c r="AB72" s="197">
        <v>0.0</v>
      </c>
      <c r="AC72" s="197"/>
      <c r="AD72" s="197"/>
      <c r="AE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5-3'!$D$11:$Q319,AE$4,AE$5)"),"")</f>
        <v/>
      </c>
      <c r="AF72" s="528"/>
      <c r="AG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5-3'!$D$11:$Q319,AG$4,AG$5)"),"")</f>
        <v/>
      </c>
      <c r="AH72" s="527"/>
      <c r="AI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5-3'!$D$11:$Q319,AI$4,AI$5)"),"")</f>
        <v/>
      </c>
      <c r="AJ72" s="527"/>
      <c r="AK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5-3'!$D$11:$Q319,AK$4,AK$5)"),"")</f>
        <v/>
      </c>
      <c r="AL72" s="527"/>
      <c r="AM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5-3'!$D$11:$Q319,AM$4,AM$5)"),"")</f>
        <v/>
      </c>
      <c r="AN72" s="529"/>
      <c r="AO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5-3'!$D$11:$Q319,AO$4,AO$5)"),"")</f>
        <v/>
      </c>
      <c r="AP72" s="527"/>
      <c r="AQ72" s="527"/>
      <c r="AR72" s="527"/>
      <c r="AS72" s="527"/>
      <c r="AT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5-3'!$D$11:$Q319,AT$4,AT$5)"),"")</f>
        <v/>
      </c>
      <c r="AU72" s="531"/>
      <c r="AV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5-3'!$D$11:$Q319,AV$4,AV$5)"),"")</f>
        <v/>
      </c>
      <c r="AW72" s="530"/>
      <c r="AX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5-3'!$D$11:$Q319,AX$4,AX$5)"),"")</f>
        <v/>
      </c>
      <c r="AY72" s="530"/>
      <c r="AZ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5-3'!$D$11:$Q319,AZ$4,AZ$5)"),"")</f>
        <v/>
      </c>
      <c r="BA72" s="530"/>
      <c r="BB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5-3'!$D$11:$Q319,BB$4,BB$5)"),"")</f>
        <v/>
      </c>
      <c r="BC72" s="532"/>
      <c r="BD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5-3'!$D$11:$Q319,BD$4,BD$5)"),"")</f>
        <v/>
      </c>
      <c r="BE72" s="530"/>
      <c r="BF72" s="530"/>
      <c r="BG72" s="530"/>
      <c r="BH72" s="530"/>
      <c r="BI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5-3'!$D$11:$Q319,BI$4,BI$5)"),"")</f>
        <v/>
      </c>
      <c r="BJ72" s="535"/>
      <c r="BK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5-3'!$D$11:$Q319,BK$4,BK$5)"),"")</f>
        <v/>
      </c>
      <c r="BL72" s="534"/>
      <c r="BM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5-3'!$D$11:$Q319,BM$4,BM$5)"),"")</f>
        <v/>
      </c>
      <c r="BN72" s="534"/>
      <c r="BO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5-3'!$D$11:$Q319,BO$4,BO$5)"),"")</f>
        <v/>
      </c>
      <c r="BP72" s="534"/>
      <c r="BQ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5-3'!$D$11:$Q319,BQ$4,BQ$5)"),"")</f>
        <v/>
      </c>
      <c r="BR72" s="536"/>
      <c r="BS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5-3'!$D$11:$Q319,BS$4,BS$5)"),"")</f>
        <v/>
      </c>
      <c r="BT72" s="534"/>
      <c r="BU72" s="534"/>
      <c r="BV72" s="534"/>
      <c r="BW72" s="534"/>
      <c r="BX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5-3'!$D$11:$Q319,BX$4,BX$5)"),"")</f>
        <v/>
      </c>
      <c r="BY72" s="538"/>
      <c r="BZ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5-3'!$D$11:$Q319,BZ$4,BZ$5)"),"")</f>
        <v/>
      </c>
      <c r="CA72" s="537"/>
      <c r="CB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5-3'!$D$11:$Q319,CB$4,CB$5)"),"")</f>
        <v/>
      </c>
      <c r="CC72" s="537"/>
      <c r="CD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5-3'!$D$11:$Q319,CD$4,CD$5)"),"")</f>
        <v/>
      </c>
      <c r="CE72" s="537"/>
      <c r="CF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5-3'!$D$11:$Q319,CF$4,CF$5)"),"")</f>
        <v/>
      </c>
      <c r="CG72" s="539"/>
      <c r="CH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5-3'!$D$11:$Q319,CH$4,CH$5)"),"")</f>
        <v/>
      </c>
      <c r="CI72" s="537"/>
      <c r="CJ72" s="537"/>
      <c r="CK72" s="537"/>
      <c r="CL72" s="537"/>
      <c r="CM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5-3'!$D$11:$Q319,CM$4,CM$5)"),"")</f>
        <v/>
      </c>
      <c r="CN72" s="541"/>
      <c r="CO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5-3'!$D$11:$Q319,CO$4,CO$5)"),"")</f>
        <v/>
      </c>
      <c r="CP72" s="540"/>
      <c r="CQ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5-3'!$D$11:$Q319,CQ$4,CQ$5)"),"")</f>
        <v/>
      </c>
      <c r="CR72" s="540"/>
      <c r="CS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5-3'!$D$11:$Q319,CS$4,CS$5)"),"")</f>
        <v/>
      </c>
      <c r="CT72" s="540"/>
      <c r="CU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5-3'!$D$11:$Q319,CU$4,CU$5)"),"")</f>
        <v/>
      </c>
      <c r="CV72" s="545"/>
      <c r="CW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5-3'!$D$11:$Q319,CW$4,CW$5)"),"")</f>
        <v/>
      </c>
      <c r="CX72" s="540"/>
      <c r="CY72" s="540"/>
      <c r="CZ72" s="540"/>
      <c r="DA72" s="540"/>
      <c r="DB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5-3'!$D$11:$Q319,DB$4,DB$5)"),"")</f>
        <v/>
      </c>
      <c r="DC72" s="555"/>
      <c r="DD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5-3'!$D$11:$Q319,DD$4,DD$5)"),"")</f>
        <v/>
      </c>
      <c r="DE72" s="554"/>
      <c r="DF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5-3'!$D$11:$Q319,DF$4,DF$5)"),"")</f>
        <v/>
      </c>
      <c r="DG72" s="554"/>
      <c r="DH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5-3'!$D$11:$Q319,DH$4,DH$5)"),"")</f>
        <v/>
      </c>
      <c r="DI72" s="554"/>
      <c r="DJ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5-3'!$D$11:$Q319,DJ$4,DJ$5)"),"")</f>
        <v/>
      </c>
      <c r="DK72" s="566"/>
      <c r="DL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5-3'!$D$11:$Q319,DL$4,DL$5)"),"")</f>
        <v/>
      </c>
      <c r="DM72" s="554"/>
      <c r="DN72" s="554"/>
      <c r="DO72" s="554"/>
      <c r="DP72" s="554"/>
      <c r="DQ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5-3'!$D$11:$Q319,DQ$4,DQ$5)"),"")</f>
        <v/>
      </c>
      <c r="DR72" s="569"/>
      <c r="DS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5-3'!$D$11:$Q319,DS$4,DS$5)"),"")</f>
        <v/>
      </c>
      <c r="DT72" s="568"/>
      <c r="DU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5-3'!$D$11:$Q319,DU$4,DU$5)"),"")</f>
        <v/>
      </c>
      <c r="DV72" s="568"/>
      <c r="DW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5-3'!$D$11:$Q319,DW$4,DW$5)"),"")</f>
        <v/>
      </c>
      <c r="DX72" s="568"/>
      <c r="DY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5-3'!$D$11:$Q319,DY$4,DY$5)"),"")</f>
        <v/>
      </c>
      <c r="DZ72" s="578"/>
      <c r="EA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$C72, 'S-10 Топ 5-3'!$D$11:$Q319,EA$4,EA$5)"),"")</f>
        <v/>
      </c>
      <c r="EB72" s="568"/>
      <c r="EC72" s="568"/>
      <c r="ED72" s="568"/>
      <c r="EE72" s="568"/>
    </row>
    <row r="73">
      <c r="A73" s="519" t="str">
        <f t="shared" si="1"/>
        <v/>
      </c>
      <c r="B73" s="520" t="str">
        <f>'5-0 Товары'!B73</f>
        <v/>
      </c>
      <c r="C73" s="521" t="str">
        <f>'5-1 Сбор КП Закупки'!C73</f>
        <v/>
      </c>
      <c r="D73" s="521" t="str">
        <f>'5-1 Сбор КП Закупки'!D73</f>
        <v/>
      </c>
      <c r="E73" s="521" t="str">
        <f>'5-1 Сбор КП Закупки'!E73</f>
        <v/>
      </c>
      <c r="F73" s="521" t="str">
        <f>'5-1 Сбор КП Закупки'!F73</f>
        <v/>
      </c>
      <c r="G73" s="522" t="str">
        <f>'5-1 Сбор КП Закупки'!G73</f>
        <v/>
      </c>
      <c r="H73" s="522" t="str">
        <f>'5-1 Сбор КП Закупки'!H73</f>
        <v/>
      </c>
      <c r="I73" s="522" t="str">
        <f>'5-1 Сбор КП Закупки'!I73</f>
        <v/>
      </c>
      <c r="J73" s="197"/>
      <c r="K73" s="522" t="str">
        <f>'5-1 Сбор КП Закупки'!G73</f>
        <v/>
      </c>
      <c r="L73" s="523" t="str">
        <f>IF(A73="Да",'5-1 Сбор КП Закупки'!K73,)</f>
        <v/>
      </c>
      <c r="M73" s="197"/>
      <c r="N73" s="197"/>
      <c r="O73" s="197"/>
      <c r="P73" s="525" t="str">
        <f>'5-1 Сбор КП Закупки'!P73</f>
        <v/>
      </c>
      <c r="Q73" s="197"/>
      <c r="R73" s="197"/>
      <c r="S73" s="197"/>
      <c r="T73" s="197"/>
      <c r="U73" s="197"/>
      <c r="V73" s="197"/>
      <c r="W73" s="522" t="str">
        <f>'5-1 Сбор КП Закупки'!O73</f>
        <v/>
      </c>
      <c r="X73" s="197"/>
      <c r="Y73" s="197"/>
      <c r="Z73" s="197"/>
      <c r="AA73" s="197"/>
      <c r="AB73" s="197">
        <v>0.0</v>
      </c>
      <c r="AC73" s="197"/>
      <c r="AD73" s="197"/>
      <c r="AE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5-3'!$D$11:$Q319,AE$4,AE$5)"),"")</f>
        <v/>
      </c>
      <c r="AF73" s="528"/>
      <c r="AG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5-3'!$D$11:$Q319,AG$4,AG$5)"),"")</f>
        <v/>
      </c>
      <c r="AH73" s="527"/>
      <c r="AI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5-3'!$D$11:$Q319,AI$4,AI$5)"),"")</f>
        <v/>
      </c>
      <c r="AJ73" s="527"/>
      <c r="AK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5-3'!$D$11:$Q319,AK$4,AK$5)"),"")</f>
        <v/>
      </c>
      <c r="AL73" s="527"/>
      <c r="AM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5-3'!$D$11:$Q319,AM$4,AM$5)"),"")</f>
        <v/>
      </c>
      <c r="AN73" s="529"/>
      <c r="AO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5-3'!$D$11:$Q319,AO$4,AO$5)"),"")</f>
        <v/>
      </c>
      <c r="AP73" s="527"/>
      <c r="AQ73" s="527"/>
      <c r="AR73" s="527"/>
      <c r="AS73" s="527"/>
      <c r="AT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5-3'!$D$11:$Q319,AT$4,AT$5)"),"")</f>
        <v/>
      </c>
      <c r="AU73" s="531"/>
      <c r="AV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5-3'!$D$11:$Q319,AV$4,AV$5)"),"")</f>
        <v/>
      </c>
      <c r="AW73" s="530"/>
      <c r="AX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5-3'!$D$11:$Q319,AX$4,AX$5)"),"")</f>
        <v/>
      </c>
      <c r="AY73" s="530"/>
      <c r="AZ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5-3'!$D$11:$Q319,AZ$4,AZ$5)"),"")</f>
        <v/>
      </c>
      <c r="BA73" s="530"/>
      <c r="BB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5-3'!$D$11:$Q319,BB$4,BB$5)"),"")</f>
        <v/>
      </c>
      <c r="BC73" s="532"/>
      <c r="BD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5-3'!$D$11:$Q319,BD$4,BD$5)"),"")</f>
        <v/>
      </c>
      <c r="BE73" s="530"/>
      <c r="BF73" s="530"/>
      <c r="BG73" s="530"/>
      <c r="BH73" s="530"/>
      <c r="BI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5-3'!$D$11:$Q319,BI$4,BI$5)"),"")</f>
        <v/>
      </c>
      <c r="BJ73" s="535"/>
      <c r="BK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5-3'!$D$11:$Q319,BK$4,BK$5)"),"")</f>
        <v/>
      </c>
      <c r="BL73" s="534"/>
      <c r="BM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5-3'!$D$11:$Q319,BM$4,BM$5)"),"")</f>
        <v/>
      </c>
      <c r="BN73" s="534"/>
      <c r="BO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5-3'!$D$11:$Q319,BO$4,BO$5)"),"")</f>
        <v/>
      </c>
      <c r="BP73" s="534"/>
      <c r="BQ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5-3'!$D$11:$Q319,BQ$4,BQ$5)"),"")</f>
        <v/>
      </c>
      <c r="BR73" s="536"/>
      <c r="BS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5-3'!$D$11:$Q319,BS$4,BS$5)"),"")</f>
        <v/>
      </c>
      <c r="BT73" s="534"/>
      <c r="BU73" s="534"/>
      <c r="BV73" s="534"/>
      <c r="BW73" s="534"/>
      <c r="BX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5-3'!$D$11:$Q319,BX$4,BX$5)"),"")</f>
        <v/>
      </c>
      <c r="BY73" s="538"/>
      <c r="BZ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5-3'!$D$11:$Q319,BZ$4,BZ$5)"),"")</f>
        <v/>
      </c>
      <c r="CA73" s="537"/>
      <c r="CB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5-3'!$D$11:$Q319,CB$4,CB$5)"),"")</f>
        <v/>
      </c>
      <c r="CC73" s="537"/>
      <c r="CD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5-3'!$D$11:$Q319,CD$4,CD$5)"),"")</f>
        <v/>
      </c>
      <c r="CE73" s="537"/>
      <c r="CF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5-3'!$D$11:$Q319,CF$4,CF$5)"),"")</f>
        <v/>
      </c>
      <c r="CG73" s="539"/>
      <c r="CH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5-3'!$D$11:$Q319,CH$4,CH$5)"),"")</f>
        <v/>
      </c>
      <c r="CI73" s="537"/>
      <c r="CJ73" s="537"/>
      <c r="CK73" s="537"/>
      <c r="CL73" s="537"/>
      <c r="CM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5-3'!$D$11:$Q319,CM$4,CM$5)"),"")</f>
        <v/>
      </c>
      <c r="CN73" s="541"/>
      <c r="CO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5-3'!$D$11:$Q319,CO$4,CO$5)"),"")</f>
        <v/>
      </c>
      <c r="CP73" s="540"/>
      <c r="CQ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5-3'!$D$11:$Q319,CQ$4,CQ$5)"),"")</f>
        <v/>
      </c>
      <c r="CR73" s="540"/>
      <c r="CS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5-3'!$D$11:$Q319,CS$4,CS$5)"),"")</f>
        <v/>
      </c>
      <c r="CT73" s="540"/>
      <c r="CU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5-3'!$D$11:$Q319,CU$4,CU$5)"),"")</f>
        <v/>
      </c>
      <c r="CV73" s="545"/>
      <c r="CW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5-3'!$D$11:$Q319,CW$4,CW$5)"),"")</f>
        <v/>
      </c>
      <c r="CX73" s="540"/>
      <c r="CY73" s="540"/>
      <c r="CZ73" s="540"/>
      <c r="DA73" s="540"/>
      <c r="DB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5-3'!$D$11:$Q319,DB$4,DB$5)"),"")</f>
        <v/>
      </c>
      <c r="DC73" s="555"/>
      <c r="DD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5-3'!$D$11:$Q319,DD$4,DD$5)"),"")</f>
        <v/>
      </c>
      <c r="DE73" s="554"/>
      <c r="DF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5-3'!$D$11:$Q319,DF$4,DF$5)"),"")</f>
        <v/>
      </c>
      <c r="DG73" s="554"/>
      <c r="DH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5-3'!$D$11:$Q319,DH$4,DH$5)"),"")</f>
        <v/>
      </c>
      <c r="DI73" s="554"/>
      <c r="DJ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5-3'!$D$11:$Q319,DJ$4,DJ$5)"),"")</f>
        <v/>
      </c>
      <c r="DK73" s="566"/>
      <c r="DL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5-3'!$D$11:$Q319,DL$4,DL$5)"),"")</f>
        <v/>
      </c>
      <c r="DM73" s="554"/>
      <c r="DN73" s="554"/>
      <c r="DO73" s="554"/>
      <c r="DP73" s="554"/>
      <c r="DQ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5-3'!$D$11:$Q319,DQ$4,DQ$5)"),"")</f>
        <v/>
      </c>
      <c r="DR73" s="569"/>
      <c r="DS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5-3'!$D$11:$Q319,DS$4,DS$5)"),"")</f>
        <v/>
      </c>
      <c r="DT73" s="568"/>
      <c r="DU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5-3'!$D$11:$Q319,DU$4,DU$5)"),"")</f>
        <v/>
      </c>
      <c r="DV73" s="568"/>
      <c r="DW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5-3'!$D$11:$Q319,DW$4,DW$5)"),"")</f>
        <v/>
      </c>
      <c r="DX73" s="568"/>
      <c r="DY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5-3'!$D$11:$Q319,DY$4,DY$5)"),"")</f>
        <v/>
      </c>
      <c r="DZ73" s="578"/>
      <c r="EA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$C73, 'S-10 Топ 5-3'!$D$11:$Q319,EA$4,EA$5)"),"")</f>
        <v/>
      </c>
      <c r="EB73" s="568"/>
      <c r="EC73" s="568"/>
      <c r="ED73" s="568"/>
      <c r="EE73" s="568"/>
    </row>
    <row r="74">
      <c r="A74" s="519" t="str">
        <f t="shared" si="1"/>
        <v/>
      </c>
      <c r="B74" s="520" t="str">
        <f>'5-0 Товары'!B74</f>
        <v/>
      </c>
      <c r="C74" s="521" t="str">
        <f>'5-1 Сбор КП Закупки'!C74</f>
        <v/>
      </c>
      <c r="D74" s="521" t="str">
        <f>'5-1 Сбор КП Закупки'!D74</f>
        <v/>
      </c>
      <c r="E74" s="521" t="str">
        <f>'5-1 Сбор КП Закупки'!E74</f>
        <v/>
      </c>
      <c r="F74" s="521" t="str">
        <f>'5-1 Сбор КП Закупки'!F74</f>
        <v/>
      </c>
      <c r="G74" s="522" t="str">
        <f>'5-1 Сбор КП Закупки'!G74</f>
        <v/>
      </c>
      <c r="H74" s="522" t="str">
        <f>'5-1 Сбор КП Закупки'!H74</f>
        <v/>
      </c>
      <c r="I74" s="522" t="str">
        <f>'5-1 Сбор КП Закупки'!I74</f>
        <v/>
      </c>
      <c r="J74" s="197"/>
      <c r="K74" s="522" t="str">
        <f>'5-1 Сбор КП Закупки'!G74</f>
        <v/>
      </c>
      <c r="L74" s="523" t="str">
        <f>IF(A74="Да",'5-1 Сбор КП Закупки'!K74,)</f>
        <v/>
      </c>
      <c r="M74" s="197"/>
      <c r="N74" s="197"/>
      <c r="O74" s="197"/>
      <c r="P74" s="525" t="str">
        <f>'5-1 Сбор КП Закупки'!P74</f>
        <v/>
      </c>
      <c r="Q74" s="197"/>
      <c r="R74" s="197"/>
      <c r="S74" s="197"/>
      <c r="T74" s="197"/>
      <c r="U74" s="197"/>
      <c r="V74" s="197"/>
      <c r="W74" s="522" t="str">
        <f>'5-1 Сбор КП Закупки'!O74</f>
        <v/>
      </c>
      <c r="X74" s="197"/>
      <c r="Y74" s="197"/>
      <c r="Z74" s="197"/>
      <c r="AA74" s="197"/>
      <c r="AB74" s="197">
        <v>0.0</v>
      </c>
      <c r="AC74" s="197"/>
      <c r="AD74" s="197"/>
      <c r="AE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5-3'!$D$11:$Q319,AE$4,AE$5)"),"")</f>
        <v/>
      </c>
      <c r="AF74" s="528"/>
      <c r="AG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5-3'!$D$11:$Q319,AG$4,AG$5)"),"")</f>
        <v/>
      </c>
      <c r="AH74" s="527"/>
      <c r="AI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5-3'!$D$11:$Q319,AI$4,AI$5)"),"")</f>
        <v/>
      </c>
      <c r="AJ74" s="527"/>
      <c r="AK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5-3'!$D$11:$Q319,AK$4,AK$5)"),"")</f>
        <v/>
      </c>
      <c r="AL74" s="527"/>
      <c r="AM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5-3'!$D$11:$Q319,AM$4,AM$5)"),"")</f>
        <v/>
      </c>
      <c r="AN74" s="529"/>
      <c r="AO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5-3'!$D$11:$Q319,AO$4,AO$5)"),"")</f>
        <v/>
      </c>
      <c r="AP74" s="527"/>
      <c r="AQ74" s="527"/>
      <c r="AR74" s="527"/>
      <c r="AS74" s="527"/>
      <c r="AT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5-3'!$D$11:$Q319,AT$4,AT$5)"),"")</f>
        <v/>
      </c>
      <c r="AU74" s="531"/>
      <c r="AV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5-3'!$D$11:$Q319,AV$4,AV$5)"),"")</f>
        <v/>
      </c>
      <c r="AW74" s="530"/>
      <c r="AX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5-3'!$D$11:$Q319,AX$4,AX$5)"),"")</f>
        <v/>
      </c>
      <c r="AY74" s="530"/>
      <c r="AZ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5-3'!$D$11:$Q319,AZ$4,AZ$5)"),"")</f>
        <v/>
      </c>
      <c r="BA74" s="530"/>
      <c r="BB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5-3'!$D$11:$Q319,BB$4,BB$5)"),"")</f>
        <v/>
      </c>
      <c r="BC74" s="532"/>
      <c r="BD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5-3'!$D$11:$Q319,BD$4,BD$5)"),"")</f>
        <v/>
      </c>
      <c r="BE74" s="530"/>
      <c r="BF74" s="530"/>
      <c r="BG74" s="530"/>
      <c r="BH74" s="530"/>
      <c r="BI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5-3'!$D$11:$Q319,BI$4,BI$5)"),"")</f>
        <v/>
      </c>
      <c r="BJ74" s="535"/>
      <c r="BK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5-3'!$D$11:$Q319,BK$4,BK$5)"),"")</f>
        <v/>
      </c>
      <c r="BL74" s="534"/>
      <c r="BM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5-3'!$D$11:$Q319,BM$4,BM$5)"),"")</f>
        <v/>
      </c>
      <c r="BN74" s="534"/>
      <c r="BO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5-3'!$D$11:$Q319,BO$4,BO$5)"),"")</f>
        <v/>
      </c>
      <c r="BP74" s="534"/>
      <c r="BQ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5-3'!$D$11:$Q319,BQ$4,BQ$5)"),"")</f>
        <v/>
      </c>
      <c r="BR74" s="536"/>
      <c r="BS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5-3'!$D$11:$Q319,BS$4,BS$5)"),"")</f>
        <v/>
      </c>
      <c r="BT74" s="534"/>
      <c r="BU74" s="534"/>
      <c r="BV74" s="534"/>
      <c r="BW74" s="534"/>
      <c r="BX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5-3'!$D$11:$Q319,BX$4,BX$5)"),"")</f>
        <v/>
      </c>
      <c r="BY74" s="538"/>
      <c r="BZ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5-3'!$D$11:$Q319,BZ$4,BZ$5)"),"")</f>
        <v/>
      </c>
      <c r="CA74" s="537"/>
      <c r="CB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5-3'!$D$11:$Q319,CB$4,CB$5)"),"")</f>
        <v/>
      </c>
      <c r="CC74" s="537"/>
      <c r="CD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5-3'!$D$11:$Q319,CD$4,CD$5)"),"")</f>
        <v/>
      </c>
      <c r="CE74" s="537"/>
      <c r="CF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5-3'!$D$11:$Q319,CF$4,CF$5)"),"")</f>
        <v/>
      </c>
      <c r="CG74" s="539"/>
      <c r="CH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5-3'!$D$11:$Q319,CH$4,CH$5)"),"")</f>
        <v/>
      </c>
      <c r="CI74" s="537"/>
      <c r="CJ74" s="537"/>
      <c r="CK74" s="537"/>
      <c r="CL74" s="537"/>
      <c r="CM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5-3'!$D$11:$Q319,CM$4,CM$5)"),"")</f>
        <v/>
      </c>
      <c r="CN74" s="541"/>
      <c r="CO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5-3'!$D$11:$Q319,CO$4,CO$5)"),"")</f>
        <v/>
      </c>
      <c r="CP74" s="540"/>
      <c r="CQ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5-3'!$D$11:$Q319,CQ$4,CQ$5)"),"")</f>
        <v/>
      </c>
      <c r="CR74" s="540"/>
      <c r="CS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5-3'!$D$11:$Q319,CS$4,CS$5)"),"")</f>
        <v/>
      </c>
      <c r="CT74" s="540"/>
      <c r="CU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5-3'!$D$11:$Q319,CU$4,CU$5)"),"")</f>
        <v/>
      </c>
      <c r="CV74" s="545"/>
      <c r="CW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5-3'!$D$11:$Q319,CW$4,CW$5)"),"")</f>
        <v/>
      </c>
      <c r="CX74" s="540"/>
      <c r="CY74" s="540"/>
      <c r="CZ74" s="540"/>
      <c r="DA74" s="540"/>
      <c r="DB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5-3'!$D$11:$Q319,DB$4,DB$5)"),"")</f>
        <v/>
      </c>
      <c r="DC74" s="555"/>
      <c r="DD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5-3'!$D$11:$Q319,DD$4,DD$5)"),"")</f>
        <v/>
      </c>
      <c r="DE74" s="554"/>
      <c r="DF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5-3'!$D$11:$Q319,DF$4,DF$5)"),"")</f>
        <v/>
      </c>
      <c r="DG74" s="554"/>
      <c r="DH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5-3'!$D$11:$Q319,DH$4,DH$5)"),"")</f>
        <v/>
      </c>
      <c r="DI74" s="554"/>
      <c r="DJ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5-3'!$D$11:$Q319,DJ$4,DJ$5)"),"")</f>
        <v/>
      </c>
      <c r="DK74" s="566"/>
      <c r="DL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5-3'!$D$11:$Q319,DL$4,DL$5)"),"")</f>
        <v/>
      </c>
      <c r="DM74" s="554"/>
      <c r="DN74" s="554"/>
      <c r="DO74" s="554"/>
      <c r="DP74" s="554"/>
      <c r="DQ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5-3'!$D$11:$Q319,DQ$4,DQ$5)"),"")</f>
        <v/>
      </c>
      <c r="DR74" s="569"/>
      <c r="DS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5-3'!$D$11:$Q319,DS$4,DS$5)"),"")</f>
        <v/>
      </c>
      <c r="DT74" s="568"/>
      <c r="DU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5-3'!$D$11:$Q319,DU$4,DU$5)"),"")</f>
        <v/>
      </c>
      <c r="DV74" s="568"/>
      <c r="DW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5-3'!$D$11:$Q319,DW$4,DW$5)"),"")</f>
        <v/>
      </c>
      <c r="DX74" s="568"/>
      <c r="DY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5-3'!$D$11:$Q319,DY$4,DY$5)"),"")</f>
        <v/>
      </c>
      <c r="DZ74" s="578"/>
      <c r="EA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$C74, 'S-10 Топ 5-3'!$D$11:$Q319,EA$4,EA$5)"),"")</f>
        <v/>
      </c>
      <c r="EB74" s="568"/>
      <c r="EC74" s="568"/>
      <c r="ED74" s="568"/>
      <c r="EE74" s="568"/>
    </row>
    <row r="75">
      <c r="A75" s="519" t="str">
        <f t="shared" si="1"/>
        <v/>
      </c>
      <c r="B75" s="520" t="str">
        <f>'5-0 Товары'!B75</f>
        <v/>
      </c>
      <c r="C75" s="521" t="str">
        <f>'5-1 Сбор КП Закупки'!C75</f>
        <v/>
      </c>
      <c r="D75" s="521" t="str">
        <f>'5-1 Сбор КП Закупки'!D75</f>
        <v/>
      </c>
      <c r="E75" s="521" t="str">
        <f>'5-1 Сбор КП Закупки'!E75</f>
        <v/>
      </c>
      <c r="F75" s="521" t="str">
        <f>'5-1 Сбор КП Закупки'!F75</f>
        <v/>
      </c>
      <c r="G75" s="522" t="str">
        <f>'5-1 Сбор КП Закупки'!G75</f>
        <v/>
      </c>
      <c r="H75" s="522" t="str">
        <f>'5-1 Сбор КП Закупки'!H75</f>
        <v/>
      </c>
      <c r="I75" s="522" t="str">
        <f>'5-1 Сбор КП Закупки'!I75</f>
        <v/>
      </c>
      <c r="J75" s="197"/>
      <c r="K75" s="522" t="str">
        <f>'5-1 Сбор КП Закупки'!G75</f>
        <v/>
      </c>
      <c r="L75" s="523" t="str">
        <f>IF(A75="Да",'5-1 Сбор КП Закупки'!K75,)</f>
        <v/>
      </c>
      <c r="M75" s="197"/>
      <c r="N75" s="197"/>
      <c r="O75" s="197"/>
      <c r="P75" s="525" t="str">
        <f>'5-1 Сбор КП Закупки'!P75</f>
        <v/>
      </c>
      <c r="Q75" s="197"/>
      <c r="R75" s="197"/>
      <c r="S75" s="197"/>
      <c r="T75" s="197"/>
      <c r="U75" s="197"/>
      <c r="V75" s="197"/>
      <c r="W75" s="522" t="str">
        <f>'5-1 Сбор КП Закупки'!O75</f>
        <v/>
      </c>
      <c r="X75" s="197"/>
      <c r="Y75" s="197"/>
      <c r="Z75" s="197"/>
      <c r="AA75" s="197"/>
      <c r="AB75" s="197">
        <v>0.0</v>
      </c>
      <c r="AC75" s="197"/>
      <c r="AD75" s="197"/>
      <c r="AE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5-3'!$D$11:$Q319,AE$4,AE$5)"),"")</f>
        <v/>
      </c>
      <c r="AF75" s="528"/>
      <c r="AG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5-3'!$D$11:$Q319,AG$4,AG$5)"),"")</f>
        <v/>
      </c>
      <c r="AH75" s="527"/>
      <c r="AI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5-3'!$D$11:$Q319,AI$4,AI$5)"),"")</f>
        <v/>
      </c>
      <c r="AJ75" s="527"/>
      <c r="AK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5-3'!$D$11:$Q319,AK$4,AK$5)"),"")</f>
        <v/>
      </c>
      <c r="AL75" s="527"/>
      <c r="AM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5-3'!$D$11:$Q319,AM$4,AM$5)"),"")</f>
        <v/>
      </c>
      <c r="AN75" s="529"/>
      <c r="AO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5-3'!$D$11:$Q319,AO$4,AO$5)"),"")</f>
        <v/>
      </c>
      <c r="AP75" s="527"/>
      <c r="AQ75" s="527"/>
      <c r="AR75" s="527"/>
      <c r="AS75" s="527"/>
      <c r="AT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5-3'!$D$11:$Q319,AT$4,AT$5)"),"")</f>
        <v/>
      </c>
      <c r="AU75" s="531"/>
      <c r="AV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5-3'!$D$11:$Q319,AV$4,AV$5)"),"")</f>
        <v/>
      </c>
      <c r="AW75" s="530"/>
      <c r="AX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5-3'!$D$11:$Q319,AX$4,AX$5)"),"")</f>
        <v/>
      </c>
      <c r="AY75" s="530"/>
      <c r="AZ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5-3'!$D$11:$Q319,AZ$4,AZ$5)"),"")</f>
        <v/>
      </c>
      <c r="BA75" s="530"/>
      <c r="BB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5-3'!$D$11:$Q319,BB$4,BB$5)"),"")</f>
        <v/>
      </c>
      <c r="BC75" s="532"/>
      <c r="BD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5-3'!$D$11:$Q319,BD$4,BD$5)"),"")</f>
        <v/>
      </c>
      <c r="BE75" s="530"/>
      <c r="BF75" s="530"/>
      <c r="BG75" s="530"/>
      <c r="BH75" s="530"/>
      <c r="BI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5-3'!$D$11:$Q319,BI$4,BI$5)"),"")</f>
        <v/>
      </c>
      <c r="BJ75" s="535"/>
      <c r="BK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5-3'!$D$11:$Q319,BK$4,BK$5)"),"")</f>
        <v/>
      </c>
      <c r="BL75" s="534"/>
      <c r="BM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5-3'!$D$11:$Q319,BM$4,BM$5)"),"")</f>
        <v/>
      </c>
      <c r="BN75" s="534"/>
      <c r="BO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5-3'!$D$11:$Q319,BO$4,BO$5)"),"")</f>
        <v/>
      </c>
      <c r="BP75" s="534"/>
      <c r="BQ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5-3'!$D$11:$Q319,BQ$4,BQ$5)"),"")</f>
        <v/>
      </c>
      <c r="BR75" s="536"/>
      <c r="BS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5-3'!$D$11:$Q319,BS$4,BS$5)"),"")</f>
        <v/>
      </c>
      <c r="BT75" s="534"/>
      <c r="BU75" s="534"/>
      <c r="BV75" s="534"/>
      <c r="BW75" s="534"/>
      <c r="BX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5-3'!$D$11:$Q319,BX$4,BX$5)"),"")</f>
        <v/>
      </c>
      <c r="BY75" s="538"/>
      <c r="BZ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5-3'!$D$11:$Q319,BZ$4,BZ$5)"),"")</f>
        <v/>
      </c>
      <c r="CA75" s="537"/>
      <c r="CB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5-3'!$D$11:$Q319,CB$4,CB$5)"),"")</f>
        <v/>
      </c>
      <c r="CC75" s="537"/>
      <c r="CD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5-3'!$D$11:$Q319,CD$4,CD$5)"),"")</f>
        <v/>
      </c>
      <c r="CE75" s="537"/>
      <c r="CF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5-3'!$D$11:$Q319,CF$4,CF$5)"),"")</f>
        <v/>
      </c>
      <c r="CG75" s="539"/>
      <c r="CH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5-3'!$D$11:$Q319,CH$4,CH$5)"),"")</f>
        <v/>
      </c>
      <c r="CI75" s="537"/>
      <c r="CJ75" s="537"/>
      <c r="CK75" s="537"/>
      <c r="CL75" s="537"/>
      <c r="CM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5-3'!$D$11:$Q319,CM$4,CM$5)"),"")</f>
        <v/>
      </c>
      <c r="CN75" s="541"/>
      <c r="CO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5-3'!$D$11:$Q319,CO$4,CO$5)"),"")</f>
        <v/>
      </c>
      <c r="CP75" s="540"/>
      <c r="CQ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5-3'!$D$11:$Q319,CQ$4,CQ$5)"),"")</f>
        <v/>
      </c>
      <c r="CR75" s="540"/>
      <c r="CS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5-3'!$D$11:$Q319,CS$4,CS$5)"),"")</f>
        <v/>
      </c>
      <c r="CT75" s="540"/>
      <c r="CU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5-3'!$D$11:$Q319,CU$4,CU$5)"),"")</f>
        <v/>
      </c>
      <c r="CV75" s="545"/>
      <c r="CW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5-3'!$D$11:$Q319,CW$4,CW$5)"),"")</f>
        <v/>
      </c>
      <c r="CX75" s="540"/>
      <c r="CY75" s="540"/>
      <c r="CZ75" s="540"/>
      <c r="DA75" s="540"/>
      <c r="DB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5-3'!$D$11:$Q319,DB$4,DB$5)"),"")</f>
        <v/>
      </c>
      <c r="DC75" s="555"/>
      <c r="DD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5-3'!$D$11:$Q319,DD$4,DD$5)"),"")</f>
        <v/>
      </c>
      <c r="DE75" s="554"/>
      <c r="DF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5-3'!$D$11:$Q319,DF$4,DF$5)"),"")</f>
        <v/>
      </c>
      <c r="DG75" s="554"/>
      <c r="DH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5-3'!$D$11:$Q319,DH$4,DH$5)"),"")</f>
        <v/>
      </c>
      <c r="DI75" s="554"/>
      <c r="DJ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5-3'!$D$11:$Q319,DJ$4,DJ$5)"),"")</f>
        <v/>
      </c>
      <c r="DK75" s="566"/>
      <c r="DL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5-3'!$D$11:$Q319,DL$4,DL$5)"),"")</f>
        <v/>
      </c>
      <c r="DM75" s="554"/>
      <c r="DN75" s="554"/>
      <c r="DO75" s="554"/>
      <c r="DP75" s="554"/>
      <c r="DQ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5-3'!$D$11:$Q319,DQ$4,DQ$5)"),"")</f>
        <v/>
      </c>
      <c r="DR75" s="569"/>
      <c r="DS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5-3'!$D$11:$Q319,DS$4,DS$5)"),"")</f>
        <v/>
      </c>
      <c r="DT75" s="568"/>
      <c r="DU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5-3'!$D$11:$Q319,DU$4,DU$5)"),"")</f>
        <v/>
      </c>
      <c r="DV75" s="568"/>
      <c r="DW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5-3'!$D$11:$Q319,DW$4,DW$5)"),"")</f>
        <v/>
      </c>
      <c r="DX75" s="568"/>
      <c r="DY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5-3'!$D$11:$Q319,DY$4,DY$5)"),"")</f>
        <v/>
      </c>
      <c r="DZ75" s="578"/>
      <c r="EA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$C75, 'S-10 Топ 5-3'!$D$11:$Q319,EA$4,EA$5)"),"")</f>
        <v/>
      </c>
      <c r="EB75" s="568"/>
      <c r="EC75" s="568"/>
      <c r="ED75" s="568"/>
      <c r="EE75" s="568"/>
    </row>
    <row r="76">
      <c r="A76" s="519" t="str">
        <f t="shared" si="1"/>
        <v/>
      </c>
      <c r="B76" s="520" t="str">
        <f>'5-0 Товары'!B76</f>
        <v/>
      </c>
      <c r="C76" s="521" t="str">
        <f>'5-1 Сбор КП Закупки'!C76</f>
        <v/>
      </c>
      <c r="D76" s="521" t="str">
        <f>'5-1 Сбор КП Закупки'!D76</f>
        <v/>
      </c>
      <c r="E76" s="521" t="str">
        <f>'5-1 Сбор КП Закупки'!E76</f>
        <v/>
      </c>
      <c r="F76" s="521" t="str">
        <f>'5-1 Сбор КП Закупки'!F76</f>
        <v/>
      </c>
      <c r="G76" s="522" t="str">
        <f>'5-1 Сбор КП Закупки'!G76</f>
        <v/>
      </c>
      <c r="H76" s="522" t="str">
        <f>'5-1 Сбор КП Закупки'!H76</f>
        <v/>
      </c>
      <c r="I76" s="522" t="str">
        <f>'5-1 Сбор КП Закупки'!I76</f>
        <v/>
      </c>
      <c r="J76" s="197"/>
      <c r="K76" s="522" t="str">
        <f>'5-1 Сбор КП Закупки'!G76</f>
        <v/>
      </c>
      <c r="L76" s="523" t="str">
        <f>IF(A76="Да",'5-1 Сбор КП Закупки'!K76,)</f>
        <v/>
      </c>
      <c r="M76" s="197"/>
      <c r="N76" s="197"/>
      <c r="O76" s="197"/>
      <c r="P76" s="525" t="str">
        <f>'5-1 Сбор КП Закупки'!P76</f>
        <v/>
      </c>
      <c r="Q76" s="197"/>
      <c r="R76" s="197"/>
      <c r="S76" s="197"/>
      <c r="T76" s="197"/>
      <c r="U76" s="197"/>
      <c r="V76" s="197"/>
      <c r="W76" s="522" t="str">
        <f>'5-1 Сбор КП Закупки'!O76</f>
        <v/>
      </c>
      <c r="X76" s="197"/>
      <c r="Y76" s="197"/>
      <c r="Z76" s="197"/>
      <c r="AA76" s="197"/>
      <c r="AB76" s="197">
        <v>0.0</v>
      </c>
      <c r="AC76" s="197"/>
      <c r="AD76" s="197"/>
      <c r="AE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5-3'!$D$11:$Q319,AE$4,AE$5)"),"")</f>
        <v/>
      </c>
      <c r="AF76" s="528"/>
      <c r="AG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5-3'!$D$11:$Q319,AG$4,AG$5)"),"")</f>
        <v/>
      </c>
      <c r="AH76" s="527"/>
      <c r="AI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5-3'!$D$11:$Q319,AI$4,AI$5)"),"")</f>
        <v/>
      </c>
      <c r="AJ76" s="527"/>
      <c r="AK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5-3'!$D$11:$Q319,AK$4,AK$5)"),"")</f>
        <v/>
      </c>
      <c r="AL76" s="527"/>
      <c r="AM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5-3'!$D$11:$Q319,AM$4,AM$5)"),"")</f>
        <v/>
      </c>
      <c r="AN76" s="529"/>
      <c r="AO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5-3'!$D$11:$Q319,AO$4,AO$5)"),"")</f>
        <v/>
      </c>
      <c r="AP76" s="527"/>
      <c r="AQ76" s="527"/>
      <c r="AR76" s="527"/>
      <c r="AS76" s="527"/>
      <c r="AT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5-3'!$D$11:$Q319,AT$4,AT$5)"),"")</f>
        <v/>
      </c>
      <c r="AU76" s="531"/>
      <c r="AV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5-3'!$D$11:$Q319,AV$4,AV$5)"),"")</f>
        <v/>
      </c>
      <c r="AW76" s="530"/>
      <c r="AX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5-3'!$D$11:$Q319,AX$4,AX$5)"),"")</f>
        <v/>
      </c>
      <c r="AY76" s="530"/>
      <c r="AZ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5-3'!$D$11:$Q319,AZ$4,AZ$5)"),"")</f>
        <v/>
      </c>
      <c r="BA76" s="530"/>
      <c r="BB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5-3'!$D$11:$Q319,BB$4,BB$5)"),"")</f>
        <v/>
      </c>
      <c r="BC76" s="532"/>
      <c r="BD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5-3'!$D$11:$Q319,BD$4,BD$5)"),"")</f>
        <v/>
      </c>
      <c r="BE76" s="530"/>
      <c r="BF76" s="530"/>
      <c r="BG76" s="530"/>
      <c r="BH76" s="530"/>
      <c r="BI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5-3'!$D$11:$Q319,BI$4,BI$5)"),"")</f>
        <v/>
      </c>
      <c r="BJ76" s="535"/>
      <c r="BK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5-3'!$D$11:$Q319,BK$4,BK$5)"),"")</f>
        <v/>
      </c>
      <c r="BL76" s="534"/>
      <c r="BM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5-3'!$D$11:$Q319,BM$4,BM$5)"),"")</f>
        <v/>
      </c>
      <c r="BN76" s="534"/>
      <c r="BO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5-3'!$D$11:$Q319,BO$4,BO$5)"),"")</f>
        <v/>
      </c>
      <c r="BP76" s="534"/>
      <c r="BQ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5-3'!$D$11:$Q319,BQ$4,BQ$5)"),"")</f>
        <v/>
      </c>
      <c r="BR76" s="536"/>
      <c r="BS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5-3'!$D$11:$Q319,BS$4,BS$5)"),"")</f>
        <v/>
      </c>
      <c r="BT76" s="534"/>
      <c r="BU76" s="534"/>
      <c r="BV76" s="534"/>
      <c r="BW76" s="534"/>
      <c r="BX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5-3'!$D$11:$Q319,BX$4,BX$5)"),"")</f>
        <v/>
      </c>
      <c r="BY76" s="538"/>
      <c r="BZ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5-3'!$D$11:$Q319,BZ$4,BZ$5)"),"")</f>
        <v/>
      </c>
      <c r="CA76" s="537"/>
      <c r="CB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5-3'!$D$11:$Q319,CB$4,CB$5)"),"")</f>
        <v/>
      </c>
      <c r="CC76" s="537"/>
      <c r="CD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5-3'!$D$11:$Q319,CD$4,CD$5)"),"")</f>
        <v/>
      </c>
      <c r="CE76" s="537"/>
      <c r="CF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5-3'!$D$11:$Q319,CF$4,CF$5)"),"")</f>
        <v/>
      </c>
      <c r="CG76" s="539"/>
      <c r="CH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5-3'!$D$11:$Q319,CH$4,CH$5)"),"")</f>
        <v/>
      </c>
      <c r="CI76" s="537"/>
      <c r="CJ76" s="537"/>
      <c r="CK76" s="537"/>
      <c r="CL76" s="537"/>
      <c r="CM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5-3'!$D$11:$Q319,CM$4,CM$5)"),"")</f>
        <v/>
      </c>
      <c r="CN76" s="541"/>
      <c r="CO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5-3'!$D$11:$Q319,CO$4,CO$5)"),"")</f>
        <v/>
      </c>
      <c r="CP76" s="540"/>
      <c r="CQ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5-3'!$D$11:$Q319,CQ$4,CQ$5)"),"")</f>
        <v/>
      </c>
      <c r="CR76" s="540"/>
      <c r="CS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5-3'!$D$11:$Q319,CS$4,CS$5)"),"")</f>
        <v/>
      </c>
      <c r="CT76" s="540"/>
      <c r="CU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5-3'!$D$11:$Q319,CU$4,CU$5)"),"")</f>
        <v/>
      </c>
      <c r="CV76" s="545"/>
      <c r="CW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5-3'!$D$11:$Q319,CW$4,CW$5)"),"")</f>
        <v/>
      </c>
      <c r="CX76" s="540"/>
      <c r="CY76" s="540"/>
      <c r="CZ76" s="540"/>
      <c r="DA76" s="540"/>
      <c r="DB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5-3'!$D$11:$Q319,DB$4,DB$5)"),"")</f>
        <v/>
      </c>
      <c r="DC76" s="555"/>
      <c r="DD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5-3'!$D$11:$Q319,DD$4,DD$5)"),"")</f>
        <v/>
      </c>
      <c r="DE76" s="554"/>
      <c r="DF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5-3'!$D$11:$Q319,DF$4,DF$5)"),"")</f>
        <v/>
      </c>
      <c r="DG76" s="554"/>
      <c r="DH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5-3'!$D$11:$Q319,DH$4,DH$5)"),"")</f>
        <v/>
      </c>
      <c r="DI76" s="554"/>
      <c r="DJ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5-3'!$D$11:$Q319,DJ$4,DJ$5)"),"")</f>
        <v/>
      </c>
      <c r="DK76" s="566"/>
      <c r="DL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5-3'!$D$11:$Q319,DL$4,DL$5)"),"")</f>
        <v/>
      </c>
      <c r="DM76" s="554"/>
      <c r="DN76" s="554"/>
      <c r="DO76" s="554"/>
      <c r="DP76" s="554"/>
      <c r="DQ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5-3'!$D$11:$Q319,DQ$4,DQ$5)"),"")</f>
        <v/>
      </c>
      <c r="DR76" s="569"/>
      <c r="DS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5-3'!$D$11:$Q319,DS$4,DS$5)"),"")</f>
        <v/>
      </c>
      <c r="DT76" s="568"/>
      <c r="DU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5-3'!$D$11:$Q319,DU$4,DU$5)"),"")</f>
        <v/>
      </c>
      <c r="DV76" s="568"/>
      <c r="DW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5-3'!$D$11:$Q319,DW$4,DW$5)"),"")</f>
        <v/>
      </c>
      <c r="DX76" s="568"/>
      <c r="DY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5-3'!$D$11:$Q319,DY$4,DY$5)"),"")</f>
        <v/>
      </c>
      <c r="DZ76" s="578"/>
      <c r="EA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$C76, 'S-10 Топ 5-3'!$D$11:$Q319,EA$4,EA$5)"),"")</f>
        <v/>
      </c>
      <c r="EB76" s="568"/>
      <c r="EC76" s="568"/>
      <c r="ED76" s="568"/>
      <c r="EE76" s="568"/>
    </row>
    <row r="77">
      <c r="A77" s="519" t="str">
        <f t="shared" si="1"/>
        <v/>
      </c>
      <c r="B77" s="520" t="str">
        <f>'5-0 Товары'!B77</f>
        <v/>
      </c>
      <c r="C77" s="521" t="str">
        <f>'5-1 Сбор КП Закупки'!C77</f>
        <v/>
      </c>
      <c r="D77" s="521" t="str">
        <f>'5-1 Сбор КП Закупки'!D77</f>
        <v/>
      </c>
      <c r="E77" s="521" t="str">
        <f>'5-1 Сбор КП Закупки'!E77</f>
        <v/>
      </c>
      <c r="F77" s="521" t="str">
        <f>'5-1 Сбор КП Закупки'!F77</f>
        <v/>
      </c>
      <c r="G77" s="522" t="str">
        <f>'5-1 Сбор КП Закупки'!G77</f>
        <v/>
      </c>
      <c r="H77" s="522" t="str">
        <f>'5-1 Сбор КП Закупки'!H77</f>
        <v/>
      </c>
      <c r="I77" s="522" t="str">
        <f>'5-1 Сбор КП Закупки'!I77</f>
        <v/>
      </c>
      <c r="J77" s="197"/>
      <c r="K77" s="522" t="str">
        <f>'5-1 Сбор КП Закупки'!G77</f>
        <v/>
      </c>
      <c r="L77" s="523" t="str">
        <f>IF(A77="Да",'5-1 Сбор КП Закупки'!K77,)</f>
        <v/>
      </c>
      <c r="M77" s="197"/>
      <c r="N77" s="197"/>
      <c r="O77" s="197"/>
      <c r="P77" s="525" t="str">
        <f>'5-1 Сбор КП Закупки'!P77</f>
        <v/>
      </c>
      <c r="Q77" s="197"/>
      <c r="R77" s="197"/>
      <c r="S77" s="197"/>
      <c r="T77" s="197"/>
      <c r="U77" s="197"/>
      <c r="V77" s="197"/>
      <c r="W77" s="522" t="str">
        <f>'5-1 Сбор КП Закупки'!O77</f>
        <v/>
      </c>
      <c r="X77" s="197"/>
      <c r="Y77" s="197"/>
      <c r="Z77" s="197"/>
      <c r="AA77" s="197"/>
      <c r="AB77" s="197">
        <v>0.0</v>
      </c>
      <c r="AC77" s="197"/>
      <c r="AD77" s="197"/>
      <c r="AE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5-3'!$D$11:$Q319,AE$4,AE$5)"),"")</f>
        <v/>
      </c>
      <c r="AF77" s="528"/>
      <c r="AG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5-3'!$D$11:$Q319,AG$4,AG$5)"),"")</f>
        <v/>
      </c>
      <c r="AH77" s="527"/>
      <c r="AI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5-3'!$D$11:$Q319,AI$4,AI$5)"),"")</f>
        <v/>
      </c>
      <c r="AJ77" s="527"/>
      <c r="AK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5-3'!$D$11:$Q319,AK$4,AK$5)"),"")</f>
        <v/>
      </c>
      <c r="AL77" s="527"/>
      <c r="AM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5-3'!$D$11:$Q319,AM$4,AM$5)"),"")</f>
        <v/>
      </c>
      <c r="AN77" s="529"/>
      <c r="AO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5-3'!$D$11:$Q319,AO$4,AO$5)"),"")</f>
        <v/>
      </c>
      <c r="AP77" s="527"/>
      <c r="AQ77" s="527"/>
      <c r="AR77" s="527"/>
      <c r="AS77" s="527"/>
      <c r="AT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5-3'!$D$11:$Q319,AT$4,AT$5)"),"")</f>
        <v/>
      </c>
      <c r="AU77" s="531"/>
      <c r="AV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5-3'!$D$11:$Q319,AV$4,AV$5)"),"")</f>
        <v/>
      </c>
      <c r="AW77" s="530"/>
      <c r="AX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5-3'!$D$11:$Q319,AX$4,AX$5)"),"")</f>
        <v/>
      </c>
      <c r="AY77" s="530"/>
      <c r="AZ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5-3'!$D$11:$Q319,AZ$4,AZ$5)"),"")</f>
        <v/>
      </c>
      <c r="BA77" s="530"/>
      <c r="BB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5-3'!$D$11:$Q319,BB$4,BB$5)"),"")</f>
        <v/>
      </c>
      <c r="BC77" s="532"/>
      <c r="BD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5-3'!$D$11:$Q319,BD$4,BD$5)"),"")</f>
        <v/>
      </c>
      <c r="BE77" s="530"/>
      <c r="BF77" s="530"/>
      <c r="BG77" s="530"/>
      <c r="BH77" s="530"/>
      <c r="BI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5-3'!$D$11:$Q319,BI$4,BI$5)"),"")</f>
        <v/>
      </c>
      <c r="BJ77" s="535"/>
      <c r="BK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5-3'!$D$11:$Q319,BK$4,BK$5)"),"")</f>
        <v/>
      </c>
      <c r="BL77" s="534"/>
      <c r="BM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5-3'!$D$11:$Q319,BM$4,BM$5)"),"")</f>
        <v/>
      </c>
      <c r="BN77" s="534"/>
      <c r="BO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5-3'!$D$11:$Q319,BO$4,BO$5)"),"")</f>
        <v/>
      </c>
      <c r="BP77" s="534"/>
      <c r="BQ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5-3'!$D$11:$Q319,BQ$4,BQ$5)"),"")</f>
        <v/>
      </c>
      <c r="BR77" s="536"/>
      <c r="BS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5-3'!$D$11:$Q319,BS$4,BS$5)"),"")</f>
        <v/>
      </c>
      <c r="BT77" s="534"/>
      <c r="BU77" s="534"/>
      <c r="BV77" s="534"/>
      <c r="BW77" s="534"/>
      <c r="BX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5-3'!$D$11:$Q319,BX$4,BX$5)"),"")</f>
        <v/>
      </c>
      <c r="BY77" s="538"/>
      <c r="BZ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5-3'!$D$11:$Q319,BZ$4,BZ$5)"),"")</f>
        <v/>
      </c>
      <c r="CA77" s="537"/>
      <c r="CB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5-3'!$D$11:$Q319,CB$4,CB$5)"),"")</f>
        <v/>
      </c>
      <c r="CC77" s="537"/>
      <c r="CD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5-3'!$D$11:$Q319,CD$4,CD$5)"),"")</f>
        <v/>
      </c>
      <c r="CE77" s="537"/>
      <c r="CF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5-3'!$D$11:$Q319,CF$4,CF$5)"),"")</f>
        <v/>
      </c>
      <c r="CG77" s="539"/>
      <c r="CH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5-3'!$D$11:$Q319,CH$4,CH$5)"),"")</f>
        <v/>
      </c>
      <c r="CI77" s="537"/>
      <c r="CJ77" s="537"/>
      <c r="CK77" s="537"/>
      <c r="CL77" s="537"/>
      <c r="CM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5-3'!$D$11:$Q319,CM$4,CM$5)"),"")</f>
        <v/>
      </c>
      <c r="CN77" s="541"/>
      <c r="CO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5-3'!$D$11:$Q319,CO$4,CO$5)"),"")</f>
        <v/>
      </c>
      <c r="CP77" s="540"/>
      <c r="CQ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5-3'!$D$11:$Q319,CQ$4,CQ$5)"),"")</f>
        <v/>
      </c>
      <c r="CR77" s="540"/>
      <c r="CS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5-3'!$D$11:$Q319,CS$4,CS$5)"),"")</f>
        <v/>
      </c>
      <c r="CT77" s="540"/>
      <c r="CU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5-3'!$D$11:$Q319,CU$4,CU$5)"),"")</f>
        <v/>
      </c>
      <c r="CV77" s="545"/>
      <c r="CW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5-3'!$D$11:$Q319,CW$4,CW$5)"),"")</f>
        <v/>
      </c>
      <c r="CX77" s="540"/>
      <c r="CY77" s="540"/>
      <c r="CZ77" s="540"/>
      <c r="DA77" s="540"/>
      <c r="DB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5-3'!$D$11:$Q319,DB$4,DB$5)"),"")</f>
        <v/>
      </c>
      <c r="DC77" s="555"/>
      <c r="DD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5-3'!$D$11:$Q319,DD$4,DD$5)"),"")</f>
        <v/>
      </c>
      <c r="DE77" s="554"/>
      <c r="DF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5-3'!$D$11:$Q319,DF$4,DF$5)"),"")</f>
        <v/>
      </c>
      <c r="DG77" s="554"/>
      <c r="DH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5-3'!$D$11:$Q319,DH$4,DH$5)"),"")</f>
        <v/>
      </c>
      <c r="DI77" s="554"/>
      <c r="DJ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5-3'!$D$11:$Q319,DJ$4,DJ$5)"),"")</f>
        <v/>
      </c>
      <c r="DK77" s="566"/>
      <c r="DL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5-3'!$D$11:$Q319,DL$4,DL$5)"),"")</f>
        <v/>
      </c>
      <c r="DM77" s="554"/>
      <c r="DN77" s="554"/>
      <c r="DO77" s="554"/>
      <c r="DP77" s="554"/>
      <c r="DQ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5-3'!$D$11:$Q319,DQ$4,DQ$5)"),"")</f>
        <v/>
      </c>
      <c r="DR77" s="569"/>
      <c r="DS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5-3'!$D$11:$Q319,DS$4,DS$5)"),"")</f>
        <v/>
      </c>
      <c r="DT77" s="568"/>
      <c r="DU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5-3'!$D$11:$Q319,DU$4,DU$5)"),"")</f>
        <v/>
      </c>
      <c r="DV77" s="568"/>
      <c r="DW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5-3'!$D$11:$Q319,DW$4,DW$5)"),"")</f>
        <v/>
      </c>
      <c r="DX77" s="568"/>
      <c r="DY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5-3'!$D$11:$Q319,DY$4,DY$5)"),"")</f>
        <v/>
      </c>
      <c r="DZ77" s="578"/>
      <c r="EA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$C77, 'S-10 Топ 5-3'!$D$11:$Q319,EA$4,EA$5)"),"")</f>
        <v/>
      </c>
      <c r="EB77" s="568"/>
      <c r="EC77" s="568"/>
      <c r="ED77" s="568"/>
      <c r="EE77" s="568"/>
    </row>
    <row r="78">
      <c r="A78" s="519" t="str">
        <f t="shared" si="1"/>
        <v/>
      </c>
      <c r="B78" s="520" t="str">
        <f>'5-0 Товары'!B78</f>
        <v/>
      </c>
      <c r="C78" s="521" t="str">
        <f>'5-1 Сбор КП Закупки'!C78</f>
        <v/>
      </c>
      <c r="D78" s="521" t="str">
        <f>'5-1 Сбор КП Закупки'!D78</f>
        <v/>
      </c>
      <c r="E78" s="521" t="str">
        <f>'5-1 Сбор КП Закупки'!E78</f>
        <v/>
      </c>
      <c r="F78" s="521" t="str">
        <f>'5-1 Сбор КП Закупки'!F78</f>
        <v/>
      </c>
      <c r="G78" s="522" t="str">
        <f>'5-1 Сбор КП Закупки'!G78</f>
        <v/>
      </c>
      <c r="H78" s="522" t="str">
        <f>'5-1 Сбор КП Закупки'!H78</f>
        <v/>
      </c>
      <c r="I78" s="522" t="str">
        <f>'5-1 Сбор КП Закупки'!I78</f>
        <v/>
      </c>
      <c r="J78" s="197"/>
      <c r="K78" s="522" t="str">
        <f>'5-1 Сбор КП Закупки'!G78</f>
        <v/>
      </c>
      <c r="L78" s="523" t="str">
        <f>IF(A78="Да",'5-1 Сбор КП Закупки'!K78,)</f>
        <v/>
      </c>
      <c r="M78" s="197"/>
      <c r="N78" s="197"/>
      <c r="O78" s="197"/>
      <c r="P78" s="525" t="str">
        <f>'5-1 Сбор КП Закупки'!P78</f>
        <v/>
      </c>
      <c r="Q78" s="197"/>
      <c r="R78" s="197"/>
      <c r="S78" s="197"/>
      <c r="T78" s="197"/>
      <c r="U78" s="197"/>
      <c r="V78" s="197"/>
      <c r="W78" s="522" t="str">
        <f>'5-1 Сбор КП Закупки'!O78</f>
        <v/>
      </c>
      <c r="X78" s="197"/>
      <c r="Y78" s="197"/>
      <c r="Z78" s="197"/>
      <c r="AA78" s="197"/>
      <c r="AB78" s="197">
        <v>0.0</v>
      </c>
      <c r="AC78" s="197"/>
      <c r="AD78" s="197"/>
      <c r="AE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5-3'!$D$11:$Q319,AE$4,AE$5)"),"")</f>
        <v/>
      </c>
      <c r="AF78" s="528"/>
      <c r="AG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5-3'!$D$11:$Q319,AG$4,AG$5)"),"")</f>
        <v/>
      </c>
      <c r="AH78" s="527"/>
      <c r="AI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5-3'!$D$11:$Q319,AI$4,AI$5)"),"")</f>
        <v/>
      </c>
      <c r="AJ78" s="527"/>
      <c r="AK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5-3'!$D$11:$Q319,AK$4,AK$5)"),"")</f>
        <v/>
      </c>
      <c r="AL78" s="527"/>
      <c r="AM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5-3'!$D$11:$Q319,AM$4,AM$5)"),"")</f>
        <v/>
      </c>
      <c r="AN78" s="529"/>
      <c r="AO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5-3'!$D$11:$Q319,AO$4,AO$5)"),"")</f>
        <v/>
      </c>
      <c r="AP78" s="527"/>
      <c r="AQ78" s="527"/>
      <c r="AR78" s="527"/>
      <c r="AS78" s="527"/>
      <c r="AT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5-3'!$D$11:$Q319,AT$4,AT$5)"),"")</f>
        <v/>
      </c>
      <c r="AU78" s="531"/>
      <c r="AV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5-3'!$D$11:$Q319,AV$4,AV$5)"),"")</f>
        <v/>
      </c>
      <c r="AW78" s="530"/>
      <c r="AX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5-3'!$D$11:$Q319,AX$4,AX$5)"),"")</f>
        <v/>
      </c>
      <c r="AY78" s="530"/>
      <c r="AZ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5-3'!$D$11:$Q319,AZ$4,AZ$5)"),"")</f>
        <v/>
      </c>
      <c r="BA78" s="530"/>
      <c r="BB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5-3'!$D$11:$Q319,BB$4,BB$5)"),"")</f>
        <v/>
      </c>
      <c r="BC78" s="532"/>
      <c r="BD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5-3'!$D$11:$Q319,BD$4,BD$5)"),"")</f>
        <v/>
      </c>
      <c r="BE78" s="530"/>
      <c r="BF78" s="530"/>
      <c r="BG78" s="530"/>
      <c r="BH78" s="530"/>
      <c r="BI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5-3'!$D$11:$Q319,BI$4,BI$5)"),"")</f>
        <v/>
      </c>
      <c r="BJ78" s="535"/>
      <c r="BK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5-3'!$D$11:$Q319,BK$4,BK$5)"),"")</f>
        <v/>
      </c>
      <c r="BL78" s="534"/>
      <c r="BM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5-3'!$D$11:$Q319,BM$4,BM$5)"),"")</f>
        <v/>
      </c>
      <c r="BN78" s="534"/>
      <c r="BO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5-3'!$D$11:$Q319,BO$4,BO$5)"),"")</f>
        <v/>
      </c>
      <c r="BP78" s="534"/>
      <c r="BQ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5-3'!$D$11:$Q319,BQ$4,BQ$5)"),"")</f>
        <v/>
      </c>
      <c r="BR78" s="536"/>
      <c r="BS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5-3'!$D$11:$Q319,BS$4,BS$5)"),"")</f>
        <v/>
      </c>
      <c r="BT78" s="534"/>
      <c r="BU78" s="534"/>
      <c r="BV78" s="534"/>
      <c r="BW78" s="534"/>
      <c r="BX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5-3'!$D$11:$Q319,BX$4,BX$5)"),"")</f>
        <v/>
      </c>
      <c r="BY78" s="538"/>
      <c r="BZ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5-3'!$D$11:$Q319,BZ$4,BZ$5)"),"")</f>
        <v/>
      </c>
      <c r="CA78" s="537"/>
      <c r="CB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5-3'!$D$11:$Q319,CB$4,CB$5)"),"")</f>
        <v/>
      </c>
      <c r="CC78" s="537"/>
      <c r="CD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5-3'!$D$11:$Q319,CD$4,CD$5)"),"")</f>
        <v/>
      </c>
      <c r="CE78" s="537"/>
      <c r="CF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5-3'!$D$11:$Q319,CF$4,CF$5)"),"")</f>
        <v/>
      </c>
      <c r="CG78" s="539"/>
      <c r="CH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5-3'!$D$11:$Q319,CH$4,CH$5)"),"")</f>
        <v/>
      </c>
      <c r="CI78" s="537"/>
      <c r="CJ78" s="537"/>
      <c r="CK78" s="537"/>
      <c r="CL78" s="537"/>
      <c r="CM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5-3'!$D$11:$Q319,CM$4,CM$5)"),"")</f>
        <v/>
      </c>
      <c r="CN78" s="541"/>
      <c r="CO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5-3'!$D$11:$Q319,CO$4,CO$5)"),"")</f>
        <v/>
      </c>
      <c r="CP78" s="540"/>
      <c r="CQ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5-3'!$D$11:$Q319,CQ$4,CQ$5)"),"")</f>
        <v/>
      </c>
      <c r="CR78" s="540"/>
      <c r="CS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5-3'!$D$11:$Q319,CS$4,CS$5)"),"")</f>
        <v/>
      </c>
      <c r="CT78" s="540"/>
      <c r="CU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5-3'!$D$11:$Q319,CU$4,CU$5)"),"")</f>
        <v/>
      </c>
      <c r="CV78" s="545"/>
      <c r="CW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5-3'!$D$11:$Q319,CW$4,CW$5)"),"")</f>
        <v/>
      </c>
      <c r="CX78" s="540"/>
      <c r="CY78" s="540"/>
      <c r="CZ78" s="540"/>
      <c r="DA78" s="540"/>
      <c r="DB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5-3'!$D$11:$Q319,DB$4,DB$5)"),"")</f>
        <v/>
      </c>
      <c r="DC78" s="555"/>
      <c r="DD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5-3'!$D$11:$Q319,DD$4,DD$5)"),"")</f>
        <v/>
      </c>
      <c r="DE78" s="554"/>
      <c r="DF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5-3'!$D$11:$Q319,DF$4,DF$5)"),"")</f>
        <v/>
      </c>
      <c r="DG78" s="554"/>
      <c r="DH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5-3'!$D$11:$Q319,DH$4,DH$5)"),"")</f>
        <v/>
      </c>
      <c r="DI78" s="554"/>
      <c r="DJ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5-3'!$D$11:$Q319,DJ$4,DJ$5)"),"")</f>
        <v/>
      </c>
      <c r="DK78" s="566"/>
      <c r="DL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5-3'!$D$11:$Q319,DL$4,DL$5)"),"")</f>
        <v/>
      </c>
      <c r="DM78" s="554"/>
      <c r="DN78" s="554"/>
      <c r="DO78" s="554"/>
      <c r="DP78" s="554"/>
      <c r="DQ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5-3'!$D$11:$Q319,DQ$4,DQ$5)"),"")</f>
        <v/>
      </c>
      <c r="DR78" s="569"/>
      <c r="DS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5-3'!$D$11:$Q319,DS$4,DS$5)"),"")</f>
        <v/>
      </c>
      <c r="DT78" s="568"/>
      <c r="DU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5-3'!$D$11:$Q319,DU$4,DU$5)"),"")</f>
        <v/>
      </c>
      <c r="DV78" s="568"/>
      <c r="DW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5-3'!$D$11:$Q319,DW$4,DW$5)"),"")</f>
        <v/>
      </c>
      <c r="DX78" s="568"/>
      <c r="DY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5-3'!$D$11:$Q319,DY$4,DY$5)"),"")</f>
        <v/>
      </c>
      <c r="DZ78" s="578"/>
      <c r="EA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$C78, 'S-10 Топ 5-3'!$D$11:$Q319,EA$4,EA$5)"),"")</f>
        <v/>
      </c>
      <c r="EB78" s="568"/>
      <c r="EC78" s="568"/>
      <c r="ED78" s="568"/>
      <c r="EE78" s="568"/>
    </row>
    <row r="79">
      <c r="A79" s="519" t="str">
        <f t="shared" si="1"/>
        <v/>
      </c>
      <c r="B79" s="520" t="str">
        <f>'5-0 Товары'!B79</f>
        <v/>
      </c>
      <c r="C79" s="521" t="str">
        <f>'5-1 Сбор КП Закупки'!C79</f>
        <v/>
      </c>
      <c r="D79" s="521" t="str">
        <f>'5-1 Сбор КП Закупки'!D79</f>
        <v/>
      </c>
      <c r="E79" s="521" t="str">
        <f>'5-1 Сбор КП Закупки'!E79</f>
        <v/>
      </c>
      <c r="F79" s="521" t="str">
        <f>'5-1 Сбор КП Закупки'!F79</f>
        <v/>
      </c>
      <c r="G79" s="522" t="str">
        <f>'5-1 Сбор КП Закупки'!G79</f>
        <v/>
      </c>
      <c r="H79" s="522" t="str">
        <f>'5-1 Сбор КП Закупки'!H79</f>
        <v/>
      </c>
      <c r="I79" s="522" t="str">
        <f>'5-1 Сбор КП Закупки'!I79</f>
        <v/>
      </c>
      <c r="J79" s="197"/>
      <c r="K79" s="522" t="str">
        <f>'5-1 Сбор КП Закупки'!G79</f>
        <v/>
      </c>
      <c r="L79" s="523" t="str">
        <f>IF(A79="Да",'5-1 Сбор КП Закупки'!K79,)</f>
        <v/>
      </c>
      <c r="M79" s="197"/>
      <c r="N79" s="197"/>
      <c r="O79" s="197"/>
      <c r="P79" s="525" t="str">
        <f>'5-1 Сбор КП Закупки'!P79</f>
        <v/>
      </c>
      <c r="Q79" s="197"/>
      <c r="R79" s="197"/>
      <c r="S79" s="197"/>
      <c r="T79" s="197"/>
      <c r="U79" s="197"/>
      <c r="V79" s="197"/>
      <c r="W79" s="522" t="str">
        <f>'5-1 Сбор КП Закупки'!O79</f>
        <v/>
      </c>
      <c r="X79" s="197"/>
      <c r="Y79" s="197"/>
      <c r="Z79" s="197"/>
      <c r="AA79" s="197"/>
      <c r="AB79" s="197">
        <v>0.0</v>
      </c>
      <c r="AC79" s="197"/>
      <c r="AD79" s="197"/>
      <c r="AE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5-3'!$D$11:$Q319,AE$4,AE$5)"),"")</f>
        <v/>
      </c>
      <c r="AF79" s="528"/>
      <c r="AG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5-3'!$D$11:$Q319,AG$4,AG$5)"),"")</f>
        <v/>
      </c>
      <c r="AH79" s="527"/>
      <c r="AI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5-3'!$D$11:$Q319,AI$4,AI$5)"),"")</f>
        <v/>
      </c>
      <c r="AJ79" s="527"/>
      <c r="AK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5-3'!$D$11:$Q319,AK$4,AK$5)"),"")</f>
        <v/>
      </c>
      <c r="AL79" s="527"/>
      <c r="AM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5-3'!$D$11:$Q319,AM$4,AM$5)"),"")</f>
        <v/>
      </c>
      <c r="AN79" s="529"/>
      <c r="AO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5-3'!$D$11:$Q319,AO$4,AO$5)"),"")</f>
        <v/>
      </c>
      <c r="AP79" s="527"/>
      <c r="AQ79" s="527"/>
      <c r="AR79" s="527"/>
      <c r="AS79" s="527"/>
      <c r="AT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5-3'!$D$11:$Q319,AT$4,AT$5)"),"")</f>
        <v/>
      </c>
      <c r="AU79" s="531"/>
      <c r="AV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5-3'!$D$11:$Q319,AV$4,AV$5)"),"")</f>
        <v/>
      </c>
      <c r="AW79" s="530"/>
      <c r="AX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5-3'!$D$11:$Q319,AX$4,AX$5)"),"")</f>
        <v/>
      </c>
      <c r="AY79" s="530"/>
      <c r="AZ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5-3'!$D$11:$Q319,AZ$4,AZ$5)"),"")</f>
        <v/>
      </c>
      <c r="BA79" s="530"/>
      <c r="BB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5-3'!$D$11:$Q319,BB$4,BB$5)"),"")</f>
        <v/>
      </c>
      <c r="BC79" s="532"/>
      <c r="BD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5-3'!$D$11:$Q319,BD$4,BD$5)"),"")</f>
        <v/>
      </c>
      <c r="BE79" s="530"/>
      <c r="BF79" s="530"/>
      <c r="BG79" s="530"/>
      <c r="BH79" s="530"/>
      <c r="BI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5-3'!$D$11:$Q319,BI$4,BI$5)"),"")</f>
        <v/>
      </c>
      <c r="BJ79" s="535"/>
      <c r="BK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5-3'!$D$11:$Q319,BK$4,BK$5)"),"")</f>
        <v/>
      </c>
      <c r="BL79" s="534"/>
      <c r="BM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5-3'!$D$11:$Q319,BM$4,BM$5)"),"")</f>
        <v/>
      </c>
      <c r="BN79" s="534"/>
      <c r="BO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5-3'!$D$11:$Q319,BO$4,BO$5)"),"")</f>
        <v/>
      </c>
      <c r="BP79" s="534"/>
      <c r="BQ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5-3'!$D$11:$Q319,BQ$4,BQ$5)"),"")</f>
        <v/>
      </c>
      <c r="BR79" s="536"/>
      <c r="BS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5-3'!$D$11:$Q319,BS$4,BS$5)"),"")</f>
        <v/>
      </c>
      <c r="BT79" s="534"/>
      <c r="BU79" s="534"/>
      <c r="BV79" s="534"/>
      <c r="BW79" s="534"/>
      <c r="BX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5-3'!$D$11:$Q319,BX$4,BX$5)"),"")</f>
        <v/>
      </c>
      <c r="BY79" s="538"/>
      <c r="BZ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5-3'!$D$11:$Q319,BZ$4,BZ$5)"),"")</f>
        <v/>
      </c>
      <c r="CA79" s="537"/>
      <c r="CB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5-3'!$D$11:$Q319,CB$4,CB$5)"),"")</f>
        <v/>
      </c>
      <c r="CC79" s="537"/>
      <c r="CD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5-3'!$D$11:$Q319,CD$4,CD$5)"),"")</f>
        <v/>
      </c>
      <c r="CE79" s="537"/>
      <c r="CF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5-3'!$D$11:$Q319,CF$4,CF$5)"),"")</f>
        <v/>
      </c>
      <c r="CG79" s="539"/>
      <c r="CH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5-3'!$D$11:$Q319,CH$4,CH$5)"),"")</f>
        <v/>
      </c>
      <c r="CI79" s="537"/>
      <c r="CJ79" s="537"/>
      <c r="CK79" s="537"/>
      <c r="CL79" s="537"/>
      <c r="CM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5-3'!$D$11:$Q319,CM$4,CM$5)"),"")</f>
        <v/>
      </c>
      <c r="CN79" s="541"/>
      <c r="CO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5-3'!$D$11:$Q319,CO$4,CO$5)"),"")</f>
        <v/>
      </c>
      <c r="CP79" s="540"/>
      <c r="CQ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5-3'!$D$11:$Q319,CQ$4,CQ$5)"),"")</f>
        <v/>
      </c>
      <c r="CR79" s="540"/>
      <c r="CS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5-3'!$D$11:$Q319,CS$4,CS$5)"),"")</f>
        <v/>
      </c>
      <c r="CT79" s="540"/>
      <c r="CU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5-3'!$D$11:$Q319,CU$4,CU$5)"),"")</f>
        <v/>
      </c>
      <c r="CV79" s="545"/>
      <c r="CW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5-3'!$D$11:$Q319,CW$4,CW$5)"),"")</f>
        <v/>
      </c>
      <c r="CX79" s="540"/>
      <c r="CY79" s="540"/>
      <c r="CZ79" s="540"/>
      <c r="DA79" s="540"/>
      <c r="DB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5-3'!$D$11:$Q319,DB$4,DB$5)"),"")</f>
        <v/>
      </c>
      <c r="DC79" s="555"/>
      <c r="DD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5-3'!$D$11:$Q319,DD$4,DD$5)"),"")</f>
        <v/>
      </c>
      <c r="DE79" s="554"/>
      <c r="DF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5-3'!$D$11:$Q319,DF$4,DF$5)"),"")</f>
        <v/>
      </c>
      <c r="DG79" s="554"/>
      <c r="DH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5-3'!$D$11:$Q319,DH$4,DH$5)"),"")</f>
        <v/>
      </c>
      <c r="DI79" s="554"/>
      <c r="DJ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5-3'!$D$11:$Q319,DJ$4,DJ$5)"),"")</f>
        <v/>
      </c>
      <c r="DK79" s="566"/>
      <c r="DL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5-3'!$D$11:$Q319,DL$4,DL$5)"),"")</f>
        <v/>
      </c>
      <c r="DM79" s="554"/>
      <c r="DN79" s="554"/>
      <c r="DO79" s="554"/>
      <c r="DP79" s="554"/>
      <c r="DQ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5-3'!$D$11:$Q319,DQ$4,DQ$5)"),"")</f>
        <v/>
      </c>
      <c r="DR79" s="569"/>
      <c r="DS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5-3'!$D$11:$Q319,DS$4,DS$5)"),"")</f>
        <v/>
      </c>
      <c r="DT79" s="568"/>
      <c r="DU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5-3'!$D$11:$Q319,DU$4,DU$5)"),"")</f>
        <v/>
      </c>
      <c r="DV79" s="568"/>
      <c r="DW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5-3'!$D$11:$Q319,DW$4,DW$5)"),"")</f>
        <v/>
      </c>
      <c r="DX79" s="568"/>
      <c r="DY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5-3'!$D$11:$Q319,DY$4,DY$5)"),"")</f>
        <v/>
      </c>
      <c r="DZ79" s="578"/>
      <c r="EA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$C79, 'S-10 Топ 5-3'!$D$11:$Q319,EA$4,EA$5)"),"")</f>
        <v/>
      </c>
      <c r="EB79" s="568"/>
      <c r="EC79" s="568"/>
      <c r="ED79" s="568"/>
      <c r="EE79" s="568"/>
    </row>
    <row r="80">
      <c r="A80" s="519" t="str">
        <f t="shared" si="1"/>
        <v/>
      </c>
      <c r="B80" s="520" t="str">
        <f>'5-0 Товары'!B80</f>
        <v/>
      </c>
      <c r="C80" s="521" t="str">
        <f>'5-1 Сбор КП Закупки'!C80</f>
        <v/>
      </c>
      <c r="D80" s="521" t="str">
        <f>'5-1 Сбор КП Закупки'!D80</f>
        <v/>
      </c>
      <c r="E80" s="521" t="str">
        <f>'5-1 Сбор КП Закупки'!E80</f>
        <v/>
      </c>
      <c r="F80" s="521" t="str">
        <f>'5-1 Сбор КП Закупки'!F80</f>
        <v/>
      </c>
      <c r="G80" s="522" t="str">
        <f>'5-1 Сбор КП Закупки'!G80</f>
        <v/>
      </c>
      <c r="H80" s="522" t="str">
        <f>'5-1 Сбор КП Закупки'!H80</f>
        <v/>
      </c>
      <c r="I80" s="522" t="str">
        <f>'5-1 Сбор КП Закупки'!I80</f>
        <v/>
      </c>
      <c r="J80" s="197"/>
      <c r="K80" s="522" t="str">
        <f>'5-1 Сбор КП Закупки'!G80</f>
        <v/>
      </c>
      <c r="L80" s="523" t="str">
        <f>IF(A80="Да",'5-1 Сбор КП Закупки'!K80,)</f>
        <v/>
      </c>
      <c r="M80" s="197"/>
      <c r="N80" s="197"/>
      <c r="O80" s="197"/>
      <c r="P80" s="525" t="str">
        <f>'5-1 Сбор КП Закупки'!P80</f>
        <v/>
      </c>
      <c r="Q80" s="197"/>
      <c r="R80" s="197"/>
      <c r="S80" s="197"/>
      <c r="T80" s="197"/>
      <c r="U80" s="197"/>
      <c r="V80" s="197"/>
      <c r="W80" s="522" t="str">
        <f>'5-1 Сбор КП Закупки'!O80</f>
        <v/>
      </c>
      <c r="X80" s="197"/>
      <c r="Y80" s="197"/>
      <c r="Z80" s="197"/>
      <c r="AA80" s="197"/>
      <c r="AB80" s="197">
        <v>0.0</v>
      </c>
      <c r="AC80" s="197"/>
      <c r="AD80" s="197"/>
      <c r="AE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5-3'!$D$11:$Q319,AE$4,AE$5)"),"")</f>
        <v/>
      </c>
      <c r="AF80" s="528"/>
      <c r="AG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5-3'!$D$11:$Q319,AG$4,AG$5)"),"")</f>
        <v/>
      </c>
      <c r="AH80" s="527"/>
      <c r="AI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5-3'!$D$11:$Q319,AI$4,AI$5)"),"")</f>
        <v/>
      </c>
      <c r="AJ80" s="527"/>
      <c r="AK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5-3'!$D$11:$Q319,AK$4,AK$5)"),"")</f>
        <v/>
      </c>
      <c r="AL80" s="527"/>
      <c r="AM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5-3'!$D$11:$Q319,AM$4,AM$5)"),"")</f>
        <v/>
      </c>
      <c r="AN80" s="529"/>
      <c r="AO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5-3'!$D$11:$Q319,AO$4,AO$5)"),"")</f>
        <v/>
      </c>
      <c r="AP80" s="527"/>
      <c r="AQ80" s="527"/>
      <c r="AR80" s="527"/>
      <c r="AS80" s="527"/>
      <c r="AT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5-3'!$D$11:$Q319,AT$4,AT$5)"),"")</f>
        <v/>
      </c>
      <c r="AU80" s="531"/>
      <c r="AV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5-3'!$D$11:$Q319,AV$4,AV$5)"),"")</f>
        <v/>
      </c>
      <c r="AW80" s="530"/>
      <c r="AX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5-3'!$D$11:$Q319,AX$4,AX$5)"),"")</f>
        <v/>
      </c>
      <c r="AY80" s="530"/>
      <c r="AZ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5-3'!$D$11:$Q319,AZ$4,AZ$5)"),"")</f>
        <v/>
      </c>
      <c r="BA80" s="530"/>
      <c r="BB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5-3'!$D$11:$Q319,BB$4,BB$5)"),"")</f>
        <v/>
      </c>
      <c r="BC80" s="532"/>
      <c r="BD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5-3'!$D$11:$Q319,BD$4,BD$5)"),"")</f>
        <v/>
      </c>
      <c r="BE80" s="530"/>
      <c r="BF80" s="530"/>
      <c r="BG80" s="530"/>
      <c r="BH80" s="530"/>
      <c r="BI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5-3'!$D$11:$Q319,BI$4,BI$5)"),"")</f>
        <v/>
      </c>
      <c r="BJ80" s="535"/>
      <c r="BK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5-3'!$D$11:$Q319,BK$4,BK$5)"),"")</f>
        <v/>
      </c>
      <c r="BL80" s="534"/>
      <c r="BM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5-3'!$D$11:$Q319,BM$4,BM$5)"),"")</f>
        <v/>
      </c>
      <c r="BN80" s="534"/>
      <c r="BO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5-3'!$D$11:$Q319,BO$4,BO$5)"),"")</f>
        <v/>
      </c>
      <c r="BP80" s="534"/>
      <c r="BQ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5-3'!$D$11:$Q319,BQ$4,BQ$5)"),"")</f>
        <v/>
      </c>
      <c r="BR80" s="536"/>
      <c r="BS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5-3'!$D$11:$Q319,BS$4,BS$5)"),"")</f>
        <v/>
      </c>
      <c r="BT80" s="534"/>
      <c r="BU80" s="534"/>
      <c r="BV80" s="534"/>
      <c r="BW80" s="534"/>
      <c r="BX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5-3'!$D$11:$Q319,BX$4,BX$5)"),"")</f>
        <v/>
      </c>
      <c r="BY80" s="538"/>
      <c r="BZ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5-3'!$D$11:$Q319,BZ$4,BZ$5)"),"")</f>
        <v/>
      </c>
      <c r="CA80" s="537"/>
      <c r="CB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5-3'!$D$11:$Q319,CB$4,CB$5)"),"")</f>
        <v/>
      </c>
      <c r="CC80" s="537"/>
      <c r="CD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5-3'!$D$11:$Q319,CD$4,CD$5)"),"")</f>
        <v/>
      </c>
      <c r="CE80" s="537"/>
      <c r="CF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5-3'!$D$11:$Q319,CF$4,CF$5)"),"")</f>
        <v/>
      </c>
      <c r="CG80" s="539"/>
      <c r="CH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5-3'!$D$11:$Q319,CH$4,CH$5)"),"")</f>
        <v/>
      </c>
      <c r="CI80" s="537"/>
      <c r="CJ80" s="537"/>
      <c r="CK80" s="537"/>
      <c r="CL80" s="537"/>
      <c r="CM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5-3'!$D$11:$Q319,CM$4,CM$5)"),"")</f>
        <v/>
      </c>
      <c r="CN80" s="541"/>
      <c r="CO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5-3'!$D$11:$Q319,CO$4,CO$5)"),"")</f>
        <v/>
      </c>
      <c r="CP80" s="540"/>
      <c r="CQ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5-3'!$D$11:$Q319,CQ$4,CQ$5)"),"")</f>
        <v/>
      </c>
      <c r="CR80" s="540"/>
      <c r="CS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5-3'!$D$11:$Q319,CS$4,CS$5)"),"")</f>
        <v/>
      </c>
      <c r="CT80" s="540"/>
      <c r="CU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5-3'!$D$11:$Q319,CU$4,CU$5)"),"")</f>
        <v/>
      </c>
      <c r="CV80" s="545"/>
      <c r="CW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5-3'!$D$11:$Q319,CW$4,CW$5)"),"")</f>
        <v/>
      </c>
      <c r="CX80" s="540"/>
      <c r="CY80" s="540"/>
      <c r="CZ80" s="540"/>
      <c r="DA80" s="540"/>
      <c r="DB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5-3'!$D$11:$Q319,DB$4,DB$5)"),"")</f>
        <v/>
      </c>
      <c r="DC80" s="555"/>
      <c r="DD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5-3'!$D$11:$Q319,DD$4,DD$5)"),"")</f>
        <v/>
      </c>
      <c r="DE80" s="554"/>
      <c r="DF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5-3'!$D$11:$Q319,DF$4,DF$5)"),"")</f>
        <v/>
      </c>
      <c r="DG80" s="554"/>
      <c r="DH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5-3'!$D$11:$Q319,DH$4,DH$5)"),"")</f>
        <v/>
      </c>
      <c r="DI80" s="554"/>
      <c r="DJ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5-3'!$D$11:$Q319,DJ$4,DJ$5)"),"")</f>
        <v/>
      </c>
      <c r="DK80" s="566"/>
      <c r="DL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5-3'!$D$11:$Q319,DL$4,DL$5)"),"")</f>
        <v/>
      </c>
      <c r="DM80" s="554"/>
      <c r="DN80" s="554"/>
      <c r="DO80" s="554"/>
      <c r="DP80" s="554"/>
      <c r="DQ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5-3'!$D$11:$Q319,DQ$4,DQ$5)"),"")</f>
        <v/>
      </c>
      <c r="DR80" s="569"/>
      <c r="DS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5-3'!$D$11:$Q319,DS$4,DS$5)"),"")</f>
        <v/>
      </c>
      <c r="DT80" s="568"/>
      <c r="DU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5-3'!$D$11:$Q319,DU$4,DU$5)"),"")</f>
        <v/>
      </c>
      <c r="DV80" s="568"/>
      <c r="DW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5-3'!$D$11:$Q319,DW$4,DW$5)"),"")</f>
        <v/>
      </c>
      <c r="DX80" s="568"/>
      <c r="DY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5-3'!$D$11:$Q319,DY$4,DY$5)"),"")</f>
        <v/>
      </c>
      <c r="DZ80" s="578"/>
      <c r="EA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$C80, 'S-10 Топ 5-3'!$D$11:$Q319,EA$4,EA$5)"),"")</f>
        <v/>
      </c>
      <c r="EB80" s="568"/>
      <c r="EC80" s="568"/>
      <c r="ED80" s="568"/>
      <c r="EE80" s="568"/>
    </row>
    <row r="81">
      <c r="A81" s="519" t="str">
        <f t="shared" si="1"/>
        <v/>
      </c>
      <c r="B81" s="520" t="str">
        <f>'5-0 Товары'!B81</f>
        <v/>
      </c>
      <c r="C81" s="521" t="str">
        <f>'5-1 Сбор КП Закупки'!C81</f>
        <v/>
      </c>
      <c r="D81" s="521" t="str">
        <f>'5-1 Сбор КП Закупки'!D81</f>
        <v/>
      </c>
      <c r="E81" s="521" t="str">
        <f>'5-1 Сбор КП Закупки'!E81</f>
        <v/>
      </c>
      <c r="F81" s="521" t="str">
        <f>'5-1 Сбор КП Закупки'!F81</f>
        <v/>
      </c>
      <c r="G81" s="522" t="str">
        <f>'5-1 Сбор КП Закупки'!G81</f>
        <v/>
      </c>
      <c r="H81" s="522" t="str">
        <f>'5-1 Сбор КП Закупки'!H81</f>
        <v/>
      </c>
      <c r="I81" s="522" t="str">
        <f>'5-1 Сбор КП Закупки'!I81</f>
        <v/>
      </c>
      <c r="J81" s="197"/>
      <c r="K81" s="522" t="str">
        <f>'5-1 Сбор КП Закупки'!G81</f>
        <v/>
      </c>
      <c r="L81" s="523" t="str">
        <f>IF(A81="Да",'5-1 Сбор КП Закупки'!K81,)</f>
        <v/>
      </c>
      <c r="M81" s="197"/>
      <c r="N81" s="197"/>
      <c r="O81" s="197"/>
      <c r="P81" s="525" t="str">
        <f>'5-1 Сбор КП Закупки'!P81</f>
        <v/>
      </c>
      <c r="Q81" s="197"/>
      <c r="R81" s="197"/>
      <c r="S81" s="197"/>
      <c r="T81" s="197"/>
      <c r="U81" s="197"/>
      <c r="V81" s="197"/>
      <c r="W81" s="522" t="str">
        <f>'5-1 Сбор КП Закупки'!O81</f>
        <v/>
      </c>
      <c r="X81" s="197"/>
      <c r="Y81" s="197"/>
      <c r="Z81" s="197"/>
      <c r="AA81" s="197"/>
      <c r="AB81" s="197">
        <v>0.0</v>
      </c>
      <c r="AC81" s="197"/>
      <c r="AD81" s="197"/>
      <c r="AE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5-3'!$D$11:$Q319,AE$4,AE$5)"),"")</f>
        <v/>
      </c>
      <c r="AF81" s="528"/>
      <c r="AG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5-3'!$D$11:$Q319,AG$4,AG$5)"),"")</f>
        <v/>
      </c>
      <c r="AH81" s="527"/>
      <c r="AI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5-3'!$D$11:$Q319,AI$4,AI$5)"),"")</f>
        <v/>
      </c>
      <c r="AJ81" s="527"/>
      <c r="AK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5-3'!$D$11:$Q319,AK$4,AK$5)"),"")</f>
        <v/>
      </c>
      <c r="AL81" s="527"/>
      <c r="AM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5-3'!$D$11:$Q319,AM$4,AM$5)"),"")</f>
        <v/>
      </c>
      <c r="AN81" s="529"/>
      <c r="AO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5-3'!$D$11:$Q319,AO$4,AO$5)"),"")</f>
        <v/>
      </c>
      <c r="AP81" s="527"/>
      <c r="AQ81" s="527"/>
      <c r="AR81" s="527"/>
      <c r="AS81" s="527"/>
      <c r="AT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5-3'!$D$11:$Q319,AT$4,AT$5)"),"")</f>
        <v/>
      </c>
      <c r="AU81" s="531"/>
      <c r="AV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5-3'!$D$11:$Q319,AV$4,AV$5)"),"")</f>
        <v/>
      </c>
      <c r="AW81" s="530"/>
      <c r="AX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5-3'!$D$11:$Q319,AX$4,AX$5)"),"")</f>
        <v/>
      </c>
      <c r="AY81" s="530"/>
      <c r="AZ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5-3'!$D$11:$Q319,AZ$4,AZ$5)"),"")</f>
        <v/>
      </c>
      <c r="BA81" s="530"/>
      <c r="BB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5-3'!$D$11:$Q319,BB$4,BB$5)"),"")</f>
        <v/>
      </c>
      <c r="BC81" s="532"/>
      <c r="BD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5-3'!$D$11:$Q319,BD$4,BD$5)"),"")</f>
        <v/>
      </c>
      <c r="BE81" s="530"/>
      <c r="BF81" s="530"/>
      <c r="BG81" s="530"/>
      <c r="BH81" s="530"/>
      <c r="BI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5-3'!$D$11:$Q319,BI$4,BI$5)"),"")</f>
        <v/>
      </c>
      <c r="BJ81" s="535"/>
      <c r="BK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5-3'!$D$11:$Q319,BK$4,BK$5)"),"")</f>
        <v/>
      </c>
      <c r="BL81" s="534"/>
      <c r="BM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5-3'!$D$11:$Q319,BM$4,BM$5)"),"")</f>
        <v/>
      </c>
      <c r="BN81" s="534"/>
      <c r="BO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5-3'!$D$11:$Q319,BO$4,BO$5)"),"")</f>
        <v/>
      </c>
      <c r="BP81" s="534"/>
      <c r="BQ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5-3'!$D$11:$Q319,BQ$4,BQ$5)"),"")</f>
        <v/>
      </c>
      <c r="BR81" s="536"/>
      <c r="BS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5-3'!$D$11:$Q319,BS$4,BS$5)"),"")</f>
        <v/>
      </c>
      <c r="BT81" s="534"/>
      <c r="BU81" s="534"/>
      <c r="BV81" s="534"/>
      <c r="BW81" s="534"/>
      <c r="BX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5-3'!$D$11:$Q319,BX$4,BX$5)"),"")</f>
        <v/>
      </c>
      <c r="BY81" s="538"/>
      <c r="BZ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5-3'!$D$11:$Q319,BZ$4,BZ$5)"),"")</f>
        <v/>
      </c>
      <c r="CA81" s="537"/>
      <c r="CB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5-3'!$D$11:$Q319,CB$4,CB$5)"),"")</f>
        <v/>
      </c>
      <c r="CC81" s="537"/>
      <c r="CD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5-3'!$D$11:$Q319,CD$4,CD$5)"),"")</f>
        <v/>
      </c>
      <c r="CE81" s="537"/>
      <c r="CF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5-3'!$D$11:$Q319,CF$4,CF$5)"),"")</f>
        <v/>
      </c>
      <c r="CG81" s="539"/>
      <c r="CH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5-3'!$D$11:$Q319,CH$4,CH$5)"),"")</f>
        <v/>
      </c>
      <c r="CI81" s="537"/>
      <c r="CJ81" s="537"/>
      <c r="CK81" s="537"/>
      <c r="CL81" s="537"/>
      <c r="CM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5-3'!$D$11:$Q319,CM$4,CM$5)"),"")</f>
        <v/>
      </c>
      <c r="CN81" s="541"/>
      <c r="CO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5-3'!$D$11:$Q319,CO$4,CO$5)"),"")</f>
        <v/>
      </c>
      <c r="CP81" s="540"/>
      <c r="CQ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5-3'!$D$11:$Q319,CQ$4,CQ$5)"),"")</f>
        <v/>
      </c>
      <c r="CR81" s="540"/>
      <c r="CS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5-3'!$D$11:$Q319,CS$4,CS$5)"),"")</f>
        <v/>
      </c>
      <c r="CT81" s="540"/>
      <c r="CU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5-3'!$D$11:$Q319,CU$4,CU$5)"),"")</f>
        <v/>
      </c>
      <c r="CV81" s="545"/>
      <c r="CW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5-3'!$D$11:$Q319,CW$4,CW$5)"),"")</f>
        <v/>
      </c>
      <c r="CX81" s="540"/>
      <c r="CY81" s="540"/>
      <c r="CZ81" s="540"/>
      <c r="DA81" s="540"/>
      <c r="DB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5-3'!$D$11:$Q319,DB$4,DB$5)"),"")</f>
        <v/>
      </c>
      <c r="DC81" s="555"/>
      <c r="DD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5-3'!$D$11:$Q319,DD$4,DD$5)"),"")</f>
        <v/>
      </c>
      <c r="DE81" s="554"/>
      <c r="DF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5-3'!$D$11:$Q319,DF$4,DF$5)"),"")</f>
        <v/>
      </c>
      <c r="DG81" s="554"/>
      <c r="DH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5-3'!$D$11:$Q319,DH$4,DH$5)"),"")</f>
        <v/>
      </c>
      <c r="DI81" s="554"/>
      <c r="DJ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5-3'!$D$11:$Q319,DJ$4,DJ$5)"),"")</f>
        <v/>
      </c>
      <c r="DK81" s="566"/>
      <c r="DL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5-3'!$D$11:$Q319,DL$4,DL$5)"),"")</f>
        <v/>
      </c>
      <c r="DM81" s="554"/>
      <c r="DN81" s="554"/>
      <c r="DO81" s="554"/>
      <c r="DP81" s="554"/>
      <c r="DQ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5-3'!$D$11:$Q319,DQ$4,DQ$5)"),"")</f>
        <v/>
      </c>
      <c r="DR81" s="569"/>
      <c r="DS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5-3'!$D$11:$Q319,DS$4,DS$5)"),"")</f>
        <v/>
      </c>
      <c r="DT81" s="568"/>
      <c r="DU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5-3'!$D$11:$Q319,DU$4,DU$5)"),"")</f>
        <v/>
      </c>
      <c r="DV81" s="568"/>
      <c r="DW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5-3'!$D$11:$Q319,DW$4,DW$5)"),"")</f>
        <v/>
      </c>
      <c r="DX81" s="568"/>
      <c r="DY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5-3'!$D$11:$Q319,DY$4,DY$5)"),"")</f>
        <v/>
      </c>
      <c r="DZ81" s="578"/>
      <c r="EA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$C81, 'S-10 Топ 5-3'!$D$11:$Q319,EA$4,EA$5)"),"")</f>
        <v/>
      </c>
      <c r="EB81" s="568"/>
      <c r="EC81" s="568"/>
      <c r="ED81" s="568"/>
      <c r="EE81" s="568"/>
    </row>
    <row r="82">
      <c r="A82" s="519" t="str">
        <f t="shared" si="1"/>
        <v/>
      </c>
      <c r="B82" s="520" t="str">
        <f>'5-0 Товары'!B82</f>
        <v/>
      </c>
      <c r="C82" s="521" t="str">
        <f>'5-1 Сбор КП Закупки'!C82</f>
        <v/>
      </c>
      <c r="D82" s="521" t="str">
        <f>'5-1 Сбор КП Закупки'!D82</f>
        <v/>
      </c>
      <c r="E82" s="521" t="str">
        <f>'5-1 Сбор КП Закупки'!E82</f>
        <v/>
      </c>
      <c r="F82" s="521" t="str">
        <f>'5-1 Сбор КП Закупки'!F82</f>
        <v/>
      </c>
      <c r="G82" s="522" t="str">
        <f>'5-1 Сбор КП Закупки'!G82</f>
        <v/>
      </c>
      <c r="H82" s="522" t="str">
        <f>'5-1 Сбор КП Закупки'!H82</f>
        <v/>
      </c>
      <c r="I82" s="522" t="str">
        <f>'5-1 Сбор КП Закупки'!I82</f>
        <v/>
      </c>
      <c r="J82" s="197"/>
      <c r="K82" s="522" t="str">
        <f>'5-1 Сбор КП Закупки'!G82</f>
        <v/>
      </c>
      <c r="L82" s="523" t="str">
        <f>IF(A82="Да",'5-1 Сбор КП Закупки'!K82,)</f>
        <v/>
      </c>
      <c r="M82" s="197"/>
      <c r="N82" s="197"/>
      <c r="O82" s="197"/>
      <c r="P82" s="525" t="str">
        <f>'5-1 Сбор КП Закупки'!P82</f>
        <v/>
      </c>
      <c r="Q82" s="197"/>
      <c r="R82" s="197"/>
      <c r="S82" s="197"/>
      <c r="T82" s="197"/>
      <c r="U82" s="197"/>
      <c r="V82" s="197"/>
      <c r="W82" s="522" t="str">
        <f>'5-1 Сбор КП Закупки'!O82</f>
        <v/>
      </c>
      <c r="X82" s="197"/>
      <c r="Y82" s="197"/>
      <c r="Z82" s="197"/>
      <c r="AA82" s="197"/>
      <c r="AB82" s="197">
        <v>0.0</v>
      </c>
      <c r="AC82" s="197"/>
      <c r="AD82" s="197"/>
      <c r="AE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5-3'!$D$11:$Q319,AE$4,AE$5)"),"")</f>
        <v/>
      </c>
      <c r="AF82" s="528"/>
      <c r="AG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5-3'!$D$11:$Q319,AG$4,AG$5)"),"")</f>
        <v/>
      </c>
      <c r="AH82" s="527"/>
      <c r="AI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5-3'!$D$11:$Q319,AI$4,AI$5)"),"")</f>
        <v/>
      </c>
      <c r="AJ82" s="527"/>
      <c r="AK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5-3'!$D$11:$Q319,AK$4,AK$5)"),"")</f>
        <v/>
      </c>
      <c r="AL82" s="527"/>
      <c r="AM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5-3'!$D$11:$Q319,AM$4,AM$5)"),"")</f>
        <v/>
      </c>
      <c r="AN82" s="529"/>
      <c r="AO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5-3'!$D$11:$Q319,AO$4,AO$5)"),"")</f>
        <v/>
      </c>
      <c r="AP82" s="527"/>
      <c r="AQ82" s="527"/>
      <c r="AR82" s="527"/>
      <c r="AS82" s="527"/>
      <c r="AT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5-3'!$D$11:$Q319,AT$4,AT$5)"),"")</f>
        <v/>
      </c>
      <c r="AU82" s="531"/>
      <c r="AV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5-3'!$D$11:$Q319,AV$4,AV$5)"),"")</f>
        <v/>
      </c>
      <c r="AW82" s="530"/>
      <c r="AX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5-3'!$D$11:$Q319,AX$4,AX$5)"),"")</f>
        <v/>
      </c>
      <c r="AY82" s="530"/>
      <c r="AZ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5-3'!$D$11:$Q319,AZ$4,AZ$5)"),"")</f>
        <v/>
      </c>
      <c r="BA82" s="530"/>
      <c r="BB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5-3'!$D$11:$Q319,BB$4,BB$5)"),"")</f>
        <v/>
      </c>
      <c r="BC82" s="532"/>
      <c r="BD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5-3'!$D$11:$Q319,BD$4,BD$5)"),"")</f>
        <v/>
      </c>
      <c r="BE82" s="530"/>
      <c r="BF82" s="530"/>
      <c r="BG82" s="530"/>
      <c r="BH82" s="530"/>
      <c r="BI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5-3'!$D$11:$Q319,BI$4,BI$5)"),"")</f>
        <v/>
      </c>
      <c r="BJ82" s="535"/>
      <c r="BK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5-3'!$D$11:$Q319,BK$4,BK$5)"),"")</f>
        <v/>
      </c>
      <c r="BL82" s="534"/>
      <c r="BM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5-3'!$D$11:$Q319,BM$4,BM$5)"),"")</f>
        <v/>
      </c>
      <c r="BN82" s="534"/>
      <c r="BO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5-3'!$D$11:$Q319,BO$4,BO$5)"),"")</f>
        <v/>
      </c>
      <c r="BP82" s="534"/>
      <c r="BQ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5-3'!$D$11:$Q319,BQ$4,BQ$5)"),"")</f>
        <v/>
      </c>
      <c r="BR82" s="536"/>
      <c r="BS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5-3'!$D$11:$Q319,BS$4,BS$5)"),"")</f>
        <v/>
      </c>
      <c r="BT82" s="534"/>
      <c r="BU82" s="534"/>
      <c r="BV82" s="534"/>
      <c r="BW82" s="534"/>
      <c r="BX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5-3'!$D$11:$Q319,BX$4,BX$5)"),"")</f>
        <v/>
      </c>
      <c r="BY82" s="538"/>
      <c r="BZ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5-3'!$D$11:$Q319,BZ$4,BZ$5)"),"")</f>
        <v/>
      </c>
      <c r="CA82" s="537"/>
      <c r="CB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5-3'!$D$11:$Q319,CB$4,CB$5)"),"")</f>
        <v/>
      </c>
      <c r="CC82" s="537"/>
      <c r="CD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5-3'!$D$11:$Q319,CD$4,CD$5)"),"")</f>
        <v/>
      </c>
      <c r="CE82" s="537"/>
      <c r="CF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5-3'!$D$11:$Q319,CF$4,CF$5)"),"")</f>
        <v/>
      </c>
      <c r="CG82" s="539"/>
      <c r="CH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5-3'!$D$11:$Q319,CH$4,CH$5)"),"")</f>
        <v/>
      </c>
      <c r="CI82" s="537"/>
      <c r="CJ82" s="537"/>
      <c r="CK82" s="537"/>
      <c r="CL82" s="537"/>
      <c r="CM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5-3'!$D$11:$Q319,CM$4,CM$5)"),"")</f>
        <v/>
      </c>
      <c r="CN82" s="541"/>
      <c r="CO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5-3'!$D$11:$Q319,CO$4,CO$5)"),"")</f>
        <v/>
      </c>
      <c r="CP82" s="540"/>
      <c r="CQ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5-3'!$D$11:$Q319,CQ$4,CQ$5)"),"")</f>
        <v/>
      </c>
      <c r="CR82" s="540"/>
      <c r="CS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5-3'!$D$11:$Q319,CS$4,CS$5)"),"")</f>
        <v/>
      </c>
      <c r="CT82" s="540"/>
      <c r="CU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5-3'!$D$11:$Q319,CU$4,CU$5)"),"")</f>
        <v/>
      </c>
      <c r="CV82" s="545"/>
      <c r="CW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5-3'!$D$11:$Q319,CW$4,CW$5)"),"")</f>
        <v/>
      </c>
      <c r="CX82" s="540"/>
      <c r="CY82" s="540"/>
      <c r="CZ82" s="540"/>
      <c r="DA82" s="540"/>
      <c r="DB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5-3'!$D$11:$Q319,DB$4,DB$5)"),"")</f>
        <v/>
      </c>
      <c r="DC82" s="555"/>
      <c r="DD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5-3'!$D$11:$Q319,DD$4,DD$5)"),"")</f>
        <v/>
      </c>
      <c r="DE82" s="554"/>
      <c r="DF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5-3'!$D$11:$Q319,DF$4,DF$5)"),"")</f>
        <v/>
      </c>
      <c r="DG82" s="554"/>
      <c r="DH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5-3'!$D$11:$Q319,DH$4,DH$5)"),"")</f>
        <v/>
      </c>
      <c r="DI82" s="554"/>
      <c r="DJ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5-3'!$D$11:$Q319,DJ$4,DJ$5)"),"")</f>
        <v/>
      </c>
      <c r="DK82" s="566"/>
      <c r="DL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5-3'!$D$11:$Q319,DL$4,DL$5)"),"")</f>
        <v/>
      </c>
      <c r="DM82" s="554"/>
      <c r="DN82" s="554"/>
      <c r="DO82" s="554"/>
      <c r="DP82" s="554"/>
      <c r="DQ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5-3'!$D$11:$Q319,DQ$4,DQ$5)"),"")</f>
        <v/>
      </c>
      <c r="DR82" s="569"/>
      <c r="DS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5-3'!$D$11:$Q319,DS$4,DS$5)"),"")</f>
        <v/>
      </c>
      <c r="DT82" s="568"/>
      <c r="DU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5-3'!$D$11:$Q319,DU$4,DU$5)"),"")</f>
        <v/>
      </c>
      <c r="DV82" s="568"/>
      <c r="DW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5-3'!$D$11:$Q319,DW$4,DW$5)"),"")</f>
        <v/>
      </c>
      <c r="DX82" s="568"/>
      <c r="DY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5-3'!$D$11:$Q319,DY$4,DY$5)"),"")</f>
        <v/>
      </c>
      <c r="DZ82" s="578"/>
      <c r="EA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$C82, 'S-10 Топ 5-3'!$D$11:$Q319,EA$4,EA$5)"),"")</f>
        <v/>
      </c>
      <c r="EB82" s="568"/>
      <c r="EC82" s="568"/>
      <c r="ED82" s="568"/>
      <c r="EE82" s="568"/>
    </row>
    <row r="83">
      <c r="A83" s="519" t="str">
        <f t="shared" si="1"/>
        <v/>
      </c>
      <c r="B83" s="520" t="str">
        <f>'5-0 Товары'!B83</f>
        <v/>
      </c>
      <c r="C83" s="521" t="str">
        <f>'5-1 Сбор КП Закупки'!C83</f>
        <v/>
      </c>
      <c r="D83" s="521" t="str">
        <f>'5-1 Сбор КП Закупки'!D83</f>
        <v/>
      </c>
      <c r="E83" s="521" t="str">
        <f>'5-1 Сбор КП Закупки'!E83</f>
        <v/>
      </c>
      <c r="F83" s="521" t="str">
        <f>'5-1 Сбор КП Закупки'!F83</f>
        <v/>
      </c>
      <c r="G83" s="522" t="str">
        <f>'5-1 Сбор КП Закупки'!G83</f>
        <v/>
      </c>
      <c r="H83" s="522" t="str">
        <f>'5-1 Сбор КП Закупки'!H83</f>
        <v/>
      </c>
      <c r="I83" s="522" t="str">
        <f>'5-1 Сбор КП Закупки'!I83</f>
        <v/>
      </c>
      <c r="J83" s="197"/>
      <c r="K83" s="522" t="str">
        <f>'5-1 Сбор КП Закупки'!G83</f>
        <v/>
      </c>
      <c r="L83" s="523" t="str">
        <f>IF(A83="Да",'5-1 Сбор КП Закупки'!K83,)</f>
        <v/>
      </c>
      <c r="M83" s="197"/>
      <c r="N83" s="197"/>
      <c r="O83" s="197"/>
      <c r="P83" s="525" t="str">
        <f>'5-1 Сбор КП Закупки'!P83</f>
        <v/>
      </c>
      <c r="Q83" s="197"/>
      <c r="R83" s="197"/>
      <c r="S83" s="197"/>
      <c r="T83" s="197"/>
      <c r="U83" s="197"/>
      <c r="V83" s="197"/>
      <c r="W83" s="522" t="str">
        <f>'5-1 Сбор КП Закупки'!O83</f>
        <v/>
      </c>
      <c r="X83" s="197"/>
      <c r="Y83" s="197"/>
      <c r="Z83" s="197"/>
      <c r="AA83" s="197"/>
      <c r="AB83" s="197">
        <v>0.0</v>
      </c>
      <c r="AC83" s="197"/>
      <c r="AD83" s="197"/>
      <c r="AE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5-3'!$D$11:$Q319,AE$4,AE$5)"),"")</f>
        <v/>
      </c>
      <c r="AF83" s="528"/>
      <c r="AG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5-3'!$D$11:$Q319,AG$4,AG$5)"),"")</f>
        <v/>
      </c>
      <c r="AH83" s="527"/>
      <c r="AI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5-3'!$D$11:$Q319,AI$4,AI$5)"),"")</f>
        <v/>
      </c>
      <c r="AJ83" s="527"/>
      <c r="AK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5-3'!$D$11:$Q319,AK$4,AK$5)"),"")</f>
        <v/>
      </c>
      <c r="AL83" s="527"/>
      <c r="AM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5-3'!$D$11:$Q319,AM$4,AM$5)"),"")</f>
        <v/>
      </c>
      <c r="AN83" s="529"/>
      <c r="AO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5-3'!$D$11:$Q319,AO$4,AO$5)"),"")</f>
        <v/>
      </c>
      <c r="AP83" s="527"/>
      <c r="AQ83" s="527"/>
      <c r="AR83" s="527"/>
      <c r="AS83" s="527"/>
      <c r="AT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5-3'!$D$11:$Q319,AT$4,AT$5)"),"")</f>
        <v/>
      </c>
      <c r="AU83" s="531"/>
      <c r="AV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5-3'!$D$11:$Q319,AV$4,AV$5)"),"")</f>
        <v/>
      </c>
      <c r="AW83" s="530"/>
      <c r="AX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5-3'!$D$11:$Q319,AX$4,AX$5)"),"")</f>
        <v/>
      </c>
      <c r="AY83" s="530"/>
      <c r="AZ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5-3'!$D$11:$Q319,AZ$4,AZ$5)"),"")</f>
        <v/>
      </c>
      <c r="BA83" s="530"/>
      <c r="BB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5-3'!$D$11:$Q319,BB$4,BB$5)"),"")</f>
        <v/>
      </c>
      <c r="BC83" s="532"/>
      <c r="BD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5-3'!$D$11:$Q319,BD$4,BD$5)"),"")</f>
        <v/>
      </c>
      <c r="BE83" s="530"/>
      <c r="BF83" s="530"/>
      <c r="BG83" s="530"/>
      <c r="BH83" s="530"/>
      <c r="BI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5-3'!$D$11:$Q319,BI$4,BI$5)"),"")</f>
        <v/>
      </c>
      <c r="BJ83" s="535"/>
      <c r="BK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5-3'!$D$11:$Q319,BK$4,BK$5)"),"")</f>
        <v/>
      </c>
      <c r="BL83" s="534"/>
      <c r="BM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5-3'!$D$11:$Q319,BM$4,BM$5)"),"")</f>
        <v/>
      </c>
      <c r="BN83" s="534"/>
      <c r="BO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5-3'!$D$11:$Q319,BO$4,BO$5)"),"")</f>
        <v/>
      </c>
      <c r="BP83" s="534"/>
      <c r="BQ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5-3'!$D$11:$Q319,BQ$4,BQ$5)"),"")</f>
        <v/>
      </c>
      <c r="BR83" s="536"/>
      <c r="BS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5-3'!$D$11:$Q319,BS$4,BS$5)"),"")</f>
        <v/>
      </c>
      <c r="BT83" s="534"/>
      <c r="BU83" s="534"/>
      <c r="BV83" s="534"/>
      <c r="BW83" s="534"/>
      <c r="BX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5-3'!$D$11:$Q319,BX$4,BX$5)"),"")</f>
        <v/>
      </c>
      <c r="BY83" s="538"/>
      <c r="BZ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5-3'!$D$11:$Q319,BZ$4,BZ$5)"),"")</f>
        <v/>
      </c>
      <c r="CA83" s="537"/>
      <c r="CB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5-3'!$D$11:$Q319,CB$4,CB$5)"),"")</f>
        <v/>
      </c>
      <c r="CC83" s="537"/>
      <c r="CD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5-3'!$D$11:$Q319,CD$4,CD$5)"),"")</f>
        <v/>
      </c>
      <c r="CE83" s="537"/>
      <c r="CF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5-3'!$D$11:$Q319,CF$4,CF$5)"),"")</f>
        <v/>
      </c>
      <c r="CG83" s="539"/>
      <c r="CH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5-3'!$D$11:$Q319,CH$4,CH$5)"),"")</f>
        <v/>
      </c>
      <c r="CI83" s="537"/>
      <c r="CJ83" s="537"/>
      <c r="CK83" s="537"/>
      <c r="CL83" s="537"/>
      <c r="CM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5-3'!$D$11:$Q319,CM$4,CM$5)"),"")</f>
        <v/>
      </c>
      <c r="CN83" s="541"/>
      <c r="CO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5-3'!$D$11:$Q319,CO$4,CO$5)"),"")</f>
        <v/>
      </c>
      <c r="CP83" s="540"/>
      <c r="CQ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5-3'!$D$11:$Q319,CQ$4,CQ$5)"),"")</f>
        <v/>
      </c>
      <c r="CR83" s="540"/>
      <c r="CS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5-3'!$D$11:$Q319,CS$4,CS$5)"),"")</f>
        <v/>
      </c>
      <c r="CT83" s="540"/>
      <c r="CU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5-3'!$D$11:$Q319,CU$4,CU$5)"),"")</f>
        <v/>
      </c>
      <c r="CV83" s="545"/>
      <c r="CW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5-3'!$D$11:$Q319,CW$4,CW$5)"),"")</f>
        <v/>
      </c>
      <c r="CX83" s="540"/>
      <c r="CY83" s="540"/>
      <c r="CZ83" s="540"/>
      <c r="DA83" s="540"/>
      <c r="DB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5-3'!$D$11:$Q319,DB$4,DB$5)"),"")</f>
        <v/>
      </c>
      <c r="DC83" s="555"/>
      <c r="DD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5-3'!$D$11:$Q319,DD$4,DD$5)"),"")</f>
        <v/>
      </c>
      <c r="DE83" s="554"/>
      <c r="DF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5-3'!$D$11:$Q319,DF$4,DF$5)"),"")</f>
        <v/>
      </c>
      <c r="DG83" s="554"/>
      <c r="DH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5-3'!$D$11:$Q319,DH$4,DH$5)"),"")</f>
        <v/>
      </c>
      <c r="DI83" s="554"/>
      <c r="DJ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5-3'!$D$11:$Q319,DJ$4,DJ$5)"),"")</f>
        <v/>
      </c>
      <c r="DK83" s="566"/>
      <c r="DL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5-3'!$D$11:$Q319,DL$4,DL$5)"),"")</f>
        <v/>
      </c>
      <c r="DM83" s="554"/>
      <c r="DN83" s="554"/>
      <c r="DO83" s="554"/>
      <c r="DP83" s="554"/>
      <c r="DQ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5-3'!$D$11:$Q319,DQ$4,DQ$5)"),"")</f>
        <v/>
      </c>
      <c r="DR83" s="569"/>
      <c r="DS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5-3'!$D$11:$Q319,DS$4,DS$5)"),"")</f>
        <v/>
      </c>
      <c r="DT83" s="568"/>
      <c r="DU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5-3'!$D$11:$Q319,DU$4,DU$5)"),"")</f>
        <v/>
      </c>
      <c r="DV83" s="568"/>
      <c r="DW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5-3'!$D$11:$Q319,DW$4,DW$5)"),"")</f>
        <v/>
      </c>
      <c r="DX83" s="568"/>
      <c r="DY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5-3'!$D$11:$Q319,DY$4,DY$5)"),"")</f>
        <v/>
      </c>
      <c r="DZ83" s="578"/>
      <c r="EA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$C83, 'S-10 Топ 5-3'!$D$11:$Q319,EA$4,EA$5)"),"")</f>
        <v/>
      </c>
      <c r="EB83" s="568"/>
      <c r="EC83" s="568"/>
      <c r="ED83" s="568"/>
      <c r="EE83" s="568"/>
    </row>
    <row r="84">
      <c r="A84" s="519" t="str">
        <f t="shared" si="1"/>
        <v/>
      </c>
      <c r="B84" s="520" t="str">
        <f>'5-0 Товары'!B84</f>
        <v/>
      </c>
      <c r="C84" s="521" t="str">
        <f>'5-1 Сбор КП Закупки'!C84</f>
        <v/>
      </c>
      <c r="D84" s="521" t="str">
        <f>'5-1 Сбор КП Закупки'!D84</f>
        <v/>
      </c>
      <c r="E84" s="521" t="str">
        <f>'5-1 Сбор КП Закупки'!E84</f>
        <v/>
      </c>
      <c r="F84" s="521" t="str">
        <f>'5-1 Сбор КП Закупки'!F84</f>
        <v/>
      </c>
      <c r="G84" s="522" t="str">
        <f>'5-1 Сбор КП Закупки'!G84</f>
        <v/>
      </c>
      <c r="H84" s="522" t="str">
        <f>'5-1 Сбор КП Закупки'!H84</f>
        <v/>
      </c>
      <c r="I84" s="522" t="str">
        <f>'5-1 Сбор КП Закупки'!I84</f>
        <v/>
      </c>
      <c r="J84" s="197"/>
      <c r="K84" s="522" t="str">
        <f>'5-1 Сбор КП Закупки'!G84</f>
        <v/>
      </c>
      <c r="L84" s="523" t="str">
        <f>IF(A84="Да",'5-1 Сбор КП Закупки'!K84,)</f>
        <v/>
      </c>
      <c r="M84" s="197"/>
      <c r="N84" s="197"/>
      <c r="O84" s="197"/>
      <c r="P84" s="525" t="str">
        <f>'5-1 Сбор КП Закупки'!P84</f>
        <v/>
      </c>
      <c r="Q84" s="197"/>
      <c r="R84" s="197"/>
      <c r="S84" s="197"/>
      <c r="T84" s="197"/>
      <c r="U84" s="197"/>
      <c r="V84" s="197"/>
      <c r="W84" s="522" t="str">
        <f>'5-1 Сбор КП Закупки'!O84</f>
        <v/>
      </c>
      <c r="X84" s="197"/>
      <c r="Y84" s="197"/>
      <c r="Z84" s="197"/>
      <c r="AA84" s="197"/>
      <c r="AB84" s="197">
        <v>0.0</v>
      </c>
      <c r="AC84" s="197"/>
      <c r="AD84" s="197"/>
      <c r="AE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5-3'!$D$11:$Q319,AE$4,AE$5)"),"")</f>
        <v/>
      </c>
      <c r="AF84" s="528"/>
      <c r="AG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5-3'!$D$11:$Q319,AG$4,AG$5)"),"")</f>
        <v/>
      </c>
      <c r="AH84" s="527"/>
      <c r="AI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5-3'!$D$11:$Q319,AI$4,AI$5)"),"")</f>
        <v/>
      </c>
      <c r="AJ84" s="527"/>
      <c r="AK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5-3'!$D$11:$Q319,AK$4,AK$5)"),"")</f>
        <v/>
      </c>
      <c r="AL84" s="527"/>
      <c r="AM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5-3'!$D$11:$Q319,AM$4,AM$5)"),"")</f>
        <v/>
      </c>
      <c r="AN84" s="529"/>
      <c r="AO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5-3'!$D$11:$Q319,AO$4,AO$5)"),"")</f>
        <v/>
      </c>
      <c r="AP84" s="527"/>
      <c r="AQ84" s="527"/>
      <c r="AR84" s="527"/>
      <c r="AS84" s="527"/>
      <c r="AT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5-3'!$D$11:$Q319,AT$4,AT$5)"),"")</f>
        <v/>
      </c>
      <c r="AU84" s="531"/>
      <c r="AV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5-3'!$D$11:$Q319,AV$4,AV$5)"),"")</f>
        <v/>
      </c>
      <c r="AW84" s="530"/>
      <c r="AX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5-3'!$D$11:$Q319,AX$4,AX$5)"),"")</f>
        <v/>
      </c>
      <c r="AY84" s="530"/>
      <c r="AZ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5-3'!$D$11:$Q319,AZ$4,AZ$5)"),"")</f>
        <v/>
      </c>
      <c r="BA84" s="530"/>
      <c r="BB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5-3'!$D$11:$Q319,BB$4,BB$5)"),"")</f>
        <v/>
      </c>
      <c r="BC84" s="532"/>
      <c r="BD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5-3'!$D$11:$Q319,BD$4,BD$5)"),"")</f>
        <v/>
      </c>
      <c r="BE84" s="530"/>
      <c r="BF84" s="530"/>
      <c r="BG84" s="530"/>
      <c r="BH84" s="530"/>
      <c r="BI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5-3'!$D$11:$Q319,BI$4,BI$5)"),"")</f>
        <v/>
      </c>
      <c r="BJ84" s="535"/>
      <c r="BK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5-3'!$D$11:$Q319,BK$4,BK$5)"),"")</f>
        <v/>
      </c>
      <c r="BL84" s="534"/>
      <c r="BM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5-3'!$D$11:$Q319,BM$4,BM$5)"),"")</f>
        <v/>
      </c>
      <c r="BN84" s="534"/>
      <c r="BO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5-3'!$D$11:$Q319,BO$4,BO$5)"),"")</f>
        <v/>
      </c>
      <c r="BP84" s="534"/>
      <c r="BQ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5-3'!$D$11:$Q319,BQ$4,BQ$5)"),"")</f>
        <v/>
      </c>
      <c r="BR84" s="536"/>
      <c r="BS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5-3'!$D$11:$Q319,BS$4,BS$5)"),"")</f>
        <v/>
      </c>
      <c r="BT84" s="534"/>
      <c r="BU84" s="534"/>
      <c r="BV84" s="534"/>
      <c r="BW84" s="534"/>
      <c r="BX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5-3'!$D$11:$Q319,BX$4,BX$5)"),"")</f>
        <v/>
      </c>
      <c r="BY84" s="538"/>
      <c r="BZ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5-3'!$D$11:$Q319,BZ$4,BZ$5)"),"")</f>
        <v/>
      </c>
      <c r="CA84" s="537"/>
      <c r="CB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5-3'!$D$11:$Q319,CB$4,CB$5)"),"")</f>
        <v/>
      </c>
      <c r="CC84" s="537"/>
      <c r="CD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5-3'!$D$11:$Q319,CD$4,CD$5)"),"")</f>
        <v/>
      </c>
      <c r="CE84" s="537"/>
      <c r="CF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5-3'!$D$11:$Q319,CF$4,CF$5)"),"")</f>
        <v/>
      </c>
      <c r="CG84" s="539"/>
      <c r="CH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5-3'!$D$11:$Q319,CH$4,CH$5)"),"")</f>
        <v/>
      </c>
      <c r="CI84" s="537"/>
      <c r="CJ84" s="537"/>
      <c r="CK84" s="537"/>
      <c r="CL84" s="537"/>
      <c r="CM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5-3'!$D$11:$Q319,CM$4,CM$5)"),"")</f>
        <v/>
      </c>
      <c r="CN84" s="541"/>
      <c r="CO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5-3'!$D$11:$Q319,CO$4,CO$5)"),"")</f>
        <v/>
      </c>
      <c r="CP84" s="540"/>
      <c r="CQ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5-3'!$D$11:$Q319,CQ$4,CQ$5)"),"")</f>
        <v/>
      </c>
      <c r="CR84" s="540"/>
      <c r="CS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5-3'!$D$11:$Q319,CS$4,CS$5)"),"")</f>
        <v/>
      </c>
      <c r="CT84" s="540"/>
      <c r="CU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5-3'!$D$11:$Q319,CU$4,CU$5)"),"")</f>
        <v/>
      </c>
      <c r="CV84" s="545"/>
      <c r="CW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5-3'!$D$11:$Q319,CW$4,CW$5)"),"")</f>
        <v/>
      </c>
      <c r="CX84" s="540"/>
      <c r="CY84" s="540"/>
      <c r="CZ84" s="540"/>
      <c r="DA84" s="540"/>
      <c r="DB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5-3'!$D$11:$Q319,DB$4,DB$5)"),"")</f>
        <v/>
      </c>
      <c r="DC84" s="555"/>
      <c r="DD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5-3'!$D$11:$Q319,DD$4,DD$5)"),"")</f>
        <v/>
      </c>
      <c r="DE84" s="554"/>
      <c r="DF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5-3'!$D$11:$Q319,DF$4,DF$5)"),"")</f>
        <v/>
      </c>
      <c r="DG84" s="554"/>
      <c r="DH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5-3'!$D$11:$Q319,DH$4,DH$5)"),"")</f>
        <v/>
      </c>
      <c r="DI84" s="554"/>
      <c r="DJ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5-3'!$D$11:$Q319,DJ$4,DJ$5)"),"")</f>
        <v/>
      </c>
      <c r="DK84" s="566"/>
      <c r="DL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5-3'!$D$11:$Q319,DL$4,DL$5)"),"")</f>
        <v/>
      </c>
      <c r="DM84" s="554"/>
      <c r="DN84" s="554"/>
      <c r="DO84" s="554"/>
      <c r="DP84" s="554"/>
      <c r="DQ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5-3'!$D$11:$Q319,DQ$4,DQ$5)"),"")</f>
        <v/>
      </c>
      <c r="DR84" s="569"/>
      <c r="DS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5-3'!$D$11:$Q319,DS$4,DS$5)"),"")</f>
        <v/>
      </c>
      <c r="DT84" s="568"/>
      <c r="DU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5-3'!$D$11:$Q319,DU$4,DU$5)"),"")</f>
        <v/>
      </c>
      <c r="DV84" s="568"/>
      <c r="DW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5-3'!$D$11:$Q319,DW$4,DW$5)"),"")</f>
        <v/>
      </c>
      <c r="DX84" s="568"/>
      <c r="DY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5-3'!$D$11:$Q319,DY$4,DY$5)"),"")</f>
        <v/>
      </c>
      <c r="DZ84" s="578"/>
      <c r="EA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$C84, 'S-10 Топ 5-3'!$D$11:$Q319,EA$4,EA$5)"),"")</f>
        <v/>
      </c>
      <c r="EB84" s="568"/>
      <c r="EC84" s="568"/>
      <c r="ED84" s="568"/>
      <c r="EE84" s="568"/>
    </row>
    <row r="85">
      <c r="A85" s="519" t="str">
        <f t="shared" si="1"/>
        <v/>
      </c>
      <c r="B85" s="520" t="str">
        <f>'5-0 Товары'!B85</f>
        <v/>
      </c>
      <c r="C85" s="521" t="str">
        <f>'5-1 Сбор КП Закупки'!C85</f>
        <v/>
      </c>
      <c r="D85" s="521" t="str">
        <f>'5-1 Сбор КП Закупки'!D85</f>
        <v/>
      </c>
      <c r="E85" s="521" t="str">
        <f>'5-1 Сбор КП Закупки'!E85</f>
        <v/>
      </c>
      <c r="F85" s="521" t="str">
        <f>'5-1 Сбор КП Закупки'!F85</f>
        <v/>
      </c>
      <c r="G85" s="522" t="str">
        <f>'5-1 Сбор КП Закупки'!G85</f>
        <v/>
      </c>
      <c r="H85" s="522" t="str">
        <f>'5-1 Сбор КП Закупки'!H85</f>
        <v/>
      </c>
      <c r="I85" s="522" t="str">
        <f>'5-1 Сбор КП Закупки'!I85</f>
        <v/>
      </c>
      <c r="J85" s="197"/>
      <c r="K85" s="522" t="str">
        <f>'5-1 Сбор КП Закупки'!G85</f>
        <v/>
      </c>
      <c r="L85" s="523" t="str">
        <f>IF(A85="Да",'5-1 Сбор КП Закупки'!K85,)</f>
        <v/>
      </c>
      <c r="M85" s="197"/>
      <c r="N85" s="197"/>
      <c r="O85" s="197"/>
      <c r="P85" s="525" t="str">
        <f>'5-1 Сбор КП Закупки'!P85</f>
        <v/>
      </c>
      <c r="Q85" s="197"/>
      <c r="R85" s="197"/>
      <c r="S85" s="197"/>
      <c r="T85" s="197"/>
      <c r="U85" s="197"/>
      <c r="V85" s="197"/>
      <c r="W85" s="522" t="str">
        <f>'5-1 Сбор КП Закупки'!O85</f>
        <v/>
      </c>
      <c r="X85" s="197"/>
      <c r="Y85" s="197"/>
      <c r="Z85" s="197"/>
      <c r="AA85" s="197"/>
      <c r="AB85" s="197">
        <v>0.0</v>
      </c>
      <c r="AC85" s="197"/>
      <c r="AD85" s="197"/>
      <c r="AE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5-3'!$D$11:$Q319,AE$4,AE$5)"),"")</f>
        <v/>
      </c>
      <c r="AF85" s="528"/>
      <c r="AG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5-3'!$D$11:$Q319,AG$4,AG$5)"),"")</f>
        <v/>
      </c>
      <c r="AH85" s="527"/>
      <c r="AI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5-3'!$D$11:$Q319,AI$4,AI$5)"),"")</f>
        <v/>
      </c>
      <c r="AJ85" s="527"/>
      <c r="AK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5-3'!$D$11:$Q319,AK$4,AK$5)"),"")</f>
        <v/>
      </c>
      <c r="AL85" s="527"/>
      <c r="AM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5-3'!$D$11:$Q319,AM$4,AM$5)"),"")</f>
        <v/>
      </c>
      <c r="AN85" s="529"/>
      <c r="AO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5-3'!$D$11:$Q319,AO$4,AO$5)"),"")</f>
        <v/>
      </c>
      <c r="AP85" s="527"/>
      <c r="AQ85" s="527"/>
      <c r="AR85" s="527"/>
      <c r="AS85" s="527"/>
      <c r="AT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5-3'!$D$11:$Q319,AT$4,AT$5)"),"")</f>
        <v/>
      </c>
      <c r="AU85" s="531"/>
      <c r="AV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5-3'!$D$11:$Q319,AV$4,AV$5)"),"")</f>
        <v/>
      </c>
      <c r="AW85" s="530"/>
      <c r="AX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5-3'!$D$11:$Q319,AX$4,AX$5)"),"")</f>
        <v/>
      </c>
      <c r="AY85" s="530"/>
      <c r="AZ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5-3'!$D$11:$Q319,AZ$4,AZ$5)"),"")</f>
        <v/>
      </c>
      <c r="BA85" s="530"/>
      <c r="BB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5-3'!$D$11:$Q319,BB$4,BB$5)"),"")</f>
        <v/>
      </c>
      <c r="BC85" s="532"/>
      <c r="BD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5-3'!$D$11:$Q319,BD$4,BD$5)"),"")</f>
        <v/>
      </c>
      <c r="BE85" s="530"/>
      <c r="BF85" s="530"/>
      <c r="BG85" s="530"/>
      <c r="BH85" s="530"/>
      <c r="BI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5-3'!$D$11:$Q319,BI$4,BI$5)"),"")</f>
        <v/>
      </c>
      <c r="BJ85" s="535"/>
      <c r="BK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5-3'!$D$11:$Q319,BK$4,BK$5)"),"")</f>
        <v/>
      </c>
      <c r="BL85" s="534"/>
      <c r="BM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5-3'!$D$11:$Q319,BM$4,BM$5)"),"")</f>
        <v/>
      </c>
      <c r="BN85" s="534"/>
      <c r="BO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5-3'!$D$11:$Q319,BO$4,BO$5)"),"")</f>
        <v/>
      </c>
      <c r="BP85" s="534"/>
      <c r="BQ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5-3'!$D$11:$Q319,BQ$4,BQ$5)"),"")</f>
        <v/>
      </c>
      <c r="BR85" s="536"/>
      <c r="BS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5-3'!$D$11:$Q319,BS$4,BS$5)"),"")</f>
        <v/>
      </c>
      <c r="BT85" s="534"/>
      <c r="BU85" s="534"/>
      <c r="BV85" s="534"/>
      <c r="BW85" s="534"/>
      <c r="BX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5-3'!$D$11:$Q319,BX$4,BX$5)"),"")</f>
        <v/>
      </c>
      <c r="BY85" s="538"/>
      <c r="BZ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5-3'!$D$11:$Q319,BZ$4,BZ$5)"),"")</f>
        <v/>
      </c>
      <c r="CA85" s="537"/>
      <c r="CB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5-3'!$D$11:$Q319,CB$4,CB$5)"),"")</f>
        <v/>
      </c>
      <c r="CC85" s="537"/>
      <c r="CD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5-3'!$D$11:$Q319,CD$4,CD$5)"),"")</f>
        <v/>
      </c>
      <c r="CE85" s="537"/>
      <c r="CF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5-3'!$D$11:$Q319,CF$4,CF$5)"),"")</f>
        <v/>
      </c>
      <c r="CG85" s="539"/>
      <c r="CH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5-3'!$D$11:$Q319,CH$4,CH$5)"),"")</f>
        <v/>
      </c>
      <c r="CI85" s="537"/>
      <c r="CJ85" s="537"/>
      <c r="CK85" s="537"/>
      <c r="CL85" s="537"/>
      <c r="CM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5-3'!$D$11:$Q319,CM$4,CM$5)"),"")</f>
        <v/>
      </c>
      <c r="CN85" s="541"/>
      <c r="CO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5-3'!$D$11:$Q319,CO$4,CO$5)"),"")</f>
        <v/>
      </c>
      <c r="CP85" s="540"/>
      <c r="CQ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5-3'!$D$11:$Q319,CQ$4,CQ$5)"),"")</f>
        <v/>
      </c>
      <c r="CR85" s="540"/>
      <c r="CS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5-3'!$D$11:$Q319,CS$4,CS$5)"),"")</f>
        <v/>
      </c>
      <c r="CT85" s="540"/>
      <c r="CU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5-3'!$D$11:$Q319,CU$4,CU$5)"),"")</f>
        <v/>
      </c>
      <c r="CV85" s="545"/>
      <c r="CW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5-3'!$D$11:$Q319,CW$4,CW$5)"),"")</f>
        <v/>
      </c>
      <c r="CX85" s="540"/>
      <c r="CY85" s="540"/>
      <c r="CZ85" s="540"/>
      <c r="DA85" s="540"/>
      <c r="DB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5-3'!$D$11:$Q319,DB$4,DB$5)"),"")</f>
        <v/>
      </c>
      <c r="DC85" s="555"/>
      <c r="DD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5-3'!$D$11:$Q319,DD$4,DD$5)"),"")</f>
        <v/>
      </c>
      <c r="DE85" s="554"/>
      <c r="DF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5-3'!$D$11:$Q319,DF$4,DF$5)"),"")</f>
        <v/>
      </c>
      <c r="DG85" s="554"/>
      <c r="DH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5-3'!$D$11:$Q319,DH$4,DH$5)"),"")</f>
        <v/>
      </c>
      <c r="DI85" s="554"/>
      <c r="DJ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5-3'!$D$11:$Q319,DJ$4,DJ$5)"),"")</f>
        <v/>
      </c>
      <c r="DK85" s="566"/>
      <c r="DL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5-3'!$D$11:$Q319,DL$4,DL$5)"),"")</f>
        <v/>
      </c>
      <c r="DM85" s="554"/>
      <c r="DN85" s="554"/>
      <c r="DO85" s="554"/>
      <c r="DP85" s="554"/>
      <c r="DQ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5-3'!$D$11:$Q319,DQ$4,DQ$5)"),"")</f>
        <v/>
      </c>
      <c r="DR85" s="569"/>
      <c r="DS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5-3'!$D$11:$Q319,DS$4,DS$5)"),"")</f>
        <v/>
      </c>
      <c r="DT85" s="568"/>
      <c r="DU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5-3'!$D$11:$Q319,DU$4,DU$5)"),"")</f>
        <v/>
      </c>
      <c r="DV85" s="568"/>
      <c r="DW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5-3'!$D$11:$Q319,DW$4,DW$5)"),"")</f>
        <v/>
      </c>
      <c r="DX85" s="568"/>
      <c r="DY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5-3'!$D$11:$Q319,DY$4,DY$5)"),"")</f>
        <v/>
      </c>
      <c r="DZ85" s="578"/>
      <c r="EA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$C85, 'S-10 Топ 5-3'!$D$11:$Q319,EA$4,EA$5)"),"")</f>
        <v/>
      </c>
      <c r="EB85" s="568"/>
      <c r="EC85" s="568"/>
      <c r="ED85" s="568"/>
      <c r="EE85" s="568"/>
    </row>
    <row r="86">
      <c r="A86" s="519" t="str">
        <f t="shared" si="1"/>
        <v/>
      </c>
      <c r="B86" s="520" t="str">
        <f>'5-0 Товары'!B86</f>
        <v/>
      </c>
      <c r="C86" s="521" t="str">
        <f>'5-1 Сбор КП Закупки'!C86</f>
        <v/>
      </c>
      <c r="D86" s="521" t="str">
        <f>'5-1 Сбор КП Закупки'!D86</f>
        <v/>
      </c>
      <c r="E86" s="521" t="str">
        <f>'5-1 Сбор КП Закупки'!E86</f>
        <v/>
      </c>
      <c r="F86" s="521" t="str">
        <f>'5-1 Сбор КП Закупки'!F86</f>
        <v/>
      </c>
      <c r="G86" s="522" t="str">
        <f>'5-1 Сбор КП Закупки'!G86</f>
        <v/>
      </c>
      <c r="H86" s="522" t="str">
        <f>'5-1 Сбор КП Закупки'!H86</f>
        <v/>
      </c>
      <c r="I86" s="522" t="str">
        <f>'5-1 Сбор КП Закупки'!I86</f>
        <v/>
      </c>
      <c r="J86" s="197"/>
      <c r="K86" s="522" t="str">
        <f>'5-1 Сбор КП Закупки'!G86</f>
        <v/>
      </c>
      <c r="L86" s="523" t="str">
        <f>IF(A86="Да",'5-1 Сбор КП Закупки'!K86,)</f>
        <v/>
      </c>
      <c r="M86" s="197"/>
      <c r="N86" s="197"/>
      <c r="O86" s="197"/>
      <c r="P86" s="525" t="str">
        <f>'5-1 Сбор КП Закупки'!P86</f>
        <v/>
      </c>
      <c r="Q86" s="197"/>
      <c r="R86" s="197"/>
      <c r="S86" s="197"/>
      <c r="T86" s="197"/>
      <c r="U86" s="197"/>
      <c r="V86" s="197"/>
      <c r="W86" s="522" t="str">
        <f>'5-1 Сбор КП Закупки'!O86</f>
        <v/>
      </c>
      <c r="X86" s="197"/>
      <c r="Y86" s="197"/>
      <c r="Z86" s="197"/>
      <c r="AA86" s="197"/>
      <c r="AB86" s="197">
        <v>0.0</v>
      </c>
      <c r="AC86" s="197"/>
      <c r="AD86" s="197"/>
      <c r="AE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5-3'!$D$11:$Q319,AE$4,AE$5)"),"")</f>
        <v/>
      </c>
      <c r="AF86" s="528"/>
      <c r="AG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5-3'!$D$11:$Q319,AG$4,AG$5)"),"")</f>
        <v/>
      </c>
      <c r="AH86" s="527"/>
      <c r="AI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5-3'!$D$11:$Q319,AI$4,AI$5)"),"")</f>
        <v/>
      </c>
      <c r="AJ86" s="527"/>
      <c r="AK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5-3'!$D$11:$Q319,AK$4,AK$5)"),"")</f>
        <v/>
      </c>
      <c r="AL86" s="527"/>
      <c r="AM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5-3'!$D$11:$Q319,AM$4,AM$5)"),"")</f>
        <v/>
      </c>
      <c r="AN86" s="529"/>
      <c r="AO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5-3'!$D$11:$Q319,AO$4,AO$5)"),"")</f>
        <v/>
      </c>
      <c r="AP86" s="527"/>
      <c r="AQ86" s="527"/>
      <c r="AR86" s="527"/>
      <c r="AS86" s="527"/>
      <c r="AT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5-3'!$D$11:$Q319,AT$4,AT$5)"),"")</f>
        <v/>
      </c>
      <c r="AU86" s="531"/>
      <c r="AV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5-3'!$D$11:$Q319,AV$4,AV$5)"),"")</f>
        <v/>
      </c>
      <c r="AW86" s="530"/>
      <c r="AX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5-3'!$D$11:$Q319,AX$4,AX$5)"),"")</f>
        <v/>
      </c>
      <c r="AY86" s="530"/>
      <c r="AZ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5-3'!$D$11:$Q319,AZ$4,AZ$5)"),"")</f>
        <v/>
      </c>
      <c r="BA86" s="530"/>
      <c r="BB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5-3'!$D$11:$Q319,BB$4,BB$5)"),"")</f>
        <v/>
      </c>
      <c r="BC86" s="532"/>
      <c r="BD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5-3'!$D$11:$Q319,BD$4,BD$5)"),"")</f>
        <v/>
      </c>
      <c r="BE86" s="530"/>
      <c r="BF86" s="530"/>
      <c r="BG86" s="530"/>
      <c r="BH86" s="530"/>
      <c r="BI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5-3'!$D$11:$Q319,BI$4,BI$5)"),"")</f>
        <v/>
      </c>
      <c r="BJ86" s="535"/>
      <c r="BK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5-3'!$D$11:$Q319,BK$4,BK$5)"),"")</f>
        <v/>
      </c>
      <c r="BL86" s="534"/>
      <c r="BM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5-3'!$D$11:$Q319,BM$4,BM$5)"),"")</f>
        <v/>
      </c>
      <c r="BN86" s="534"/>
      <c r="BO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5-3'!$D$11:$Q319,BO$4,BO$5)"),"")</f>
        <v/>
      </c>
      <c r="BP86" s="534"/>
      <c r="BQ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5-3'!$D$11:$Q319,BQ$4,BQ$5)"),"")</f>
        <v/>
      </c>
      <c r="BR86" s="536"/>
      <c r="BS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5-3'!$D$11:$Q319,BS$4,BS$5)"),"")</f>
        <v/>
      </c>
      <c r="BT86" s="534"/>
      <c r="BU86" s="534"/>
      <c r="BV86" s="534"/>
      <c r="BW86" s="534"/>
      <c r="BX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5-3'!$D$11:$Q319,BX$4,BX$5)"),"")</f>
        <v/>
      </c>
      <c r="BY86" s="538"/>
      <c r="BZ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5-3'!$D$11:$Q319,BZ$4,BZ$5)"),"")</f>
        <v/>
      </c>
      <c r="CA86" s="537"/>
      <c r="CB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5-3'!$D$11:$Q319,CB$4,CB$5)"),"")</f>
        <v/>
      </c>
      <c r="CC86" s="537"/>
      <c r="CD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5-3'!$D$11:$Q319,CD$4,CD$5)"),"")</f>
        <v/>
      </c>
      <c r="CE86" s="537"/>
      <c r="CF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5-3'!$D$11:$Q319,CF$4,CF$5)"),"")</f>
        <v/>
      </c>
      <c r="CG86" s="539"/>
      <c r="CH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5-3'!$D$11:$Q319,CH$4,CH$5)"),"")</f>
        <v/>
      </c>
      <c r="CI86" s="537"/>
      <c r="CJ86" s="537"/>
      <c r="CK86" s="537"/>
      <c r="CL86" s="537"/>
      <c r="CM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5-3'!$D$11:$Q319,CM$4,CM$5)"),"")</f>
        <v/>
      </c>
      <c r="CN86" s="541"/>
      <c r="CO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5-3'!$D$11:$Q319,CO$4,CO$5)"),"")</f>
        <v/>
      </c>
      <c r="CP86" s="540"/>
      <c r="CQ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5-3'!$D$11:$Q319,CQ$4,CQ$5)"),"")</f>
        <v/>
      </c>
      <c r="CR86" s="540"/>
      <c r="CS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5-3'!$D$11:$Q319,CS$4,CS$5)"),"")</f>
        <v/>
      </c>
      <c r="CT86" s="540"/>
      <c r="CU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5-3'!$D$11:$Q319,CU$4,CU$5)"),"")</f>
        <v/>
      </c>
      <c r="CV86" s="545"/>
      <c r="CW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5-3'!$D$11:$Q319,CW$4,CW$5)"),"")</f>
        <v/>
      </c>
      <c r="CX86" s="540"/>
      <c r="CY86" s="540"/>
      <c r="CZ86" s="540"/>
      <c r="DA86" s="540"/>
      <c r="DB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5-3'!$D$11:$Q319,DB$4,DB$5)"),"")</f>
        <v/>
      </c>
      <c r="DC86" s="555"/>
      <c r="DD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5-3'!$D$11:$Q319,DD$4,DD$5)"),"")</f>
        <v/>
      </c>
      <c r="DE86" s="554"/>
      <c r="DF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5-3'!$D$11:$Q319,DF$4,DF$5)"),"")</f>
        <v/>
      </c>
      <c r="DG86" s="554"/>
      <c r="DH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5-3'!$D$11:$Q319,DH$4,DH$5)"),"")</f>
        <v/>
      </c>
      <c r="DI86" s="554"/>
      <c r="DJ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5-3'!$D$11:$Q319,DJ$4,DJ$5)"),"")</f>
        <v/>
      </c>
      <c r="DK86" s="566"/>
      <c r="DL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5-3'!$D$11:$Q319,DL$4,DL$5)"),"")</f>
        <v/>
      </c>
      <c r="DM86" s="554"/>
      <c r="DN86" s="554"/>
      <c r="DO86" s="554"/>
      <c r="DP86" s="554"/>
      <c r="DQ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5-3'!$D$11:$Q319,DQ$4,DQ$5)"),"")</f>
        <v/>
      </c>
      <c r="DR86" s="569"/>
      <c r="DS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5-3'!$D$11:$Q319,DS$4,DS$5)"),"")</f>
        <v/>
      </c>
      <c r="DT86" s="568"/>
      <c r="DU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5-3'!$D$11:$Q319,DU$4,DU$5)"),"")</f>
        <v/>
      </c>
      <c r="DV86" s="568"/>
      <c r="DW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5-3'!$D$11:$Q319,DW$4,DW$5)"),"")</f>
        <v/>
      </c>
      <c r="DX86" s="568"/>
      <c r="DY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5-3'!$D$11:$Q319,DY$4,DY$5)"),"")</f>
        <v/>
      </c>
      <c r="DZ86" s="578"/>
      <c r="EA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$C86, 'S-10 Топ 5-3'!$D$11:$Q319,EA$4,EA$5)"),"")</f>
        <v/>
      </c>
      <c r="EB86" s="568"/>
      <c r="EC86" s="568"/>
      <c r="ED86" s="568"/>
      <c r="EE86" s="568"/>
    </row>
    <row r="87">
      <c r="A87" s="519" t="str">
        <f t="shared" si="1"/>
        <v/>
      </c>
      <c r="B87" s="520" t="str">
        <f>'5-0 Товары'!B87</f>
        <v/>
      </c>
      <c r="C87" s="521" t="str">
        <f>'5-1 Сбор КП Закупки'!C87</f>
        <v/>
      </c>
      <c r="D87" s="521" t="str">
        <f>'5-1 Сбор КП Закупки'!D87</f>
        <v/>
      </c>
      <c r="E87" s="521" t="str">
        <f>'5-1 Сбор КП Закупки'!E87</f>
        <v/>
      </c>
      <c r="F87" s="521" t="str">
        <f>'5-1 Сбор КП Закупки'!F87</f>
        <v/>
      </c>
      <c r="G87" s="522" t="str">
        <f>'5-1 Сбор КП Закупки'!G87</f>
        <v/>
      </c>
      <c r="H87" s="522" t="str">
        <f>'5-1 Сбор КП Закупки'!H87</f>
        <v/>
      </c>
      <c r="I87" s="522" t="str">
        <f>'5-1 Сбор КП Закупки'!I87</f>
        <v/>
      </c>
      <c r="J87" s="197"/>
      <c r="K87" s="522" t="str">
        <f>'5-1 Сбор КП Закупки'!G87</f>
        <v/>
      </c>
      <c r="L87" s="523" t="str">
        <f>IF(A87="Да",'5-1 Сбор КП Закупки'!K87,)</f>
        <v/>
      </c>
      <c r="M87" s="197"/>
      <c r="N87" s="197"/>
      <c r="O87" s="197"/>
      <c r="P87" s="525" t="str">
        <f>'5-1 Сбор КП Закупки'!P87</f>
        <v/>
      </c>
      <c r="Q87" s="197"/>
      <c r="R87" s="197"/>
      <c r="S87" s="197"/>
      <c r="T87" s="197"/>
      <c r="U87" s="197"/>
      <c r="V87" s="197"/>
      <c r="W87" s="522" t="str">
        <f>'5-1 Сбор КП Закупки'!O87</f>
        <v/>
      </c>
      <c r="X87" s="197"/>
      <c r="Y87" s="197"/>
      <c r="Z87" s="197"/>
      <c r="AA87" s="197"/>
      <c r="AB87" s="197">
        <v>0.0</v>
      </c>
      <c r="AC87" s="197"/>
      <c r="AD87" s="197"/>
      <c r="AE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5-3'!$D$11:$Q319,AE$4,AE$5)"),"")</f>
        <v/>
      </c>
      <c r="AF87" s="528"/>
      <c r="AG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5-3'!$D$11:$Q319,AG$4,AG$5)"),"")</f>
        <v/>
      </c>
      <c r="AH87" s="527"/>
      <c r="AI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5-3'!$D$11:$Q319,AI$4,AI$5)"),"")</f>
        <v/>
      </c>
      <c r="AJ87" s="527"/>
      <c r="AK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5-3'!$D$11:$Q319,AK$4,AK$5)"),"")</f>
        <v/>
      </c>
      <c r="AL87" s="527"/>
      <c r="AM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5-3'!$D$11:$Q319,AM$4,AM$5)"),"")</f>
        <v/>
      </c>
      <c r="AN87" s="529"/>
      <c r="AO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5-3'!$D$11:$Q319,AO$4,AO$5)"),"")</f>
        <v/>
      </c>
      <c r="AP87" s="527"/>
      <c r="AQ87" s="527"/>
      <c r="AR87" s="527"/>
      <c r="AS87" s="527"/>
      <c r="AT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5-3'!$D$11:$Q319,AT$4,AT$5)"),"")</f>
        <v/>
      </c>
      <c r="AU87" s="531"/>
      <c r="AV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5-3'!$D$11:$Q319,AV$4,AV$5)"),"")</f>
        <v/>
      </c>
      <c r="AW87" s="530"/>
      <c r="AX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5-3'!$D$11:$Q319,AX$4,AX$5)"),"")</f>
        <v/>
      </c>
      <c r="AY87" s="530"/>
      <c r="AZ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5-3'!$D$11:$Q319,AZ$4,AZ$5)"),"")</f>
        <v/>
      </c>
      <c r="BA87" s="530"/>
      <c r="BB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5-3'!$D$11:$Q319,BB$4,BB$5)"),"")</f>
        <v/>
      </c>
      <c r="BC87" s="532"/>
      <c r="BD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5-3'!$D$11:$Q319,BD$4,BD$5)"),"")</f>
        <v/>
      </c>
      <c r="BE87" s="530"/>
      <c r="BF87" s="530"/>
      <c r="BG87" s="530"/>
      <c r="BH87" s="530"/>
      <c r="BI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5-3'!$D$11:$Q319,BI$4,BI$5)"),"")</f>
        <v/>
      </c>
      <c r="BJ87" s="535"/>
      <c r="BK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5-3'!$D$11:$Q319,BK$4,BK$5)"),"")</f>
        <v/>
      </c>
      <c r="BL87" s="534"/>
      <c r="BM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5-3'!$D$11:$Q319,BM$4,BM$5)"),"")</f>
        <v/>
      </c>
      <c r="BN87" s="534"/>
      <c r="BO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5-3'!$D$11:$Q319,BO$4,BO$5)"),"")</f>
        <v/>
      </c>
      <c r="BP87" s="534"/>
      <c r="BQ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5-3'!$D$11:$Q319,BQ$4,BQ$5)"),"")</f>
        <v/>
      </c>
      <c r="BR87" s="536"/>
      <c r="BS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5-3'!$D$11:$Q319,BS$4,BS$5)"),"")</f>
        <v/>
      </c>
      <c r="BT87" s="534"/>
      <c r="BU87" s="534"/>
      <c r="BV87" s="534"/>
      <c r="BW87" s="534"/>
      <c r="BX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5-3'!$D$11:$Q319,BX$4,BX$5)"),"")</f>
        <v/>
      </c>
      <c r="BY87" s="538"/>
      <c r="BZ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5-3'!$D$11:$Q319,BZ$4,BZ$5)"),"")</f>
        <v/>
      </c>
      <c r="CA87" s="537"/>
      <c r="CB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5-3'!$D$11:$Q319,CB$4,CB$5)"),"")</f>
        <v/>
      </c>
      <c r="CC87" s="537"/>
      <c r="CD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5-3'!$D$11:$Q319,CD$4,CD$5)"),"")</f>
        <v/>
      </c>
      <c r="CE87" s="537"/>
      <c r="CF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5-3'!$D$11:$Q319,CF$4,CF$5)"),"")</f>
        <v/>
      </c>
      <c r="CG87" s="539"/>
      <c r="CH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5-3'!$D$11:$Q319,CH$4,CH$5)"),"")</f>
        <v/>
      </c>
      <c r="CI87" s="537"/>
      <c r="CJ87" s="537"/>
      <c r="CK87" s="537"/>
      <c r="CL87" s="537"/>
      <c r="CM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5-3'!$D$11:$Q319,CM$4,CM$5)"),"")</f>
        <v/>
      </c>
      <c r="CN87" s="541"/>
      <c r="CO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5-3'!$D$11:$Q319,CO$4,CO$5)"),"")</f>
        <v/>
      </c>
      <c r="CP87" s="540"/>
      <c r="CQ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5-3'!$D$11:$Q319,CQ$4,CQ$5)"),"")</f>
        <v/>
      </c>
      <c r="CR87" s="540"/>
      <c r="CS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5-3'!$D$11:$Q319,CS$4,CS$5)"),"")</f>
        <v/>
      </c>
      <c r="CT87" s="540"/>
      <c r="CU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5-3'!$D$11:$Q319,CU$4,CU$5)"),"")</f>
        <v/>
      </c>
      <c r="CV87" s="545"/>
      <c r="CW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5-3'!$D$11:$Q319,CW$4,CW$5)"),"")</f>
        <v/>
      </c>
      <c r="CX87" s="540"/>
      <c r="CY87" s="540"/>
      <c r="CZ87" s="540"/>
      <c r="DA87" s="540"/>
      <c r="DB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5-3'!$D$11:$Q319,DB$4,DB$5)"),"")</f>
        <v/>
      </c>
      <c r="DC87" s="555"/>
      <c r="DD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5-3'!$D$11:$Q319,DD$4,DD$5)"),"")</f>
        <v/>
      </c>
      <c r="DE87" s="554"/>
      <c r="DF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5-3'!$D$11:$Q319,DF$4,DF$5)"),"")</f>
        <v/>
      </c>
      <c r="DG87" s="554"/>
      <c r="DH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5-3'!$D$11:$Q319,DH$4,DH$5)"),"")</f>
        <v/>
      </c>
      <c r="DI87" s="554"/>
      <c r="DJ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5-3'!$D$11:$Q319,DJ$4,DJ$5)"),"")</f>
        <v/>
      </c>
      <c r="DK87" s="566"/>
      <c r="DL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5-3'!$D$11:$Q319,DL$4,DL$5)"),"")</f>
        <v/>
      </c>
      <c r="DM87" s="554"/>
      <c r="DN87" s="554"/>
      <c r="DO87" s="554"/>
      <c r="DP87" s="554"/>
      <c r="DQ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5-3'!$D$11:$Q319,DQ$4,DQ$5)"),"")</f>
        <v/>
      </c>
      <c r="DR87" s="569"/>
      <c r="DS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5-3'!$D$11:$Q319,DS$4,DS$5)"),"")</f>
        <v/>
      </c>
      <c r="DT87" s="568"/>
      <c r="DU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5-3'!$D$11:$Q319,DU$4,DU$5)"),"")</f>
        <v/>
      </c>
      <c r="DV87" s="568"/>
      <c r="DW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5-3'!$D$11:$Q319,DW$4,DW$5)"),"")</f>
        <v/>
      </c>
      <c r="DX87" s="568"/>
      <c r="DY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5-3'!$D$11:$Q319,DY$4,DY$5)"),"")</f>
        <v/>
      </c>
      <c r="DZ87" s="578"/>
      <c r="EA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$C87, 'S-10 Топ 5-3'!$D$11:$Q319,EA$4,EA$5)"),"")</f>
        <v/>
      </c>
      <c r="EB87" s="568"/>
      <c r="EC87" s="568"/>
      <c r="ED87" s="568"/>
      <c r="EE87" s="568"/>
    </row>
    <row r="88">
      <c r="A88" s="519" t="str">
        <f t="shared" si="1"/>
        <v/>
      </c>
      <c r="B88" s="520" t="str">
        <f>'5-0 Товары'!B88</f>
        <v/>
      </c>
      <c r="C88" s="521" t="str">
        <f>'5-1 Сбор КП Закупки'!C88</f>
        <v/>
      </c>
      <c r="D88" s="521" t="str">
        <f>'5-1 Сбор КП Закупки'!D88</f>
        <v/>
      </c>
      <c r="E88" s="521" t="str">
        <f>'5-1 Сбор КП Закупки'!E88</f>
        <v/>
      </c>
      <c r="F88" s="521" t="str">
        <f>'5-1 Сбор КП Закупки'!F88</f>
        <v/>
      </c>
      <c r="G88" s="522" t="str">
        <f>'5-1 Сбор КП Закупки'!G88</f>
        <v/>
      </c>
      <c r="H88" s="522" t="str">
        <f>'5-1 Сбор КП Закупки'!H88</f>
        <v/>
      </c>
      <c r="I88" s="522" t="str">
        <f>'5-1 Сбор КП Закупки'!I88</f>
        <v/>
      </c>
      <c r="J88" s="197"/>
      <c r="K88" s="522" t="str">
        <f>'5-1 Сбор КП Закупки'!G88</f>
        <v/>
      </c>
      <c r="L88" s="523" t="str">
        <f>IF(A88="Да",'5-1 Сбор КП Закупки'!K88,)</f>
        <v/>
      </c>
      <c r="M88" s="197"/>
      <c r="N88" s="197"/>
      <c r="O88" s="197"/>
      <c r="P88" s="525" t="str">
        <f>'5-1 Сбор КП Закупки'!P88</f>
        <v/>
      </c>
      <c r="Q88" s="197"/>
      <c r="R88" s="197"/>
      <c r="S88" s="197"/>
      <c r="T88" s="197"/>
      <c r="U88" s="197"/>
      <c r="V88" s="197"/>
      <c r="W88" s="522" t="str">
        <f>'5-1 Сбор КП Закупки'!O88</f>
        <v/>
      </c>
      <c r="X88" s="197"/>
      <c r="Y88" s="197"/>
      <c r="Z88" s="197"/>
      <c r="AA88" s="197"/>
      <c r="AB88" s="197">
        <v>0.0</v>
      </c>
      <c r="AC88" s="197"/>
      <c r="AD88" s="197"/>
      <c r="AE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5-3'!$D$11:$Q319,AE$4,AE$5)"),"")</f>
        <v/>
      </c>
      <c r="AF88" s="528"/>
      <c r="AG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5-3'!$D$11:$Q319,AG$4,AG$5)"),"")</f>
        <v/>
      </c>
      <c r="AH88" s="527"/>
      <c r="AI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5-3'!$D$11:$Q319,AI$4,AI$5)"),"")</f>
        <v/>
      </c>
      <c r="AJ88" s="527"/>
      <c r="AK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5-3'!$D$11:$Q319,AK$4,AK$5)"),"")</f>
        <v/>
      </c>
      <c r="AL88" s="527"/>
      <c r="AM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5-3'!$D$11:$Q319,AM$4,AM$5)"),"")</f>
        <v/>
      </c>
      <c r="AN88" s="529"/>
      <c r="AO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5-3'!$D$11:$Q319,AO$4,AO$5)"),"")</f>
        <v/>
      </c>
      <c r="AP88" s="527"/>
      <c r="AQ88" s="527"/>
      <c r="AR88" s="527"/>
      <c r="AS88" s="527"/>
      <c r="AT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5-3'!$D$11:$Q319,AT$4,AT$5)"),"")</f>
        <v/>
      </c>
      <c r="AU88" s="531"/>
      <c r="AV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5-3'!$D$11:$Q319,AV$4,AV$5)"),"")</f>
        <v/>
      </c>
      <c r="AW88" s="530"/>
      <c r="AX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5-3'!$D$11:$Q319,AX$4,AX$5)"),"")</f>
        <v/>
      </c>
      <c r="AY88" s="530"/>
      <c r="AZ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5-3'!$D$11:$Q319,AZ$4,AZ$5)"),"")</f>
        <v/>
      </c>
      <c r="BA88" s="530"/>
      <c r="BB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5-3'!$D$11:$Q319,BB$4,BB$5)"),"")</f>
        <v/>
      </c>
      <c r="BC88" s="532"/>
      <c r="BD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5-3'!$D$11:$Q319,BD$4,BD$5)"),"")</f>
        <v/>
      </c>
      <c r="BE88" s="530"/>
      <c r="BF88" s="530"/>
      <c r="BG88" s="530"/>
      <c r="BH88" s="530"/>
      <c r="BI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5-3'!$D$11:$Q319,BI$4,BI$5)"),"")</f>
        <v/>
      </c>
      <c r="BJ88" s="535"/>
      <c r="BK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5-3'!$D$11:$Q319,BK$4,BK$5)"),"")</f>
        <v/>
      </c>
      <c r="BL88" s="534"/>
      <c r="BM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5-3'!$D$11:$Q319,BM$4,BM$5)"),"")</f>
        <v/>
      </c>
      <c r="BN88" s="534"/>
      <c r="BO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5-3'!$D$11:$Q319,BO$4,BO$5)"),"")</f>
        <v/>
      </c>
      <c r="BP88" s="534"/>
      <c r="BQ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5-3'!$D$11:$Q319,BQ$4,BQ$5)"),"")</f>
        <v/>
      </c>
      <c r="BR88" s="536"/>
      <c r="BS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5-3'!$D$11:$Q319,BS$4,BS$5)"),"")</f>
        <v/>
      </c>
      <c r="BT88" s="534"/>
      <c r="BU88" s="534"/>
      <c r="BV88" s="534"/>
      <c r="BW88" s="534"/>
      <c r="BX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5-3'!$D$11:$Q319,BX$4,BX$5)"),"")</f>
        <v/>
      </c>
      <c r="BY88" s="538"/>
      <c r="BZ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5-3'!$D$11:$Q319,BZ$4,BZ$5)"),"")</f>
        <v/>
      </c>
      <c r="CA88" s="537"/>
      <c r="CB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5-3'!$D$11:$Q319,CB$4,CB$5)"),"")</f>
        <v/>
      </c>
      <c r="CC88" s="537"/>
      <c r="CD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5-3'!$D$11:$Q319,CD$4,CD$5)"),"")</f>
        <v/>
      </c>
      <c r="CE88" s="537"/>
      <c r="CF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5-3'!$D$11:$Q319,CF$4,CF$5)"),"")</f>
        <v/>
      </c>
      <c r="CG88" s="539"/>
      <c r="CH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5-3'!$D$11:$Q319,CH$4,CH$5)"),"")</f>
        <v/>
      </c>
      <c r="CI88" s="537"/>
      <c r="CJ88" s="537"/>
      <c r="CK88" s="537"/>
      <c r="CL88" s="537"/>
      <c r="CM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5-3'!$D$11:$Q319,CM$4,CM$5)"),"")</f>
        <v/>
      </c>
      <c r="CN88" s="541"/>
      <c r="CO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5-3'!$D$11:$Q319,CO$4,CO$5)"),"")</f>
        <v/>
      </c>
      <c r="CP88" s="540"/>
      <c r="CQ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5-3'!$D$11:$Q319,CQ$4,CQ$5)"),"")</f>
        <v/>
      </c>
      <c r="CR88" s="540"/>
      <c r="CS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5-3'!$D$11:$Q319,CS$4,CS$5)"),"")</f>
        <v/>
      </c>
      <c r="CT88" s="540"/>
      <c r="CU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5-3'!$D$11:$Q319,CU$4,CU$5)"),"")</f>
        <v/>
      </c>
      <c r="CV88" s="545"/>
      <c r="CW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5-3'!$D$11:$Q319,CW$4,CW$5)"),"")</f>
        <v/>
      </c>
      <c r="CX88" s="540"/>
      <c r="CY88" s="540"/>
      <c r="CZ88" s="540"/>
      <c r="DA88" s="540"/>
      <c r="DB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5-3'!$D$11:$Q319,DB$4,DB$5)"),"")</f>
        <v/>
      </c>
      <c r="DC88" s="555"/>
      <c r="DD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5-3'!$D$11:$Q319,DD$4,DD$5)"),"")</f>
        <v/>
      </c>
      <c r="DE88" s="554"/>
      <c r="DF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5-3'!$D$11:$Q319,DF$4,DF$5)"),"")</f>
        <v/>
      </c>
      <c r="DG88" s="554"/>
      <c r="DH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5-3'!$D$11:$Q319,DH$4,DH$5)"),"")</f>
        <v/>
      </c>
      <c r="DI88" s="554"/>
      <c r="DJ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5-3'!$D$11:$Q319,DJ$4,DJ$5)"),"")</f>
        <v/>
      </c>
      <c r="DK88" s="566"/>
      <c r="DL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5-3'!$D$11:$Q319,DL$4,DL$5)"),"")</f>
        <v/>
      </c>
      <c r="DM88" s="554"/>
      <c r="DN88" s="554"/>
      <c r="DO88" s="554"/>
      <c r="DP88" s="554"/>
      <c r="DQ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5-3'!$D$11:$Q319,DQ$4,DQ$5)"),"")</f>
        <v/>
      </c>
      <c r="DR88" s="569"/>
      <c r="DS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5-3'!$D$11:$Q319,DS$4,DS$5)"),"")</f>
        <v/>
      </c>
      <c r="DT88" s="568"/>
      <c r="DU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5-3'!$D$11:$Q319,DU$4,DU$5)"),"")</f>
        <v/>
      </c>
      <c r="DV88" s="568"/>
      <c r="DW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5-3'!$D$11:$Q319,DW$4,DW$5)"),"")</f>
        <v/>
      </c>
      <c r="DX88" s="568"/>
      <c r="DY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5-3'!$D$11:$Q319,DY$4,DY$5)"),"")</f>
        <v/>
      </c>
      <c r="DZ88" s="578"/>
      <c r="EA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$C88, 'S-10 Топ 5-3'!$D$11:$Q319,EA$4,EA$5)"),"")</f>
        <v/>
      </c>
      <c r="EB88" s="568"/>
      <c r="EC88" s="568"/>
      <c r="ED88" s="568"/>
      <c r="EE88" s="568"/>
    </row>
    <row r="89">
      <c r="A89" s="519" t="str">
        <f t="shared" si="1"/>
        <v/>
      </c>
      <c r="B89" s="520" t="str">
        <f>'5-0 Товары'!B89</f>
        <v/>
      </c>
      <c r="C89" s="521" t="str">
        <f>'5-1 Сбор КП Закупки'!C89</f>
        <v/>
      </c>
      <c r="D89" s="521" t="str">
        <f>'5-1 Сбор КП Закупки'!D89</f>
        <v/>
      </c>
      <c r="E89" s="521" t="str">
        <f>'5-1 Сбор КП Закупки'!E89</f>
        <v/>
      </c>
      <c r="F89" s="521" t="str">
        <f>'5-1 Сбор КП Закупки'!F89</f>
        <v/>
      </c>
      <c r="G89" s="522" t="str">
        <f>'5-1 Сбор КП Закупки'!G89</f>
        <v/>
      </c>
      <c r="H89" s="522" t="str">
        <f>'5-1 Сбор КП Закупки'!H89</f>
        <v/>
      </c>
      <c r="I89" s="522" t="str">
        <f>'5-1 Сбор КП Закупки'!I89</f>
        <v/>
      </c>
      <c r="J89" s="197"/>
      <c r="K89" s="522" t="str">
        <f>'5-1 Сбор КП Закупки'!G89</f>
        <v/>
      </c>
      <c r="L89" s="523" t="str">
        <f>IF(A89="Да",'5-1 Сбор КП Закупки'!K89,)</f>
        <v/>
      </c>
      <c r="M89" s="197"/>
      <c r="N89" s="197"/>
      <c r="O89" s="197"/>
      <c r="P89" s="525" t="str">
        <f>'5-1 Сбор КП Закупки'!P89</f>
        <v/>
      </c>
      <c r="Q89" s="197"/>
      <c r="R89" s="197"/>
      <c r="S89" s="197"/>
      <c r="T89" s="197"/>
      <c r="U89" s="197"/>
      <c r="V89" s="197"/>
      <c r="W89" s="522" t="str">
        <f>'5-1 Сбор КП Закупки'!O89</f>
        <v/>
      </c>
      <c r="X89" s="197"/>
      <c r="Y89" s="197"/>
      <c r="Z89" s="197"/>
      <c r="AA89" s="197"/>
      <c r="AB89" s="197">
        <v>0.0</v>
      </c>
      <c r="AC89" s="197"/>
      <c r="AD89" s="197"/>
      <c r="AE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5-3'!$D$11:$Q319,AE$4,AE$5)"),"")</f>
        <v/>
      </c>
      <c r="AF89" s="528"/>
      <c r="AG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5-3'!$D$11:$Q319,AG$4,AG$5)"),"")</f>
        <v/>
      </c>
      <c r="AH89" s="527"/>
      <c r="AI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5-3'!$D$11:$Q319,AI$4,AI$5)"),"")</f>
        <v/>
      </c>
      <c r="AJ89" s="527"/>
      <c r="AK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5-3'!$D$11:$Q319,AK$4,AK$5)"),"")</f>
        <v/>
      </c>
      <c r="AL89" s="527"/>
      <c r="AM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5-3'!$D$11:$Q319,AM$4,AM$5)"),"")</f>
        <v/>
      </c>
      <c r="AN89" s="529"/>
      <c r="AO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5-3'!$D$11:$Q319,AO$4,AO$5)"),"")</f>
        <v/>
      </c>
      <c r="AP89" s="527"/>
      <c r="AQ89" s="527"/>
      <c r="AR89" s="527"/>
      <c r="AS89" s="527"/>
      <c r="AT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5-3'!$D$11:$Q319,AT$4,AT$5)"),"")</f>
        <v/>
      </c>
      <c r="AU89" s="531"/>
      <c r="AV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5-3'!$D$11:$Q319,AV$4,AV$5)"),"")</f>
        <v/>
      </c>
      <c r="AW89" s="530"/>
      <c r="AX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5-3'!$D$11:$Q319,AX$4,AX$5)"),"")</f>
        <v/>
      </c>
      <c r="AY89" s="530"/>
      <c r="AZ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5-3'!$D$11:$Q319,AZ$4,AZ$5)"),"")</f>
        <v/>
      </c>
      <c r="BA89" s="530"/>
      <c r="BB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5-3'!$D$11:$Q319,BB$4,BB$5)"),"")</f>
        <v/>
      </c>
      <c r="BC89" s="532"/>
      <c r="BD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5-3'!$D$11:$Q319,BD$4,BD$5)"),"")</f>
        <v/>
      </c>
      <c r="BE89" s="530"/>
      <c r="BF89" s="530"/>
      <c r="BG89" s="530"/>
      <c r="BH89" s="530"/>
      <c r="BI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5-3'!$D$11:$Q319,BI$4,BI$5)"),"")</f>
        <v/>
      </c>
      <c r="BJ89" s="535"/>
      <c r="BK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5-3'!$D$11:$Q319,BK$4,BK$5)"),"")</f>
        <v/>
      </c>
      <c r="BL89" s="534"/>
      <c r="BM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5-3'!$D$11:$Q319,BM$4,BM$5)"),"")</f>
        <v/>
      </c>
      <c r="BN89" s="534"/>
      <c r="BO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5-3'!$D$11:$Q319,BO$4,BO$5)"),"")</f>
        <v/>
      </c>
      <c r="BP89" s="534"/>
      <c r="BQ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5-3'!$D$11:$Q319,BQ$4,BQ$5)"),"")</f>
        <v/>
      </c>
      <c r="BR89" s="536"/>
      <c r="BS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5-3'!$D$11:$Q319,BS$4,BS$5)"),"")</f>
        <v/>
      </c>
      <c r="BT89" s="534"/>
      <c r="BU89" s="534"/>
      <c r="BV89" s="534"/>
      <c r="BW89" s="534"/>
      <c r="BX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5-3'!$D$11:$Q319,BX$4,BX$5)"),"")</f>
        <v/>
      </c>
      <c r="BY89" s="538"/>
      <c r="BZ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5-3'!$D$11:$Q319,BZ$4,BZ$5)"),"")</f>
        <v/>
      </c>
      <c r="CA89" s="537"/>
      <c r="CB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5-3'!$D$11:$Q319,CB$4,CB$5)"),"")</f>
        <v/>
      </c>
      <c r="CC89" s="537"/>
      <c r="CD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5-3'!$D$11:$Q319,CD$4,CD$5)"),"")</f>
        <v/>
      </c>
      <c r="CE89" s="537"/>
      <c r="CF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5-3'!$D$11:$Q319,CF$4,CF$5)"),"")</f>
        <v/>
      </c>
      <c r="CG89" s="539"/>
      <c r="CH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5-3'!$D$11:$Q319,CH$4,CH$5)"),"")</f>
        <v/>
      </c>
      <c r="CI89" s="537"/>
      <c r="CJ89" s="537"/>
      <c r="CK89" s="537"/>
      <c r="CL89" s="537"/>
      <c r="CM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5-3'!$D$11:$Q319,CM$4,CM$5)"),"")</f>
        <v/>
      </c>
      <c r="CN89" s="541"/>
      <c r="CO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5-3'!$D$11:$Q319,CO$4,CO$5)"),"")</f>
        <v/>
      </c>
      <c r="CP89" s="540"/>
      <c r="CQ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5-3'!$D$11:$Q319,CQ$4,CQ$5)"),"")</f>
        <v/>
      </c>
      <c r="CR89" s="540"/>
      <c r="CS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5-3'!$D$11:$Q319,CS$4,CS$5)"),"")</f>
        <v/>
      </c>
      <c r="CT89" s="540"/>
      <c r="CU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5-3'!$D$11:$Q319,CU$4,CU$5)"),"")</f>
        <v/>
      </c>
      <c r="CV89" s="545"/>
      <c r="CW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5-3'!$D$11:$Q319,CW$4,CW$5)"),"")</f>
        <v/>
      </c>
      <c r="CX89" s="540"/>
      <c r="CY89" s="540"/>
      <c r="CZ89" s="540"/>
      <c r="DA89" s="540"/>
      <c r="DB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5-3'!$D$11:$Q319,DB$4,DB$5)"),"")</f>
        <v/>
      </c>
      <c r="DC89" s="555"/>
      <c r="DD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5-3'!$D$11:$Q319,DD$4,DD$5)"),"")</f>
        <v/>
      </c>
      <c r="DE89" s="554"/>
      <c r="DF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5-3'!$D$11:$Q319,DF$4,DF$5)"),"")</f>
        <v/>
      </c>
      <c r="DG89" s="554"/>
      <c r="DH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5-3'!$D$11:$Q319,DH$4,DH$5)"),"")</f>
        <v/>
      </c>
      <c r="DI89" s="554"/>
      <c r="DJ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5-3'!$D$11:$Q319,DJ$4,DJ$5)"),"")</f>
        <v/>
      </c>
      <c r="DK89" s="566"/>
      <c r="DL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5-3'!$D$11:$Q319,DL$4,DL$5)"),"")</f>
        <v/>
      </c>
      <c r="DM89" s="554"/>
      <c r="DN89" s="554"/>
      <c r="DO89" s="554"/>
      <c r="DP89" s="554"/>
      <c r="DQ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5-3'!$D$11:$Q319,DQ$4,DQ$5)"),"")</f>
        <v/>
      </c>
      <c r="DR89" s="569"/>
      <c r="DS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5-3'!$D$11:$Q319,DS$4,DS$5)"),"")</f>
        <v/>
      </c>
      <c r="DT89" s="568"/>
      <c r="DU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5-3'!$D$11:$Q319,DU$4,DU$5)"),"")</f>
        <v/>
      </c>
      <c r="DV89" s="568"/>
      <c r="DW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5-3'!$D$11:$Q319,DW$4,DW$5)"),"")</f>
        <v/>
      </c>
      <c r="DX89" s="568"/>
      <c r="DY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5-3'!$D$11:$Q319,DY$4,DY$5)"),"")</f>
        <v/>
      </c>
      <c r="DZ89" s="578"/>
      <c r="EA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$C89, 'S-10 Топ 5-3'!$D$11:$Q319,EA$4,EA$5)"),"")</f>
        <v/>
      </c>
      <c r="EB89" s="568"/>
      <c r="EC89" s="568"/>
      <c r="ED89" s="568"/>
      <c r="EE89" s="568"/>
    </row>
    <row r="90">
      <c r="A90" s="519" t="str">
        <f t="shared" si="1"/>
        <v/>
      </c>
      <c r="B90" s="520" t="str">
        <f>'5-0 Товары'!B90</f>
        <v/>
      </c>
      <c r="C90" s="521" t="str">
        <f>'5-1 Сбор КП Закупки'!C90</f>
        <v/>
      </c>
      <c r="D90" s="521" t="str">
        <f>'5-1 Сбор КП Закупки'!D90</f>
        <v/>
      </c>
      <c r="E90" s="521" t="str">
        <f>'5-1 Сбор КП Закупки'!E90</f>
        <v/>
      </c>
      <c r="F90" s="521" t="str">
        <f>'5-1 Сбор КП Закупки'!F90</f>
        <v/>
      </c>
      <c r="G90" s="522" t="str">
        <f>'5-1 Сбор КП Закупки'!G90</f>
        <v/>
      </c>
      <c r="H90" s="522" t="str">
        <f>'5-1 Сбор КП Закупки'!H90</f>
        <v/>
      </c>
      <c r="I90" s="522" t="str">
        <f>'5-1 Сбор КП Закупки'!I90</f>
        <v/>
      </c>
      <c r="J90" s="197"/>
      <c r="K90" s="522" t="str">
        <f>'5-1 Сбор КП Закупки'!G90</f>
        <v/>
      </c>
      <c r="L90" s="523" t="str">
        <f>IF(A90="Да",'5-1 Сбор КП Закупки'!K90,)</f>
        <v/>
      </c>
      <c r="M90" s="197"/>
      <c r="N90" s="197"/>
      <c r="O90" s="197"/>
      <c r="P90" s="525" t="str">
        <f>'5-1 Сбор КП Закупки'!P90</f>
        <v/>
      </c>
      <c r="Q90" s="197"/>
      <c r="R90" s="197"/>
      <c r="S90" s="197"/>
      <c r="T90" s="197"/>
      <c r="U90" s="197"/>
      <c r="V90" s="197"/>
      <c r="W90" s="522" t="str">
        <f>'5-1 Сбор КП Закупки'!O90</f>
        <v/>
      </c>
      <c r="X90" s="197"/>
      <c r="Y90" s="197"/>
      <c r="Z90" s="197"/>
      <c r="AA90" s="197"/>
      <c r="AB90" s="197">
        <v>0.0</v>
      </c>
      <c r="AC90" s="197"/>
      <c r="AD90" s="197"/>
      <c r="AE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5-3'!$D$11:$Q319,AE$4,AE$5)"),"")</f>
        <v/>
      </c>
      <c r="AF90" s="528"/>
      <c r="AG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5-3'!$D$11:$Q319,AG$4,AG$5)"),"")</f>
        <v/>
      </c>
      <c r="AH90" s="527"/>
      <c r="AI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5-3'!$D$11:$Q319,AI$4,AI$5)"),"")</f>
        <v/>
      </c>
      <c r="AJ90" s="527"/>
      <c r="AK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5-3'!$D$11:$Q319,AK$4,AK$5)"),"")</f>
        <v/>
      </c>
      <c r="AL90" s="527"/>
      <c r="AM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5-3'!$D$11:$Q319,AM$4,AM$5)"),"")</f>
        <v/>
      </c>
      <c r="AN90" s="529"/>
      <c r="AO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5-3'!$D$11:$Q319,AO$4,AO$5)"),"")</f>
        <v/>
      </c>
      <c r="AP90" s="527"/>
      <c r="AQ90" s="527"/>
      <c r="AR90" s="527"/>
      <c r="AS90" s="527"/>
      <c r="AT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5-3'!$D$11:$Q319,AT$4,AT$5)"),"")</f>
        <v/>
      </c>
      <c r="AU90" s="531"/>
      <c r="AV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5-3'!$D$11:$Q319,AV$4,AV$5)"),"")</f>
        <v/>
      </c>
      <c r="AW90" s="530"/>
      <c r="AX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5-3'!$D$11:$Q319,AX$4,AX$5)"),"")</f>
        <v/>
      </c>
      <c r="AY90" s="530"/>
      <c r="AZ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5-3'!$D$11:$Q319,AZ$4,AZ$5)"),"")</f>
        <v/>
      </c>
      <c r="BA90" s="530"/>
      <c r="BB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5-3'!$D$11:$Q319,BB$4,BB$5)"),"")</f>
        <v/>
      </c>
      <c r="BC90" s="532"/>
      <c r="BD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5-3'!$D$11:$Q319,BD$4,BD$5)"),"")</f>
        <v/>
      </c>
      <c r="BE90" s="530"/>
      <c r="BF90" s="530"/>
      <c r="BG90" s="530"/>
      <c r="BH90" s="530"/>
      <c r="BI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5-3'!$D$11:$Q319,BI$4,BI$5)"),"")</f>
        <v/>
      </c>
      <c r="BJ90" s="535"/>
      <c r="BK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5-3'!$D$11:$Q319,BK$4,BK$5)"),"")</f>
        <v/>
      </c>
      <c r="BL90" s="534"/>
      <c r="BM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5-3'!$D$11:$Q319,BM$4,BM$5)"),"")</f>
        <v/>
      </c>
      <c r="BN90" s="534"/>
      <c r="BO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5-3'!$D$11:$Q319,BO$4,BO$5)"),"")</f>
        <v/>
      </c>
      <c r="BP90" s="534"/>
      <c r="BQ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5-3'!$D$11:$Q319,BQ$4,BQ$5)"),"")</f>
        <v/>
      </c>
      <c r="BR90" s="536"/>
      <c r="BS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5-3'!$D$11:$Q319,BS$4,BS$5)"),"")</f>
        <v/>
      </c>
      <c r="BT90" s="534"/>
      <c r="BU90" s="534"/>
      <c r="BV90" s="534"/>
      <c r="BW90" s="534"/>
      <c r="BX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5-3'!$D$11:$Q319,BX$4,BX$5)"),"")</f>
        <v/>
      </c>
      <c r="BY90" s="538"/>
      <c r="BZ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5-3'!$D$11:$Q319,BZ$4,BZ$5)"),"")</f>
        <v/>
      </c>
      <c r="CA90" s="537"/>
      <c r="CB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5-3'!$D$11:$Q319,CB$4,CB$5)"),"")</f>
        <v/>
      </c>
      <c r="CC90" s="537"/>
      <c r="CD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5-3'!$D$11:$Q319,CD$4,CD$5)"),"")</f>
        <v/>
      </c>
      <c r="CE90" s="537"/>
      <c r="CF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5-3'!$D$11:$Q319,CF$4,CF$5)"),"")</f>
        <v/>
      </c>
      <c r="CG90" s="539"/>
      <c r="CH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5-3'!$D$11:$Q319,CH$4,CH$5)"),"")</f>
        <v/>
      </c>
      <c r="CI90" s="537"/>
      <c r="CJ90" s="537"/>
      <c r="CK90" s="537"/>
      <c r="CL90" s="537"/>
      <c r="CM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5-3'!$D$11:$Q319,CM$4,CM$5)"),"")</f>
        <v/>
      </c>
      <c r="CN90" s="541"/>
      <c r="CO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5-3'!$D$11:$Q319,CO$4,CO$5)"),"")</f>
        <v/>
      </c>
      <c r="CP90" s="540"/>
      <c r="CQ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5-3'!$D$11:$Q319,CQ$4,CQ$5)"),"")</f>
        <v/>
      </c>
      <c r="CR90" s="540"/>
      <c r="CS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5-3'!$D$11:$Q319,CS$4,CS$5)"),"")</f>
        <v/>
      </c>
      <c r="CT90" s="540"/>
      <c r="CU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5-3'!$D$11:$Q319,CU$4,CU$5)"),"")</f>
        <v/>
      </c>
      <c r="CV90" s="545"/>
      <c r="CW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5-3'!$D$11:$Q319,CW$4,CW$5)"),"")</f>
        <v/>
      </c>
      <c r="CX90" s="540"/>
      <c r="CY90" s="540"/>
      <c r="CZ90" s="540"/>
      <c r="DA90" s="540"/>
      <c r="DB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5-3'!$D$11:$Q319,DB$4,DB$5)"),"")</f>
        <v/>
      </c>
      <c r="DC90" s="555"/>
      <c r="DD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5-3'!$D$11:$Q319,DD$4,DD$5)"),"")</f>
        <v/>
      </c>
      <c r="DE90" s="554"/>
      <c r="DF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5-3'!$D$11:$Q319,DF$4,DF$5)"),"")</f>
        <v/>
      </c>
      <c r="DG90" s="554"/>
      <c r="DH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5-3'!$D$11:$Q319,DH$4,DH$5)"),"")</f>
        <v/>
      </c>
      <c r="DI90" s="554"/>
      <c r="DJ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5-3'!$D$11:$Q319,DJ$4,DJ$5)"),"")</f>
        <v/>
      </c>
      <c r="DK90" s="566"/>
      <c r="DL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5-3'!$D$11:$Q319,DL$4,DL$5)"),"")</f>
        <v/>
      </c>
      <c r="DM90" s="554"/>
      <c r="DN90" s="554"/>
      <c r="DO90" s="554"/>
      <c r="DP90" s="554"/>
      <c r="DQ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5-3'!$D$11:$Q319,DQ$4,DQ$5)"),"")</f>
        <v/>
      </c>
      <c r="DR90" s="569"/>
      <c r="DS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5-3'!$D$11:$Q319,DS$4,DS$5)"),"")</f>
        <v/>
      </c>
      <c r="DT90" s="568"/>
      <c r="DU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5-3'!$D$11:$Q319,DU$4,DU$5)"),"")</f>
        <v/>
      </c>
      <c r="DV90" s="568"/>
      <c r="DW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5-3'!$D$11:$Q319,DW$4,DW$5)"),"")</f>
        <v/>
      </c>
      <c r="DX90" s="568"/>
      <c r="DY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5-3'!$D$11:$Q319,DY$4,DY$5)"),"")</f>
        <v/>
      </c>
      <c r="DZ90" s="578"/>
      <c r="EA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$C90, 'S-10 Топ 5-3'!$D$11:$Q319,EA$4,EA$5)"),"")</f>
        <v/>
      </c>
      <c r="EB90" s="568"/>
      <c r="EC90" s="568"/>
      <c r="ED90" s="568"/>
      <c r="EE90" s="568"/>
    </row>
    <row r="91">
      <c r="A91" s="519" t="str">
        <f t="shared" si="1"/>
        <v/>
      </c>
      <c r="B91" s="520" t="str">
        <f>'5-0 Товары'!B91</f>
        <v/>
      </c>
      <c r="C91" s="521" t="str">
        <f>'5-1 Сбор КП Закупки'!C91</f>
        <v/>
      </c>
      <c r="D91" s="521" t="str">
        <f>'5-1 Сбор КП Закупки'!D91</f>
        <v/>
      </c>
      <c r="E91" s="521" t="str">
        <f>'5-1 Сбор КП Закупки'!E91</f>
        <v/>
      </c>
      <c r="F91" s="521" t="str">
        <f>'5-1 Сбор КП Закупки'!F91</f>
        <v/>
      </c>
      <c r="G91" s="522" t="str">
        <f>'5-1 Сбор КП Закупки'!G91</f>
        <v/>
      </c>
      <c r="H91" s="522" t="str">
        <f>'5-1 Сбор КП Закупки'!H91</f>
        <v/>
      </c>
      <c r="I91" s="522" t="str">
        <f>'5-1 Сбор КП Закупки'!I91</f>
        <v/>
      </c>
      <c r="J91" s="197"/>
      <c r="K91" s="522" t="str">
        <f>'5-1 Сбор КП Закупки'!G91</f>
        <v/>
      </c>
      <c r="L91" s="523" t="str">
        <f>IF(A91="Да",'5-1 Сбор КП Закупки'!K91,)</f>
        <v/>
      </c>
      <c r="M91" s="197"/>
      <c r="N91" s="197"/>
      <c r="O91" s="197"/>
      <c r="P91" s="525" t="str">
        <f>'5-1 Сбор КП Закупки'!P91</f>
        <v/>
      </c>
      <c r="Q91" s="197"/>
      <c r="R91" s="197"/>
      <c r="S91" s="197"/>
      <c r="T91" s="197"/>
      <c r="U91" s="197"/>
      <c r="V91" s="197"/>
      <c r="W91" s="522" t="str">
        <f>'5-1 Сбор КП Закупки'!O91</f>
        <v/>
      </c>
      <c r="X91" s="197"/>
      <c r="Y91" s="197"/>
      <c r="Z91" s="197"/>
      <c r="AA91" s="197"/>
      <c r="AB91" s="197">
        <v>0.0</v>
      </c>
      <c r="AC91" s="197"/>
      <c r="AD91" s="197"/>
      <c r="AE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5-3'!$D$11:$Q319,AE$4,AE$5)"),"")</f>
        <v/>
      </c>
      <c r="AF91" s="528"/>
      <c r="AG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5-3'!$D$11:$Q319,AG$4,AG$5)"),"")</f>
        <v/>
      </c>
      <c r="AH91" s="527"/>
      <c r="AI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5-3'!$D$11:$Q319,AI$4,AI$5)"),"")</f>
        <v/>
      </c>
      <c r="AJ91" s="527"/>
      <c r="AK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5-3'!$D$11:$Q319,AK$4,AK$5)"),"")</f>
        <v/>
      </c>
      <c r="AL91" s="527"/>
      <c r="AM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5-3'!$D$11:$Q319,AM$4,AM$5)"),"")</f>
        <v/>
      </c>
      <c r="AN91" s="529"/>
      <c r="AO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5-3'!$D$11:$Q319,AO$4,AO$5)"),"")</f>
        <v/>
      </c>
      <c r="AP91" s="527"/>
      <c r="AQ91" s="527"/>
      <c r="AR91" s="527"/>
      <c r="AS91" s="527"/>
      <c r="AT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5-3'!$D$11:$Q319,AT$4,AT$5)"),"")</f>
        <v/>
      </c>
      <c r="AU91" s="531"/>
      <c r="AV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5-3'!$D$11:$Q319,AV$4,AV$5)"),"")</f>
        <v/>
      </c>
      <c r="AW91" s="530"/>
      <c r="AX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5-3'!$D$11:$Q319,AX$4,AX$5)"),"")</f>
        <v/>
      </c>
      <c r="AY91" s="530"/>
      <c r="AZ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5-3'!$D$11:$Q319,AZ$4,AZ$5)"),"")</f>
        <v/>
      </c>
      <c r="BA91" s="530"/>
      <c r="BB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5-3'!$D$11:$Q319,BB$4,BB$5)"),"")</f>
        <v/>
      </c>
      <c r="BC91" s="532"/>
      <c r="BD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5-3'!$D$11:$Q319,BD$4,BD$5)"),"")</f>
        <v/>
      </c>
      <c r="BE91" s="530"/>
      <c r="BF91" s="530"/>
      <c r="BG91" s="530"/>
      <c r="BH91" s="530"/>
      <c r="BI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5-3'!$D$11:$Q319,BI$4,BI$5)"),"")</f>
        <v/>
      </c>
      <c r="BJ91" s="535"/>
      <c r="BK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5-3'!$D$11:$Q319,BK$4,BK$5)"),"")</f>
        <v/>
      </c>
      <c r="BL91" s="534"/>
      <c r="BM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5-3'!$D$11:$Q319,BM$4,BM$5)"),"")</f>
        <v/>
      </c>
      <c r="BN91" s="534"/>
      <c r="BO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5-3'!$D$11:$Q319,BO$4,BO$5)"),"")</f>
        <v/>
      </c>
      <c r="BP91" s="534"/>
      <c r="BQ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5-3'!$D$11:$Q319,BQ$4,BQ$5)"),"")</f>
        <v/>
      </c>
      <c r="BR91" s="536"/>
      <c r="BS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5-3'!$D$11:$Q319,BS$4,BS$5)"),"")</f>
        <v/>
      </c>
      <c r="BT91" s="534"/>
      <c r="BU91" s="534"/>
      <c r="BV91" s="534"/>
      <c r="BW91" s="534"/>
      <c r="BX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5-3'!$D$11:$Q319,BX$4,BX$5)"),"")</f>
        <v/>
      </c>
      <c r="BY91" s="538"/>
      <c r="BZ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5-3'!$D$11:$Q319,BZ$4,BZ$5)"),"")</f>
        <v/>
      </c>
      <c r="CA91" s="537"/>
      <c r="CB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5-3'!$D$11:$Q319,CB$4,CB$5)"),"")</f>
        <v/>
      </c>
      <c r="CC91" s="537"/>
      <c r="CD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5-3'!$D$11:$Q319,CD$4,CD$5)"),"")</f>
        <v/>
      </c>
      <c r="CE91" s="537"/>
      <c r="CF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5-3'!$D$11:$Q319,CF$4,CF$5)"),"")</f>
        <v/>
      </c>
      <c r="CG91" s="539"/>
      <c r="CH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5-3'!$D$11:$Q319,CH$4,CH$5)"),"")</f>
        <v/>
      </c>
      <c r="CI91" s="537"/>
      <c r="CJ91" s="537"/>
      <c r="CK91" s="537"/>
      <c r="CL91" s="537"/>
      <c r="CM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5-3'!$D$11:$Q319,CM$4,CM$5)"),"")</f>
        <v/>
      </c>
      <c r="CN91" s="541"/>
      <c r="CO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5-3'!$D$11:$Q319,CO$4,CO$5)"),"")</f>
        <v/>
      </c>
      <c r="CP91" s="540"/>
      <c r="CQ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5-3'!$D$11:$Q319,CQ$4,CQ$5)"),"")</f>
        <v/>
      </c>
      <c r="CR91" s="540"/>
      <c r="CS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5-3'!$D$11:$Q319,CS$4,CS$5)"),"")</f>
        <v/>
      </c>
      <c r="CT91" s="540"/>
      <c r="CU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5-3'!$D$11:$Q319,CU$4,CU$5)"),"")</f>
        <v/>
      </c>
      <c r="CV91" s="545"/>
      <c r="CW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5-3'!$D$11:$Q319,CW$4,CW$5)"),"")</f>
        <v/>
      </c>
      <c r="CX91" s="540"/>
      <c r="CY91" s="540"/>
      <c r="CZ91" s="540"/>
      <c r="DA91" s="540"/>
      <c r="DB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5-3'!$D$11:$Q319,DB$4,DB$5)"),"")</f>
        <v/>
      </c>
      <c r="DC91" s="555"/>
      <c r="DD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5-3'!$D$11:$Q319,DD$4,DD$5)"),"")</f>
        <v/>
      </c>
      <c r="DE91" s="554"/>
      <c r="DF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5-3'!$D$11:$Q319,DF$4,DF$5)"),"")</f>
        <v/>
      </c>
      <c r="DG91" s="554"/>
      <c r="DH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5-3'!$D$11:$Q319,DH$4,DH$5)"),"")</f>
        <v/>
      </c>
      <c r="DI91" s="554"/>
      <c r="DJ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5-3'!$D$11:$Q319,DJ$4,DJ$5)"),"")</f>
        <v/>
      </c>
      <c r="DK91" s="566"/>
      <c r="DL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5-3'!$D$11:$Q319,DL$4,DL$5)"),"")</f>
        <v/>
      </c>
      <c r="DM91" s="554"/>
      <c r="DN91" s="554"/>
      <c r="DO91" s="554"/>
      <c r="DP91" s="554"/>
      <c r="DQ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5-3'!$D$11:$Q319,DQ$4,DQ$5)"),"")</f>
        <v/>
      </c>
      <c r="DR91" s="569"/>
      <c r="DS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5-3'!$D$11:$Q319,DS$4,DS$5)"),"")</f>
        <v/>
      </c>
      <c r="DT91" s="568"/>
      <c r="DU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5-3'!$D$11:$Q319,DU$4,DU$5)"),"")</f>
        <v/>
      </c>
      <c r="DV91" s="568"/>
      <c r="DW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5-3'!$D$11:$Q319,DW$4,DW$5)"),"")</f>
        <v/>
      </c>
      <c r="DX91" s="568"/>
      <c r="DY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5-3'!$D$11:$Q319,DY$4,DY$5)"),"")</f>
        <v/>
      </c>
      <c r="DZ91" s="578"/>
      <c r="EA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$C91, 'S-10 Топ 5-3'!$D$11:$Q319,EA$4,EA$5)"),"")</f>
        <v/>
      </c>
      <c r="EB91" s="568"/>
      <c r="EC91" s="568"/>
      <c r="ED91" s="568"/>
      <c r="EE91" s="568"/>
    </row>
    <row r="92">
      <c r="A92" s="519" t="str">
        <f t="shared" si="1"/>
        <v/>
      </c>
      <c r="B92" s="520" t="str">
        <f>'5-0 Товары'!B92</f>
        <v/>
      </c>
      <c r="C92" s="521" t="str">
        <f>'5-1 Сбор КП Закупки'!C92</f>
        <v/>
      </c>
      <c r="D92" s="521" t="str">
        <f>'5-1 Сбор КП Закупки'!D92</f>
        <v/>
      </c>
      <c r="E92" s="521" t="str">
        <f>'5-1 Сбор КП Закупки'!E92</f>
        <v/>
      </c>
      <c r="F92" s="521" t="str">
        <f>'5-1 Сбор КП Закупки'!F92</f>
        <v/>
      </c>
      <c r="G92" s="522" t="str">
        <f>'5-1 Сбор КП Закупки'!G92</f>
        <v/>
      </c>
      <c r="H92" s="522" t="str">
        <f>'5-1 Сбор КП Закупки'!H92</f>
        <v/>
      </c>
      <c r="I92" s="522" t="str">
        <f>'5-1 Сбор КП Закупки'!I92</f>
        <v/>
      </c>
      <c r="J92" s="197"/>
      <c r="K92" s="522" t="str">
        <f>'5-1 Сбор КП Закупки'!G92</f>
        <v/>
      </c>
      <c r="L92" s="523" t="str">
        <f>IF(A92="Да",'5-1 Сбор КП Закупки'!K92,)</f>
        <v/>
      </c>
      <c r="M92" s="197"/>
      <c r="N92" s="197"/>
      <c r="O92" s="197"/>
      <c r="P92" s="525" t="str">
        <f>'5-1 Сбор КП Закупки'!P92</f>
        <v/>
      </c>
      <c r="Q92" s="197"/>
      <c r="R92" s="197"/>
      <c r="S92" s="197"/>
      <c r="T92" s="197"/>
      <c r="U92" s="197"/>
      <c r="V92" s="197"/>
      <c r="W92" s="522" t="str">
        <f>'5-1 Сбор КП Закупки'!O92</f>
        <v/>
      </c>
      <c r="X92" s="197"/>
      <c r="Y92" s="197"/>
      <c r="Z92" s="197"/>
      <c r="AA92" s="197"/>
      <c r="AB92" s="197">
        <v>0.0</v>
      </c>
      <c r="AC92" s="197"/>
      <c r="AD92" s="197"/>
      <c r="AE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5-3'!$D$11:$Q319,AE$4,AE$5)"),"")</f>
        <v/>
      </c>
      <c r="AF92" s="528"/>
      <c r="AG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5-3'!$D$11:$Q319,AG$4,AG$5)"),"")</f>
        <v/>
      </c>
      <c r="AH92" s="527"/>
      <c r="AI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5-3'!$D$11:$Q319,AI$4,AI$5)"),"")</f>
        <v/>
      </c>
      <c r="AJ92" s="527"/>
      <c r="AK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5-3'!$D$11:$Q319,AK$4,AK$5)"),"")</f>
        <v/>
      </c>
      <c r="AL92" s="527"/>
      <c r="AM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5-3'!$D$11:$Q319,AM$4,AM$5)"),"")</f>
        <v/>
      </c>
      <c r="AN92" s="529"/>
      <c r="AO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5-3'!$D$11:$Q319,AO$4,AO$5)"),"")</f>
        <v/>
      </c>
      <c r="AP92" s="527"/>
      <c r="AQ92" s="527"/>
      <c r="AR92" s="527"/>
      <c r="AS92" s="527"/>
      <c r="AT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5-3'!$D$11:$Q319,AT$4,AT$5)"),"")</f>
        <v/>
      </c>
      <c r="AU92" s="531"/>
      <c r="AV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5-3'!$D$11:$Q319,AV$4,AV$5)"),"")</f>
        <v/>
      </c>
      <c r="AW92" s="530"/>
      <c r="AX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5-3'!$D$11:$Q319,AX$4,AX$5)"),"")</f>
        <v/>
      </c>
      <c r="AY92" s="530"/>
      <c r="AZ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5-3'!$D$11:$Q319,AZ$4,AZ$5)"),"")</f>
        <v/>
      </c>
      <c r="BA92" s="530"/>
      <c r="BB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5-3'!$D$11:$Q319,BB$4,BB$5)"),"")</f>
        <v/>
      </c>
      <c r="BC92" s="532"/>
      <c r="BD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5-3'!$D$11:$Q319,BD$4,BD$5)"),"")</f>
        <v/>
      </c>
      <c r="BE92" s="530"/>
      <c r="BF92" s="530"/>
      <c r="BG92" s="530"/>
      <c r="BH92" s="530"/>
      <c r="BI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5-3'!$D$11:$Q319,BI$4,BI$5)"),"")</f>
        <v/>
      </c>
      <c r="BJ92" s="535"/>
      <c r="BK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5-3'!$D$11:$Q319,BK$4,BK$5)"),"")</f>
        <v/>
      </c>
      <c r="BL92" s="534"/>
      <c r="BM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5-3'!$D$11:$Q319,BM$4,BM$5)"),"")</f>
        <v/>
      </c>
      <c r="BN92" s="534"/>
      <c r="BO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5-3'!$D$11:$Q319,BO$4,BO$5)"),"")</f>
        <v/>
      </c>
      <c r="BP92" s="534"/>
      <c r="BQ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5-3'!$D$11:$Q319,BQ$4,BQ$5)"),"")</f>
        <v/>
      </c>
      <c r="BR92" s="536"/>
      <c r="BS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5-3'!$D$11:$Q319,BS$4,BS$5)"),"")</f>
        <v/>
      </c>
      <c r="BT92" s="534"/>
      <c r="BU92" s="534"/>
      <c r="BV92" s="534"/>
      <c r="BW92" s="534"/>
      <c r="BX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5-3'!$D$11:$Q319,BX$4,BX$5)"),"")</f>
        <v/>
      </c>
      <c r="BY92" s="538"/>
      <c r="BZ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5-3'!$D$11:$Q319,BZ$4,BZ$5)"),"")</f>
        <v/>
      </c>
      <c r="CA92" s="537"/>
      <c r="CB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5-3'!$D$11:$Q319,CB$4,CB$5)"),"")</f>
        <v/>
      </c>
      <c r="CC92" s="537"/>
      <c r="CD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5-3'!$D$11:$Q319,CD$4,CD$5)"),"")</f>
        <v/>
      </c>
      <c r="CE92" s="537"/>
      <c r="CF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5-3'!$D$11:$Q319,CF$4,CF$5)"),"")</f>
        <v/>
      </c>
      <c r="CG92" s="539"/>
      <c r="CH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5-3'!$D$11:$Q319,CH$4,CH$5)"),"")</f>
        <v/>
      </c>
      <c r="CI92" s="537"/>
      <c r="CJ92" s="537"/>
      <c r="CK92" s="537"/>
      <c r="CL92" s="537"/>
      <c r="CM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5-3'!$D$11:$Q319,CM$4,CM$5)"),"")</f>
        <v/>
      </c>
      <c r="CN92" s="541"/>
      <c r="CO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5-3'!$D$11:$Q319,CO$4,CO$5)"),"")</f>
        <v/>
      </c>
      <c r="CP92" s="540"/>
      <c r="CQ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5-3'!$D$11:$Q319,CQ$4,CQ$5)"),"")</f>
        <v/>
      </c>
      <c r="CR92" s="540"/>
      <c r="CS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5-3'!$D$11:$Q319,CS$4,CS$5)"),"")</f>
        <v/>
      </c>
      <c r="CT92" s="540"/>
      <c r="CU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5-3'!$D$11:$Q319,CU$4,CU$5)"),"")</f>
        <v/>
      </c>
      <c r="CV92" s="545"/>
      <c r="CW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5-3'!$D$11:$Q319,CW$4,CW$5)"),"")</f>
        <v/>
      </c>
      <c r="CX92" s="540"/>
      <c r="CY92" s="540"/>
      <c r="CZ92" s="540"/>
      <c r="DA92" s="540"/>
      <c r="DB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5-3'!$D$11:$Q319,DB$4,DB$5)"),"")</f>
        <v/>
      </c>
      <c r="DC92" s="555"/>
      <c r="DD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5-3'!$D$11:$Q319,DD$4,DD$5)"),"")</f>
        <v/>
      </c>
      <c r="DE92" s="554"/>
      <c r="DF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5-3'!$D$11:$Q319,DF$4,DF$5)"),"")</f>
        <v/>
      </c>
      <c r="DG92" s="554"/>
      <c r="DH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5-3'!$D$11:$Q319,DH$4,DH$5)"),"")</f>
        <v/>
      </c>
      <c r="DI92" s="554"/>
      <c r="DJ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5-3'!$D$11:$Q319,DJ$4,DJ$5)"),"")</f>
        <v/>
      </c>
      <c r="DK92" s="566"/>
      <c r="DL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5-3'!$D$11:$Q319,DL$4,DL$5)"),"")</f>
        <v/>
      </c>
      <c r="DM92" s="554"/>
      <c r="DN92" s="554"/>
      <c r="DO92" s="554"/>
      <c r="DP92" s="554"/>
      <c r="DQ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5-3'!$D$11:$Q319,DQ$4,DQ$5)"),"")</f>
        <v/>
      </c>
      <c r="DR92" s="569"/>
      <c r="DS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5-3'!$D$11:$Q319,DS$4,DS$5)"),"")</f>
        <v/>
      </c>
      <c r="DT92" s="568"/>
      <c r="DU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5-3'!$D$11:$Q319,DU$4,DU$5)"),"")</f>
        <v/>
      </c>
      <c r="DV92" s="568"/>
      <c r="DW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5-3'!$D$11:$Q319,DW$4,DW$5)"),"")</f>
        <v/>
      </c>
      <c r="DX92" s="568"/>
      <c r="DY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5-3'!$D$11:$Q319,DY$4,DY$5)"),"")</f>
        <v/>
      </c>
      <c r="DZ92" s="578"/>
      <c r="EA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$C92, 'S-10 Топ 5-3'!$D$11:$Q319,EA$4,EA$5)"),"")</f>
        <v/>
      </c>
      <c r="EB92" s="568"/>
      <c r="EC92" s="568"/>
      <c r="ED92" s="568"/>
      <c r="EE92" s="568"/>
    </row>
    <row r="93">
      <c r="A93" s="519" t="str">
        <f t="shared" si="1"/>
        <v/>
      </c>
      <c r="B93" s="520" t="str">
        <f>'5-0 Товары'!B93</f>
        <v/>
      </c>
      <c r="C93" s="521" t="str">
        <f>'5-1 Сбор КП Закупки'!C93</f>
        <v/>
      </c>
      <c r="D93" s="521" t="str">
        <f>'5-1 Сбор КП Закупки'!D93</f>
        <v/>
      </c>
      <c r="E93" s="521" t="str">
        <f>'5-1 Сбор КП Закупки'!E93</f>
        <v/>
      </c>
      <c r="F93" s="521" t="str">
        <f>'5-1 Сбор КП Закупки'!F93</f>
        <v/>
      </c>
      <c r="G93" s="522" t="str">
        <f>'5-1 Сбор КП Закупки'!G93</f>
        <v/>
      </c>
      <c r="H93" s="522" t="str">
        <f>'5-1 Сбор КП Закупки'!H93</f>
        <v/>
      </c>
      <c r="I93" s="522" t="str">
        <f>'5-1 Сбор КП Закупки'!I93</f>
        <v/>
      </c>
      <c r="J93" s="197"/>
      <c r="K93" s="522" t="str">
        <f>'5-1 Сбор КП Закупки'!G93</f>
        <v/>
      </c>
      <c r="L93" s="523" t="str">
        <f>IF(A93="Да",'5-1 Сбор КП Закупки'!K93,)</f>
        <v/>
      </c>
      <c r="M93" s="197"/>
      <c r="N93" s="197"/>
      <c r="O93" s="197"/>
      <c r="P93" s="525" t="str">
        <f>'5-1 Сбор КП Закупки'!P93</f>
        <v/>
      </c>
      <c r="Q93" s="197"/>
      <c r="R93" s="197"/>
      <c r="S93" s="197"/>
      <c r="T93" s="197"/>
      <c r="U93" s="197"/>
      <c r="V93" s="197"/>
      <c r="W93" s="522" t="str">
        <f>'5-1 Сбор КП Закупки'!O93</f>
        <v/>
      </c>
      <c r="X93" s="197"/>
      <c r="Y93" s="197"/>
      <c r="Z93" s="197"/>
      <c r="AA93" s="197"/>
      <c r="AB93" s="197">
        <v>0.0</v>
      </c>
      <c r="AC93" s="197"/>
      <c r="AD93" s="197"/>
      <c r="AE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5-3'!$D$11:$Q319,AE$4,AE$5)"),"")</f>
        <v/>
      </c>
      <c r="AF93" s="528"/>
      <c r="AG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5-3'!$D$11:$Q319,AG$4,AG$5)"),"")</f>
        <v/>
      </c>
      <c r="AH93" s="527"/>
      <c r="AI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5-3'!$D$11:$Q319,AI$4,AI$5)"),"")</f>
        <v/>
      </c>
      <c r="AJ93" s="527"/>
      <c r="AK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5-3'!$D$11:$Q319,AK$4,AK$5)"),"")</f>
        <v/>
      </c>
      <c r="AL93" s="527"/>
      <c r="AM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5-3'!$D$11:$Q319,AM$4,AM$5)"),"")</f>
        <v/>
      </c>
      <c r="AN93" s="529"/>
      <c r="AO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5-3'!$D$11:$Q319,AO$4,AO$5)"),"")</f>
        <v/>
      </c>
      <c r="AP93" s="527"/>
      <c r="AQ93" s="527"/>
      <c r="AR93" s="527"/>
      <c r="AS93" s="527"/>
      <c r="AT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5-3'!$D$11:$Q319,AT$4,AT$5)"),"")</f>
        <v/>
      </c>
      <c r="AU93" s="531"/>
      <c r="AV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5-3'!$D$11:$Q319,AV$4,AV$5)"),"")</f>
        <v/>
      </c>
      <c r="AW93" s="530"/>
      <c r="AX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5-3'!$D$11:$Q319,AX$4,AX$5)"),"")</f>
        <v/>
      </c>
      <c r="AY93" s="530"/>
      <c r="AZ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5-3'!$D$11:$Q319,AZ$4,AZ$5)"),"")</f>
        <v/>
      </c>
      <c r="BA93" s="530"/>
      <c r="BB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5-3'!$D$11:$Q319,BB$4,BB$5)"),"")</f>
        <v/>
      </c>
      <c r="BC93" s="532"/>
      <c r="BD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5-3'!$D$11:$Q319,BD$4,BD$5)"),"")</f>
        <v/>
      </c>
      <c r="BE93" s="530"/>
      <c r="BF93" s="530"/>
      <c r="BG93" s="530"/>
      <c r="BH93" s="530"/>
      <c r="BI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5-3'!$D$11:$Q319,BI$4,BI$5)"),"")</f>
        <v/>
      </c>
      <c r="BJ93" s="535"/>
      <c r="BK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5-3'!$D$11:$Q319,BK$4,BK$5)"),"")</f>
        <v/>
      </c>
      <c r="BL93" s="534"/>
      <c r="BM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5-3'!$D$11:$Q319,BM$4,BM$5)"),"")</f>
        <v/>
      </c>
      <c r="BN93" s="534"/>
      <c r="BO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5-3'!$D$11:$Q319,BO$4,BO$5)"),"")</f>
        <v/>
      </c>
      <c r="BP93" s="534"/>
      <c r="BQ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5-3'!$D$11:$Q319,BQ$4,BQ$5)"),"")</f>
        <v/>
      </c>
      <c r="BR93" s="536"/>
      <c r="BS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5-3'!$D$11:$Q319,BS$4,BS$5)"),"")</f>
        <v/>
      </c>
      <c r="BT93" s="534"/>
      <c r="BU93" s="534"/>
      <c r="BV93" s="534"/>
      <c r="BW93" s="534"/>
      <c r="BX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5-3'!$D$11:$Q319,BX$4,BX$5)"),"")</f>
        <v/>
      </c>
      <c r="BY93" s="538"/>
      <c r="BZ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5-3'!$D$11:$Q319,BZ$4,BZ$5)"),"")</f>
        <v/>
      </c>
      <c r="CA93" s="537"/>
      <c r="CB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5-3'!$D$11:$Q319,CB$4,CB$5)"),"")</f>
        <v/>
      </c>
      <c r="CC93" s="537"/>
      <c r="CD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5-3'!$D$11:$Q319,CD$4,CD$5)"),"")</f>
        <v/>
      </c>
      <c r="CE93" s="537"/>
      <c r="CF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5-3'!$D$11:$Q319,CF$4,CF$5)"),"")</f>
        <v/>
      </c>
      <c r="CG93" s="539"/>
      <c r="CH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5-3'!$D$11:$Q319,CH$4,CH$5)"),"")</f>
        <v/>
      </c>
      <c r="CI93" s="537"/>
      <c r="CJ93" s="537"/>
      <c r="CK93" s="537"/>
      <c r="CL93" s="537"/>
      <c r="CM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5-3'!$D$11:$Q319,CM$4,CM$5)"),"")</f>
        <v/>
      </c>
      <c r="CN93" s="541"/>
      <c r="CO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5-3'!$D$11:$Q319,CO$4,CO$5)"),"")</f>
        <v/>
      </c>
      <c r="CP93" s="540"/>
      <c r="CQ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5-3'!$D$11:$Q319,CQ$4,CQ$5)"),"")</f>
        <v/>
      </c>
      <c r="CR93" s="540"/>
      <c r="CS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5-3'!$D$11:$Q319,CS$4,CS$5)"),"")</f>
        <v/>
      </c>
      <c r="CT93" s="540"/>
      <c r="CU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5-3'!$D$11:$Q319,CU$4,CU$5)"),"")</f>
        <v/>
      </c>
      <c r="CV93" s="545"/>
      <c r="CW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5-3'!$D$11:$Q319,CW$4,CW$5)"),"")</f>
        <v/>
      </c>
      <c r="CX93" s="540"/>
      <c r="CY93" s="540"/>
      <c r="CZ93" s="540"/>
      <c r="DA93" s="540"/>
      <c r="DB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5-3'!$D$11:$Q319,DB$4,DB$5)"),"")</f>
        <v/>
      </c>
      <c r="DC93" s="555"/>
      <c r="DD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5-3'!$D$11:$Q319,DD$4,DD$5)"),"")</f>
        <v/>
      </c>
      <c r="DE93" s="554"/>
      <c r="DF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5-3'!$D$11:$Q319,DF$4,DF$5)"),"")</f>
        <v/>
      </c>
      <c r="DG93" s="554"/>
      <c r="DH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5-3'!$D$11:$Q319,DH$4,DH$5)"),"")</f>
        <v/>
      </c>
      <c r="DI93" s="554"/>
      <c r="DJ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5-3'!$D$11:$Q319,DJ$4,DJ$5)"),"")</f>
        <v/>
      </c>
      <c r="DK93" s="566"/>
      <c r="DL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5-3'!$D$11:$Q319,DL$4,DL$5)"),"")</f>
        <v/>
      </c>
      <c r="DM93" s="554"/>
      <c r="DN93" s="554"/>
      <c r="DO93" s="554"/>
      <c r="DP93" s="554"/>
      <c r="DQ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5-3'!$D$11:$Q319,DQ$4,DQ$5)"),"")</f>
        <v/>
      </c>
      <c r="DR93" s="569"/>
      <c r="DS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5-3'!$D$11:$Q319,DS$4,DS$5)"),"")</f>
        <v/>
      </c>
      <c r="DT93" s="568"/>
      <c r="DU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5-3'!$D$11:$Q319,DU$4,DU$5)"),"")</f>
        <v/>
      </c>
      <c r="DV93" s="568"/>
      <c r="DW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5-3'!$D$11:$Q319,DW$4,DW$5)"),"")</f>
        <v/>
      </c>
      <c r="DX93" s="568"/>
      <c r="DY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5-3'!$D$11:$Q319,DY$4,DY$5)"),"")</f>
        <v/>
      </c>
      <c r="DZ93" s="578"/>
      <c r="EA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$C93, 'S-10 Топ 5-3'!$D$11:$Q319,EA$4,EA$5)"),"")</f>
        <v/>
      </c>
      <c r="EB93" s="568"/>
      <c r="EC93" s="568"/>
      <c r="ED93" s="568"/>
      <c r="EE93" s="568"/>
    </row>
    <row r="94">
      <c r="A94" s="519" t="str">
        <f t="shared" si="1"/>
        <v/>
      </c>
      <c r="B94" s="520" t="str">
        <f>'5-0 Товары'!B94</f>
        <v/>
      </c>
      <c r="C94" s="521" t="str">
        <f>'5-1 Сбор КП Закупки'!C94</f>
        <v/>
      </c>
      <c r="D94" s="521" t="str">
        <f>'5-1 Сбор КП Закупки'!D94</f>
        <v/>
      </c>
      <c r="E94" s="521" t="str">
        <f>'5-1 Сбор КП Закупки'!E94</f>
        <v/>
      </c>
      <c r="F94" s="521" t="str">
        <f>'5-1 Сбор КП Закупки'!F94</f>
        <v/>
      </c>
      <c r="G94" s="522" t="str">
        <f>'5-1 Сбор КП Закупки'!G94</f>
        <v/>
      </c>
      <c r="H94" s="522" t="str">
        <f>'5-1 Сбор КП Закупки'!H94</f>
        <v/>
      </c>
      <c r="I94" s="522" t="str">
        <f>'5-1 Сбор КП Закупки'!I94</f>
        <v/>
      </c>
      <c r="J94" s="197"/>
      <c r="K94" s="522" t="str">
        <f>'5-1 Сбор КП Закупки'!G94</f>
        <v/>
      </c>
      <c r="L94" s="523" t="str">
        <f>IF(A94="Да",'5-1 Сбор КП Закупки'!K94,)</f>
        <v/>
      </c>
      <c r="M94" s="197"/>
      <c r="N94" s="197"/>
      <c r="O94" s="197"/>
      <c r="P94" s="525" t="str">
        <f>'5-1 Сбор КП Закупки'!P94</f>
        <v/>
      </c>
      <c r="Q94" s="197"/>
      <c r="R94" s="197"/>
      <c r="S94" s="197"/>
      <c r="T94" s="197"/>
      <c r="U94" s="197"/>
      <c r="V94" s="197"/>
      <c r="W94" s="522" t="str">
        <f>'5-1 Сбор КП Закупки'!O94</f>
        <v/>
      </c>
      <c r="X94" s="197"/>
      <c r="Y94" s="197"/>
      <c r="Z94" s="197"/>
      <c r="AA94" s="197"/>
      <c r="AB94" s="197">
        <v>0.0</v>
      </c>
      <c r="AC94" s="197"/>
      <c r="AD94" s="197"/>
      <c r="AE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5-3'!$D$11:$Q319,AE$4,AE$5)"),"")</f>
        <v/>
      </c>
      <c r="AF94" s="528"/>
      <c r="AG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5-3'!$D$11:$Q319,AG$4,AG$5)"),"")</f>
        <v/>
      </c>
      <c r="AH94" s="527"/>
      <c r="AI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5-3'!$D$11:$Q319,AI$4,AI$5)"),"")</f>
        <v/>
      </c>
      <c r="AJ94" s="527"/>
      <c r="AK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5-3'!$D$11:$Q319,AK$4,AK$5)"),"")</f>
        <v/>
      </c>
      <c r="AL94" s="527"/>
      <c r="AM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5-3'!$D$11:$Q319,AM$4,AM$5)"),"")</f>
        <v/>
      </c>
      <c r="AN94" s="529"/>
      <c r="AO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5-3'!$D$11:$Q319,AO$4,AO$5)"),"")</f>
        <v/>
      </c>
      <c r="AP94" s="527"/>
      <c r="AQ94" s="527"/>
      <c r="AR94" s="527"/>
      <c r="AS94" s="527"/>
      <c r="AT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5-3'!$D$11:$Q319,AT$4,AT$5)"),"")</f>
        <v/>
      </c>
      <c r="AU94" s="531"/>
      <c r="AV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5-3'!$D$11:$Q319,AV$4,AV$5)"),"")</f>
        <v/>
      </c>
      <c r="AW94" s="530"/>
      <c r="AX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5-3'!$D$11:$Q319,AX$4,AX$5)"),"")</f>
        <v/>
      </c>
      <c r="AY94" s="530"/>
      <c r="AZ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5-3'!$D$11:$Q319,AZ$4,AZ$5)"),"")</f>
        <v/>
      </c>
      <c r="BA94" s="530"/>
      <c r="BB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5-3'!$D$11:$Q319,BB$4,BB$5)"),"")</f>
        <v/>
      </c>
      <c r="BC94" s="532"/>
      <c r="BD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5-3'!$D$11:$Q319,BD$4,BD$5)"),"")</f>
        <v/>
      </c>
      <c r="BE94" s="530"/>
      <c r="BF94" s="530"/>
      <c r="BG94" s="530"/>
      <c r="BH94" s="530"/>
      <c r="BI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5-3'!$D$11:$Q319,BI$4,BI$5)"),"")</f>
        <v/>
      </c>
      <c r="BJ94" s="535"/>
      <c r="BK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5-3'!$D$11:$Q319,BK$4,BK$5)"),"")</f>
        <v/>
      </c>
      <c r="BL94" s="534"/>
      <c r="BM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5-3'!$D$11:$Q319,BM$4,BM$5)"),"")</f>
        <v/>
      </c>
      <c r="BN94" s="534"/>
      <c r="BO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5-3'!$D$11:$Q319,BO$4,BO$5)"),"")</f>
        <v/>
      </c>
      <c r="BP94" s="534"/>
      <c r="BQ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5-3'!$D$11:$Q319,BQ$4,BQ$5)"),"")</f>
        <v/>
      </c>
      <c r="BR94" s="536"/>
      <c r="BS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5-3'!$D$11:$Q319,BS$4,BS$5)"),"")</f>
        <v/>
      </c>
      <c r="BT94" s="534"/>
      <c r="BU94" s="534"/>
      <c r="BV94" s="534"/>
      <c r="BW94" s="534"/>
      <c r="BX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5-3'!$D$11:$Q319,BX$4,BX$5)"),"")</f>
        <v/>
      </c>
      <c r="BY94" s="538"/>
      <c r="BZ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5-3'!$D$11:$Q319,BZ$4,BZ$5)"),"")</f>
        <v/>
      </c>
      <c r="CA94" s="537"/>
      <c r="CB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5-3'!$D$11:$Q319,CB$4,CB$5)"),"")</f>
        <v/>
      </c>
      <c r="CC94" s="537"/>
      <c r="CD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5-3'!$D$11:$Q319,CD$4,CD$5)"),"")</f>
        <v/>
      </c>
      <c r="CE94" s="537"/>
      <c r="CF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5-3'!$D$11:$Q319,CF$4,CF$5)"),"")</f>
        <v/>
      </c>
      <c r="CG94" s="539"/>
      <c r="CH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5-3'!$D$11:$Q319,CH$4,CH$5)"),"")</f>
        <v/>
      </c>
      <c r="CI94" s="537"/>
      <c r="CJ94" s="537"/>
      <c r="CK94" s="537"/>
      <c r="CL94" s="537"/>
      <c r="CM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5-3'!$D$11:$Q319,CM$4,CM$5)"),"")</f>
        <v/>
      </c>
      <c r="CN94" s="541"/>
      <c r="CO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5-3'!$D$11:$Q319,CO$4,CO$5)"),"")</f>
        <v/>
      </c>
      <c r="CP94" s="540"/>
      <c r="CQ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5-3'!$D$11:$Q319,CQ$4,CQ$5)"),"")</f>
        <v/>
      </c>
      <c r="CR94" s="540"/>
      <c r="CS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5-3'!$D$11:$Q319,CS$4,CS$5)"),"")</f>
        <v/>
      </c>
      <c r="CT94" s="540"/>
      <c r="CU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5-3'!$D$11:$Q319,CU$4,CU$5)"),"")</f>
        <v/>
      </c>
      <c r="CV94" s="545"/>
      <c r="CW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5-3'!$D$11:$Q319,CW$4,CW$5)"),"")</f>
        <v/>
      </c>
      <c r="CX94" s="540"/>
      <c r="CY94" s="540"/>
      <c r="CZ94" s="540"/>
      <c r="DA94" s="540"/>
      <c r="DB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5-3'!$D$11:$Q319,DB$4,DB$5)"),"")</f>
        <v/>
      </c>
      <c r="DC94" s="555"/>
      <c r="DD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5-3'!$D$11:$Q319,DD$4,DD$5)"),"")</f>
        <v/>
      </c>
      <c r="DE94" s="554"/>
      <c r="DF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5-3'!$D$11:$Q319,DF$4,DF$5)"),"")</f>
        <v/>
      </c>
      <c r="DG94" s="554"/>
      <c r="DH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5-3'!$D$11:$Q319,DH$4,DH$5)"),"")</f>
        <v/>
      </c>
      <c r="DI94" s="554"/>
      <c r="DJ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5-3'!$D$11:$Q319,DJ$4,DJ$5)"),"")</f>
        <v/>
      </c>
      <c r="DK94" s="566"/>
      <c r="DL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5-3'!$D$11:$Q319,DL$4,DL$5)"),"")</f>
        <v/>
      </c>
      <c r="DM94" s="554"/>
      <c r="DN94" s="554"/>
      <c r="DO94" s="554"/>
      <c r="DP94" s="554"/>
      <c r="DQ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5-3'!$D$11:$Q319,DQ$4,DQ$5)"),"")</f>
        <v/>
      </c>
      <c r="DR94" s="569"/>
      <c r="DS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5-3'!$D$11:$Q319,DS$4,DS$5)"),"")</f>
        <v/>
      </c>
      <c r="DT94" s="568"/>
      <c r="DU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5-3'!$D$11:$Q319,DU$4,DU$5)"),"")</f>
        <v/>
      </c>
      <c r="DV94" s="568"/>
      <c r="DW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5-3'!$D$11:$Q319,DW$4,DW$5)"),"")</f>
        <v/>
      </c>
      <c r="DX94" s="568"/>
      <c r="DY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5-3'!$D$11:$Q319,DY$4,DY$5)"),"")</f>
        <v/>
      </c>
      <c r="DZ94" s="578"/>
      <c r="EA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$C94, 'S-10 Топ 5-3'!$D$11:$Q319,EA$4,EA$5)"),"")</f>
        <v/>
      </c>
      <c r="EB94" s="568"/>
      <c r="EC94" s="568"/>
      <c r="ED94" s="568"/>
      <c r="EE94" s="568"/>
    </row>
    <row r="95">
      <c r="A95" s="519" t="str">
        <f t="shared" si="1"/>
        <v/>
      </c>
      <c r="B95" s="520" t="str">
        <f>'5-0 Товары'!B95</f>
        <v/>
      </c>
      <c r="C95" s="521" t="str">
        <f>'5-1 Сбор КП Закупки'!C95</f>
        <v/>
      </c>
      <c r="D95" s="521" t="str">
        <f>'5-1 Сбор КП Закупки'!D95</f>
        <v/>
      </c>
      <c r="E95" s="521" t="str">
        <f>'5-1 Сбор КП Закупки'!E95</f>
        <v/>
      </c>
      <c r="F95" s="521" t="str">
        <f>'5-1 Сбор КП Закупки'!F95</f>
        <v/>
      </c>
      <c r="G95" s="522" t="str">
        <f>'5-1 Сбор КП Закупки'!G95</f>
        <v/>
      </c>
      <c r="H95" s="522" t="str">
        <f>'5-1 Сбор КП Закупки'!H95</f>
        <v/>
      </c>
      <c r="I95" s="522" t="str">
        <f>'5-1 Сбор КП Закупки'!I95</f>
        <v/>
      </c>
      <c r="J95" s="197"/>
      <c r="K95" s="522" t="str">
        <f>'5-1 Сбор КП Закупки'!G95</f>
        <v/>
      </c>
      <c r="L95" s="523" t="str">
        <f>IF(A95="Да",'5-1 Сбор КП Закупки'!K95,)</f>
        <v/>
      </c>
      <c r="M95" s="197"/>
      <c r="N95" s="197"/>
      <c r="O95" s="197"/>
      <c r="P95" s="525" t="str">
        <f>'5-1 Сбор КП Закупки'!P95</f>
        <v/>
      </c>
      <c r="Q95" s="197"/>
      <c r="R95" s="197"/>
      <c r="S95" s="197"/>
      <c r="T95" s="197"/>
      <c r="U95" s="197"/>
      <c r="V95" s="197"/>
      <c r="W95" s="522" t="str">
        <f>'5-1 Сбор КП Закупки'!O95</f>
        <v/>
      </c>
      <c r="X95" s="197"/>
      <c r="Y95" s="197"/>
      <c r="Z95" s="197"/>
      <c r="AA95" s="197"/>
      <c r="AB95" s="197">
        <v>0.0</v>
      </c>
      <c r="AC95" s="197"/>
      <c r="AD95" s="197"/>
      <c r="AE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5-3'!$D$11:$Q319,AE$4,AE$5)"),"")</f>
        <v/>
      </c>
      <c r="AF95" s="528"/>
      <c r="AG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5-3'!$D$11:$Q319,AG$4,AG$5)"),"")</f>
        <v/>
      </c>
      <c r="AH95" s="527"/>
      <c r="AI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5-3'!$D$11:$Q319,AI$4,AI$5)"),"")</f>
        <v/>
      </c>
      <c r="AJ95" s="527"/>
      <c r="AK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5-3'!$D$11:$Q319,AK$4,AK$5)"),"")</f>
        <v/>
      </c>
      <c r="AL95" s="527"/>
      <c r="AM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5-3'!$D$11:$Q319,AM$4,AM$5)"),"")</f>
        <v/>
      </c>
      <c r="AN95" s="529"/>
      <c r="AO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5-3'!$D$11:$Q319,AO$4,AO$5)"),"")</f>
        <v/>
      </c>
      <c r="AP95" s="527"/>
      <c r="AQ95" s="527"/>
      <c r="AR95" s="527"/>
      <c r="AS95" s="527"/>
      <c r="AT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5-3'!$D$11:$Q319,AT$4,AT$5)"),"")</f>
        <v/>
      </c>
      <c r="AU95" s="531"/>
      <c r="AV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5-3'!$D$11:$Q319,AV$4,AV$5)"),"")</f>
        <v/>
      </c>
      <c r="AW95" s="530"/>
      <c r="AX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5-3'!$D$11:$Q319,AX$4,AX$5)"),"")</f>
        <v/>
      </c>
      <c r="AY95" s="530"/>
      <c r="AZ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5-3'!$D$11:$Q319,AZ$4,AZ$5)"),"")</f>
        <v/>
      </c>
      <c r="BA95" s="530"/>
      <c r="BB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5-3'!$D$11:$Q319,BB$4,BB$5)"),"")</f>
        <v/>
      </c>
      <c r="BC95" s="532"/>
      <c r="BD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5-3'!$D$11:$Q319,BD$4,BD$5)"),"")</f>
        <v/>
      </c>
      <c r="BE95" s="530"/>
      <c r="BF95" s="530"/>
      <c r="BG95" s="530"/>
      <c r="BH95" s="530"/>
      <c r="BI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5-3'!$D$11:$Q319,BI$4,BI$5)"),"")</f>
        <v/>
      </c>
      <c r="BJ95" s="535"/>
      <c r="BK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5-3'!$D$11:$Q319,BK$4,BK$5)"),"")</f>
        <v/>
      </c>
      <c r="BL95" s="534"/>
      <c r="BM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5-3'!$D$11:$Q319,BM$4,BM$5)"),"")</f>
        <v/>
      </c>
      <c r="BN95" s="534"/>
      <c r="BO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5-3'!$D$11:$Q319,BO$4,BO$5)"),"")</f>
        <v/>
      </c>
      <c r="BP95" s="534"/>
      <c r="BQ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5-3'!$D$11:$Q319,BQ$4,BQ$5)"),"")</f>
        <v/>
      </c>
      <c r="BR95" s="536"/>
      <c r="BS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5-3'!$D$11:$Q319,BS$4,BS$5)"),"")</f>
        <v/>
      </c>
      <c r="BT95" s="534"/>
      <c r="BU95" s="534"/>
      <c r="BV95" s="534"/>
      <c r="BW95" s="534"/>
      <c r="BX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5-3'!$D$11:$Q319,BX$4,BX$5)"),"")</f>
        <v/>
      </c>
      <c r="BY95" s="538"/>
      <c r="BZ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5-3'!$D$11:$Q319,BZ$4,BZ$5)"),"")</f>
        <v/>
      </c>
      <c r="CA95" s="537"/>
      <c r="CB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5-3'!$D$11:$Q319,CB$4,CB$5)"),"")</f>
        <v/>
      </c>
      <c r="CC95" s="537"/>
      <c r="CD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5-3'!$D$11:$Q319,CD$4,CD$5)"),"")</f>
        <v/>
      </c>
      <c r="CE95" s="537"/>
      <c r="CF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5-3'!$D$11:$Q319,CF$4,CF$5)"),"")</f>
        <v/>
      </c>
      <c r="CG95" s="539"/>
      <c r="CH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5-3'!$D$11:$Q319,CH$4,CH$5)"),"")</f>
        <v/>
      </c>
      <c r="CI95" s="537"/>
      <c r="CJ95" s="537"/>
      <c r="CK95" s="537"/>
      <c r="CL95" s="537"/>
      <c r="CM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5-3'!$D$11:$Q319,CM$4,CM$5)"),"")</f>
        <v/>
      </c>
      <c r="CN95" s="541"/>
      <c r="CO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5-3'!$D$11:$Q319,CO$4,CO$5)"),"")</f>
        <v/>
      </c>
      <c r="CP95" s="540"/>
      <c r="CQ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5-3'!$D$11:$Q319,CQ$4,CQ$5)"),"")</f>
        <v/>
      </c>
      <c r="CR95" s="540"/>
      <c r="CS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5-3'!$D$11:$Q319,CS$4,CS$5)"),"")</f>
        <v/>
      </c>
      <c r="CT95" s="540"/>
      <c r="CU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5-3'!$D$11:$Q319,CU$4,CU$5)"),"")</f>
        <v/>
      </c>
      <c r="CV95" s="545"/>
      <c r="CW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5-3'!$D$11:$Q319,CW$4,CW$5)"),"")</f>
        <v/>
      </c>
      <c r="CX95" s="540"/>
      <c r="CY95" s="540"/>
      <c r="CZ95" s="540"/>
      <c r="DA95" s="540"/>
      <c r="DB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5-3'!$D$11:$Q319,DB$4,DB$5)"),"")</f>
        <v/>
      </c>
      <c r="DC95" s="555"/>
      <c r="DD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5-3'!$D$11:$Q319,DD$4,DD$5)"),"")</f>
        <v/>
      </c>
      <c r="DE95" s="554"/>
      <c r="DF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5-3'!$D$11:$Q319,DF$4,DF$5)"),"")</f>
        <v/>
      </c>
      <c r="DG95" s="554"/>
      <c r="DH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5-3'!$D$11:$Q319,DH$4,DH$5)"),"")</f>
        <v/>
      </c>
      <c r="DI95" s="554"/>
      <c r="DJ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5-3'!$D$11:$Q319,DJ$4,DJ$5)"),"")</f>
        <v/>
      </c>
      <c r="DK95" s="566"/>
      <c r="DL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5-3'!$D$11:$Q319,DL$4,DL$5)"),"")</f>
        <v/>
      </c>
      <c r="DM95" s="554"/>
      <c r="DN95" s="554"/>
      <c r="DO95" s="554"/>
      <c r="DP95" s="554"/>
      <c r="DQ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5-3'!$D$11:$Q319,DQ$4,DQ$5)"),"")</f>
        <v/>
      </c>
      <c r="DR95" s="569"/>
      <c r="DS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5-3'!$D$11:$Q319,DS$4,DS$5)"),"")</f>
        <v/>
      </c>
      <c r="DT95" s="568"/>
      <c r="DU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5-3'!$D$11:$Q319,DU$4,DU$5)"),"")</f>
        <v/>
      </c>
      <c r="DV95" s="568"/>
      <c r="DW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5-3'!$D$11:$Q319,DW$4,DW$5)"),"")</f>
        <v/>
      </c>
      <c r="DX95" s="568"/>
      <c r="DY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5-3'!$D$11:$Q319,DY$4,DY$5)"),"")</f>
        <v/>
      </c>
      <c r="DZ95" s="578"/>
      <c r="EA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$C95, 'S-10 Топ 5-3'!$D$11:$Q319,EA$4,EA$5)"),"")</f>
        <v/>
      </c>
      <c r="EB95" s="568"/>
      <c r="EC95" s="568"/>
      <c r="ED95" s="568"/>
      <c r="EE95" s="568"/>
    </row>
    <row r="96">
      <c r="A96" s="519" t="str">
        <f t="shared" si="1"/>
        <v/>
      </c>
      <c r="B96" s="520" t="str">
        <f>'5-0 Товары'!B96</f>
        <v/>
      </c>
      <c r="C96" s="521" t="str">
        <f>'5-1 Сбор КП Закупки'!C96</f>
        <v/>
      </c>
      <c r="D96" s="521" t="str">
        <f>'5-1 Сбор КП Закупки'!D96</f>
        <v/>
      </c>
      <c r="E96" s="521" t="str">
        <f>'5-1 Сбор КП Закупки'!E96</f>
        <v/>
      </c>
      <c r="F96" s="521" t="str">
        <f>'5-1 Сбор КП Закупки'!F96</f>
        <v/>
      </c>
      <c r="G96" s="522" t="str">
        <f>'5-1 Сбор КП Закупки'!G96</f>
        <v/>
      </c>
      <c r="H96" s="522" t="str">
        <f>'5-1 Сбор КП Закупки'!H96</f>
        <v/>
      </c>
      <c r="I96" s="522" t="str">
        <f>'5-1 Сбор КП Закупки'!I96</f>
        <v/>
      </c>
      <c r="J96" s="197"/>
      <c r="K96" s="522" t="str">
        <f>'5-1 Сбор КП Закупки'!G96</f>
        <v/>
      </c>
      <c r="L96" s="523" t="str">
        <f>IF(A96="Да",'5-1 Сбор КП Закупки'!K96,)</f>
        <v/>
      </c>
      <c r="M96" s="197"/>
      <c r="N96" s="197"/>
      <c r="O96" s="197"/>
      <c r="P96" s="525" t="str">
        <f>'5-1 Сбор КП Закупки'!P96</f>
        <v/>
      </c>
      <c r="Q96" s="197"/>
      <c r="R96" s="197"/>
      <c r="S96" s="197"/>
      <c r="T96" s="197"/>
      <c r="U96" s="197"/>
      <c r="V96" s="197"/>
      <c r="W96" s="522" t="str">
        <f>'5-1 Сбор КП Закупки'!O96</f>
        <v/>
      </c>
      <c r="X96" s="197"/>
      <c r="Y96" s="197"/>
      <c r="Z96" s="197"/>
      <c r="AA96" s="197"/>
      <c r="AB96" s="197">
        <v>0.0</v>
      </c>
      <c r="AC96" s="197"/>
      <c r="AD96" s="197"/>
      <c r="AE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5-3'!$D$11:$Q319,AE$4,AE$5)"),"")</f>
        <v/>
      </c>
      <c r="AF96" s="528"/>
      <c r="AG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5-3'!$D$11:$Q319,AG$4,AG$5)"),"")</f>
        <v/>
      </c>
      <c r="AH96" s="527"/>
      <c r="AI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5-3'!$D$11:$Q319,AI$4,AI$5)"),"")</f>
        <v/>
      </c>
      <c r="AJ96" s="527"/>
      <c r="AK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5-3'!$D$11:$Q319,AK$4,AK$5)"),"")</f>
        <v/>
      </c>
      <c r="AL96" s="527"/>
      <c r="AM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5-3'!$D$11:$Q319,AM$4,AM$5)"),"")</f>
        <v/>
      </c>
      <c r="AN96" s="529"/>
      <c r="AO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5-3'!$D$11:$Q319,AO$4,AO$5)"),"")</f>
        <v/>
      </c>
      <c r="AP96" s="527"/>
      <c r="AQ96" s="527"/>
      <c r="AR96" s="527"/>
      <c r="AS96" s="527"/>
      <c r="AT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5-3'!$D$11:$Q319,AT$4,AT$5)"),"")</f>
        <v/>
      </c>
      <c r="AU96" s="531"/>
      <c r="AV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5-3'!$D$11:$Q319,AV$4,AV$5)"),"")</f>
        <v/>
      </c>
      <c r="AW96" s="530"/>
      <c r="AX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5-3'!$D$11:$Q319,AX$4,AX$5)"),"")</f>
        <v/>
      </c>
      <c r="AY96" s="530"/>
      <c r="AZ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5-3'!$D$11:$Q319,AZ$4,AZ$5)"),"")</f>
        <v/>
      </c>
      <c r="BA96" s="530"/>
      <c r="BB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5-3'!$D$11:$Q319,BB$4,BB$5)"),"")</f>
        <v/>
      </c>
      <c r="BC96" s="532"/>
      <c r="BD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5-3'!$D$11:$Q319,BD$4,BD$5)"),"")</f>
        <v/>
      </c>
      <c r="BE96" s="530"/>
      <c r="BF96" s="530"/>
      <c r="BG96" s="530"/>
      <c r="BH96" s="530"/>
      <c r="BI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5-3'!$D$11:$Q319,BI$4,BI$5)"),"")</f>
        <v/>
      </c>
      <c r="BJ96" s="535"/>
      <c r="BK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5-3'!$D$11:$Q319,BK$4,BK$5)"),"")</f>
        <v/>
      </c>
      <c r="BL96" s="534"/>
      <c r="BM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5-3'!$D$11:$Q319,BM$4,BM$5)"),"")</f>
        <v/>
      </c>
      <c r="BN96" s="534"/>
      <c r="BO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5-3'!$D$11:$Q319,BO$4,BO$5)"),"")</f>
        <v/>
      </c>
      <c r="BP96" s="534"/>
      <c r="BQ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5-3'!$D$11:$Q319,BQ$4,BQ$5)"),"")</f>
        <v/>
      </c>
      <c r="BR96" s="536"/>
      <c r="BS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5-3'!$D$11:$Q319,BS$4,BS$5)"),"")</f>
        <v/>
      </c>
      <c r="BT96" s="534"/>
      <c r="BU96" s="534"/>
      <c r="BV96" s="534"/>
      <c r="BW96" s="534"/>
      <c r="BX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5-3'!$D$11:$Q319,BX$4,BX$5)"),"")</f>
        <v/>
      </c>
      <c r="BY96" s="538"/>
      <c r="BZ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5-3'!$D$11:$Q319,BZ$4,BZ$5)"),"")</f>
        <v/>
      </c>
      <c r="CA96" s="537"/>
      <c r="CB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5-3'!$D$11:$Q319,CB$4,CB$5)"),"")</f>
        <v/>
      </c>
      <c r="CC96" s="537"/>
      <c r="CD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5-3'!$D$11:$Q319,CD$4,CD$5)"),"")</f>
        <v/>
      </c>
      <c r="CE96" s="537"/>
      <c r="CF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5-3'!$D$11:$Q319,CF$4,CF$5)"),"")</f>
        <v/>
      </c>
      <c r="CG96" s="539"/>
      <c r="CH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5-3'!$D$11:$Q319,CH$4,CH$5)"),"")</f>
        <v/>
      </c>
      <c r="CI96" s="537"/>
      <c r="CJ96" s="537"/>
      <c r="CK96" s="537"/>
      <c r="CL96" s="537"/>
      <c r="CM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5-3'!$D$11:$Q319,CM$4,CM$5)"),"")</f>
        <v/>
      </c>
      <c r="CN96" s="541"/>
      <c r="CO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5-3'!$D$11:$Q319,CO$4,CO$5)"),"")</f>
        <v/>
      </c>
      <c r="CP96" s="540"/>
      <c r="CQ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5-3'!$D$11:$Q319,CQ$4,CQ$5)"),"")</f>
        <v/>
      </c>
      <c r="CR96" s="540"/>
      <c r="CS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5-3'!$D$11:$Q319,CS$4,CS$5)"),"")</f>
        <v/>
      </c>
      <c r="CT96" s="540"/>
      <c r="CU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5-3'!$D$11:$Q319,CU$4,CU$5)"),"")</f>
        <v/>
      </c>
      <c r="CV96" s="545"/>
      <c r="CW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5-3'!$D$11:$Q319,CW$4,CW$5)"),"")</f>
        <v/>
      </c>
      <c r="CX96" s="540"/>
      <c r="CY96" s="540"/>
      <c r="CZ96" s="540"/>
      <c r="DA96" s="540"/>
      <c r="DB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5-3'!$D$11:$Q319,DB$4,DB$5)"),"")</f>
        <v/>
      </c>
      <c r="DC96" s="555"/>
      <c r="DD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5-3'!$D$11:$Q319,DD$4,DD$5)"),"")</f>
        <v/>
      </c>
      <c r="DE96" s="554"/>
      <c r="DF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5-3'!$D$11:$Q319,DF$4,DF$5)"),"")</f>
        <v/>
      </c>
      <c r="DG96" s="554"/>
      <c r="DH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5-3'!$D$11:$Q319,DH$4,DH$5)"),"")</f>
        <v/>
      </c>
      <c r="DI96" s="554"/>
      <c r="DJ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5-3'!$D$11:$Q319,DJ$4,DJ$5)"),"")</f>
        <v/>
      </c>
      <c r="DK96" s="566"/>
      <c r="DL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5-3'!$D$11:$Q319,DL$4,DL$5)"),"")</f>
        <v/>
      </c>
      <c r="DM96" s="554"/>
      <c r="DN96" s="554"/>
      <c r="DO96" s="554"/>
      <c r="DP96" s="554"/>
      <c r="DQ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5-3'!$D$11:$Q319,DQ$4,DQ$5)"),"")</f>
        <v/>
      </c>
      <c r="DR96" s="569"/>
      <c r="DS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5-3'!$D$11:$Q319,DS$4,DS$5)"),"")</f>
        <v/>
      </c>
      <c r="DT96" s="568"/>
      <c r="DU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5-3'!$D$11:$Q319,DU$4,DU$5)"),"")</f>
        <v/>
      </c>
      <c r="DV96" s="568"/>
      <c r="DW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5-3'!$D$11:$Q319,DW$4,DW$5)"),"")</f>
        <v/>
      </c>
      <c r="DX96" s="568"/>
      <c r="DY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5-3'!$D$11:$Q319,DY$4,DY$5)"),"")</f>
        <v/>
      </c>
      <c r="DZ96" s="578"/>
      <c r="EA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$C96, 'S-10 Топ 5-3'!$D$11:$Q319,EA$4,EA$5)"),"")</f>
        <v/>
      </c>
      <c r="EB96" s="568"/>
      <c r="EC96" s="568"/>
      <c r="ED96" s="568"/>
      <c r="EE96" s="568"/>
    </row>
    <row r="97">
      <c r="A97" s="519" t="str">
        <f t="shared" si="1"/>
        <v/>
      </c>
      <c r="B97" s="520" t="str">
        <f>'5-0 Товары'!B97</f>
        <v/>
      </c>
      <c r="C97" s="521" t="str">
        <f>'5-1 Сбор КП Закупки'!C97</f>
        <v/>
      </c>
      <c r="D97" s="521" t="str">
        <f>'5-1 Сбор КП Закупки'!D97</f>
        <v/>
      </c>
      <c r="E97" s="521" t="str">
        <f>'5-1 Сбор КП Закупки'!E97</f>
        <v/>
      </c>
      <c r="F97" s="521" t="str">
        <f>'5-1 Сбор КП Закупки'!F97</f>
        <v/>
      </c>
      <c r="G97" s="522" t="str">
        <f>'5-1 Сбор КП Закупки'!G97</f>
        <v/>
      </c>
      <c r="H97" s="522" t="str">
        <f>'5-1 Сбор КП Закупки'!H97</f>
        <v/>
      </c>
      <c r="I97" s="522" t="str">
        <f>'5-1 Сбор КП Закупки'!I97</f>
        <v/>
      </c>
      <c r="J97" s="197"/>
      <c r="K97" s="522" t="str">
        <f>'5-1 Сбор КП Закупки'!G97</f>
        <v/>
      </c>
      <c r="L97" s="523" t="str">
        <f>IF(A97="Да",'5-1 Сбор КП Закупки'!K97,)</f>
        <v/>
      </c>
      <c r="M97" s="197"/>
      <c r="N97" s="197"/>
      <c r="O97" s="197"/>
      <c r="P97" s="525" t="str">
        <f>'5-1 Сбор КП Закупки'!P97</f>
        <v/>
      </c>
      <c r="Q97" s="197"/>
      <c r="R97" s="197"/>
      <c r="S97" s="197"/>
      <c r="T97" s="197"/>
      <c r="U97" s="197"/>
      <c r="V97" s="197"/>
      <c r="W97" s="522" t="str">
        <f>'5-1 Сбор КП Закупки'!O97</f>
        <v/>
      </c>
      <c r="X97" s="197"/>
      <c r="Y97" s="197"/>
      <c r="Z97" s="197"/>
      <c r="AA97" s="197"/>
      <c r="AB97" s="197">
        <v>0.0</v>
      </c>
      <c r="AC97" s="197"/>
      <c r="AD97" s="197"/>
      <c r="AE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5-3'!$D$11:$Q319,AE$4,AE$5)"),"")</f>
        <v/>
      </c>
      <c r="AF97" s="528"/>
      <c r="AG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5-3'!$D$11:$Q319,AG$4,AG$5)"),"")</f>
        <v/>
      </c>
      <c r="AH97" s="527"/>
      <c r="AI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5-3'!$D$11:$Q319,AI$4,AI$5)"),"")</f>
        <v/>
      </c>
      <c r="AJ97" s="527"/>
      <c r="AK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5-3'!$D$11:$Q319,AK$4,AK$5)"),"")</f>
        <v/>
      </c>
      <c r="AL97" s="527"/>
      <c r="AM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5-3'!$D$11:$Q319,AM$4,AM$5)"),"")</f>
        <v/>
      </c>
      <c r="AN97" s="529"/>
      <c r="AO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5-3'!$D$11:$Q319,AO$4,AO$5)"),"")</f>
        <v/>
      </c>
      <c r="AP97" s="527"/>
      <c r="AQ97" s="527"/>
      <c r="AR97" s="527"/>
      <c r="AS97" s="527"/>
      <c r="AT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5-3'!$D$11:$Q319,AT$4,AT$5)"),"")</f>
        <v/>
      </c>
      <c r="AU97" s="531"/>
      <c r="AV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5-3'!$D$11:$Q319,AV$4,AV$5)"),"")</f>
        <v/>
      </c>
      <c r="AW97" s="530"/>
      <c r="AX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5-3'!$D$11:$Q319,AX$4,AX$5)"),"")</f>
        <v/>
      </c>
      <c r="AY97" s="530"/>
      <c r="AZ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5-3'!$D$11:$Q319,AZ$4,AZ$5)"),"")</f>
        <v/>
      </c>
      <c r="BA97" s="530"/>
      <c r="BB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5-3'!$D$11:$Q319,BB$4,BB$5)"),"")</f>
        <v/>
      </c>
      <c r="BC97" s="532"/>
      <c r="BD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5-3'!$D$11:$Q319,BD$4,BD$5)"),"")</f>
        <v/>
      </c>
      <c r="BE97" s="530"/>
      <c r="BF97" s="530"/>
      <c r="BG97" s="530"/>
      <c r="BH97" s="530"/>
      <c r="BI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5-3'!$D$11:$Q319,BI$4,BI$5)"),"")</f>
        <v/>
      </c>
      <c r="BJ97" s="535"/>
      <c r="BK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5-3'!$D$11:$Q319,BK$4,BK$5)"),"")</f>
        <v/>
      </c>
      <c r="BL97" s="534"/>
      <c r="BM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5-3'!$D$11:$Q319,BM$4,BM$5)"),"")</f>
        <v/>
      </c>
      <c r="BN97" s="534"/>
      <c r="BO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5-3'!$D$11:$Q319,BO$4,BO$5)"),"")</f>
        <v/>
      </c>
      <c r="BP97" s="534"/>
      <c r="BQ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5-3'!$D$11:$Q319,BQ$4,BQ$5)"),"")</f>
        <v/>
      </c>
      <c r="BR97" s="536"/>
      <c r="BS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5-3'!$D$11:$Q319,BS$4,BS$5)"),"")</f>
        <v/>
      </c>
      <c r="BT97" s="534"/>
      <c r="BU97" s="534"/>
      <c r="BV97" s="534"/>
      <c r="BW97" s="534"/>
      <c r="BX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5-3'!$D$11:$Q319,BX$4,BX$5)"),"")</f>
        <v/>
      </c>
      <c r="BY97" s="538"/>
      <c r="BZ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5-3'!$D$11:$Q319,BZ$4,BZ$5)"),"")</f>
        <v/>
      </c>
      <c r="CA97" s="537"/>
      <c r="CB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5-3'!$D$11:$Q319,CB$4,CB$5)"),"")</f>
        <v/>
      </c>
      <c r="CC97" s="537"/>
      <c r="CD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5-3'!$D$11:$Q319,CD$4,CD$5)"),"")</f>
        <v/>
      </c>
      <c r="CE97" s="537"/>
      <c r="CF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5-3'!$D$11:$Q319,CF$4,CF$5)"),"")</f>
        <v/>
      </c>
      <c r="CG97" s="539"/>
      <c r="CH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5-3'!$D$11:$Q319,CH$4,CH$5)"),"")</f>
        <v/>
      </c>
      <c r="CI97" s="537"/>
      <c r="CJ97" s="537"/>
      <c r="CK97" s="537"/>
      <c r="CL97" s="537"/>
      <c r="CM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5-3'!$D$11:$Q319,CM$4,CM$5)"),"")</f>
        <v/>
      </c>
      <c r="CN97" s="541"/>
      <c r="CO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5-3'!$D$11:$Q319,CO$4,CO$5)"),"")</f>
        <v/>
      </c>
      <c r="CP97" s="540"/>
      <c r="CQ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5-3'!$D$11:$Q319,CQ$4,CQ$5)"),"")</f>
        <v/>
      </c>
      <c r="CR97" s="540"/>
      <c r="CS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5-3'!$D$11:$Q319,CS$4,CS$5)"),"")</f>
        <v/>
      </c>
      <c r="CT97" s="540"/>
      <c r="CU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5-3'!$D$11:$Q319,CU$4,CU$5)"),"")</f>
        <v/>
      </c>
      <c r="CV97" s="545"/>
      <c r="CW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5-3'!$D$11:$Q319,CW$4,CW$5)"),"")</f>
        <v/>
      </c>
      <c r="CX97" s="540"/>
      <c r="CY97" s="540"/>
      <c r="CZ97" s="540"/>
      <c r="DA97" s="540"/>
      <c r="DB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5-3'!$D$11:$Q319,DB$4,DB$5)"),"")</f>
        <v/>
      </c>
      <c r="DC97" s="555"/>
      <c r="DD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5-3'!$D$11:$Q319,DD$4,DD$5)"),"")</f>
        <v/>
      </c>
      <c r="DE97" s="554"/>
      <c r="DF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5-3'!$D$11:$Q319,DF$4,DF$5)"),"")</f>
        <v/>
      </c>
      <c r="DG97" s="554"/>
      <c r="DH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5-3'!$D$11:$Q319,DH$4,DH$5)"),"")</f>
        <v/>
      </c>
      <c r="DI97" s="554"/>
      <c r="DJ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5-3'!$D$11:$Q319,DJ$4,DJ$5)"),"")</f>
        <v/>
      </c>
      <c r="DK97" s="566"/>
      <c r="DL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5-3'!$D$11:$Q319,DL$4,DL$5)"),"")</f>
        <v/>
      </c>
      <c r="DM97" s="554"/>
      <c r="DN97" s="554"/>
      <c r="DO97" s="554"/>
      <c r="DP97" s="554"/>
      <c r="DQ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5-3'!$D$11:$Q319,DQ$4,DQ$5)"),"")</f>
        <v/>
      </c>
      <c r="DR97" s="569"/>
      <c r="DS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5-3'!$D$11:$Q319,DS$4,DS$5)"),"")</f>
        <v/>
      </c>
      <c r="DT97" s="568"/>
      <c r="DU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5-3'!$D$11:$Q319,DU$4,DU$5)"),"")</f>
        <v/>
      </c>
      <c r="DV97" s="568"/>
      <c r="DW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5-3'!$D$11:$Q319,DW$4,DW$5)"),"")</f>
        <v/>
      </c>
      <c r="DX97" s="568"/>
      <c r="DY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5-3'!$D$11:$Q319,DY$4,DY$5)"),"")</f>
        <v/>
      </c>
      <c r="DZ97" s="578"/>
      <c r="EA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$C97, 'S-10 Топ 5-3'!$D$11:$Q319,EA$4,EA$5)"),"")</f>
        <v/>
      </c>
      <c r="EB97" s="568"/>
      <c r="EC97" s="568"/>
      <c r="ED97" s="568"/>
      <c r="EE97" s="568"/>
    </row>
    <row r="98">
      <c r="A98" s="519" t="str">
        <f t="shared" si="1"/>
        <v/>
      </c>
      <c r="B98" s="520" t="str">
        <f>'5-0 Товары'!B98</f>
        <v/>
      </c>
      <c r="C98" s="521" t="str">
        <f>'5-1 Сбор КП Закупки'!C98</f>
        <v/>
      </c>
      <c r="D98" s="521" t="str">
        <f>'5-1 Сбор КП Закупки'!D98</f>
        <v/>
      </c>
      <c r="E98" s="521" t="str">
        <f>'5-1 Сбор КП Закупки'!E98</f>
        <v/>
      </c>
      <c r="F98" s="521" t="str">
        <f>'5-1 Сбор КП Закупки'!F98</f>
        <v/>
      </c>
      <c r="G98" s="522" t="str">
        <f>'5-1 Сбор КП Закупки'!G98</f>
        <v/>
      </c>
      <c r="H98" s="522" t="str">
        <f>'5-1 Сбор КП Закупки'!H98</f>
        <v/>
      </c>
      <c r="I98" s="522" t="str">
        <f>'5-1 Сбор КП Закупки'!I98</f>
        <v/>
      </c>
      <c r="J98" s="197"/>
      <c r="K98" s="522" t="str">
        <f>'5-1 Сбор КП Закупки'!G98</f>
        <v/>
      </c>
      <c r="L98" s="523" t="str">
        <f>IF(A98="Да",'5-1 Сбор КП Закупки'!K98,)</f>
        <v/>
      </c>
      <c r="M98" s="197"/>
      <c r="N98" s="197"/>
      <c r="O98" s="197"/>
      <c r="P98" s="525" t="str">
        <f>'5-1 Сбор КП Закупки'!P98</f>
        <v/>
      </c>
      <c r="Q98" s="197"/>
      <c r="R98" s="197"/>
      <c r="S98" s="197"/>
      <c r="T98" s="197"/>
      <c r="U98" s="197"/>
      <c r="V98" s="197"/>
      <c r="W98" s="522" t="str">
        <f>'5-1 Сбор КП Закупки'!O98</f>
        <v/>
      </c>
      <c r="X98" s="197"/>
      <c r="Y98" s="197"/>
      <c r="Z98" s="197"/>
      <c r="AA98" s="197"/>
      <c r="AB98" s="197">
        <v>0.0</v>
      </c>
      <c r="AC98" s="197"/>
      <c r="AD98" s="197"/>
      <c r="AE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5-3'!$D$11:$Q319,AE$4,AE$5)"),"")</f>
        <v/>
      </c>
      <c r="AF98" s="528"/>
      <c r="AG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5-3'!$D$11:$Q319,AG$4,AG$5)"),"")</f>
        <v/>
      </c>
      <c r="AH98" s="527"/>
      <c r="AI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5-3'!$D$11:$Q319,AI$4,AI$5)"),"")</f>
        <v/>
      </c>
      <c r="AJ98" s="527"/>
      <c r="AK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5-3'!$D$11:$Q319,AK$4,AK$5)"),"")</f>
        <v/>
      </c>
      <c r="AL98" s="527"/>
      <c r="AM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5-3'!$D$11:$Q319,AM$4,AM$5)"),"")</f>
        <v/>
      </c>
      <c r="AN98" s="529"/>
      <c r="AO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5-3'!$D$11:$Q319,AO$4,AO$5)"),"")</f>
        <v/>
      </c>
      <c r="AP98" s="527"/>
      <c r="AQ98" s="527"/>
      <c r="AR98" s="527"/>
      <c r="AS98" s="527"/>
      <c r="AT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5-3'!$D$11:$Q319,AT$4,AT$5)"),"")</f>
        <v/>
      </c>
      <c r="AU98" s="531"/>
      <c r="AV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5-3'!$D$11:$Q319,AV$4,AV$5)"),"")</f>
        <v/>
      </c>
      <c r="AW98" s="530"/>
      <c r="AX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5-3'!$D$11:$Q319,AX$4,AX$5)"),"")</f>
        <v/>
      </c>
      <c r="AY98" s="530"/>
      <c r="AZ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5-3'!$D$11:$Q319,AZ$4,AZ$5)"),"")</f>
        <v/>
      </c>
      <c r="BA98" s="530"/>
      <c r="BB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5-3'!$D$11:$Q319,BB$4,BB$5)"),"")</f>
        <v/>
      </c>
      <c r="BC98" s="532"/>
      <c r="BD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5-3'!$D$11:$Q319,BD$4,BD$5)"),"")</f>
        <v/>
      </c>
      <c r="BE98" s="530"/>
      <c r="BF98" s="530"/>
      <c r="BG98" s="530"/>
      <c r="BH98" s="530"/>
      <c r="BI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5-3'!$D$11:$Q319,BI$4,BI$5)"),"")</f>
        <v/>
      </c>
      <c r="BJ98" s="535"/>
      <c r="BK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5-3'!$D$11:$Q319,BK$4,BK$5)"),"")</f>
        <v/>
      </c>
      <c r="BL98" s="534"/>
      <c r="BM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5-3'!$D$11:$Q319,BM$4,BM$5)"),"")</f>
        <v/>
      </c>
      <c r="BN98" s="534"/>
      <c r="BO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5-3'!$D$11:$Q319,BO$4,BO$5)"),"")</f>
        <v/>
      </c>
      <c r="BP98" s="534"/>
      <c r="BQ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5-3'!$D$11:$Q319,BQ$4,BQ$5)"),"")</f>
        <v/>
      </c>
      <c r="BR98" s="536"/>
      <c r="BS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5-3'!$D$11:$Q319,BS$4,BS$5)"),"")</f>
        <v/>
      </c>
      <c r="BT98" s="534"/>
      <c r="BU98" s="534"/>
      <c r="BV98" s="534"/>
      <c r="BW98" s="534"/>
      <c r="BX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5-3'!$D$11:$Q319,BX$4,BX$5)"),"")</f>
        <v/>
      </c>
      <c r="BY98" s="538"/>
      <c r="BZ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5-3'!$D$11:$Q319,BZ$4,BZ$5)"),"")</f>
        <v/>
      </c>
      <c r="CA98" s="537"/>
      <c r="CB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5-3'!$D$11:$Q319,CB$4,CB$5)"),"")</f>
        <v/>
      </c>
      <c r="CC98" s="537"/>
      <c r="CD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5-3'!$D$11:$Q319,CD$4,CD$5)"),"")</f>
        <v/>
      </c>
      <c r="CE98" s="537"/>
      <c r="CF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5-3'!$D$11:$Q319,CF$4,CF$5)"),"")</f>
        <v/>
      </c>
      <c r="CG98" s="539"/>
      <c r="CH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5-3'!$D$11:$Q319,CH$4,CH$5)"),"")</f>
        <v/>
      </c>
      <c r="CI98" s="537"/>
      <c r="CJ98" s="537"/>
      <c r="CK98" s="537"/>
      <c r="CL98" s="537"/>
      <c r="CM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5-3'!$D$11:$Q319,CM$4,CM$5)"),"")</f>
        <v/>
      </c>
      <c r="CN98" s="541"/>
      <c r="CO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5-3'!$D$11:$Q319,CO$4,CO$5)"),"")</f>
        <v/>
      </c>
      <c r="CP98" s="540"/>
      <c r="CQ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5-3'!$D$11:$Q319,CQ$4,CQ$5)"),"")</f>
        <v/>
      </c>
      <c r="CR98" s="540"/>
      <c r="CS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5-3'!$D$11:$Q319,CS$4,CS$5)"),"")</f>
        <v/>
      </c>
      <c r="CT98" s="540"/>
      <c r="CU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5-3'!$D$11:$Q319,CU$4,CU$5)"),"")</f>
        <v/>
      </c>
      <c r="CV98" s="545"/>
      <c r="CW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5-3'!$D$11:$Q319,CW$4,CW$5)"),"")</f>
        <v/>
      </c>
      <c r="CX98" s="540"/>
      <c r="CY98" s="540"/>
      <c r="CZ98" s="540"/>
      <c r="DA98" s="540"/>
      <c r="DB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5-3'!$D$11:$Q319,DB$4,DB$5)"),"")</f>
        <v/>
      </c>
      <c r="DC98" s="555"/>
      <c r="DD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5-3'!$D$11:$Q319,DD$4,DD$5)"),"")</f>
        <v/>
      </c>
      <c r="DE98" s="554"/>
      <c r="DF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5-3'!$D$11:$Q319,DF$4,DF$5)"),"")</f>
        <v/>
      </c>
      <c r="DG98" s="554"/>
      <c r="DH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5-3'!$D$11:$Q319,DH$4,DH$5)"),"")</f>
        <v/>
      </c>
      <c r="DI98" s="554"/>
      <c r="DJ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5-3'!$D$11:$Q319,DJ$4,DJ$5)"),"")</f>
        <v/>
      </c>
      <c r="DK98" s="566"/>
      <c r="DL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5-3'!$D$11:$Q319,DL$4,DL$5)"),"")</f>
        <v/>
      </c>
      <c r="DM98" s="554"/>
      <c r="DN98" s="554"/>
      <c r="DO98" s="554"/>
      <c r="DP98" s="554"/>
      <c r="DQ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5-3'!$D$11:$Q319,DQ$4,DQ$5)"),"")</f>
        <v/>
      </c>
      <c r="DR98" s="569"/>
      <c r="DS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5-3'!$D$11:$Q319,DS$4,DS$5)"),"")</f>
        <v/>
      </c>
      <c r="DT98" s="568"/>
      <c r="DU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5-3'!$D$11:$Q319,DU$4,DU$5)"),"")</f>
        <v/>
      </c>
      <c r="DV98" s="568"/>
      <c r="DW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5-3'!$D$11:$Q319,DW$4,DW$5)"),"")</f>
        <v/>
      </c>
      <c r="DX98" s="568"/>
      <c r="DY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5-3'!$D$11:$Q319,DY$4,DY$5)"),"")</f>
        <v/>
      </c>
      <c r="DZ98" s="578"/>
      <c r="EA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$C98, 'S-10 Топ 5-3'!$D$11:$Q319,EA$4,EA$5)"),"")</f>
        <v/>
      </c>
      <c r="EB98" s="568"/>
      <c r="EC98" s="568"/>
      <c r="ED98" s="568"/>
      <c r="EE98" s="568"/>
    </row>
    <row r="99">
      <c r="A99" s="519" t="str">
        <f t="shared" si="1"/>
        <v/>
      </c>
      <c r="B99" s="520" t="str">
        <f>'5-0 Товары'!B99</f>
        <v/>
      </c>
      <c r="C99" s="521" t="str">
        <f>'5-1 Сбор КП Закупки'!C99</f>
        <v/>
      </c>
      <c r="D99" s="521" t="str">
        <f>'5-1 Сбор КП Закупки'!D99</f>
        <v/>
      </c>
      <c r="E99" s="521" t="str">
        <f>'5-1 Сбор КП Закупки'!E99</f>
        <v/>
      </c>
      <c r="F99" s="521" t="str">
        <f>'5-1 Сбор КП Закупки'!F99</f>
        <v/>
      </c>
      <c r="G99" s="522" t="str">
        <f>'5-1 Сбор КП Закупки'!G99</f>
        <v/>
      </c>
      <c r="H99" s="522" t="str">
        <f>'5-1 Сбор КП Закупки'!H99</f>
        <v/>
      </c>
      <c r="I99" s="522" t="str">
        <f>'5-1 Сбор КП Закупки'!I99</f>
        <v/>
      </c>
      <c r="J99" s="197"/>
      <c r="K99" s="522" t="str">
        <f>'5-1 Сбор КП Закупки'!G99</f>
        <v/>
      </c>
      <c r="L99" s="523" t="str">
        <f>IF(A99="Да",'5-1 Сбор КП Закупки'!K99,)</f>
        <v/>
      </c>
      <c r="M99" s="197"/>
      <c r="N99" s="197"/>
      <c r="O99" s="197"/>
      <c r="P99" s="525" t="str">
        <f>'5-1 Сбор КП Закупки'!P99</f>
        <v/>
      </c>
      <c r="Q99" s="197"/>
      <c r="R99" s="197"/>
      <c r="S99" s="197"/>
      <c r="T99" s="197"/>
      <c r="U99" s="197"/>
      <c r="V99" s="197"/>
      <c r="W99" s="522" t="str">
        <f>'5-1 Сбор КП Закупки'!O99</f>
        <v/>
      </c>
      <c r="X99" s="197"/>
      <c r="Y99" s="197"/>
      <c r="Z99" s="197"/>
      <c r="AA99" s="197"/>
      <c r="AB99" s="197">
        <v>0.0</v>
      </c>
      <c r="AC99" s="197"/>
      <c r="AD99" s="197"/>
      <c r="AE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5-3'!$D$11:$Q319,AE$4,AE$5)"),"")</f>
        <v/>
      </c>
      <c r="AF99" s="528"/>
      <c r="AG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5-3'!$D$11:$Q319,AG$4,AG$5)"),"")</f>
        <v/>
      </c>
      <c r="AH99" s="527"/>
      <c r="AI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5-3'!$D$11:$Q319,AI$4,AI$5)"),"")</f>
        <v/>
      </c>
      <c r="AJ99" s="527"/>
      <c r="AK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5-3'!$D$11:$Q319,AK$4,AK$5)"),"")</f>
        <v/>
      </c>
      <c r="AL99" s="527"/>
      <c r="AM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5-3'!$D$11:$Q319,AM$4,AM$5)"),"")</f>
        <v/>
      </c>
      <c r="AN99" s="529"/>
      <c r="AO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5-3'!$D$11:$Q319,AO$4,AO$5)"),"")</f>
        <v/>
      </c>
      <c r="AP99" s="527"/>
      <c r="AQ99" s="527"/>
      <c r="AR99" s="527"/>
      <c r="AS99" s="527"/>
      <c r="AT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5-3'!$D$11:$Q319,AT$4,AT$5)"),"")</f>
        <v/>
      </c>
      <c r="AU99" s="531"/>
      <c r="AV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5-3'!$D$11:$Q319,AV$4,AV$5)"),"")</f>
        <v/>
      </c>
      <c r="AW99" s="530"/>
      <c r="AX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5-3'!$D$11:$Q319,AX$4,AX$5)"),"")</f>
        <v/>
      </c>
      <c r="AY99" s="530"/>
      <c r="AZ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5-3'!$D$11:$Q319,AZ$4,AZ$5)"),"")</f>
        <v/>
      </c>
      <c r="BA99" s="530"/>
      <c r="BB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5-3'!$D$11:$Q319,BB$4,BB$5)"),"")</f>
        <v/>
      </c>
      <c r="BC99" s="532"/>
      <c r="BD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5-3'!$D$11:$Q319,BD$4,BD$5)"),"")</f>
        <v/>
      </c>
      <c r="BE99" s="530"/>
      <c r="BF99" s="530"/>
      <c r="BG99" s="530"/>
      <c r="BH99" s="530"/>
      <c r="BI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5-3'!$D$11:$Q319,BI$4,BI$5)"),"")</f>
        <v/>
      </c>
      <c r="BJ99" s="535"/>
      <c r="BK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5-3'!$D$11:$Q319,BK$4,BK$5)"),"")</f>
        <v/>
      </c>
      <c r="BL99" s="534"/>
      <c r="BM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5-3'!$D$11:$Q319,BM$4,BM$5)"),"")</f>
        <v/>
      </c>
      <c r="BN99" s="534"/>
      <c r="BO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5-3'!$D$11:$Q319,BO$4,BO$5)"),"")</f>
        <v/>
      </c>
      <c r="BP99" s="534"/>
      <c r="BQ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5-3'!$D$11:$Q319,BQ$4,BQ$5)"),"")</f>
        <v/>
      </c>
      <c r="BR99" s="536"/>
      <c r="BS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5-3'!$D$11:$Q319,BS$4,BS$5)"),"")</f>
        <v/>
      </c>
      <c r="BT99" s="534"/>
      <c r="BU99" s="534"/>
      <c r="BV99" s="534"/>
      <c r="BW99" s="534"/>
      <c r="BX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5-3'!$D$11:$Q319,BX$4,BX$5)"),"")</f>
        <v/>
      </c>
      <c r="BY99" s="538"/>
      <c r="BZ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5-3'!$D$11:$Q319,BZ$4,BZ$5)"),"")</f>
        <v/>
      </c>
      <c r="CA99" s="537"/>
      <c r="CB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5-3'!$D$11:$Q319,CB$4,CB$5)"),"")</f>
        <v/>
      </c>
      <c r="CC99" s="537"/>
      <c r="CD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5-3'!$D$11:$Q319,CD$4,CD$5)"),"")</f>
        <v/>
      </c>
      <c r="CE99" s="537"/>
      <c r="CF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5-3'!$D$11:$Q319,CF$4,CF$5)"),"")</f>
        <v/>
      </c>
      <c r="CG99" s="539"/>
      <c r="CH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5-3'!$D$11:$Q319,CH$4,CH$5)"),"")</f>
        <v/>
      </c>
      <c r="CI99" s="537"/>
      <c r="CJ99" s="537"/>
      <c r="CK99" s="537"/>
      <c r="CL99" s="537"/>
      <c r="CM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5-3'!$D$11:$Q319,CM$4,CM$5)"),"")</f>
        <v/>
      </c>
      <c r="CN99" s="541"/>
      <c r="CO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5-3'!$D$11:$Q319,CO$4,CO$5)"),"")</f>
        <v/>
      </c>
      <c r="CP99" s="540"/>
      <c r="CQ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5-3'!$D$11:$Q319,CQ$4,CQ$5)"),"")</f>
        <v/>
      </c>
      <c r="CR99" s="540"/>
      <c r="CS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5-3'!$D$11:$Q319,CS$4,CS$5)"),"")</f>
        <v/>
      </c>
      <c r="CT99" s="540"/>
      <c r="CU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5-3'!$D$11:$Q319,CU$4,CU$5)"),"")</f>
        <v/>
      </c>
      <c r="CV99" s="545"/>
      <c r="CW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5-3'!$D$11:$Q319,CW$4,CW$5)"),"")</f>
        <v/>
      </c>
      <c r="CX99" s="540"/>
      <c r="CY99" s="540"/>
      <c r="CZ99" s="540"/>
      <c r="DA99" s="540"/>
      <c r="DB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5-3'!$D$11:$Q319,DB$4,DB$5)"),"")</f>
        <v/>
      </c>
      <c r="DC99" s="555"/>
      <c r="DD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5-3'!$D$11:$Q319,DD$4,DD$5)"),"")</f>
        <v/>
      </c>
      <c r="DE99" s="554"/>
      <c r="DF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5-3'!$D$11:$Q319,DF$4,DF$5)"),"")</f>
        <v/>
      </c>
      <c r="DG99" s="554"/>
      <c r="DH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5-3'!$D$11:$Q319,DH$4,DH$5)"),"")</f>
        <v/>
      </c>
      <c r="DI99" s="554"/>
      <c r="DJ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5-3'!$D$11:$Q319,DJ$4,DJ$5)"),"")</f>
        <v/>
      </c>
      <c r="DK99" s="566"/>
      <c r="DL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5-3'!$D$11:$Q319,DL$4,DL$5)"),"")</f>
        <v/>
      </c>
      <c r="DM99" s="554"/>
      <c r="DN99" s="554"/>
      <c r="DO99" s="554"/>
      <c r="DP99" s="554"/>
      <c r="DQ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5-3'!$D$11:$Q319,DQ$4,DQ$5)"),"")</f>
        <v/>
      </c>
      <c r="DR99" s="569"/>
      <c r="DS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5-3'!$D$11:$Q319,DS$4,DS$5)"),"")</f>
        <v/>
      </c>
      <c r="DT99" s="568"/>
      <c r="DU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5-3'!$D$11:$Q319,DU$4,DU$5)"),"")</f>
        <v/>
      </c>
      <c r="DV99" s="568"/>
      <c r="DW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5-3'!$D$11:$Q319,DW$4,DW$5)"),"")</f>
        <v/>
      </c>
      <c r="DX99" s="568"/>
      <c r="DY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5-3'!$D$11:$Q319,DY$4,DY$5)"),"")</f>
        <v/>
      </c>
      <c r="DZ99" s="578"/>
      <c r="EA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$C99, 'S-10 Топ 5-3'!$D$11:$Q319,EA$4,EA$5)"),"")</f>
        <v/>
      </c>
      <c r="EB99" s="568"/>
      <c r="EC99" s="568"/>
      <c r="ED99" s="568"/>
      <c r="EE99" s="568"/>
    </row>
    <row r="100">
      <c r="A100" s="519" t="str">
        <f t="shared" si="1"/>
        <v/>
      </c>
      <c r="B100" s="520" t="str">
        <f>'5-0 Товары'!B100</f>
        <v/>
      </c>
      <c r="C100" s="521" t="str">
        <f>'5-1 Сбор КП Закупки'!C100</f>
        <v/>
      </c>
      <c r="D100" s="521" t="str">
        <f>'5-1 Сбор КП Закупки'!D100</f>
        <v/>
      </c>
      <c r="E100" s="521" t="str">
        <f>'5-1 Сбор КП Закупки'!E100</f>
        <v/>
      </c>
      <c r="F100" s="521" t="str">
        <f>'5-1 Сбор КП Закупки'!F100</f>
        <v/>
      </c>
      <c r="G100" s="522" t="str">
        <f>'5-1 Сбор КП Закупки'!G100</f>
        <v/>
      </c>
      <c r="H100" s="522" t="str">
        <f>'5-1 Сбор КП Закупки'!H100</f>
        <v/>
      </c>
      <c r="I100" s="522" t="str">
        <f>'5-1 Сбор КП Закупки'!I100</f>
        <v/>
      </c>
      <c r="J100" s="197"/>
      <c r="K100" s="522" t="str">
        <f>'5-1 Сбор КП Закупки'!G100</f>
        <v/>
      </c>
      <c r="L100" s="523" t="str">
        <f>IF(A100="Да",'5-1 Сбор КП Закупки'!K100,)</f>
        <v/>
      </c>
      <c r="M100" s="197"/>
      <c r="N100" s="197"/>
      <c r="O100" s="197"/>
      <c r="P100" s="525" t="str">
        <f>'5-1 Сбор КП Закупки'!P100</f>
        <v/>
      </c>
      <c r="Q100" s="197"/>
      <c r="R100" s="197"/>
      <c r="S100" s="197"/>
      <c r="T100" s="197"/>
      <c r="U100" s="197"/>
      <c r="V100" s="197"/>
      <c r="W100" s="522" t="str">
        <f>'5-1 Сбор КП Закупки'!O100</f>
        <v/>
      </c>
      <c r="X100" s="197"/>
      <c r="Y100" s="197"/>
      <c r="Z100" s="197"/>
      <c r="AA100" s="197"/>
      <c r="AB100" s="197">
        <v>0.0</v>
      </c>
      <c r="AC100" s="197"/>
      <c r="AD100" s="197"/>
      <c r="AE1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5-3'!$D$11:$Q319,AE$4,AE$5)"),"")</f>
        <v/>
      </c>
      <c r="AF100" s="528"/>
      <c r="AG1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5-3'!$D$11:$Q319,AG$4,AG$5)"),"")</f>
        <v/>
      </c>
      <c r="AH100" s="527"/>
      <c r="AI1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5-3'!$D$11:$Q319,AI$4,AI$5)"),"")</f>
        <v/>
      </c>
      <c r="AJ100" s="527"/>
      <c r="AK1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5-3'!$D$11:$Q319,AK$4,AK$5)"),"")</f>
        <v/>
      </c>
      <c r="AL100" s="527"/>
      <c r="AM1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5-3'!$D$11:$Q319,AM$4,AM$5)"),"")</f>
        <v/>
      </c>
      <c r="AN100" s="529"/>
      <c r="AO1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5-3'!$D$11:$Q319,AO$4,AO$5)"),"")</f>
        <v/>
      </c>
      <c r="AP100" s="527"/>
      <c r="AQ100" s="527"/>
      <c r="AR100" s="527"/>
      <c r="AS100" s="527"/>
      <c r="AT1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5-3'!$D$11:$Q319,AT$4,AT$5)"),"")</f>
        <v/>
      </c>
      <c r="AU100" s="531"/>
      <c r="AV1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5-3'!$D$11:$Q319,AV$4,AV$5)"),"")</f>
        <v/>
      </c>
      <c r="AW100" s="530"/>
      <c r="AX1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5-3'!$D$11:$Q319,AX$4,AX$5)"),"")</f>
        <v/>
      </c>
      <c r="AY100" s="530"/>
      <c r="AZ1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5-3'!$D$11:$Q319,AZ$4,AZ$5)"),"")</f>
        <v/>
      </c>
      <c r="BA100" s="530"/>
      <c r="BB1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5-3'!$D$11:$Q319,BB$4,BB$5)"),"")</f>
        <v/>
      </c>
      <c r="BC100" s="532"/>
      <c r="BD1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5-3'!$D$11:$Q319,BD$4,BD$5)"),"")</f>
        <v/>
      </c>
      <c r="BE100" s="530"/>
      <c r="BF100" s="530"/>
      <c r="BG100" s="530"/>
      <c r="BH100" s="530"/>
      <c r="BI1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5-3'!$D$11:$Q319,BI$4,BI$5)"),"")</f>
        <v/>
      </c>
      <c r="BJ100" s="535"/>
      <c r="BK1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5-3'!$D$11:$Q319,BK$4,BK$5)"),"")</f>
        <v/>
      </c>
      <c r="BL100" s="534"/>
      <c r="BM1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5-3'!$D$11:$Q319,BM$4,BM$5)"),"")</f>
        <v/>
      </c>
      <c r="BN100" s="534"/>
      <c r="BO1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5-3'!$D$11:$Q319,BO$4,BO$5)"),"")</f>
        <v/>
      </c>
      <c r="BP100" s="534"/>
      <c r="BQ1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5-3'!$D$11:$Q319,BQ$4,BQ$5)"),"")</f>
        <v/>
      </c>
      <c r="BR100" s="536"/>
      <c r="BS1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5-3'!$D$11:$Q319,BS$4,BS$5)"),"")</f>
        <v/>
      </c>
      <c r="BT100" s="534"/>
      <c r="BU100" s="534"/>
      <c r="BV100" s="534"/>
      <c r="BW100" s="534"/>
      <c r="BX1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5-3'!$D$11:$Q319,BX$4,BX$5)"),"")</f>
        <v/>
      </c>
      <c r="BY100" s="538"/>
      <c r="BZ1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5-3'!$D$11:$Q319,BZ$4,BZ$5)"),"")</f>
        <v/>
      </c>
      <c r="CA100" s="537"/>
      <c r="CB1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5-3'!$D$11:$Q319,CB$4,CB$5)"),"")</f>
        <v/>
      </c>
      <c r="CC100" s="537"/>
      <c r="CD1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5-3'!$D$11:$Q319,CD$4,CD$5)"),"")</f>
        <v/>
      </c>
      <c r="CE100" s="537"/>
      <c r="CF1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5-3'!$D$11:$Q319,CF$4,CF$5)"),"")</f>
        <v/>
      </c>
      <c r="CG100" s="539"/>
      <c r="CH1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5-3'!$D$11:$Q319,CH$4,CH$5)"),"")</f>
        <v/>
      </c>
      <c r="CI100" s="537"/>
      <c r="CJ100" s="537"/>
      <c r="CK100" s="537"/>
      <c r="CL100" s="537"/>
      <c r="CM1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5-3'!$D$11:$Q319,CM$4,CM$5)"),"")</f>
        <v/>
      </c>
      <c r="CN100" s="541"/>
      <c r="CO1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5-3'!$D$11:$Q319,CO$4,CO$5)"),"")</f>
        <v/>
      </c>
      <c r="CP100" s="540"/>
      <c r="CQ1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5-3'!$D$11:$Q319,CQ$4,CQ$5)"),"")</f>
        <v/>
      </c>
      <c r="CR100" s="540"/>
      <c r="CS1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5-3'!$D$11:$Q319,CS$4,CS$5)"),"")</f>
        <v/>
      </c>
      <c r="CT100" s="540"/>
      <c r="CU1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5-3'!$D$11:$Q319,CU$4,CU$5)"),"")</f>
        <v/>
      </c>
      <c r="CV100" s="545"/>
      <c r="CW1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5-3'!$D$11:$Q319,CW$4,CW$5)"),"")</f>
        <v/>
      </c>
      <c r="CX100" s="540"/>
      <c r="CY100" s="540"/>
      <c r="CZ100" s="540"/>
      <c r="DA100" s="540"/>
      <c r="DB1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5-3'!$D$11:$Q319,DB$4,DB$5)"),"")</f>
        <v/>
      </c>
      <c r="DC100" s="555"/>
      <c r="DD1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5-3'!$D$11:$Q319,DD$4,DD$5)"),"")</f>
        <v/>
      </c>
      <c r="DE100" s="554"/>
      <c r="DF1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5-3'!$D$11:$Q319,DF$4,DF$5)"),"")</f>
        <v/>
      </c>
      <c r="DG100" s="554"/>
      <c r="DH1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5-3'!$D$11:$Q319,DH$4,DH$5)"),"")</f>
        <v/>
      </c>
      <c r="DI100" s="554"/>
      <c r="DJ1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5-3'!$D$11:$Q319,DJ$4,DJ$5)"),"")</f>
        <v/>
      </c>
      <c r="DK100" s="566"/>
      <c r="DL1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5-3'!$D$11:$Q319,DL$4,DL$5)"),"")</f>
        <v/>
      </c>
      <c r="DM100" s="554"/>
      <c r="DN100" s="554"/>
      <c r="DO100" s="554"/>
      <c r="DP100" s="554"/>
      <c r="DQ1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5-3'!$D$11:$Q319,DQ$4,DQ$5)"),"")</f>
        <v/>
      </c>
      <c r="DR100" s="569"/>
      <c r="DS1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5-3'!$D$11:$Q319,DS$4,DS$5)"),"")</f>
        <v/>
      </c>
      <c r="DT100" s="568"/>
      <c r="DU1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5-3'!$D$11:$Q319,DU$4,DU$5)"),"")</f>
        <v/>
      </c>
      <c r="DV100" s="568"/>
      <c r="DW1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5-3'!$D$11:$Q319,DW$4,DW$5)"),"")</f>
        <v/>
      </c>
      <c r="DX100" s="568"/>
      <c r="DY1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5-3'!$D$11:$Q319,DY$4,DY$5)"),"")</f>
        <v/>
      </c>
      <c r="DZ100" s="578"/>
      <c r="EA1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$C100, 'S-10 Топ 5-3'!$D$11:$Q319,EA$4,EA$5)"),"")</f>
        <v/>
      </c>
      <c r="EB100" s="568"/>
      <c r="EC100" s="568"/>
      <c r="ED100" s="568"/>
      <c r="EE100" s="568"/>
    </row>
    <row r="101">
      <c r="A101" s="519" t="str">
        <f t="shared" si="1"/>
        <v/>
      </c>
      <c r="B101" s="520" t="str">
        <f>'5-0 Товары'!B101</f>
        <v/>
      </c>
      <c r="C101" s="521" t="str">
        <f>'5-1 Сбор КП Закупки'!C101</f>
        <v/>
      </c>
      <c r="D101" s="521" t="str">
        <f>'5-1 Сбор КП Закупки'!D101</f>
        <v/>
      </c>
      <c r="E101" s="521" t="str">
        <f>'5-1 Сбор КП Закупки'!E101</f>
        <v/>
      </c>
      <c r="F101" s="521" t="str">
        <f>'5-1 Сбор КП Закупки'!F101</f>
        <v/>
      </c>
      <c r="G101" s="522" t="str">
        <f>'5-1 Сбор КП Закупки'!G101</f>
        <v/>
      </c>
      <c r="H101" s="522" t="str">
        <f>'5-1 Сбор КП Закупки'!H101</f>
        <v/>
      </c>
      <c r="I101" s="522" t="str">
        <f>'5-1 Сбор КП Закупки'!I101</f>
        <v/>
      </c>
      <c r="J101" s="197"/>
      <c r="K101" s="522" t="str">
        <f>'5-1 Сбор КП Закупки'!G101</f>
        <v/>
      </c>
      <c r="L101" s="523" t="str">
        <f>IF(A101="Да",'5-1 Сбор КП Закупки'!K101,)</f>
        <v/>
      </c>
      <c r="M101" s="197"/>
      <c r="N101" s="197"/>
      <c r="O101" s="197"/>
      <c r="P101" s="525" t="str">
        <f>'5-1 Сбор КП Закупки'!P101</f>
        <v/>
      </c>
      <c r="Q101" s="197"/>
      <c r="R101" s="197"/>
      <c r="S101" s="197"/>
      <c r="T101" s="197"/>
      <c r="U101" s="197"/>
      <c r="V101" s="197"/>
      <c r="W101" s="522" t="str">
        <f>'5-1 Сбор КП Закупки'!O101</f>
        <v/>
      </c>
      <c r="X101" s="197"/>
      <c r="Y101" s="197"/>
      <c r="Z101" s="197"/>
      <c r="AA101" s="197"/>
      <c r="AB101" s="197">
        <v>0.0</v>
      </c>
      <c r="AC101" s="197"/>
      <c r="AD101" s="197"/>
      <c r="AE1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5-3'!$D$11:$Q319,AE$4,AE$5)"),"")</f>
        <v/>
      </c>
      <c r="AF101" s="528"/>
      <c r="AG1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5-3'!$D$11:$Q319,AG$4,AG$5)"),"")</f>
        <v/>
      </c>
      <c r="AH101" s="527"/>
      <c r="AI1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5-3'!$D$11:$Q319,AI$4,AI$5)"),"")</f>
        <v/>
      </c>
      <c r="AJ101" s="527"/>
      <c r="AK1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5-3'!$D$11:$Q319,AK$4,AK$5)"),"")</f>
        <v/>
      </c>
      <c r="AL101" s="527"/>
      <c r="AM1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5-3'!$D$11:$Q319,AM$4,AM$5)"),"")</f>
        <v/>
      </c>
      <c r="AN101" s="529"/>
      <c r="AO1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5-3'!$D$11:$Q319,AO$4,AO$5)"),"")</f>
        <v/>
      </c>
      <c r="AP101" s="527"/>
      <c r="AQ101" s="527"/>
      <c r="AR101" s="527"/>
      <c r="AS101" s="527"/>
      <c r="AT1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5-3'!$D$11:$Q319,AT$4,AT$5)"),"")</f>
        <v/>
      </c>
      <c r="AU101" s="531"/>
      <c r="AV1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5-3'!$D$11:$Q319,AV$4,AV$5)"),"")</f>
        <v/>
      </c>
      <c r="AW101" s="530"/>
      <c r="AX1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5-3'!$D$11:$Q319,AX$4,AX$5)"),"")</f>
        <v/>
      </c>
      <c r="AY101" s="530"/>
      <c r="AZ1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5-3'!$D$11:$Q319,AZ$4,AZ$5)"),"")</f>
        <v/>
      </c>
      <c r="BA101" s="530"/>
      <c r="BB1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5-3'!$D$11:$Q319,BB$4,BB$5)"),"")</f>
        <v/>
      </c>
      <c r="BC101" s="532"/>
      <c r="BD1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5-3'!$D$11:$Q319,BD$4,BD$5)"),"")</f>
        <v/>
      </c>
      <c r="BE101" s="530"/>
      <c r="BF101" s="530"/>
      <c r="BG101" s="530"/>
      <c r="BH101" s="530"/>
      <c r="BI1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5-3'!$D$11:$Q319,BI$4,BI$5)"),"")</f>
        <v/>
      </c>
      <c r="BJ101" s="535"/>
      <c r="BK1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5-3'!$D$11:$Q319,BK$4,BK$5)"),"")</f>
        <v/>
      </c>
      <c r="BL101" s="534"/>
      <c r="BM1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5-3'!$D$11:$Q319,BM$4,BM$5)"),"")</f>
        <v/>
      </c>
      <c r="BN101" s="534"/>
      <c r="BO1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5-3'!$D$11:$Q319,BO$4,BO$5)"),"")</f>
        <v/>
      </c>
      <c r="BP101" s="534"/>
      <c r="BQ1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5-3'!$D$11:$Q319,BQ$4,BQ$5)"),"")</f>
        <v/>
      </c>
      <c r="BR101" s="536"/>
      <c r="BS1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5-3'!$D$11:$Q319,BS$4,BS$5)"),"")</f>
        <v/>
      </c>
      <c r="BT101" s="534"/>
      <c r="BU101" s="534"/>
      <c r="BV101" s="534"/>
      <c r="BW101" s="534"/>
      <c r="BX1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5-3'!$D$11:$Q319,BX$4,BX$5)"),"")</f>
        <v/>
      </c>
      <c r="BY101" s="538"/>
      <c r="BZ1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5-3'!$D$11:$Q319,BZ$4,BZ$5)"),"")</f>
        <v/>
      </c>
      <c r="CA101" s="537"/>
      <c r="CB1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5-3'!$D$11:$Q319,CB$4,CB$5)"),"")</f>
        <v/>
      </c>
      <c r="CC101" s="537"/>
      <c r="CD1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5-3'!$D$11:$Q319,CD$4,CD$5)"),"")</f>
        <v/>
      </c>
      <c r="CE101" s="537"/>
      <c r="CF1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5-3'!$D$11:$Q319,CF$4,CF$5)"),"")</f>
        <v/>
      </c>
      <c r="CG101" s="539"/>
      <c r="CH1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5-3'!$D$11:$Q319,CH$4,CH$5)"),"")</f>
        <v/>
      </c>
      <c r="CI101" s="537"/>
      <c r="CJ101" s="537"/>
      <c r="CK101" s="537"/>
      <c r="CL101" s="537"/>
      <c r="CM1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5-3'!$D$11:$Q319,CM$4,CM$5)"),"")</f>
        <v/>
      </c>
      <c r="CN101" s="541"/>
      <c r="CO1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5-3'!$D$11:$Q319,CO$4,CO$5)"),"")</f>
        <v/>
      </c>
      <c r="CP101" s="540"/>
      <c r="CQ1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5-3'!$D$11:$Q319,CQ$4,CQ$5)"),"")</f>
        <v/>
      </c>
      <c r="CR101" s="540"/>
      <c r="CS1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5-3'!$D$11:$Q319,CS$4,CS$5)"),"")</f>
        <v/>
      </c>
      <c r="CT101" s="540"/>
      <c r="CU1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5-3'!$D$11:$Q319,CU$4,CU$5)"),"")</f>
        <v/>
      </c>
      <c r="CV101" s="545"/>
      <c r="CW1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5-3'!$D$11:$Q319,CW$4,CW$5)"),"")</f>
        <v/>
      </c>
      <c r="CX101" s="540"/>
      <c r="CY101" s="540"/>
      <c r="CZ101" s="540"/>
      <c r="DA101" s="540"/>
      <c r="DB1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5-3'!$D$11:$Q319,DB$4,DB$5)"),"")</f>
        <v/>
      </c>
      <c r="DC101" s="555"/>
      <c r="DD1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5-3'!$D$11:$Q319,DD$4,DD$5)"),"")</f>
        <v/>
      </c>
      <c r="DE101" s="554"/>
      <c r="DF1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5-3'!$D$11:$Q319,DF$4,DF$5)"),"")</f>
        <v/>
      </c>
      <c r="DG101" s="554"/>
      <c r="DH1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5-3'!$D$11:$Q319,DH$4,DH$5)"),"")</f>
        <v/>
      </c>
      <c r="DI101" s="554"/>
      <c r="DJ1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5-3'!$D$11:$Q319,DJ$4,DJ$5)"),"")</f>
        <v/>
      </c>
      <c r="DK101" s="566"/>
      <c r="DL1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5-3'!$D$11:$Q319,DL$4,DL$5)"),"")</f>
        <v/>
      </c>
      <c r="DM101" s="554"/>
      <c r="DN101" s="554"/>
      <c r="DO101" s="554"/>
      <c r="DP101" s="554"/>
      <c r="DQ1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5-3'!$D$11:$Q319,DQ$4,DQ$5)"),"")</f>
        <v/>
      </c>
      <c r="DR101" s="569"/>
      <c r="DS1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5-3'!$D$11:$Q319,DS$4,DS$5)"),"")</f>
        <v/>
      </c>
      <c r="DT101" s="568"/>
      <c r="DU1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5-3'!$D$11:$Q319,DU$4,DU$5)"),"")</f>
        <v/>
      </c>
      <c r="DV101" s="568"/>
      <c r="DW1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5-3'!$D$11:$Q319,DW$4,DW$5)"),"")</f>
        <v/>
      </c>
      <c r="DX101" s="568"/>
      <c r="DY1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5-3'!$D$11:$Q319,DY$4,DY$5)"),"")</f>
        <v/>
      </c>
      <c r="DZ101" s="578"/>
      <c r="EA1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$C101, 'S-10 Топ 5-3'!$D$11:$Q319,EA$4,EA$5)"),"")</f>
        <v/>
      </c>
      <c r="EB101" s="568"/>
      <c r="EC101" s="568"/>
      <c r="ED101" s="568"/>
      <c r="EE101" s="568"/>
    </row>
    <row r="102">
      <c r="A102" s="519" t="str">
        <f t="shared" si="1"/>
        <v/>
      </c>
      <c r="B102" s="520" t="str">
        <f>'5-0 Товары'!B102</f>
        <v/>
      </c>
      <c r="C102" s="521" t="str">
        <f>'5-1 Сбор КП Закупки'!C102</f>
        <v/>
      </c>
      <c r="D102" s="521" t="str">
        <f>'5-1 Сбор КП Закупки'!D102</f>
        <v/>
      </c>
      <c r="E102" s="521" t="str">
        <f>'5-1 Сбор КП Закупки'!E102</f>
        <v/>
      </c>
      <c r="F102" s="521" t="str">
        <f>'5-1 Сбор КП Закупки'!F102</f>
        <v/>
      </c>
      <c r="G102" s="522" t="str">
        <f>'5-1 Сбор КП Закупки'!G102</f>
        <v/>
      </c>
      <c r="H102" s="522" t="str">
        <f>'5-1 Сбор КП Закупки'!H102</f>
        <v/>
      </c>
      <c r="I102" s="522" t="str">
        <f>'5-1 Сбор КП Закупки'!I102</f>
        <v/>
      </c>
      <c r="J102" s="197"/>
      <c r="K102" s="522" t="str">
        <f>'5-1 Сбор КП Закупки'!G102</f>
        <v/>
      </c>
      <c r="L102" s="523" t="str">
        <f>IF(A102="Да",'5-1 Сбор КП Закупки'!K102,)</f>
        <v/>
      </c>
      <c r="M102" s="197"/>
      <c r="N102" s="197"/>
      <c r="O102" s="197"/>
      <c r="P102" s="525" t="str">
        <f>'5-1 Сбор КП Закупки'!P102</f>
        <v/>
      </c>
      <c r="Q102" s="197"/>
      <c r="R102" s="197"/>
      <c r="S102" s="197"/>
      <c r="T102" s="197"/>
      <c r="U102" s="197"/>
      <c r="V102" s="197"/>
      <c r="W102" s="522" t="str">
        <f>'5-1 Сбор КП Закупки'!O102</f>
        <v/>
      </c>
      <c r="X102" s="197"/>
      <c r="Y102" s="197"/>
      <c r="Z102" s="197"/>
      <c r="AA102" s="197"/>
      <c r="AB102" s="197">
        <v>0.0</v>
      </c>
      <c r="AC102" s="197"/>
      <c r="AD102" s="197"/>
      <c r="AE1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5-3'!$D$11:$Q319,AE$4,AE$5)"),"")</f>
        <v/>
      </c>
      <c r="AF102" s="528"/>
      <c r="AG1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5-3'!$D$11:$Q319,AG$4,AG$5)"),"")</f>
        <v/>
      </c>
      <c r="AH102" s="527"/>
      <c r="AI1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5-3'!$D$11:$Q319,AI$4,AI$5)"),"")</f>
        <v/>
      </c>
      <c r="AJ102" s="527"/>
      <c r="AK1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5-3'!$D$11:$Q319,AK$4,AK$5)"),"")</f>
        <v/>
      </c>
      <c r="AL102" s="527"/>
      <c r="AM1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5-3'!$D$11:$Q319,AM$4,AM$5)"),"")</f>
        <v/>
      </c>
      <c r="AN102" s="529"/>
      <c r="AO1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5-3'!$D$11:$Q319,AO$4,AO$5)"),"")</f>
        <v/>
      </c>
      <c r="AP102" s="527"/>
      <c r="AQ102" s="527"/>
      <c r="AR102" s="527"/>
      <c r="AS102" s="527"/>
      <c r="AT1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5-3'!$D$11:$Q319,AT$4,AT$5)"),"")</f>
        <v/>
      </c>
      <c r="AU102" s="531"/>
      <c r="AV1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5-3'!$D$11:$Q319,AV$4,AV$5)"),"")</f>
        <v/>
      </c>
      <c r="AW102" s="530"/>
      <c r="AX1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5-3'!$D$11:$Q319,AX$4,AX$5)"),"")</f>
        <v/>
      </c>
      <c r="AY102" s="530"/>
      <c r="AZ1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5-3'!$D$11:$Q319,AZ$4,AZ$5)"),"")</f>
        <v/>
      </c>
      <c r="BA102" s="530"/>
      <c r="BB1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5-3'!$D$11:$Q319,BB$4,BB$5)"),"")</f>
        <v/>
      </c>
      <c r="BC102" s="532"/>
      <c r="BD1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5-3'!$D$11:$Q319,BD$4,BD$5)"),"")</f>
        <v/>
      </c>
      <c r="BE102" s="530"/>
      <c r="BF102" s="530"/>
      <c r="BG102" s="530"/>
      <c r="BH102" s="530"/>
      <c r="BI1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5-3'!$D$11:$Q319,BI$4,BI$5)"),"")</f>
        <v/>
      </c>
      <c r="BJ102" s="535"/>
      <c r="BK1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5-3'!$D$11:$Q319,BK$4,BK$5)"),"")</f>
        <v/>
      </c>
      <c r="BL102" s="534"/>
      <c r="BM1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5-3'!$D$11:$Q319,BM$4,BM$5)"),"")</f>
        <v/>
      </c>
      <c r="BN102" s="534"/>
      <c r="BO1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5-3'!$D$11:$Q319,BO$4,BO$5)"),"")</f>
        <v/>
      </c>
      <c r="BP102" s="534"/>
      <c r="BQ1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5-3'!$D$11:$Q319,BQ$4,BQ$5)"),"")</f>
        <v/>
      </c>
      <c r="BR102" s="536"/>
      <c r="BS1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5-3'!$D$11:$Q319,BS$4,BS$5)"),"")</f>
        <v/>
      </c>
      <c r="BT102" s="534"/>
      <c r="BU102" s="534"/>
      <c r="BV102" s="534"/>
      <c r="BW102" s="534"/>
      <c r="BX1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5-3'!$D$11:$Q319,BX$4,BX$5)"),"")</f>
        <v/>
      </c>
      <c r="BY102" s="538"/>
      <c r="BZ1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5-3'!$D$11:$Q319,BZ$4,BZ$5)"),"")</f>
        <v/>
      </c>
      <c r="CA102" s="537"/>
      <c r="CB1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5-3'!$D$11:$Q319,CB$4,CB$5)"),"")</f>
        <v/>
      </c>
      <c r="CC102" s="537"/>
      <c r="CD1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5-3'!$D$11:$Q319,CD$4,CD$5)"),"")</f>
        <v/>
      </c>
      <c r="CE102" s="537"/>
      <c r="CF1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5-3'!$D$11:$Q319,CF$4,CF$5)"),"")</f>
        <v/>
      </c>
      <c r="CG102" s="539"/>
      <c r="CH1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5-3'!$D$11:$Q319,CH$4,CH$5)"),"")</f>
        <v/>
      </c>
      <c r="CI102" s="537"/>
      <c r="CJ102" s="537"/>
      <c r="CK102" s="537"/>
      <c r="CL102" s="537"/>
      <c r="CM1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5-3'!$D$11:$Q319,CM$4,CM$5)"),"")</f>
        <v/>
      </c>
      <c r="CN102" s="541"/>
      <c r="CO1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5-3'!$D$11:$Q319,CO$4,CO$5)"),"")</f>
        <v/>
      </c>
      <c r="CP102" s="540"/>
      <c r="CQ1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5-3'!$D$11:$Q319,CQ$4,CQ$5)"),"")</f>
        <v/>
      </c>
      <c r="CR102" s="540"/>
      <c r="CS1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5-3'!$D$11:$Q319,CS$4,CS$5)"),"")</f>
        <v/>
      </c>
      <c r="CT102" s="540"/>
      <c r="CU1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5-3'!$D$11:$Q319,CU$4,CU$5)"),"")</f>
        <v/>
      </c>
      <c r="CV102" s="545"/>
      <c r="CW1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5-3'!$D$11:$Q319,CW$4,CW$5)"),"")</f>
        <v/>
      </c>
      <c r="CX102" s="540"/>
      <c r="CY102" s="540"/>
      <c r="CZ102" s="540"/>
      <c r="DA102" s="540"/>
      <c r="DB1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5-3'!$D$11:$Q319,DB$4,DB$5)"),"")</f>
        <v/>
      </c>
      <c r="DC102" s="555"/>
      <c r="DD1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5-3'!$D$11:$Q319,DD$4,DD$5)"),"")</f>
        <v/>
      </c>
      <c r="DE102" s="554"/>
      <c r="DF1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5-3'!$D$11:$Q319,DF$4,DF$5)"),"")</f>
        <v/>
      </c>
      <c r="DG102" s="554"/>
      <c r="DH1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5-3'!$D$11:$Q319,DH$4,DH$5)"),"")</f>
        <v/>
      </c>
      <c r="DI102" s="554"/>
      <c r="DJ1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5-3'!$D$11:$Q319,DJ$4,DJ$5)"),"")</f>
        <v/>
      </c>
      <c r="DK102" s="566"/>
      <c r="DL1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5-3'!$D$11:$Q319,DL$4,DL$5)"),"")</f>
        <v/>
      </c>
      <c r="DM102" s="554"/>
      <c r="DN102" s="554"/>
      <c r="DO102" s="554"/>
      <c r="DP102" s="554"/>
      <c r="DQ1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5-3'!$D$11:$Q319,DQ$4,DQ$5)"),"")</f>
        <v/>
      </c>
      <c r="DR102" s="569"/>
      <c r="DS1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5-3'!$D$11:$Q319,DS$4,DS$5)"),"")</f>
        <v/>
      </c>
      <c r="DT102" s="568"/>
      <c r="DU1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5-3'!$D$11:$Q319,DU$4,DU$5)"),"")</f>
        <v/>
      </c>
      <c r="DV102" s="568"/>
      <c r="DW1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5-3'!$D$11:$Q319,DW$4,DW$5)"),"")</f>
        <v/>
      </c>
      <c r="DX102" s="568"/>
      <c r="DY1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5-3'!$D$11:$Q319,DY$4,DY$5)"),"")</f>
        <v/>
      </c>
      <c r="DZ102" s="578"/>
      <c r="EA1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$C102, 'S-10 Топ 5-3'!$D$11:$Q319,EA$4,EA$5)"),"")</f>
        <v/>
      </c>
      <c r="EB102" s="568"/>
      <c r="EC102" s="568"/>
      <c r="ED102" s="568"/>
      <c r="EE102" s="568"/>
    </row>
    <row r="103">
      <c r="A103" s="519" t="str">
        <f t="shared" si="1"/>
        <v/>
      </c>
      <c r="B103" s="520" t="str">
        <f>'5-0 Товары'!B103</f>
        <v/>
      </c>
      <c r="C103" s="521" t="str">
        <f>'5-1 Сбор КП Закупки'!C103</f>
        <v/>
      </c>
      <c r="D103" s="521" t="str">
        <f>'5-1 Сбор КП Закупки'!D103</f>
        <v/>
      </c>
      <c r="E103" s="521" t="str">
        <f>'5-1 Сбор КП Закупки'!E103</f>
        <v/>
      </c>
      <c r="F103" s="521" t="str">
        <f>'5-1 Сбор КП Закупки'!F103</f>
        <v/>
      </c>
      <c r="G103" s="522" t="str">
        <f>'5-1 Сбор КП Закупки'!G103</f>
        <v/>
      </c>
      <c r="H103" s="522" t="str">
        <f>'5-1 Сбор КП Закупки'!H103</f>
        <v/>
      </c>
      <c r="I103" s="522" t="str">
        <f>'5-1 Сбор КП Закупки'!I103</f>
        <v/>
      </c>
      <c r="J103" s="197"/>
      <c r="K103" s="522" t="str">
        <f>'5-1 Сбор КП Закупки'!G103</f>
        <v/>
      </c>
      <c r="L103" s="523" t="str">
        <f>IF(A103="Да",'5-1 Сбор КП Закупки'!K103,)</f>
        <v/>
      </c>
      <c r="M103" s="197"/>
      <c r="N103" s="197"/>
      <c r="O103" s="197"/>
      <c r="P103" s="525" t="str">
        <f>'5-1 Сбор КП Закупки'!P103</f>
        <v/>
      </c>
      <c r="Q103" s="197"/>
      <c r="R103" s="197"/>
      <c r="S103" s="197"/>
      <c r="T103" s="197"/>
      <c r="U103" s="197"/>
      <c r="V103" s="197"/>
      <c r="W103" s="522" t="str">
        <f>'5-1 Сбор КП Закупки'!O103</f>
        <v/>
      </c>
      <c r="X103" s="197"/>
      <c r="Y103" s="197"/>
      <c r="Z103" s="197"/>
      <c r="AA103" s="197"/>
      <c r="AB103" s="197">
        <v>0.0</v>
      </c>
      <c r="AC103" s="197"/>
      <c r="AD103" s="197"/>
      <c r="AE1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5-3'!$D$11:$Q319,AE$4,AE$5)"),"")</f>
        <v/>
      </c>
      <c r="AF103" s="528"/>
      <c r="AG1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5-3'!$D$11:$Q319,AG$4,AG$5)"),"")</f>
        <v/>
      </c>
      <c r="AH103" s="527"/>
      <c r="AI1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5-3'!$D$11:$Q319,AI$4,AI$5)"),"")</f>
        <v/>
      </c>
      <c r="AJ103" s="527"/>
      <c r="AK1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5-3'!$D$11:$Q319,AK$4,AK$5)"),"")</f>
        <v/>
      </c>
      <c r="AL103" s="527"/>
      <c r="AM1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5-3'!$D$11:$Q319,AM$4,AM$5)"),"")</f>
        <v/>
      </c>
      <c r="AN103" s="529"/>
      <c r="AO1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5-3'!$D$11:$Q319,AO$4,AO$5)"),"")</f>
        <v/>
      </c>
      <c r="AP103" s="527"/>
      <c r="AQ103" s="527"/>
      <c r="AR103" s="527"/>
      <c r="AS103" s="527"/>
      <c r="AT1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5-3'!$D$11:$Q319,AT$4,AT$5)"),"")</f>
        <v/>
      </c>
      <c r="AU103" s="531"/>
      <c r="AV1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5-3'!$D$11:$Q319,AV$4,AV$5)"),"")</f>
        <v/>
      </c>
      <c r="AW103" s="530"/>
      <c r="AX1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5-3'!$D$11:$Q319,AX$4,AX$5)"),"")</f>
        <v/>
      </c>
      <c r="AY103" s="530"/>
      <c r="AZ1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5-3'!$D$11:$Q319,AZ$4,AZ$5)"),"")</f>
        <v/>
      </c>
      <c r="BA103" s="530"/>
      <c r="BB1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5-3'!$D$11:$Q319,BB$4,BB$5)"),"")</f>
        <v/>
      </c>
      <c r="BC103" s="532"/>
      <c r="BD1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5-3'!$D$11:$Q319,BD$4,BD$5)"),"")</f>
        <v/>
      </c>
      <c r="BE103" s="530"/>
      <c r="BF103" s="530"/>
      <c r="BG103" s="530"/>
      <c r="BH103" s="530"/>
      <c r="BI1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5-3'!$D$11:$Q319,BI$4,BI$5)"),"")</f>
        <v/>
      </c>
      <c r="BJ103" s="535"/>
      <c r="BK1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5-3'!$D$11:$Q319,BK$4,BK$5)"),"")</f>
        <v/>
      </c>
      <c r="BL103" s="534"/>
      <c r="BM1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5-3'!$D$11:$Q319,BM$4,BM$5)"),"")</f>
        <v/>
      </c>
      <c r="BN103" s="534"/>
      <c r="BO1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5-3'!$D$11:$Q319,BO$4,BO$5)"),"")</f>
        <v/>
      </c>
      <c r="BP103" s="534"/>
      <c r="BQ1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5-3'!$D$11:$Q319,BQ$4,BQ$5)"),"")</f>
        <v/>
      </c>
      <c r="BR103" s="536"/>
      <c r="BS1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5-3'!$D$11:$Q319,BS$4,BS$5)"),"")</f>
        <v/>
      </c>
      <c r="BT103" s="534"/>
      <c r="BU103" s="534"/>
      <c r="BV103" s="534"/>
      <c r="BW103" s="534"/>
      <c r="BX1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5-3'!$D$11:$Q319,BX$4,BX$5)"),"")</f>
        <v/>
      </c>
      <c r="BY103" s="538"/>
      <c r="BZ1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5-3'!$D$11:$Q319,BZ$4,BZ$5)"),"")</f>
        <v/>
      </c>
      <c r="CA103" s="537"/>
      <c r="CB1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5-3'!$D$11:$Q319,CB$4,CB$5)"),"")</f>
        <v/>
      </c>
      <c r="CC103" s="537"/>
      <c r="CD1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5-3'!$D$11:$Q319,CD$4,CD$5)"),"")</f>
        <v/>
      </c>
      <c r="CE103" s="537"/>
      <c r="CF1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5-3'!$D$11:$Q319,CF$4,CF$5)"),"")</f>
        <v/>
      </c>
      <c r="CG103" s="539"/>
      <c r="CH1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5-3'!$D$11:$Q319,CH$4,CH$5)"),"")</f>
        <v/>
      </c>
      <c r="CI103" s="537"/>
      <c r="CJ103" s="537"/>
      <c r="CK103" s="537"/>
      <c r="CL103" s="537"/>
      <c r="CM1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5-3'!$D$11:$Q319,CM$4,CM$5)"),"")</f>
        <v/>
      </c>
      <c r="CN103" s="541"/>
      <c r="CO1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5-3'!$D$11:$Q319,CO$4,CO$5)"),"")</f>
        <v/>
      </c>
      <c r="CP103" s="540"/>
      <c r="CQ1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5-3'!$D$11:$Q319,CQ$4,CQ$5)"),"")</f>
        <v/>
      </c>
      <c r="CR103" s="540"/>
      <c r="CS1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5-3'!$D$11:$Q319,CS$4,CS$5)"),"")</f>
        <v/>
      </c>
      <c r="CT103" s="540"/>
      <c r="CU1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5-3'!$D$11:$Q319,CU$4,CU$5)"),"")</f>
        <v/>
      </c>
      <c r="CV103" s="545"/>
      <c r="CW1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5-3'!$D$11:$Q319,CW$4,CW$5)"),"")</f>
        <v/>
      </c>
      <c r="CX103" s="540"/>
      <c r="CY103" s="540"/>
      <c r="CZ103" s="540"/>
      <c r="DA103" s="540"/>
      <c r="DB1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5-3'!$D$11:$Q319,DB$4,DB$5)"),"")</f>
        <v/>
      </c>
      <c r="DC103" s="555"/>
      <c r="DD1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5-3'!$D$11:$Q319,DD$4,DD$5)"),"")</f>
        <v/>
      </c>
      <c r="DE103" s="554"/>
      <c r="DF1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5-3'!$D$11:$Q319,DF$4,DF$5)"),"")</f>
        <v/>
      </c>
      <c r="DG103" s="554"/>
      <c r="DH1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5-3'!$D$11:$Q319,DH$4,DH$5)"),"")</f>
        <v/>
      </c>
      <c r="DI103" s="554"/>
      <c r="DJ1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5-3'!$D$11:$Q319,DJ$4,DJ$5)"),"")</f>
        <v/>
      </c>
      <c r="DK103" s="566"/>
      <c r="DL1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5-3'!$D$11:$Q319,DL$4,DL$5)"),"")</f>
        <v/>
      </c>
      <c r="DM103" s="554"/>
      <c r="DN103" s="554"/>
      <c r="DO103" s="554"/>
      <c r="DP103" s="554"/>
      <c r="DQ1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5-3'!$D$11:$Q319,DQ$4,DQ$5)"),"")</f>
        <v/>
      </c>
      <c r="DR103" s="569"/>
      <c r="DS1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5-3'!$D$11:$Q319,DS$4,DS$5)"),"")</f>
        <v/>
      </c>
      <c r="DT103" s="568"/>
      <c r="DU1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5-3'!$D$11:$Q319,DU$4,DU$5)"),"")</f>
        <v/>
      </c>
      <c r="DV103" s="568"/>
      <c r="DW1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5-3'!$D$11:$Q319,DW$4,DW$5)"),"")</f>
        <v/>
      </c>
      <c r="DX103" s="568"/>
      <c r="DY1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5-3'!$D$11:$Q319,DY$4,DY$5)"),"")</f>
        <v/>
      </c>
      <c r="DZ103" s="578"/>
      <c r="EA1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$C103, 'S-10 Топ 5-3'!$D$11:$Q319,EA$4,EA$5)"),"")</f>
        <v/>
      </c>
      <c r="EB103" s="568"/>
      <c r="EC103" s="568"/>
      <c r="ED103" s="568"/>
      <c r="EE103" s="568"/>
    </row>
    <row r="104">
      <c r="A104" s="519" t="str">
        <f t="shared" si="1"/>
        <v/>
      </c>
      <c r="B104" s="520" t="str">
        <f>'5-0 Товары'!B104</f>
        <v/>
      </c>
      <c r="C104" s="521" t="str">
        <f>'5-1 Сбор КП Закупки'!C104</f>
        <v/>
      </c>
      <c r="D104" s="521" t="str">
        <f>'5-1 Сбор КП Закупки'!D104</f>
        <v/>
      </c>
      <c r="E104" s="521" t="str">
        <f>'5-1 Сбор КП Закупки'!E104</f>
        <v/>
      </c>
      <c r="F104" s="521" t="str">
        <f>'5-1 Сбор КП Закупки'!F104</f>
        <v/>
      </c>
      <c r="G104" s="522" t="str">
        <f>'5-1 Сбор КП Закупки'!G104</f>
        <v/>
      </c>
      <c r="H104" s="522" t="str">
        <f>'5-1 Сбор КП Закупки'!H104</f>
        <v/>
      </c>
      <c r="I104" s="522" t="str">
        <f>'5-1 Сбор КП Закупки'!I104</f>
        <v/>
      </c>
      <c r="J104" s="197"/>
      <c r="K104" s="522" t="str">
        <f>'5-1 Сбор КП Закупки'!G104</f>
        <v/>
      </c>
      <c r="L104" s="523" t="str">
        <f>IF(A104="Да",'5-1 Сбор КП Закупки'!K104,)</f>
        <v/>
      </c>
      <c r="M104" s="197"/>
      <c r="N104" s="197"/>
      <c r="O104" s="197"/>
      <c r="P104" s="525" t="str">
        <f>'5-1 Сбор КП Закупки'!P104</f>
        <v/>
      </c>
      <c r="Q104" s="197"/>
      <c r="R104" s="197"/>
      <c r="S104" s="197"/>
      <c r="T104" s="197"/>
      <c r="U104" s="197"/>
      <c r="V104" s="197"/>
      <c r="W104" s="522" t="str">
        <f>'5-1 Сбор КП Закупки'!O104</f>
        <v/>
      </c>
      <c r="X104" s="197"/>
      <c r="Y104" s="197"/>
      <c r="Z104" s="197"/>
      <c r="AA104" s="197"/>
      <c r="AB104" s="197">
        <v>0.0</v>
      </c>
      <c r="AC104" s="197"/>
      <c r="AD104" s="197"/>
      <c r="AE1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5-3'!$D$11:$Q319,AE$4,AE$5)"),"")</f>
        <v/>
      </c>
      <c r="AF104" s="528"/>
      <c r="AG1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5-3'!$D$11:$Q319,AG$4,AG$5)"),"")</f>
        <v/>
      </c>
      <c r="AH104" s="527"/>
      <c r="AI1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5-3'!$D$11:$Q319,AI$4,AI$5)"),"")</f>
        <v/>
      </c>
      <c r="AJ104" s="527"/>
      <c r="AK1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5-3'!$D$11:$Q319,AK$4,AK$5)"),"")</f>
        <v/>
      </c>
      <c r="AL104" s="527"/>
      <c r="AM1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5-3'!$D$11:$Q319,AM$4,AM$5)"),"")</f>
        <v/>
      </c>
      <c r="AN104" s="529"/>
      <c r="AO1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5-3'!$D$11:$Q319,AO$4,AO$5)"),"")</f>
        <v/>
      </c>
      <c r="AP104" s="527"/>
      <c r="AQ104" s="527"/>
      <c r="AR104" s="527"/>
      <c r="AS104" s="527"/>
      <c r="AT1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5-3'!$D$11:$Q319,AT$4,AT$5)"),"")</f>
        <v/>
      </c>
      <c r="AU104" s="531"/>
      <c r="AV1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5-3'!$D$11:$Q319,AV$4,AV$5)"),"")</f>
        <v/>
      </c>
      <c r="AW104" s="530"/>
      <c r="AX1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5-3'!$D$11:$Q319,AX$4,AX$5)"),"")</f>
        <v/>
      </c>
      <c r="AY104" s="530"/>
      <c r="AZ1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5-3'!$D$11:$Q319,AZ$4,AZ$5)"),"")</f>
        <v/>
      </c>
      <c r="BA104" s="530"/>
      <c r="BB1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5-3'!$D$11:$Q319,BB$4,BB$5)"),"")</f>
        <v/>
      </c>
      <c r="BC104" s="532"/>
      <c r="BD1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5-3'!$D$11:$Q319,BD$4,BD$5)"),"")</f>
        <v/>
      </c>
      <c r="BE104" s="530"/>
      <c r="BF104" s="530"/>
      <c r="BG104" s="530"/>
      <c r="BH104" s="530"/>
      <c r="BI1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5-3'!$D$11:$Q319,BI$4,BI$5)"),"")</f>
        <v/>
      </c>
      <c r="BJ104" s="535"/>
      <c r="BK1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5-3'!$D$11:$Q319,BK$4,BK$5)"),"")</f>
        <v/>
      </c>
      <c r="BL104" s="534"/>
      <c r="BM1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5-3'!$D$11:$Q319,BM$4,BM$5)"),"")</f>
        <v/>
      </c>
      <c r="BN104" s="534"/>
      <c r="BO1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5-3'!$D$11:$Q319,BO$4,BO$5)"),"")</f>
        <v/>
      </c>
      <c r="BP104" s="534"/>
      <c r="BQ1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5-3'!$D$11:$Q319,BQ$4,BQ$5)"),"")</f>
        <v/>
      </c>
      <c r="BR104" s="536"/>
      <c r="BS1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5-3'!$D$11:$Q319,BS$4,BS$5)"),"")</f>
        <v/>
      </c>
      <c r="BT104" s="534"/>
      <c r="BU104" s="534"/>
      <c r="BV104" s="534"/>
      <c r="BW104" s="534"/>
      <c r="BX1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5-3'!$D$11:$Q319,BX$4,BX$5)"),"")</f>
        <v/>
      </c>
      <c r="BY104" s="538"/>
      <c r="BZ1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5-3'!$D$11:$Q319,BZ$4,BZ$5)"),"")</f>
        <v/>
      </c>
      <c r="CA104" s="537"/>
      <c r="CB1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5-3'!$D$11:$Q319,CB$4,CB$5)"),"")</f>
        <v/>
      </c>
      <c r="CC104" s="537"/>
      <c r="CD1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5-3'!$D$11:$Q319,CD$4,CD$5)"),"")</f>
        <v/>
      </c>
      <c r="CE104" s="537"/>
      <c r="CF1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5-3'!$D$11:$Q319,CF$4,CF$5)"),"")</f>
        <v/>
      </c>
      <c r="CG104" s="539"/>
      <c r="CH1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5-3'!$D$11:$Q319,CH$4,CH$5)"),"")</f>
        <v/>
      </c>
      <c r="CI104" s="537"/>
      <c r="CJ104" s="537"/>
      <c r="CK104" s="537"/>
      <c r="CL104" s="537"/>
      <c r="CM1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5-3'!$D$11:$Q319,CM$4,CM$5)"),"")</f>
        <v/>
      </c>
      <c r="CN104" s="541"/>
      <c r="CO1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5-3'!$D$11:$Q319,CO$4,CO$5)"),"")</f>
        <v/>
      </c>
      <c r="CP104" s="540"/>
      <c r="CQ1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5-3'!$D$11:$Q319,CQ$4,CQ$5)"),"")</f>
        <v/>
      </c>
      <c r="CR104" s="540"/>
      <c r="CS1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5-3'!$D$11:$Q319,CS$4,CS$5)"),"")</f>
        <v/>
      </c>
      <c r="CT104" s="540"/>
      <c r="CU1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5-3'!$D$11:$Q319,CU$4,CU$5)"),"")</f>
        <v/>
      </c>
      <c r="CV104" s="545"/>
      <c r="CW1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5-3'!$D$11:$Q319,CW$4,CW$5)"),"")</f>
        <v/>
      </c>
      <c r="CX104" s="540"/>
      <c r="CY104" s="540"/>
      <c r="CZ104" s="540"/>
      <c r="DA104" s="540"/>
      <c r="DB1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5-3'!$D$11:$Q319,DB$4,DB$5)"),"")</f>
        <v/>
      </c>
      <c r="DC104" s="555"/>
      <c r="DD1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5-3'!$D$11:$Q319,DD$4,DD$5)"),"")</f>
        <v/>
      </c>
      <c r="DE104" s="554"/>
      <c r="DF1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5-3'!$D$11:$Q319,DF$4,DF$5)"),"")</f>
        <v/>
      </c>
      <c r="DG104" s="554"/>
      <c r="DH1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5-3'!$D$11:$Q319,DH$4,DH$5)"),"")</f>
        <v/>
      </c>
      <c r="DI104" s="554"/>
      <c r="DJ1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5-3'!$D$11:$Q319,DJ$4,DJ$5)"),"")</f>
        <v/>
      </c>
      <c r="DK104" s="566"/>
      <c r="DL1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5-3'!$D$11:$Q319,DL$4,DL$5)"),"")</f>
        <v/>
      </c>
      <c r="DM104" s="554"/>
      <c r="DN104" s="554"/>
      <c r="DO104" s="554"/>
      <c r="DP104" s="554"/>
      <c r="DQ1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5-3'!$D$11:$Q319,DQ$4,DQ$5)"),"")</f>
        <v/>
      </c>
      <c r="DR104" s="569"/>
      <c r="DS1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5-3'!$D$11:$Q319,DS$4,DS$5)"),"")</f>
        <v/>
      </c>
      <c r="DT104" s="568"/>
      <c r="DU1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5-3'!$D$11:$Q319,DU$4,DU$5)"),"")</f>
        <v/>
      </c>
      <c r="DV104" s="568"/>
      <c r="DW1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5-3'!$D$11:$Q319,DW$4,DW$5)"),"")</f>
        <v/>
      </c>
      <c r="DX104" s="568"/>
      <c r="DY1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5-3'!$D$11:$Q319,DY$4,DY$5)"),"")</f>
        <v/>
      </c>
      <c r="DZ104" s="578"/>
      <c r="EA1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$C104, 'S-10 Топ 5-3'!$D$11:$Q319,EA$4,EA$5)"),"")</f>
        <v/>
      </c>
      <c r="EB104" s="568"/>
      <c r="EC104" s="568"/>
      <c r="ED104" s="568"/>
      <c r="EE104" s="568"/>
    </row>
    <row r="105">
      <c r="A105" s="519" t="str">
        <f t="shared" si="1"/>
        <v/>
      </c>
      <c r="B105" s="520" t="str">
        <f>'5-0 Товары'!B105</f>
        <v/>
      </c>
      <c r="C105" s="521" t="str">
        <f>'5-1 Сбор КП Закупки'!C105</f>
        <v/>
      </c>
      <c r="D105" s="521" t="str">
        <f>'5-1 Сбор КП Закупки'!D105</f>
        <v/>
      </c>
      <c r="E105" s="521" t="str">
        <f>'5-1 Сбор КП Закупки'!E105</f>
        <v/>
      </c>
      <c r="F105" s="521" t="str">
        <f>'5-1 Сбор КП Закупки'!F105</f>
        <v/>
      </c>
      <c r="G105" s="522" t="str">
        <f>'5-1 Сбор КП Закупки'!G105</f>
        <v/>
      </c>
      <c r="H105" s="522" t="str">
        <f>'5-1 Сбор КП Закупки'!H105</f>
        <v/>
      </c>
      <c r="I105" s="522" t="str">
        <f>'5-1 Сбор КП Закупки'!I105</f>
        <v/>
      </c>
      <c r="J105" s="197"/>
      <c r="K105" s="522" t="str">
        <f>'5-1 Сбор КП Закупки'!G105</f>
        <v/>
      </c>
      <c r="L105" s="523" t="str">
        <f>IF(A105="Да",'5-1 Сбор КП Закупки'!K105,)</f>
        <v/>
      </c>
      <c r="M105" s="197"/>
      <c r="N105" s="197"/>
      <c r="O105" s="197"/>
      <c r="P105" s="525" t="str">
        <f>'5-1 Сбор КП Закупки'!P105</f>
        <v/>
      </c>
      <c r="Q105" s="197"/>
      <c r="R105" s="197"/>
      <c r="S105" s="197"/>
      <c r="T105" s="197"/>
      <c r="U105" s="197"/>
      <c r="V105" s="197"/>
      <c r="W105" s="522" t="str">
        <f>'5-1 Сбор КП Закупки'!O105</f>
        <v/>
      </c>
      <c r="X105" s="197"/>
      <c r="Y105" s="197"/>
      <c r="Z105" s="197"/>
      <c r="AA105" s="197"/>
      <c r="AB105" s="197">
        <v>0.0</v>
      </c>
      <c r="AC105" s="197"/>
      <c r="AD105" s="197"/>
      <c r="AE1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5-3'!$D$11:$Q319,AE$4,AE$5)"),"")</f>
        <v/>
      </c>
      <c r="AF105" s="528"/>
      <c r="AG1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5-3'!$D$11:$Q319,AG$4,AG$5)"),"")</f>
        <v/>
      </c>
      <c r="AH105" s="527"/>
      <c r="AI1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5-3'!$D$11:$Q319,AI$4,AI$5)"),"")</f>
        <v/>
      </c>
      <c r="AJ105" s="527"/>
      <c r="AK1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5-3'!$D$11:$Q319,AK$4,AK$5)"),"")</f>
        <v/>
      </c>
      <c r="AL105" s="527"/>
      <c r="AM1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5-3'!$D$11:$Q319,AM$4,AM$5)"),"")</f>
        <v/>
      </c>
      <c r="AN105" s="529"/>
      <c r="AO1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5-3'!$D$11:$Q319,AO$4,AO$5)"),"")</f>
        <v/>
      </c>
      <c r="AP105" s="527"/>
      <c r="AQ105" s="527"/>
      <c r="AR105" s="527"/>
      <c r="AS105" s="527"/>
      <c r="AT1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5-3'!$D$11:$Q319,AT$4,AT$5)"),"")</f>
        <v/>
      </c>
      <c r="AU105" s="531"/>
      <c r="AV1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5-3'!$D$11:$Q319,AV$4,AV$5)"),"")</f>
        <v/>
      </c>
      <c r="AW105" s="530"/>
      <c r="AX1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5-3'!$D$11:$Q319,AX$4,AX$5)"),"")</f>
        <v/>
      </c>
      <c r="AY105" s="530"/>
      <c r="AZ1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5-3'!$D$11:$Q319,AZ$4,AZ$5)"),"")</f>
        <v/>
      </c>
      <c r="BA105" s="530"/>
      <c r="BB1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5-3'!$D$11:$Q319,BB$4,BB$5)"),"")</f>
        <v/>
      </c>
      <c r="BC105" s="532"/>
      <c r="BD1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5-3'!$D$11:$Q319,BD$4,BD$5)"),"")</f>
        <v/>
      </c>
      <c r="BE105" s="530"/>
      <c r="BF105" s="530"/>
      <c r="BG105" s="530"/>
      <c r="BH105" s="530"/>
      <c r="BI1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5-3'!$D$11:$Q319,BI$4,BI$5)"),"")</f>
        <v/>
      </c>
      <c r="BJ105" s="535"/>
      <c r="BK1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5-3'!$D$11:$Q319,BK$4,BK$5)"),"")</f>
        <v/>
      </c>
      <c r="BL105" s="534"/>
      <c r="BM1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5-3'!$D$11:$Q319,BM$4,BM$5)"),"")</f>
        <v/>
      </c>
      <c r="BN105" s="534"/>
      <c r="BO1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5-3'!$D$11:$Q319,BO$4,BO$5)"),"")</f>
        <v/>
      </c>
      <c r="BP105" s="534"/>
      <c r="BQ1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5-3'!$D$11:$Q319,BQ$4,BQ$5)"),"")</f>
        <v/>
      </c>
      <c r="BR105" s="536"/>
      <c r="BS1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5-3'!$D$11:$Q319,BS$4,BS$5)"),"")</f>
        <v/>
      </c>
      <c r="BT105" s="534"/>
      <c r="BU105" s="534"/>
      <c r="BV105" s="534"/>
      <c r="BW105" s="534"/>
      <c r="BX1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5-3'!$D$11:$Q319,BX$4,BX$5)"),"")</f>
        <v/>
      </c>
      <c r="BY105" s="538"/>
      <c r="BZ1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5-3'!$D$11:$Q319,BZ$4,BZ$5)"),"")</f>
        <v/>
      </c>
      <c r="CA105" s="537"/>
      <c r="CB1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5-3'!$D$11:$Q319,CB$4,CB$5)"),"")</f>
        <v/>
      </c>
      <c r="CC105" s="537"/>
      <c r="CD1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5-3'!$D$11:$Q319,CD$4,CD$5)"),"")</f>
        <v/>
      </c>
      <c r="CE105" s="537"/>
      <c r="CF1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5-3'!$D$11:$Q319,CF$4,CF$5)"),"")</f>
        <v/>
      </c>
      <c r="CG105" s="539"/>
      <c r="CH1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5-3'!$D$11:$Q319,CH$4,CH$5)"),"")</f>
        <v/>
      </c>
      <c r="CI105" s="537"/>
      <c r="CJ105" s="537"/>
      <c r="CK105" s="537"/>
      <c r="CL105" s="537"/>
      <c r="CM1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5-3'!$D$11:$Q319,CM$4,CM$5)"),"")</f>
        <v/>
      </c>
      <c r="CN105" s="541"/>
      <c r="CO1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5-3'!$D$11:$Q319,CO$4,CO$5)"),"")</f>
        <v/>
      </c>
      <c r="CP105" s="540"/>
      <c r="CQ1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5-3'!$D$11:$Q319,CQ$4,CQ$5)"),"")</f>
        <v/>
      </c>
      <c r="CR105" s="540"/>
      <c r="CS1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5-3'!$D$11:$Q319,CS$4,CS$5)"),"")</f>
        <v/>
      </c>
      <c r="CT105" s="540"/>
      <c r="CU1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5-3'!$D$11:$Q319,CU$4,CU$5)"),"")</f>
        <v/>
      </c>
      <c r="CV105" s="545"/>
      <c r="CW1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5-3'!$D$11:$Q319,CW$4,CW$5)"),"")</f>
        <v/>
      </c>
      <c r="CX105" s="540"/>
      <c r="CY105" s="540"/>
      <c r="CZ105" s="540"/>
      <c r="DA105" s="540"/>
      <c r="DB1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5-3'!$D$11:$Q319,DB$4,DB$5)"),"")</f>
        <v/>
      </c>
      <c r="DC105" s="555"/>
      <c r="DD1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5-3'!$D$11:$Q319,DD$4,DD$5)"),"")</f>
        <v/>
      </c>
      <c r="DE105" s="554"/>
      <c r="DF1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5-3'!$D$11:$Q319,DF$4,DF$5)"),"")</f>
        <v/>
      </c>
      <c r="DG105" s="554"/>
      <c r="DH1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5-3'!$D$11:$Q319,DH$4,DH$5)"),"")</f>
        <v/>
      </c>
      <c r="DI105" s="554"/>
      <c r="DJ1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5-3'!$D$11:$Q319,DJ$4,DJ$5)"),"")</f>
        <v/>
      </c>
      <c r="DK105" s="566"/>
      <c r="DL1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5-3'!$D$11:$Q319,DL$4,DL$5)"),"")</f>
        <v/>
      </c>
      <c r="DM105" s="554"/>
      <c r="DN105" s="554"/>
      <c r="DO105" s="554"/>
      <c r="DP105" s="554"/>
      <c r="DQ1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5-3'!$D$11:$Q319,DQ$4,DQ$5)"),"")</f>
        <v/>
      </c>
      <c r="DR105" s="569"/>
      <c r="DS1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5-3'!$D$11:$Q319,DS$4,DS$5)"),"")</f>
        <v/>
      </c>
      <c r="DT105" s="568"/>
      <c r="DU1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5-3'!$D$11:$Q319,DU$4,DU$5)"),"")</f>
        <v/>
      </c>
      <c r="DV105" s="568"/>
      <c r="DW1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5-3'!$D$11:$Q319,DW$4,DW$5)"),"")</f>
        <v/>
      </c>
      <c r="DX105" s="568"/>
      <c r="DY1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5-3'!$D$11:$Q319,DY$4,DY$5)"),"")</f>
        <v/>
      </c>
      <c r="DZ105" s="578"/>
      <c r="EA1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$C105, 'S-10 Топ 5-3'!$D$11:$Q319,EA$4,EA$5)"),"")</f>
        <v/>
      </c>
      <c r="EB105" s="568"/>
      <c r="EC105" s="568"/>
      <c r="ED105" s="568"/>
      <c r="EE105" s="568"/>
    </row>
    <row r="106">
      <c r="A106" s="519" t="str">
        <f t="shared" si="1"/>
        <v/>
      </c>
      <c r="B106" s="520" t="str">
        <f>'5-0 Товары'!B106</f>
        <v/>
      </c>
      <c r="C106" s="521" t="str">
        <f>'5-1 Сбор КП Закупки'!C106</f>
        <v/>
      </c>
      <c r="D106" s="521" t="str">
        <f>'5-1 Сбор КП Закупки'!D106</f>
        <v/>
      </c>
      <c r="E106" s="521" t="str">
        <f>'5-1 Сбор КП Закупки'!E106</f>
        <v/>
      </c>
      <c r="F106" s="521" t="str">
        <f>'5-1 Сбор КП Закупки'!F106</f>
        <v/>
      </c>
      <c r="G106" s="522" t="str">
        <f>'5-1 Сбор КП Закупки'!G106</f>
        <v/>
      </c>
      <c r="H106" s="522" t="str">
        <f>'5-1 Сбор КП Закупки'!H106</f>
        <v/>
      </c>
      <c r="I106" s="522" t="str">
        <f>'5-1 Сбор КП Закупки'!I106</f>
        <v/>
      </c>
      <c r="J106" s="197"/>
      <c r="K106" s="522" t="str">
        <f>'5-1 Сбор КП Закупки'!G106</f>
        <v/>
      </c>
      <c r="L106" s="523" t="str">
        <f>IF(A106="Да",'5-1 Сбор КП Закупки'!K106,)</f>
        <v/>
      </c>
      <c r="M106" s="197"/>
      <c r="N106" s="197"/>
      <c r="O106" s="197"/>
      <c r="P106" s="525" t="str">
        <f>'5-1 Сбор КП Закупки'!P106</f>
        <v/>
      </c>
      <c r="Q106" s="197"/>
      <c r="R106" s="197"/>
      <c r="S106" s="197"/>
      <c r="T106" s="197"/>
      <c r="U106" s="197"/>
      <c r="V106" s="197"/>
      <c r="W106" s="522" t="str">
        <f>'5-1 Сбор КП Закупки'!O106</f>
        <v/>
      </c>
      <c r="X106" s="197"/>
      <c r="Y106" s="197"/>
      <c r="Z106" s="197"/>
      <c r="AA106" s="197"/>
      <c r="AB106" s="197">
        <v>0.0</v>
      </c>
      <c r="AC106" s="197"/>
      <c r="AD106" s="197"/>
      <c r="AE1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5-3'!$D$11:$Q319,AE$4,AE$5)"),"")</f>
        <v/>
      </c>
      <c r="AF106" s="528"/>
      <c r="AG1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5-3'!$D$11:$Q319,AG$4,AG$5)"),"")</f>
        <v/>
      </c>
      <c r="AH106" s="527"/>
      <c r="AI1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5-3'!$D$11:$Q319,AI$4,AI$5)"),"")</f>
        <v/>
      </c>
      <c r="AJ106" s="527"/>
      <c r="AK1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5-3'!$D$11:$Q319,AK$4,AK$5)"),"")</f>
        <v/>
      </c>
      <c r="AL106" s="527"/>
      <c r="AM1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5-3'!$D$11:$Q319,AM$4,AM$5)"),"")</f>
        <v/>
      </c>
      <c r="AN106" s="529"/>
      <c r="AO1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5-3'!$D$11:$Q319,AO$4,AO$5)"),"")</f>
        <v/>
      </c>
      <c r="AP106" s="527"/>
      <c r="AQ106" s="527"/>
      <c r="AR106" s="527"/>
      <c r="AS106" s="527"/>
      <c r="AT1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5-3'!$D$11:$Q319,AT$4,AT$5)"),"")</f>
        <v/>
      </c>
      <c r="AU106" s="531"/>
      <c r="AV1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5-3'!$D$11:$Q319,AV$4,AV$5)"),"")</f>
        <v/>
      </c>
      <c r="AW106" s="530"/>
      <c r="AX1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5-3'!$D$11:$Q319,AX$4,AX$5)"),"")</f>
        <v/>
      </c>
      <c r="AY106" s="530"/>
      <c r="AZ1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5-3'!$D$11:$Q319,AZ$4,AZ$5)"),"")</f>
        <v/>
      </c>
      <c r="BA106" s="530"/>
      <c r="BB1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5-3'!$D$11:$Q319,BB$4,BB$5)"),"")</f>
        <v/>
      </c>
      <c r="BC106" s="532"/>
      <c r="BD1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5-3'!$D$11:$Q319,BD$4,BD$5)"),"")</f>
        <v/>
      </c>
      <c r="BE106" s="530"/>
      <c r="BF106" s="530"/>
      <c r="BG106" s="530"/>
      <c r="BH106" s="530"/>
      <c r="BI1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5-3'!$D$11:$Q319,BI$4,BI$5)"),"")</f>
        <v/>
      </c>
      <c r="BJ106" s="535"/>
      <c r="BK1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5-3'!$D$11:$Q319,BK$4,BK$5)"),"")</f>
        <v/>
      </c>
      <c r="BL106" s="534"/>
      <c r="BM1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5-3'!$D$11:$Q319,BM$4,BM$5)"),"")</f>
        <v/>
      </c>
      <c r="BN106" s="534"/>
      <c r="BO1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5-3'!$D$11:$Q319,BO$4,BO$5)"),"")</f>
        <v/>
      </c>
      <c r="BP106" s="534"/>
      <c r="BQ1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5-3'!$D$11:$Q319,BQ$4,BQ$5)"),"")</f>
        <v/>
      </c>
      <c r="BR106" s="536"/>
      <c r="BS1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5-3'!$D$11:$Q319,BS$4,BS$5)"),"")</f>
        <v/>
      </c>
      <c r="BT106" s="534"/>
      <c r="BU106" s="534"/>
      <c r="BV106" s="534"/>
      <c r="BW106" s="534"/>
      <c r="BX1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5-3'!$D$11:$Q319,BX$4,BX$5)"),"")</f>
        <v/>
      </c>
      <c r="BY106" s="538"/>
      <c r="BZ1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5-3'!$D$11:$Q319,BZ$4,BZ$5)"),"")</f>
        <v/>
      </c>
      <c r="CA106" s="537"/>
      <c r="CB1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5-3'!$D$11:$Q319,CB$4,CB$5)"),"")</f>
        <v/>
      </c>
      <c r="CC106" s="537"/>
      <c r="CD1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5-3'!$D$11:$Q319,CD$4,CD$5)"),"")</f>
        <v/>
      </c>
      <c r="CE106" s="537"/>
      <c r="CF1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5-3'!$D$11:$Q319,CF$4,CF$5)"),"")</f>
        <v/>
      </c>
      <c r="CG106" s="539"/>
      <c r="CH1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5-3'!$D$11:$Q319,CH$4,CH$5)"),"")</f>
        <v/>
      </c>
      <c r="CI106" s="537"/>
      <c r="CJ106" s="537"/>
      <c r="CK106" s="537"/>
      <c r="CL106" s="537"/>
      <c r="CM1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5-3'!$D$11:$Q319,CM$4,CM$5)"),"")</f>
        <v/>
      </c>
      <c r="CN106" s="541"/>
      <c r="CO1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5-3'!$D$11:$Q319,CO$4,CO$5)"),"")</f>
        <v/>
      </c>
      <c r="CP106" s="540"/>
      <c r="CQ1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5-3'!$D$11:$Q319,CQ$4,CQ$5)"),"")</f>
        <v/>
      </c>
      <c r="CR106" s="540"/>
      <c r="CS1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5-3'!$D$11:$Q319,CS$4,CS$5)"),"")</f>
        <v/>
      </c>
      <c r="CT106" s="540"/>
      <c r="CU1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5-3'!$D$11:$Q319,CU$4,CU$5)"),"")</f>
        <v/>
      </c>
      <c r="CV106" s="545"/>
      <c r="CW1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5-3'!$D$11:$Q319,CW$4,CW$5)"),"")</f>
        <v/>
      </c>
      <c r="CX106" s="540"/>
      <c r="CY106" s="540"/>
      <c r="CZ106" s="540"/>
      <c r="DA106" s="540"/>
      <c r="DB1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5-3'!$D$11:$Q319,DB$4,DB$5)"),"")</f>
        <v/>
      </c>
      <c r="DC106" s="555"/>
      <c r="DD1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5-3'!$D$11:$Q319,DD$4,DD$5)"),"")</f>
        <v/>
      </c>
      <c r="DE106" s="554"/>
      <c r="DF1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5-3'!$D$11:$Q319,DF$4,DF$5)"),"")</f>
        <v/>
      </c>
      <c r="DG106" s="554"/>
      <c r="DH1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5-3'!$D$11:$Q319,DH$4,DH$5)"),"")</f>
        <v/>
      </c>
      <c r="DI106" s="554"/>
      <c r="DJ1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5-3'!$D$11:$Q319,DJ$4,DJ$5)"),"")</f>
        <v/>
      </c>
      <c r="DK106" s="566"/>
      <c r="DL1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5-3'!$D$11:$Q319,DL$4,DL$5)"),"")</f>
        <v/>
      </c>
      <c r="DM106" s="554"/>
      <c r="DN106" s="554"/>
      <c r="DO106" s="554"/>
      <c r="DP106" s="554"/>
      <c r="DQ1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5-3'!$D$11:$Q319,DQ$4,DQ$5)"),"")</f>
        <v/>
      </c>
      <c r="DR106" s="569"/>
      <c r="DS1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5-3'!$D$11:$Q319,DS$4,DS$5)"),"")</f>
        <v/>
      </c>
      <c r="DT106" s="568"/>
      <c r="DU1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5-3'!$D$11:$Q319,DU$4,DU$5)"),"")</f>
        <v/>
      </c>
      <c r="DV106" s="568"/>
      <c r="DW1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5-3'!$D$11:$Q319,DW$4,DW$5)"),"")</f>
        <v/>
      </c>
      <c r="DX106" s="568"/>
      <c r="DY1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5-3'!$D$11:$Q319,DY$4,DY$5)"),"")</f>
        <v/>
      </c>
      <c r="DZ106" s="578"/>
      <c r="EA1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$C106, 'S-10 Топ 5-3'!$D$11:$Q319,EA$4,EA$5)"),"")</f>
        <v/>
      </c>
      <c r="EB106" s="568"/>
      <c r="EC106" s="568"/>
      <c r="ED106" s="568"/>
      <c r="EE106" s="568"/>
    </row>
    <row r="107">
      <c r="A107" s="519" t="str">
        <f t="shared" si="1"/>
        <v/>
      </c>
      <c r="B107" s="520" t="str">
        <f>'5-0 Товары'!B107</f>
        <v/>
      </c>
      <c r="C107" s="521" t="str">
        <f>'5-1 Сбор КП Закупки'!C107</f>
        <v/>
      </c>
      <c r="D107" s="521" t="str">
        <f>'5-1 Сбор КП Закупки'!D107</f>
        <v/>
      </c>
      <c r="E107" s="521" t="str">
        <f>'5-1 Сбор КП Закупки'!E107</f>
        <v/>
      </c>
      <c r="F107" s="521" t="str">
        <f>'5-1 Сбор КП Закупки'!F107</f>
        <v/>
      </c>
      <c r="G107" s="522" t="str">
        <f>'5-1 Сбор КП Закупки'!G107</f>
        <v/>
      </c>
      <c r="H107" s="522" t="str">
        <f>'5-1 Сбор КП Закупки'!H107</f>
        <v/>
      </c>
      <c r="I107" s="522" t="str">
        <f>'5-1 Сбор КП Закупки'!I107</f>
        <v/>
      </c>
      <c r="J107" s="197"/>
      <c r="K107" s="522" t="str">
        <f>'5-1 Сбор КП Закупки'!G107</f>
        <v/>
      </c>
      <c r="L107" s="523" t="str">
        <f>IF(A107="Да",'5-1 Сбор КП Закупки'!K107,)</f>
        <v/>
      </c>
      <c r="M107" s="197"/>
      <c r="N107" s="197"/>
      <c r="O107" s="197"/>
      <c r="P107" s="525" t="str">
        <f>'5-1 Сбор КП Закупки'!P107</f>
        <v/>
      </c>
      <c r="Q107" s="197"/>
      <c r="R107" s="197"/>
      <c r="S107" s="197"/>
      <c r="T107" s="197"/>
      <c r="U107" s="197"/>
      <c r="V107" s="197"/>
      <c r="W107" s="522" t="str">
        <f>'5-1 Сбор КП Закупки'!O107</f>
        <v/>
      </c>
      <c r="X107" s="197"/>
      <c r="Y107" s="197"/>
      <c r="Z107" s="197"/>
      <c r="AA107" s="197"/>
      <c r="AB107" s="197">
        <v>0.0</v>
      </c>
      <c r="AC107" s="197"/>
      <c r="AD107" s="197"/>
      <c r="AE1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5-3'!$D$11:$Q319,AE$4,AE$5)"),"")</f>
        <v/>
      </c>
      <c r="AF107" s="528"/>
      <c r="AG1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5-3'!$D$11:$Q319,AG$4,AG$5)"),"")</f>
        <v/>
      </c>
      <c r="AH107" s="527"/>
      <c r="AI1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5-3'!$D$11:$Q319,AI$4,AI$5)"),"")</f>
        <v/>
      </c>
      <c r="AJ107" s="527"/>
      <c r="AK1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5-3'!$D$11:$Q319,AK$4,AK$5)"),"")</f>
        <v/>
      </c>
      <c r="AL107" s="527"/>
      <c r="AM1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5-3'!$D$11:$Q319,AM$4,AM$5)"),"")</f>
        <v/>
      </c>
      <c r="AN107" s="529"/>
      <c r="AO1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5-3'!$D$11:$Q319,AO$4,AO$5)"),"")</f>
        <v/>
      </c>
      <c r="AP107" s="527"/>
      <c r="AQ107" s="527"/>
      <c r="AR107" s="527"/>
      <c r="AS107" s="527"/>
      <c r="AT1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5-3'!$D$11:$Q319,AT$4,AT$5)"),"")</f>
        <v/>
      </c>
      <c r="AU107" s="531"/>
      <c r="AV1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5-3'!$D$11:$Q319,AV$4,AV$5)"),"")</f>
        <v/>
      </c>
      <c r="AW107" s="530"/>
      <c r="AX1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5-3'!$D$11:$Q319,AX$4,AX$5)"),"")</f>
        <v/>
      </c>
      <c r="AY107" s="530"/>
      <c r="AZ1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5-3'!$D$11:$Q319,AZ$4,AZ$5)"),"")</f>
        <v/>
      </c>
      <c r="BA107" s="530"/>
      <c r="BB1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5-3'!$D$11:$Q319,BB$4,BB$5)"),"")</f>
        <v/>
      </c>
      <c r="BC107" s="532"/>
      <c r="BD1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5-3'!$D$11:$Q319,BD$4,BD$5)"),"")</f>
        <v/>
      </c>
      <c r="BE107" s="530"/>
      <c r="BF107" s="530"/>
      <c r="BG107" s="530"/>
      <c r="BH107" s="530"/>
      <c r="BI1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5-3'!$D$11:$Q319,BI$4,BI$5)"),"")</f>
        <v/>
      </c>
      <c r="BJ107" s="535"/>
      <c r="BK1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5-3'!$D$11:$Q319,BK$4,BK$5)"),"")</f>
        <v/>
      </c>
      <c r="BL107" s="534"/>
      <c r="BM1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5-3'!$D$11:$Q319,BM$4,BM$5)"),"")</f>
        <v/>
      </c>
      <c r="BN107" s="534"/>
      <c r="BO1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5-3'!$D$11:$Q319,BO$4,BO$5)"),"")</f>
        <v/>
      </c>
      <c r="BP107" s="534"/>
      <c r="BQ1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5-3'!$D$11:$Q319,BQ$4,BQ$5)"),"")</f>
        <v/>
      </c>
      <c r="BR107" s="536"/>
      <c r="BS1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5-3'!$D$11:$Q319,BS$4,BS$5)"),"")</f>
        <v/>
      </c>
      <c r="BT107" s="534"/>
      <c r="BU107" s="534"/>
      <c r="BV107" s="534"/>
      <c r="BW107" s="534"/>
      <c r="BX1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5-3'!$D$11:$Q319,BX$4,BX$5)"),"")</f>
        <v/>
      </c>
      <c r="BY107" s="538"/>
      <c r="BZ1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5-3'!$D$11:$Q319,BZ$4,BZ$5)"),"")</f>
        <v/>
      </c>
      <c r="CA107" s="537"/>
      <c r="CB1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5-3'!$D$11:$Q319,CB$4,CB$5)"),"")</f>
        <v/>
      </c>
      <c r="CC107" s="537"/>
      <c r="CD1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5-3'!$D$11:$Q319,CD$4,CD$5)"),"")</f>
        <v/>
      </c>
      <c r="CE107" s="537"/>
      <c r="CF1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5-3'!$D$11:$Q319,CF$4,CF$5)"),"")</f>
        <v/>
      </c>
      <c r="CG107" s="539"/>
      <c r="CH1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5-3'!$D$11:$Q319,CH$4,CH$5)"),"")</f>
        <v/>
      </c>
      <c r="CI107" s="537"/>
      <c r="CJ107" s="537"/>
      <c r="CK107" s="537"/>
      <c r="CL107" s="537"/>
      <c r="CM1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5-3'!$D$11:$Q319,CM$4,CM$5)"),"")</f>
        <v/>
      </c>
      <c r="CN107" s="541"/>
      <c r="CO1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5-3'!$D$11:$Q319,CO$4,CO$5)"),"")</f>
        <v/>
      </c>
      <c r="CP107" s="540"/>
      <c r="CQ1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5-3'!$D$11:$Q319,CQ$4,CQ$5)"),"")</f>
        <v/>
      </c>
      <c r="CR107" s="540"/>
      <c r="CS1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5-3'!$D$11:$Q319,CS$4,CS$5)"),"")</f>
        <v/>
      </c>
      <c r="CT107" s="540"/>
      <c r="CU1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5-3'!$D$11:$Q319,CU$4,CU$5)"),"")</f>
        <v/>
      </c>
      <c r="CV107" s="545"/>
      <c r="CW1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5-3'!$D$11:$Q319,CW$4,CW$5)"),"")</f>
        <v/>
      </c>
      <c r="CX107" s="540"/>
      <c r="CY107" s="540"/>
      <c r="CZ107" s="540"/>
      <c r="DA107" s="540"/>
      <c r="DB1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5-3'!$D$11:$Q319,DB$4,DB$5)"),"")</f>
        <v/>
      </c>
      <c r="DC107" s="555"/>
      <c r="DD1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5-3'!$D$11:$Q319,DD$4,DD$5)"),"")</f>
        <v/>
      </c>
      <c r="DE107" s="554"/>
      <c r="DF1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5-3'!$D$11:$Q319,DF$4,DF$5)"),"")</f>
        <v/>
      </c>
      <c r="DG107" s="554"/>
      <c r="DH1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5-3'!$D$11:$Q319,DH$4,DH$5)"),"")</f>
        <v/>
      </c>
      <c r="DI107" s="554"/>
      <c r="DJ1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5-3'!$D$11:$Q319,DJ$4,DJ$5)"),"")</f>
        <v/>
      </c>
      <c r="DK107" s="566"/>
      <c r="DL1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5-3'!$D$11:$Q319,DL$4,DL$5)"),"")</f>
        <v/>
      </c>
      <c r="DM107" s="554"/>
      <c r="DN107" s="554"/>
      <c r="DO107" s="554"/>
      <c r="DP107" s="554"/>
      <c r="DQ1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5-3'!$D$11:$Q319,DQ$4,DQ$5)"),"")</f>
        <v/>
      </c>
      <c r="DR107" s="569"/>
      <c r="DS1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5-3'!$D$11:$Q319,DS$4,DS$5)"),"")</f>
        <v/>
      </c>
      <c r="DT107" s="568"/>
      <c r="DU1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5-3'!$D$11:$Q319,DU$4,DU$5)"),"")</f>
        <v/>
      </c>
      <c r="DV107" s="568"/>
      <c r="DW1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5-3'!$D$11:$Q319,DW$4,DW$5)"),"")</f>
        <v/>
      </c>
      <c r="DX107" s="568"/>
      <c r="DY1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5-3'!$D$11:$Q319,DY$4,DY$5)"),"")</f>
        <v/>
      </c>
      <c r="DZ107" s="578"/>
      <c r="EA1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$C107, 'S-10 Топ 5-3'!$D$11:$Q319,EA$4,EA$5)"),"")</f>
        <v/>
      </c>
      <c r="EB107" s="568"/>
      <c r="EC107" s="568"/>
      <c r="ED107" s="568"/>
      <c r="EE107" s="568"/>
    </row>
    <row r="108">
      <c r="A108" s="519" t="str">
        <f t="shared" si="1"/>
        <v/>
      </c>
      <c r="B108" s="520" t="str">
        <f>'5-0 Товары'!B108</f>
        <v/>
      </c>
      <c r="C108" s="521" t="str">
        <f>'5-1 Сбор КП Закупки'!C108</f>
        <v/>
      </c>
      <c r="D108" s="521" t="str">
        <f>'5-1 Сбор КП Закупки'!D108</f>
        <v/>
      </c>
      <c r="E108" s="521" t="str">
        <f>'5-1 Сбор КП Закупки'!E108</f>
        <v/>
      </c>
      <c r="F108" s="521" t="str">
        <f>'5-1 Сбор КП Закупки'!F108</f>
        <v/>
      </c>
      <c r="G108" s="522" t="str">
        <f>'5-1 Сбор КП Закупки'!G108</f>
        <v/>
      </c>
      <c r="H108" s="522" t="str">
        <f>'5-1 Сбор КП Закупки'!H108</f>
        <v/>
      </c>
      <c r="I108" s="522" t="str">
        <f>'5-1 Сбор КП Закупки'!I108</f>
        <v/>
      </c>
      <c r="J108" s="197"/>
      <c r="K108" s="522" t="str">
        <f>'5-1 Сбор КП Закупки'!G108</f>
        <v/>
      </c>
      <c r="L108" s="523" t="str">
        <f>IF(A108="Да",'5-1 Сбор КП Закупки'!K108,)</f>
        <v/>
      </c>
      <c r="M108" s="197"/>
      <c r="N108" s="197"/>
      <c r="O108" s="197"/>
      <c r="P108" s="525" t="str">
        <f>'5-1 Сбор КП Закупки'!P108</f>
        <v/>
      </c>
      <c r="Q108" s="197"/>
      <c r="R108" s="197"/>
      <c r="S108" s="197"/>
      <c r="T108" s="197"/>
      <c r="U108" s="197"/>
      <c r="V108" s="197"/>
      <c r="W108" s="522" t="str">
        <f>'5-1 Сбор КП Закупки'!O108</f>
        <v/>
      </c>
      <c r="X108" s="197"/>
      <c r="Y108" s="197"/>
      <c r="Z108" s="197"/>
      <c r="AA108" s="197"/>
      <c r="AB108" s="197">
        <v>0.0</v>
      </c>
      <c r="AC108" s="197"/>
      <c r="AD108" s="197"/>
      <c r="AE1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5-3'!$D$11:$Q319,AE$4,AE$5)"),"")</f>
        <v/>
      </c>
      <c r="AF108" s="528"/>
      <c r="AG1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5-3'!$D$11:$Q319,AG$4,AG$5)"),"")</f>
        <v/>
      </c>
      <c r="AH108" s="527"/>
      <c r="AI1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5-3'!$D$11:$Q319,AI$4,AI$5)"),"")</f>
        <v/>
      </c>
      <c r="AJ108" s="527"/>
      <c r="AK1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5-3'!$D$11:$Q319,AK$4,AK$5)"),"")</f>
        <v/>
      </c>
      <c r="AL108" s="527"/>
      <c r="AM1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5-3'!$D$11:$Q319,AM$4,AM$5)"),"")</f>
        <v/>
      </c>
      <c r="AN108" s="529"/>
      <c r="AO1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5-3'!$D$11:$Q319,AO$4,AO$5)"),"")</f>
        <v/>
      </c>
      <c r="AP108" s="527"/>
      <c r="AQ108" s="527"/>
      <c r="AR108" s="527"/>
      <c r="AS108" s="527"/>
      <c r="AT1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5-3'!$D$11:$Q319,AT$4,AT$5)"),"")</f>
        <v/>
      </c>
      <c r="AU108" s="531"/>
      <c r="AV1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5-3'!$D$11:$Q319,AV$4,AV$5)"),"")</f>
        <v/>
      </c>
      <c r="AW108" s="530"/>
      <c r="AX1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5-3'!$D$11:$Q319,AX$4,AX$5)"),"")</f>
        <v/>
      </c>
      <c r="AY108" s="530"/>
      <c r="AZ1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5-3'!$D$11:$Q319,AZ$4,AZ$5)"),"")</f>
        <v/>
      </c>
      <c r="BA108" s="530"/>
      <c r="BB1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5-3'!$D$11:$Q319,BB$4,BB$5)"),"")</f>
        <v/>
      </c>
      <c r="BC108" s="532"/>
      <c r="BD1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5-3'!$D$11:$Q319,BD$4,BD$5)"),"")</f>
        <v/>
      </c>
      <c r="BE108" s="530"/>
      <c r="BF108" s="530"/>
      <c r="BG108" s="530"/>
      <c r="BH108" s="530"/>
      <c r="BI1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5-3'!$D$11:$Q319,BI$4,BI$5)"),"")</f>
        <v/>
      </c>
      <c r="BJ108" s="535"/>
      <c r="BK1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5-3'!$D$11:$Q319,BK$4,BK$5)"),"")</f>
        <v/>
      </c>
      <c r="BL108" s="534"/>
      <c r="BM1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5-3'!$D$11:$Q319,BM$4,BM$5)"),"")</f>
        <v/>
      </c>
      <c r="BN108" s="534"/>
      <c r="BO1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5-3'!$D$11:$Q319,BO$4,BO$5)"),"")</f>
        <v/>
      </c>
      <c r="BP108" s="534"/>
      <c r="BQ1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5-3'!$D$11:$Q319,BQ$4,BQ$5)"),"")</f>
        <v/>
      </c>
      <c r="BR108" s="536"/>
      <c r="BS1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5-3'!$D$11:$Q319,BS$4,BS$5)"),"")</f>
        <v/>
      </c>
      <c r="BT108" s="534"/>
      <c r="BU108" s="534"/>
      <c r="BV108" s="534"/>
      <c r="BW108" s="534"/>
      <c r="BX1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5-3'!$D$11:$Q319,BX$4,BX$5)"),"")</f>
        <v/>
      </c>
      <c r="BY108" s="538"/>
      <c r="BZ1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5-3'!$D$11:$Q319,BZ$4,BZ$5)"),"")</f>
        <v/>
      </c>
      <c r="CA108" s="537"/>
      <c r="CB1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5-3'!$D$11:$Q319,CB$4,CB$5)"),"")</f>
        <v/>
      </c>
      <c r="CC108" s="537"/>
      <c r="CD1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5-3'!$D$11:$Q319,CD$4,CD$5)"),"")</f>
        <v/>
      </c>
      <c r="CE108" s="537"/>
      <c r="CF1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5-3'!$D$11:$Q319,CF$4,CF$5)"),"")</f>
        <v/>
      </c>
      <c r="CG108" s="539"/>
      <c r="CH1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5-3'!$D$11:$Q319,CH$4,CH$5)"),"")</f>
        <v/>
      </c>
      <c r="CI108" s="537"/>
      <c r="CJ108" s="537"/>
      <c r="CK108" s="537"/>
      <c r="CL108" s="537"/>
      <c r="CM1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5-3'!$D$11:$Q319,CM$4,CM$5)"),"")</f>
        <v/>
      </c>
      <c r="CN108" s="541"/>
      <c r="CO1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5-3'!$D$11:$Q319,CO$4,CO$5)"),"")</f>
        <v/>
      </c>
      <c r="CP108" s="540"/>
      <c r="CQ1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5-3'!$D$11:$Q319,CQ$4,CQ$5)"),"")</f>
        <v/>
      </c>
      <c r="CR108" s="540"/>
      <c r="CS1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5-3'!$D$11:$Q319,CS$4,CS$5)"),"")</f>
        <v/>
      </c>
      <c r="CT108" s="540"/>
      <c r="CU1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5-3'!$D$11:$Q319,CU$4,CU$5)"),"")</f>
        <v/>
      </c>
      <c r="CV108" s="545"/>
      <c r="CW1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5-3'!$D$11:$Q319,CW$4,CW$5)"),"")</f>
        <v/>
      </c>
      <c r="CX108" s="540"/>
      <c r="CY108" s="540"/>
      <c r="CZ108" s="540"/>
      <c r="DA108" s="540"/>
      <c r="DB1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5-3'!$D$11:$Q319,DB$4,DB$5)"),"")</f>
        <v/>
      </c>
      <c r="DC108" s="555"/>
      <c r="DD1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5-3'!$D$11:$Q319,DD$4,DD$5)"),"")</f>
        <v/>
      </c>
      <c r="DE108" s="554"/>
      <c r="DF1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5-3'!$D$11:$Q319,DF$4,DF$5)"),"")</f>
        <v/>
      </c>
      <c r="DG108" s="554"/>
      <c r="DH1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5-3'!$D$11:$Q319,DH$4,DH$5)"),"")</f>
        <v/>
      </c>
      <c r="DI108" s="554"/>
      <c r="DJ1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5-3'!$D$11:$Q319,DJ$4,DJ$5)"),"")</f>
        <v/>
      </c>
      <c r="DK108" s="566"/>
      <c r="DL1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5-3'!$D$11:$Q319,DL$4,DL$5)"),"")</f>
        <v/>
      </c>
      <c r="DM108" s="554"/>
      <c r="DN108" s="554"/>
      <c r="DO108" s="554"/>
      <c r="DP108" s="554"/>
      <c r="DQ1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5-3'!$D$11:$Q319,DQ$4,DQ$5)"),"")</f>
        <v/>
      </c>
      <c r="DR108" s="569"/>
      <c r="DS1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5-3'!$D$11:$Q319,DS$4,DS$5)"),"")</f>
        <v/>
      </c>
      <c r="DT108" s="568"/>
      <c r="DU1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5-3'!$D$11:$Q319,DU$4,DU$5)"),"")</f>
        <v/>
      </c>
      <c r="DV108" s="568"/>
      <c r="DW1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5-3'!$D$11:$Q319,DW$4,DW$5)"),"")</f>
        <v/>
      </c>
      <c r="DX108" s="568"/>
      <c r="DY1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5-3'!$D$11:$Q319,DY$4,DY$5)"),"")</f>
        <v/>
      </c>
      <c r="DZ108" s="578"/>
      <c r="EA1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$C108, 'S-10 Топ 5-3'!$D$11:$Q319,EA$4,EA$5)"),"")</f>
        <v/>
      </c>
      <c r="EB108" s="568"/>
      <c r="EC108" s="568"/>
      <c r="ED108" s="568"/>
      <c r="EE108" s="568"/>
    </row>
    <row r="109">
      <c r="A109" s="519" t="str">
        <f t="shared" si="1"/>
        <v/>
      </c>
      <c r="B109" s="520" t="str">
        <f>'5-0 Товары'!B109</f>
        <v/>
      </c>
      <c r="C109" s="521" t="str">
        <f>'5-1 Сбор КП Закупки'!C109</f>
        <v/>
      </c>
      <c r="D109" s="521" t="str">
        <f>'5-1 Сбор КП Закупки'!D109</f>
        <v/>
      </c>
      <c r="E109" s="521" t="str">
        <f>'5-1 Сбор КП Закупки'!E109</f>
        <v/>
      </c>
      <c r="F109" s="521" t="str">
        <f>'5-1 Сбор КП Закупки'!F109</f>
        <v/>
      </c>
      <c r="G109" s="522" t="str">
        <f>'5-1 Сбор КП Закупки'!G109</f>
        <v/>
      </c>
      <c r="H109" s="522" t="str">
        <f>'5-1 Сбор КП Закупки'!H109</f>
        <v/>
      </c>
      <c r="I109" s="522" t="str">
        <f>'5-1 Сбор КП Закупки'!I109</f>
        <v/>
      </c>
      <c r="J109" s="197"/>
      <c r="K109" s="522" t="str">
        <f>'5-1 Сбор КП Закупки'!G109</f>
        <v/>
      </c>
      <c r="L109" s="523" t="str">
        <f>IF(A109="Да",'5-1 Сбор КП Закупки'!K109,)</f>
        <v/>
      </c>
      <c r="M109" s="197"/>
      <c r="N109" s="197"/>
      <c r="O109" s="197"/>
      <c r="P109" s="525" t="str">
        <f>'5-1 Сбор КП Закупки'!P109</f>
        <v/>
      </c>
      <c r="Q109" s="197"/>
      <c r="R109" s="197"/>
      <c r="S109" s="197"/>
      <c r="T109" s="197"/>
      <c r="U109" s="197"/>
      <c r="V109" s="197"/>
      <c r="W109" s="522" t="str">
        <f>'5-1 Сбор КП Закупки'!O109</f>
        <v/>
      </c>
      <c r="X109" s="197"/>
      <c r="Y109" s="197"/>
      <c r="Z109" s="197"/>
      <c r="AA109" s="197"/>
      <c r="AB109" s="197">
        <v>0.0</v>
      </c>
      <c r="AC109" s="197"/>
      <c r="AD109" s="197"/>
      <c r="AE1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5-3'!$D$11:$Q319,AE$4,AE$5)"),"")</f>
        <v/>
      </c>
      <c r="AF109" s="528"/>
      <c r="AG1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5-3'!$D$11:$Q319,AG$4,AG$5)"),"")</f>
        <v/>
      </c>
      <c r="AH109" s="527"/>
      <c r="AI1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5-3'!$D$11:$Q319,AI$4,AI$5)"),"")</f>
        <v/>
      </c>
      <c r="AJ109" s="527"/>
      <c r="AK1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5-3'!$D$11:$Q319,AK$4,AK$5)"),"")</f>
        <v/>
      </c>
      <c r="AL109" s="527"/>
      <c r="AM1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5-3'!$D$11:$Q319,AM$4,AM$5)"),"")</f>
        <v/>
      </c>
      <c r="AN109" s="529"/>
      <c r="AO1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5-3'!$D$11:$Q319,AO$4,AO$5)"),"")</f>
        <v/>
      </c>
      <c r="AP109" s="527"/>
      <c r="AQ109" s="527"/>
      <c r="AR109" s="527"/>
      <c r="AS109" s="527"/>
      <c r="AT1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5-3'!$D$11:$Q319,AT$4,AT$5)"),"")</f>
        <v/>
      </c>
      <c r="AU109" s="531"/>
      <c r="AV1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5-3'!$D$11:$Q319,AV$4,AV$5)"),"")</f>
        <v/>
      </c>
      <c r="AW109" s="530"/>
      <c r="AX1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5-3'!$D$11:$Q319,AX$4,AX$5)"),"")</f>
        <v/>
      </c>
      <c r="AY109" s="530"/>
      <c r="AZ1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5-3'!$D$11:$Q319,AZ$4,AZ$5)"),"")</f>
        <v/>
      </c>
      <c r="BA109" s="530"/>
      <c r="BB1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5-3'!$D$11:$Q319,BB$4,BB$5)"),"")</f>
        <v/>
      </c>
      <c r="BC109" s="532"/>
      <c r="BD1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5-3'!$D$11:$Q319,BD$4,BD$5)"),"")</f>
        <v/>
      </c>
      <c r="BE109" s="530"/>
      <c r="BF109" s="530"/>
      <c r="BG109" s="530"/>
      <c r="BH109" s="530"/>
      <c r="BI1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5-3'!$D$11:$Q319,BI$4,BI$5)"),"")</f>
        <v/>
      </c>
      <c r="BJ109" s="535"/>
      <c r="BK1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5-3'!$D$11:$Q319,BK$4,BK$5)"),"")</f>
        <v/>
      </c>
      <c r="BL109" s="534"/>
      <c r="BM1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5-3'!$D$11:$Q319,BM$4,BM$5)"),"")</f>
        <v/>
      </c>
      <c r="BN109" s="534"/>
      <c r="BO1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5-3'!$D$11:$Q319,BO$4,BO$5)"),"")</f>
        <v/>
      </c>
      <c r="BP109" s="534"/>
      <c r="BQ1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5-3'!$D$11:$Q319,BQ$4,BQ$5)"),"")</f>
        <v/>
      </c>
      <c r="BR109" s="536"/>
      <c r="BS1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5-3'!$D$11:$Q319,BS$4,BS$5)"),"")</f>
        <v/>
      </c>
      <c r="BT109" s="534"/>
      <c r="BU109" s="534"/>
      <c r="BV109" s="534"/>
      <c r="BW109" s="534"/>
      <c r="BX1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5-3'!$D$11:$Q319,BX$4,BX$5)"),"")</f>
        <v/>
      </c>
      <c r="BY109" s="538"/>
      <c r="BZ1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5-3'!$D$11:$Q319,BZ$4,BZ$5)"),"")</f>
        <v/>
      </c>
      <c r="CA109" s="537"/>
      <c r="CB1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5-3'!$D$11:$Q319,CB$4,CB$5)"),"")</f>
        <v/>
      </c>
      <c r="CC109" s="537"/>
      <c r="CD1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5-3'!$D$11:$Q319,CD$4,CD$5)"),"")</f>
        <v/>
      </c>
      <c r="CE109" s="537"/>
      <c r="CF1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5-3'!$D$11:$Q319,CF$4,CF$5)"),"")</f>
        <v/>
      </c>
      <c r="CG109" s="539"/>
      <c r="CH1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5-3'!$D$11:$Q319,CH$4,CH$5)"),"")</f>
        <v/>
      </c>
      <c r="CI109" s="537"/>
      <c r="CJ109" s="537"/>
      <c r="CK109" s="537"/>
      <c r="CL109" s="537"/>
      <c r="CM1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5-3'!$D$11:$Q319,CM$4,CM$5)"),"")</f>
        <v/>
      </c>
      <c r="CN109" s="541"/>
      <c r="CO1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5-3'!$D$11:$Q319,CO$4,CO$5)"),"")</f>
        <v/>
      </c>
      <c r="CP109" s="540"/>
      <c r="CQ1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5-3'!$D$11:$Q319,CQ$4,CQ$5)"),"")</f>
        <v/>
      </c>
      <c r="CR109" s="540"/>
      <c r="CS1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5-3'!$D$11:$Q319,CS$4,CS$5)"),"")</f>
        <v/>
      </c>
      <c r="CT109" s="540"/>
      <c r="CU1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5-3'!$D$11:$Q319,CU$4,CU$5)"),"")</f>
        <v/>
      </c>
      <c r="CV109" s="545"/>
      <c r="CW1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5-3'!$D$11:$Q319,CW$4,CW$5)"),"")</f>
        <v/>
      </c>
      <c r="CX109" s="540"/>
      <c r="CY109" s="540"/>
      <c r="CZ109" s="540"/>
      <c r="DA109" s="540"/>
      <c r="DB1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5-3'!$D$11:$Q319,DB$4,DB$5)"),"")</f>
        <v/>
      </c>
      <c r="DC109" s="555"/>
      <c r="DD1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5-3'!$D$11:$Q319,DD$4,DD$5)"),"")</f>
        <v/>
      </c>
      <c r="DE109" s="554"/>
      <c r="DF1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5-3'!$D$11:$Q319,DF$4,DF$5)"),"")</f>
        <v/>
      </c>
      <c r="DG109" s="554"/>
      <c r="DH1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5-3'!$D$11:$Q319,DH$4,DH$5)"),"")</f>
        <v/>
      </c>
      <c r="DI109" s="554"/>
      <c r="DJ1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5-3'!$D$11:$Q319,DJ$4,DJ$5)"),"")</f>
        <v/>
      </c>
      <c r="DK109" s="566"/>
      <c r="DL1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5-3'!$D$11:$Q319,DL$4,DL$5)"),"")</f>
        <v/>
      </c>
      <c r="DM109" s="554"/>
      <c r="DN109" s="554"/>
      <c r="DO109" s="554"/>
      <c r="DP109" s="554"/>
      <c r="DQ1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5-3'!$D$11:$Q319,DQ$4,DQ$5)"),"")</f>
        <v/>
      </c>
      <c r="DR109" s="569"/>
      <c r="DS1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5-3'!$D$11:$Q319,DS$4,DS$5)"),"")</f>
        <v/>
      </c>
      <c r="DT109" s="568"/>
      <c r="DU1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5-3'!$D$11:$Q319,DU$4,DU$5)"),"")</f>
        <v/>
      </c>
      <c r="DV109" s="568"/>
      <c r="DW1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5-3'!$D$11:$Q319,DW$4,DW$5)"),"")</f>
        <v/>
      </c>
      <c r="DX109" s="568"/>
      <c r="DY1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5-3'!$D$11:$Q319,DY$4,DY$5)"),"")</f>
        <v/>
      </c>
      <c r="DZ109" s="578"/>
      <c r="EA1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$C109, 'S-10 Топ 5-3'!$D$11:$Q319,EA$4,EA$5)"),"")</f>
        <v/>
      </c>
      <c r="EB109" s="568"/>
      <c r="EC109" s="568"/>
      <c r="ED109" s="568"/>
      <c r="EE109" s="568"/>
    </row>
    <row r="110">
      <c r="A110" s="519" t="str">
        <f t="shared" si="1"/>
        <v/>
      </c>
      <c r="B110" s="520" t="str">
        <f>'5-0 Товары'!B110</f>
        <v/>
      </c>
      <c r="C110" s="521" t="str">
        <f>'5-1 Сбор КП Закупки'!C110</f>
        <v/>
      </c>
      <c r="D110" s="521" t="str">
        <f>'5-1 Сбор КП Закупки'!D110</f>
        <v/>
      </c>
      <c r="E110" s="521" t="str">
        <f>'5-1 Сбор КП Закупки'!E110</f>
        <v/>
      </c>
      <c r="F110" s="521" t="str">
        <f>'5-1 Сбор КП Закупки'!F110</f>
        <v/>
      </c>
      <c r="G110" s="522" t="str">
        <f>'5-1 Сбор КП Закупки'!G110</f>
        <v/>
      </c>
      <c r="H110" s="522" t="str">
        <f>'5-1 Сбор КП Закупки'!H110</f>
        <v/>
      </c>
      <c r="I110" s="522" t="str">
        <f>'5-1 Сбор КП Закупки'!I110</f>
        <v/>
      </c>
      <c r="J110" s="197"/>
      <c r="K110" s="522" t="str">
        <f>'5-1 Сбор КП Закупки'!G110</f>
        <v/>
      </c>
      <c r="L110" s="523" t="str">
        <f>IF(A110="Да",'5-1 Сбор КП Закупки'!K110,)</f>
        <v/>
      </c>
      <c r="M110" s="197"/>
      <c r="N110" s="197"/>
      <c r="O110" s="197"/>
      <c r="P110" s="525" t="str">
        <f>'5-1 Сбор КП Закупки'!P110</f>
        <v/>
      </c>
      <c r="Q110" s="197"/>
      <c r="R110" s="197"/>
      <c r="S110" s="197"/>
      <c r="T110" s="197"/>
      <c r="U110" s="197"/>
      <c r="V110" s="197"/>
      <c r="W110" s="522" t="str">
        <f>'5-1 Сбор КП Закупки'!O110</f>
        <v/>
      </c>
      <c r="X110" s="197"/>
      <c r="Y110" s="197"/>
      <c r="Z110" s="197"/>
      <c r="AA110" s="197"/>
      <c r="AB110" s="197">
        <v>0.0</v>
      </c>
      <c r="AC110" s="197"/>
      <c r="AD110" s="197"/>
      <c r="AE1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5-3'!$D$11:$Q319,AE$4,AE$5)"),"")</f>
        <v/>
      </c>
      <c r="AF110" s="528"/>
      <c r="AG1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5-3'!$D$11:$Q319,AG$4,AG$5)"),"")</f>
        <v/>
      </c>
      <c r="AH110" s="527"/>
      <c r="AI1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5-3'!$D$11:$Q319,AI$4,AI$5)"),"")</f>
        <v/>
      </c>
      <c r="AJ110" s="527"/>
      <c r="AK1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5-3'!$D$11:$Q319,AK$4,AK$5)"),"")</f>
        <v/>
      </c>
      <c r="AL110" s="527"/>
      <c r="AM1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5-3'!$D$11:$Q319,AM$4,AM$5)"),"")</f>
        <v/>
      </c>
      <c r="AN110" s="529"/>
      <c r="AO1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5-3'!$D$11:$Q319,AO$4,AO$5)"),"")</f>
        <v/>
      </c>
      <c r="AP110" s="527"/>
      <c r="AQ110" s="527"/>
      <c r="AR110" s="527"/>
      <c r="AS110" s="527"/>
      <c r="AT1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5-3'!$D$11:$Q319,AT$4,AT$5)"),"")</f>
        <v/>
      </c>
      <c r="AU110" s="531"/>
      <c r="AV1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5-3'!$D$11:$Q319,AV$4,AV$5)"),"")</f>
        <v/>
      </c>
      <c r="AW110" s="530"/>
      <c r="AX1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5-3'!$D$11:$Q319,AX$4,AX$5)"),"")</f>
        <v/>
      </c>
      <c r="AY110" s="530"/>
      <c r="AZ1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5-3'!$D$11:$Q319,AZ$4,AZ$5)"),"")</f>
        <v/>
      </c>
      <c r="BA110" s="530"/>
      <c r="BB1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5-3'!$D$11:$Q319,BB$4,BB$5)"),"")</f>
        <v/>
      </c>
      <c r="BC110" s="532"/>
      <c r="BD1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5-3'!$D$11:$Q319,BD$4,BD$5)"),"")</f>
        <v/>
      </c>
      <c r="BE110" s="530"/>
      <c r="BF110" s="530"/>
      <c r="BG110" s="530"/>
      <c r="BH110" s="530"/>
      <c r="BI1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5-3'!$D$11:$Q319,BI$4,BI$5)"),"")</f>
        <v/>
      </c>
      <c r="BJ110" s="535"/>
      <c r="BK1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5-3'!$D$11:$Q319,BK$4,BK$5)"),"")</f>
        <v/>
      </c>
      <c r="BL110" s="534"/>
      <c r="BM1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5-3'!$D$11:$Q319,BM$4,BM$5)"),"")</f>
        <v/>
      </c>
      <c r="BN110" s="534"/>
      <c r="BO1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5-3'!$D$11:$Q319,BO$4,BO$5)"),"")</f>
        <v/>
      </c>
      <c r="BP110" s="534"/>
      <c r="BQ1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5-3'!$D$11:$Q319,BQ$4,BQ$5)"),"")</f>
        <v/>
      </c>
      <c r="BR110" s="536"/>
      <c r="BS1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5-3'!$D$11:$Q319,BS$4,BS$5)"),"")</f>
        <v/>
      </c>
      <c r="BT110" s="534"/>
      <c r="BU110" s="534"/>
      <c r="BV110" s="534"/>
      <c r="BW110" s="534"/>
      <c r="BX1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5-3'!$D$11:$Q319,BX$4,BX$5)"),"")</f>
        <v/>
      </c>
      <c r="BY110" s="538"/>
      <c r="BZ1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5-3'!$D$11:$Q319,BZ$4,BZ$5)"),"")</f>
        <v/>
      </c>
      <c r="CA110" s="537"/>
      <c r="CB1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5-3'!$D$11:$Q319,CB$4,CB$5)"),"")</f>
        <v/>
      </c>
      <c r="CC110" s="537"/>
      <c r="CD1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5-3'!$D$11:$Q319,CD$4,CD$5)"),"")</f>
        <v/>
      </c>
      <c r="CE110" s="537"/>
      <c r="CF1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5-3'!$D$11:$Q319,CF$4,CF$5)"),"")</f>
        <v/>
      </c>
      <c r="CG110" s="539"/>
      <c r="CH1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5-3'!$D$11:$Q319,CH$4,CH$5)"),"")</f>
        <v/>
      </c>
      <c r="CI110" s="537"/>
      <c r="CJ110" s="537"/>
      <c r="CK110" s="537"/>
      <c r="CL110" s="537"/>
      <c r="CM1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5-3'!$D$11:$Q319,CM$4,CM$5)"),"")</f>
        <v/>
      </c>
      <c r="CN110" s="541"/>
      <c r="CO1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5-3'!$D$11:$Q319,CO$4,CO$5)"),"")</f>
        <v/>
      </c>
      <c r="CP110" s="540"/>
      <c r="CQ1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5-3'!$D$11:$Q319,CQ$4,CQ$5)"),"")</f>
        <v/>
      </c>
      <c r="CR110" s="540"/>
      <c r="CS1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5-3'!$D$11:$Q319,CS$4,CS$5)"),"")</f>
        <v/>
      </c>
      <c r="CT110" s="540"/>
      <c r="CU1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5-3'!$D$11:$Q319,CU$4,CU$5)"),"")</f>
        <v/>
      </c>
      <c r="CV110" s="545"/>
      <c r="CW1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5-3'!$D$11:$Q319,CW$4,CW$5)"),"")</f>
        <v/>
      </c>
      <c r="CX110" s="540"/>
      <c r="CY110" s="540"/>
      <c r="CZ110" s="540"/>
      <c r="DA110" s="540"/>
      <c r="DB1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5-3'!$D$11:$Q319,DB$4,DB$5)"),"")</f>
        <v/>
      </c>
      <c r="DC110" s="555"/>
      <c r="DD1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5-3'!$D$11:$Q319,DD$4,DD$5)"),"")</f>
        <v/>
      </c>
      <c r="DE110" s="554"/>
      <c r="DF1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5-3'!$D$11:$Q319,DF$4,DF$5)"),"")</f>
        <v/>
      </c>
      <c r="DG110" s="554"/>
      <c r="DH1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5-3'!$D$11:$Q319,DH$4,DH$5)"),"")</f>
        <v/>
      </c>
      <c r="DI110" s="554"/>
      <c r="DJ1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5-3'!$D$11:$Q319,DJ$4,DJ$5)"),"")</f>
        <v/>
      </c>
      <c r="DK110" s="566"/>
      <c r="DL1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5-3'!$D$11:$Q319,DL$4,DL$5)"),"")</f>
        <v/>
      </c>
      <c r="DM110" s="554"/>
      <c r="DN110" s="554"/>
      <c r="DO110" s="554"/>
      <c r="DP110" s="554"/>
      <c r="DQ1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5-3'!$D$11:$Q319,DQ$4,DQ$5)"),"")</f>
        <v/>
      </c>
      <c r="DR110" s="569"/>
      <c r="DS1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5-3'!$D$11:$Q319,DS$4,DS$5)"),"")</f>
        <v/>
      </c>
      <c r="DT110" s="568"/>
      <c r="DU1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5-3'!$D$11:$Q319,DU$4,DU$5)"),"")</f>
        <v/>
      </c>
      <c r="DV110" s="568"/>
      <c r="DW1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5-3'!$D$11:$Q319,DW$4,DW$5)"),"")</f>
        <v/>
      </c>
      <c r="DX110" s="568"/>
      <c r="DY1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5-3'!$D$11:$Q319,DY$4,DY$5)"),"")</f>
        <v/>
      </c>
      <c r="DZ110" s="578"/>
      <c r="EA1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$C110, 'S-10 Топ 5-3'!$D$11:$Q319,EA$4,EA$5)"),"")</f>
        <v/>
      </c>
      <c r="EB110" s="568"/>
      <c r="EC110" s="568"/>
      <c r="ED110" s="568"/>
      <c r="EE110" s="568"/>
    </row>
    <row r="111">
      <c r="A111" s="519" t="str">
        <f t="shared" si="1"/>
        <v/>
      </c>
      <c r="B111" s="520" t="str">
        <f>'5-0 Товары'!B111</f>
        <v/>
      </c>
      <c r="C111" s="521" t="str">
        <f>'5-1 Сбор КП Закупки'!C111</f>
        <v/>
      </c>
      <c r="D111" s="521" t="str">
        <f>'5-1 Сбор КП Закупки'!D111</f>
        <v/>
      </c>
      <c r="E111" s="521" t="str">
        <f>'5-1 Сбор КП Закупки'!E111</f>
        <v/>
      </c>
      <c r="F111" s="521" t="str">
        <f>'5-1 Сбор КП Закупки'!F111</f>
        <v/>
      </c>
      <c r="G111" s="522" t="str">
        <f>'5-1 Сбор КП Закупки'!G111</f>
        <v/>
      </c>
      <c r="H111" s="522" t="str">
        <f>'5-1 Сбор КП Закупки'!H111</f>
        <v/>
      </c>
      <c r="I111" s="522" t="str">
        <f>'5-1 Сбор КП Закупки'!I111</f>
        <v/>
      </c>
      <c r="J111" s="197"/>
      <c r="K111" s="522" t="str">
        <f>'5-1 Сбор КП Закупки'!G111</f>
        <v/>
      </c>
      <c r="L111" s="523" t="str">
        <f>IF(A111="Да",'5-1 Сбор КП Закупки'!K111,)</f>
        <v/>
      </c>
      <c r="M111" s="197"/>
      <c r="N111" s="197"/>
      <c r="O111" s="197"/>
      <c r="P111" s="525" t="str">
        <f>'5-1 Сбор КП Закупки'!P111</f>
        <v/>
      </c>
      <c r="Q111" s="197"/>
      <c r="R111" s="197"/>
      <c r="S111" s="197"/>
      <c r="T111" s="197"/>
      <c r="U111" s="197"/>
      <c r="V111" s="197"/>
      <c r="W111" s="522" t="str">
        <f>'5-1 Сбор КП Закупки'!O111</f>
        <v/>
      </c>
      <c r="X111" s="197"/>
      <c r="Y111" s="197"/>
      <c r="Z111" s="197"/>
      <c r="AA111" s="197"/>
      <c r="AB111" s="197">
        <v>0.0</v>
      </c>
      <c r="AC111" s="197"/>
      <c r="AD111" s="197"/>
      <c r="AE1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5-3'!$D$11:$Q319,AE$4,AE$5)"),"")</f>
        <v/>
      </c>
      <c r="AF111" s="528"/>
      <c r="AG1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5-3'!$D$11:$Q319,AG$4,AG$5)"),"")</f>
        <v/>
      </c>
      <c r="AH111" s="527"/>
      <c r="AI1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5-3'!$D$11:$Q319,AI$4,AI$5)"),"")</f>
        <v/>
      </c>
      <c r="AJ111" s="527"/>
      <c r="AK1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5-3'!$D$11:$Q319,AK$4,AK$5)"),"")</f>
        <v/>
      </c>
      <c r="AL111" s="527"/>
      <c r="AM1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5-3'!$D$11:$Q319,AM$4,AM$5)"),"")</f>
        <v/>
      </c>
      <c r="AN111" s="529"/>
      <c r="AO1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5-3'!$D$11:$Q319,AO$4,AO$5)"),"")</f>
        <v/>
      </c>
      <c r="AP111" s="527"/>
      <c r="AQ111" s="527"/>
      <c r="AR111" s="527"/>
      <c r="AS111" s="527"/>
      <c r="AT1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5-3'!$D$11:$Q319,AT$4,AT$5)"),"")</f>
        <v/>
      </c>
      <c r="AU111" s="531"/>
      <c r="AV1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5-3'!$D$11:$Q319,AV$4,AV$5)"),"")</f>
        <v/>
      </c>
      <c r="AW111" s="530"/>
      <c r="AX1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5-3'!$D$11:$Q319,AX$4,AX$5)"),"")</f>
        <v/>
      </c>
      <c r="AY111" s="530"/>
      <c r="AZ1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5-3'!$D$11:$Q319,AZ$4,AZ$5)"),"")</f>
        <v/>
      </c>
      <c r="BA111" s="530"/>
      <c r="BB1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5-3'!$D$11:$Q319,BB$4,BB$5)"),"")</f>
        <v/>
      </c>
      <c r="BC111" s="532"/>
      <c r="BD1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5-3'!$D$11:$Q319,BD$4,BD$5)"),"")</f>
        <v/>
      </c>
      <c r="BE111" s="530"/>
      <c r="BF111" s="530"/>
      <c r="BG111" s="530"/>
      <c r="BH111" s="530"/>
      <c r="BI1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5-3'!$D$11:$Q319,BI$4,BI$5)"),"")</f>
        <v/>
      </c>
      <c r="BJ111" s="535"/>
      <c r="BK1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5-3'!$D$11:$Q319,BK$4,BK$5)"),"")</f>
        <v/>
      </c>
      <c r="BL111" s="534"/>
      <c r="BM1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5-3'!$D$11:$Q319,BM$4,BM$5)"),"")</f>
        <v/>
      </c>
      <c r="BN111" s="534"/>
      <c r="BO1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5-3'!$D$11:$Q319,BO$4,BO$5)"),"")</f>
        <v/>
      </c>
      <c r="BP111" s="534"/>
      <c r="BQ1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5-3'!$D$11:$Q319,BQ$4,BQ$5)"),"")</f>
        <v/>
      </c>
      <c r="BR111" s="536"/>
      <c r="BS1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5-3'!$D$11:$Q319,BS$4,BS$5)"),"")</f>
        <v/>
      </c>
      <c r="BT111" s="534"/>
      <c r="BU111" s="534"/>
      <c r="BV111" s="534"/>
      <c r="BW111" s="534"/>
      <c r="BX1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5-3'!$D$11:$Q319,BX$4,BX$5)"),"")</f>
        <v/>
      </c>
      <c r="BY111" s="538"/>
      <c r="BZ1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5-3'!$D$11:$Q319,BZ$4,BZ$5)"),"")</f>
        <v/>
      </c>
      <c r="CA111" s="537"/>
      <c r="CB1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5-3'!$D$11:$Q319,CB$4,CB$5)"),"")</f>
        <v/>
      </c>
      <c r="CC111" s="537"/>
      <c r="CD1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5-3'!$D$11:$Q319,CD$4,CD$5)"),"")</f>
        <v/>
      </c>
      <c r="CE111" s="537"/>
      <c r="CF1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5-3'!$D$11:$Q319,CF$4,CF$5)"),"")</f>
        <v/>
      </c>
      <c r="CG111" s="539"/>
      <c r="CH1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5-3'!$D$11:$Q319,CH$4,CH$5)"),"")</f>
        <v/>
      </c>
      <c r="CI111" s="537"/>
      <c r="CJ111" s="537"/>
      <c r="CK111" s="537"/>
      <c r="CL111" s="537"/>
      <c r="CM1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5-3'!$D$11:$Q319,CM$4,CM$5)"),"")</f>
        <v/>
      </c>
      <c r="CN111" s="541"/>
      <c r="CO1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5-3'!$D$11:$Q319,CO$4,CO$5)"),"")</f>
        <v/>
      </c>
      <c r="CP111" s="540"/>
      <c r="CQ1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5-3'!$D$11:$Q319,CQ$4,CQ$5)"),"")</f>
        <v/>
      </c>
      <c r="CR111" s="540"/>
      <c r="CS1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5-3'!$D$11:$Q319,CS$4,CS$5)"),"")</f>
        <v/>
      </c>
      <c r="CT111" s="540"/>
      <c r="CU1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5-3'!$D$11:$Q319,CU$4,CU$5)"),"")</f>
        <v/>
      </c>
      <c r="CV111" s="545"/>
      <c r="CW1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5-3'!$D$11:$Q319,CW$4,CW$5)"),"")</f>
        <v/>
      </c>
      <c r="CX111" s="540"/>
      <c r="CY111" s="540"/>
      <c r="CZ111" s="540"/>
      <c r="DA111" s="540"/>
      <c r="DB1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5-3'!$D$11:$Q319,DB$4,DB$5)"),"")</f>
        <v/>
      </c>
      <c r="DC111" s="555"/>
      <c r="DD1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5-3'!$D$11:$Q319,DD$4,DD$5)"),"")</f>
        <v/>
      </c>
      <c r="DE111" s="554"/>
      <c r="DF1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5-3'!$D$11:$Q319,DF$4,DF$5)"),"")</f>
        <v/>
      </c>
      <c r="DG111" s="554"/>
      <c r="DH1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5-3'!$D$11:$Q319,DH$4,DH$5)"),"")</f>
        <v/>
      </c>
      <c r="DI111" s="554"/>
      <c r="DJ1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5-3'!$D$11:$Q319,DJ$4,DJ$5)"),"")</f>
        <v/>
      </c>
      <c r="DK111" s="566"/>
      <c r="DL1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5-3'!$D$11:$Q319,DL$4,DL$5)"),"")</f>
        <v/>
      </c>
      <c r="DM111" s="554"/>
      <c r="DN111" s="554"/>
      <c r="DO111" s="554"/>
      <c r="DP111" s="554"/>
      <c r="DQ1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5-3'!$D$11:$Q319,DQ$4,DQ$5)"),"")</f>
        <v/>
      </c>
      <c r="DR111" s="569"/>
      <c r="DS1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5-3'!$D$11:$Q319,DS$4,DS$5)"),"")</f>
        <v/>
      </c>
      <c r="DT111" s="568"/>
      <c r="DU1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5-3'!$D$11:$Q319,DU$4,DU$5)"),"")</f>
        <v/>
      </c>
      <c r="DV111" s="568"/>
      <c r="DW1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5-3'!$D$11:$Q319,DW$4,DW$5)"),"")</f>
        <v/>
      </c>
      <c r="DX111" s="568"/>
      <c r="DY1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5-3'!$D$11:$Q319,DY$4,DY$5)"),"")</f>
        <v/>
      </c>
      <c r="DZ111" s="578"/>
      <c r="EA1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$C111, 'S-10 Топ 5-3'!$D$11:$Q319,EA$4,EA$5)"),"")</f>
        <v/>
      </c>
      <c r="EB111" s="568"/>
      <c r="EC111" s="568"/>
      <c r="ED111" s="568"/>
      <c r="EE111" s="568"/>
    </row>
    <row r="112">
      <c r="A112" s="519" t="str">
        <f t="shared" si="1"/>
        <v/>
      </c>
      <c r="B112" s="520" t="str">
        <f>'5-0 Товары'!B112</f>
        <v/>
      </c>
      <c r="C112" s="521" t="str">
        <f>'5-1 Сбор КП Закупки'!C112</f>
        <v/>
      </c>
      <c r="D112" s="521" t="str">
        <f>'5-1 Сбор КП Закупки'!D112</f>
        <v/>
      </c>
      <c r="E112" s="521" t="str">
        <f>'5-1 Сбор КП Закупки'!E112</f>
        <v/>
      </c>
      <c r="F112" s="521" t="str">
        <f>'5-1 Сбор КП Закупки'!F112</f>
        <v/>
      </c>
      <c r="G112" s="522" t="str">
        <f>'5-1 Сбор КП Закупки'!G112</f>
        <v/>
      </c>
      <c r="H112" s="522" t="str">
        <f>'5-1 Сбор КП Закупки'!H112</f>
        <v/>
      </c>
      <c r="I112" s="522" t="str">
        <f>'5-1 Сбор КП Закупки'!I112</f>
        <v/>
      </c>
      <c r="J112" s="197"/>
      <c r="K112" s="522" t="str">
        <f>'5-1 Сбор КП Закупки'!G112</f>
        <v/>
      </c>
      <c r="L112" s="523" t="str">
        <f>IF(A112="Да",'5-1 Сбор КП Закупки'!K112,)</f>
        <v/>
      </c>
      <c r="M112" s="197"/>
      <c r="N112" s="197"/>
      <c r="O112" s="197"/>
      <c r="P112" s="525" t="str">
        <f>'5-1 Сбор КП Закупки'!P112</f>
        <v/>
      </c>
      <c r="Q112" s="197"/>
      <c r="R112" s="197"/>
      <c r="S112" s="197"/>
      <c r="T112" s="197"/>
      <c r="U112" s="197"/>
      <c r="V112" s="197"/>
      <c r="W112" s="522" t="str">
        <f>'5-1 Сбор КП Закупки'!O112</f>
        <v/>
      </c>
      <c r="X112" s="197"/>
      <c r="Y112" s="197"/>
      <c r="Z112" s="197"/>
      <c r="AA112" s="197"/>
      <c r="AB112" s="197">
        <v>0.0</v>
      </c>
      <c r="AC112" s="197"/>
      <c r="AD112" s="197"/>
      <c r="AE1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5-3'!$D$11:$Q319,AE$4,AE$5)"),"")</f>
        <v/>
      </c>
      <c r="AF112" s="528"/>
      <c r="AG1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5-3'!$D$11:$Q319,AG$4,AG$5)"),"")</f>
        <v/>
      </c>
      <c r="AH112" s="527"/>
      <c r="AI1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5-3'!$D$11:$Q319,AI$4,AI$5)"),"")</f>
        <v/>
      </c>
      <c r="AJ112" s="527"/>
      <c r="AK1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5-3'!$D$11:$Q319,AK$4,AK$5)"),"")</f>
        <v/>
      </c>
      <c r="AL112" s="527"/>
      <c r="AM1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5-3'!$D$11:$Q319,AM$4,AM$5)"),"")</f>
        <v/>
      </c>
      <c r="AN112" s="529"/>
      <c r="AO1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5-3'!$D$11:$Q319,AO$4,AO$5)"),"")</f>
        <v/>
      </c>
      <c r="AP112" s="527"/>
      <c r="AQ112" s="527"/>
      <c r="AR112" s="527"/>
      <c r="AS112" s="527"/>
      <c r="AT1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5-3'!$D$11:$Q319,AT$4,AT$5)"),"")</f>
        <v/>
      </c>
      <c r="AU112" s="531"/>
      <c r="AV1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5-3'!$D$11:$Q319,AV$4,AV$5)"),"")</f>
        <v/>
      </c>
      <c r="AW112" s="530"/>
      <c r="AX1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5-3'!$D$11:$Q319,AX$4,AX$5)"),"")</f>
        <v/>
      </c>
      <c r="AY112" s="530"/>
      <c r="AZ1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5-3'!$D$11:$Q319,AZ$4,AZ$5)"),"")</f>
        <v/>
      </c>
      <c r="BA112" s="530"/>
      <c r="BB1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5-3'!$D$11:$Q319,BB$4,BB$5)"),"")</f>
        <v/>
      </c>
      <c r="BC112" s="532"/>
      <c r="BD1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5-3'!$D$11:$Q319,BD$4,BD$5)"),"")</f>
        <v/>
      </c>
      <c r="BE112" s="530"/>
      <c r="BF112" s="530"/>
      <c r="BG112" s="530"/>
      <c r="BH112" s="530"/>
      <c r="BI1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5-3'!$D$11:$Q319,BI$4,BI$5)"),"")</f>
        <v/>
      </c>
      <c r="BJ112" s="535"/>
      <c r="BK1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5-3'!$D$11:$Q319,BK$4,BK$5)"),"")</f>
        <v/>
      </c>
      <c r="BL112" s="534"/>
      <c r="BM1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5-3'!$D$11:$Q319,BM$4,BM$5)"),"")</f>
        <v/>
      </c>
      <c r="BN112" s="534"/>
      <c r="BO1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5-3'!$D$11:$Q319,BO$4,BO$5)"),"")</f>
        <v/>
      </c>
      <c r="BP112" s="534"/>
      <c r="BQ1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5-3'!$D$11:$Q319,BQ$4,BQ$5)"),"")</f>
        <v/>
      </c>
      <c r="BR112" s="536"/>
      <c r="BS1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5-3'!$D$11:$Q319,BS$4,BS$5)"),"")</f>
        <v/>
      </c>
      <c r="BT112" s="534"/>
      <c r="BU112" s="534"/>
      <c r="BV112" s="534"/>
      <c r="BW112" s="534"/>
      <c r="BX1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5-3'!$D$11:$Q319,BX$4,BX$5)"),"")</f>
        <v/>
      </c>
      <c r="BY112" s="538"/>
      <c r="BZ1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5-3'!$D$11:$Q319,BZ$4,BZ$5)"),"")</f>
        <v/>
      </c>
      <c r="CA112" s="537"/>
      <c r="CB1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5-3'!$D$11:$Q319,CB$4,CB$5)"),"")</f>
        <v/>
      </c>
      <c r="CC112" s="537"/>
      <c r="CD1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5-3'!$D$11:$Q319,CD$4,CD$5)"),"")</f>
        <v/>
      </c>
      <c r="CE112" s="537"/>
      <c r="CF1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5-3'!$D$11:$Q319,CF$4,CF$5)"),"")</f>
        <v/>
      </c>
      <c r="CG112" s="539"/>
      <c r="CH1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5-3'!$D$11:$Q319,CH$4,CH$5)"),"")</f>
        <v/>
      </c>
      <c r="CI112" s="537"/>
      <c r="CJ112" s="537"/>
      <c r="CK112" s="537"/>
      <c r="CL112" s="537"/>
      <c r="CM1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5-3'!$D$11:$Q319,CM$4,CM$5)"),"")</f>
        <v/>
      </c>
      <c r="CN112" s="541"/>
      <c r="CO1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5-3'!$D$11:$Q319,CO$4,CO$5)"),"")</f>
        <v/>
      </c>
      <c r="CP112" s="540"/>
      <c r="CQ1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5-3'!$D$11:$Q319,CQ$4,CQ$5)"),"")</f>
        <v/>
      </c>
      <c r="CR112" s="540"/>
      <c r="CS1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5-3'!$D$11:$Q319,CS$4,CS$5)"),"")</f>
        <v/>
      </c>
      <c r="CT112" s="540"/>
      <c r="CU1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5-3'!$D$11:$Q319,CU$4,CU$5)"),"")</f>
        <v/>
      </c>
      <c r="CV112" s="545"/>
      <c r="CW1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5-3'!$D$11:$Q319,CW$4,CW$5)"),"")</f>
        <v/>
      </c>
      <c r="CX112" s="540"/>
      <c r="CY112" s="540"/>
      <c r="CZ112" s="540"/>
      <c r="DA112" s="540"/>
      <c r="DB1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5-3'!$D$11:$Q319,DB$4,DB$5)"),"")</f>
        <v/>
      </c>
      <c r="DC112" s="555"/>
      <c r="DD1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5-3'!$D$11:$Q319,DD$4,DD$5)"),"")</f>
        <v/>
      </c>
      <c r="DE112" s="554"/>
      <c r="DF1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5-3'!$D$11:$Q319,DF$4,DF$5)"),"")</f>
        <v/>
      </c>
      <c r="DG112" s="554"/>
      <c r="DH1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5-3'!$D$11:$Q319,DH$4,DH$5)"),"")</f>
        <v/>
      </c>
      <c r="DI112" s="554"/>
      <c r="DJ1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5-3'!$D$11:$Q319,DJ$4,DJ$5)"),"")</f>
        <v/>
      </c>
      <c r="DK112" s="566"/>
      <c r="DL1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5-3'!$D$11:$Q319,DL$4,DL$5)"),"")</f>
        <v/>
      </c>
      <c r="DM112" s="554"/>
      <c r="DN112" s="554"/>
      <c r="DO112" s="554"/>
      <c r="DP112" s="554"/>
      <c r="DQ1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5-3'!$D$11:$Q319,DQ$4,DQ$5)"),"")</f>
        <v/>
      </c>
      <c r="DR112" s="569"/>
      <c r="DS1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5-3'!$D$11:$Q319,DS$4,DS$5)"),"")</f>
        <v/>
      </c>
      <c r="DT112" s="568"/>
      <c r="DU1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5-3'!$D$11:$Q319,DU$4,DU$5)"),"")</f>
        <v/>
      </c>
      <c r="DV112" s="568"/>
      <c r="DW1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5-3'!$D$11:$Q319,DW$4,DW$5)"),"")</f>
        <v/>
      </c>
      <c r="DX112" s="568"/>
      <c r="DY1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5-3'!$D$11:$Q319,DY$4,DY$5)"),"")</f>
        <v/>
      </c>
      <c r="DZ112" s="578"/>
      <c r="EA1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$C112, 'S-10 Топ 5-3'!$D$11:$Q319,EA$4,EA$5)"),"")</f>
        <v/>
      </c>
      <c r="EB112" s="568"/>
      <c r="EC112" s="568"/>
      <c r="ED112" s="568"/>
      <c r="EE112" s="568"/>
    </row>
    <row r="113">
      <c r="A113" s="519" t="str">
        <f t="shared" si="1"/>
        <v/>
      </c>
      <c r="B113" s="520" t="str">
        <f>'5-0 Товары'!B113</f>
        <v/>
      </c>
      <c r="C113" s="521" t="str">
        <f>'5-1 Сбор КП Закупки'!C113</f>
        <v/>
      </c>
      <c r="D113" s="521" t="str">
        <f>'5-1 Сбор КП Закупки'!D113</f>
        <v/>
      </c>
      <c r="E113" s="521" t="str">
        <f>'5-1 Сбор КП Закупки'!E113</f>
        <v/>
      </c>
      <c r="F113" s="521" t="str">
        <f>'5-1 Сбор КП Закупки'!F113</f>
        <v/>
      </c>
      <c r="G113" s="522" t="str">
        <f>'5-1 Сбор КП Закупки'!G113</f>
        <v/>
      </c>
      <c r="H113" s="522" t="str">
        <f>'5-1 Сбор КП Закупки'!H113</f>
        <v/>
      </c>
      <c r="I113" s="522" t="str">
        <f>'5-1 Сбор КП Закупки'!I113</f>
        <v/>
      </c>
      <c r="J113" s="197"/>
      <c r="K113" s="522" t="str">
        <f>'5-1 Сбор КП Закупки'!G113</f>
        <v/>
      </c>
      <c r="L113" s="523" t="str">
        <f>IF(A113="Да",'5-1 Сбор КП Закупки'!K113,)</f>
        <v/>
      </c>
      <c r="M113" s="197"/>
      <c r="N113" s="197"/>
      <c r="O113" s="197"/>
      <c r="P113" s="525" t="str">
        <f>'5-1 Сбор КП Закупки'!P113</f>
        <v/>
      </c>
      <c r="Q113" s="197"/>
      <c r="R113" s="197"/>
      <c r="S113" s="197"/>
      <c r="T113" s="197"/>
      <c r="U113" s="197"/>
      <c r="V113" s="197"/>
      <c r="W113" s="522" t="str">
        <f>'5-1 Сбор КП Закупки'!O113</f>
        <v/>
      </c>
      <c r="X113" s="197"/>
      <c r="Y113" s="197"/>
      <c r="Z113" s="197"/>
      <c r="AA113" s="197"/>
      <c r="AB113" s="197">
        <v>0.0</v>
      </c>
      <c r="AC113" s="197"/>
      <c r="AD113" s="197"/>
      <c r="AE1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5-3'!$D$11:$Q319,AE$4,AE$5)"),"")</f>
        <v/>
      </c>
      <c r="AF113" s="528"/>
      <c r="AG1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5-3'!$D$11:$Q319,AG$4,AG$5)"),"")</f>
        <v/>
      </c>
      <c r="AH113" s="527"/>
      <c r="AI1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5-3'!$D$11:$Q319,AI$4,AI$5)"),"")</f>
        <v/>
      </c>
      <c r="AJ113" s="527"/>
      <c r="AK1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5-3'!$D$11:$Q319,AK$4,AK$5)"),"")</f>
        <v/>
      </c>
      <c r="AL113" s="527"/>
      <c r="AM1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5-3'!$D$11:$Q319,AM$4,AM$5)"),"")</f>
        <v/>
      </c>
      <c r="AN113" s="529"/>
      <c r="AO1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5-3'!$D$11:$Q319,AO$4,AO$5)"),"")</f>
        <v/>
      </c>
      <c r="AP113" s="527"/>
      <c r="AQ113" s="527"/>
      <c r="AR113" s="527"/>
      <c r="AS113" s="527"/>
      <c r="AT1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5-3'!$D$11:$Q319,AT$4,AT$5)"),"")</f>
        <v/>
      </c>
      <c r="AU113" s="531"/>
      <c r="AV1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5-3'!$D$11:$Q319,AV$4,AV$5)"),"")</f>
        <v/>
      </c>
      <c r="AW113" s="530"/>
      <c r="AX1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5-3'!$D$11:$Q319,AX$4,AX$5)"),"")</f>
        <v/>
      </c>
      <c r="AY113" s="530"/>
      <c r="AZ1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5-3'!$D$11:$Q319,AZ$4,AZ$5)"),"")</f>
        <v/>
      </c>
      <c r="BA113" s="530"/>
      <c r="BB1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5-3'!$D$11:$Q319,BB$4,BB$5)"),"")</f>
        <v/>
      </c>
      <c r="BC113" s="532"/>
      <c r="BD1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5-3'!$D$11:$Q319,BD$4,BD$5)"),"")</f>
        <v/>
      </c>
      <c r="BE113" s="530"/>
      <c r="BF113" s="530"/>
      <c r="BG113" s="530"/>
      <c r="BH113" s="530"/>
      <c r="BI1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5-3'!$D$11:$Q319,BI$4,BI$5)"),"")</f>
        <v/>
      </c>
      <c r="BJ113" s="535"/>
      <c r="BK1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5-3'!$D$11:$Q319,BK$4,BK$5)"),"")</f>
        <v/>
      </c>
      <c r="BL113" s="534"/>
      <c r="BM1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5-3'!$D$11:$Q319,BM$4,BM$5)"),"")</f>
        <v/>
      </c>
      <c r="BN113" s="534"/>
      <c r="BO1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5-3'!$D$11:$Q319,BO$4,BO$5)"),"")</f>
        <v/>
      </c>
      <c r="BP113" s="534"/>
      <c r="BQ1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5-3'!$D$11:$Q319,BQ$4,BQ$5)"),"")</f>
        <v/>
      </c>
      <c r="BR113" s="536"/>
      <c r="BS1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5-3'!$D$11:$Q319,BS$4,BS$5)"),"")</f>
        <v/>
      </c>
      <c r="BT113" s="534"/>
      <c r="BU113" s="534"/>
      <c r="BV113" s="534"/>
      <c r="BW113" s="534"/>
      <c r="BX1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5-3'!$D$11:$Q319,BX$4,BX$5)"),"")</f>
        <v/>
      </c>
      <c r="BY113" s="538"/>
      <c r="BZ1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5-3'!$D$11:$Q319,BZ$4,BZ$5)"),"")</f>
        <v/>
      </c>
      <c r="CA113" s="537"/>
      <c r="CB1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5-3'!$D$11:$Q319,CB$4,CB$5)"),"")</f>
        <v/>
      </c>
      <c r="CC113" s="537"/>
      <c r="CD1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5-3'!$D$11:$Q319,CD$4,CD$5)"),"")</f>
        <v/>
      </c>
      <c r="CE113" s="537"/>
      <c r="CF1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5-3'!$D$11:$Q319,CF$4,CF$5)"),"")</f>
        <v/>
      </c>
      <c r="CG113" s="539"/>
      <c r="CH1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5-3'!$D$11:$Q319,CH$4,CH$5)"),"")</f>
        <v/>
      </c>
      <c r="CI113" s="537"/>
      <c r="CJ113" s="537"/>
      <c r="CK113" s="537"/>
      <c r="CL113" s="537"/>
      <c r="CM1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5-3'!$D$11:$Q319,CM$4,CM$5)"),"")</f>
        <v/>
      </c>
      <c r="CN113" s="541"/>
      <c r="CO1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5-3'!$D$11:$Q319,CO$4,CO$5)"),"")</f>
        <v/>
      </c>
      <c r="CP113" s="540"/>
      <c r="CQ1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5-3'!$D$11:$Q319,CQ$4,CQ$5)"),"")</f>
        <v/>
      </c>
      <c r="CR113" s="540"/>
      <c r="CS1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5-3'!$D$11:$Q319,CS$4,CS$5)"),"")</f>
        <v/>
      </c>
      <c r="CT113" s="540"/>
      <c r="CU1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5-3'!$D$11:$Q319,CU$4,CU$5)"),"")</f>
        <v/>
      </c>
      <c r="CV113" s="545"/>
      <c r="CW1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5-3'!$D$11:$Q319,CW$4,CW$5)"),"")</f>
        <v/>
      </c>
      <c r="CX113" s="540"/>
      <c r="CY113" s="540"/>
      <c r="CZ113" s="540"/>
      <c r="DA113" s="540"/>
      <c r="DB1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5-3'!$D$11:$Q319,DB$4,DB$5)"),"")</f>
        <v/>
      </c>
      <c r="DC113" s="555"/>
      <c r="DD1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5-3'!$D$11:$Q319,DD$4,DD$5)"),"")</f>
        <v/>
      </c>
      <c r="DE113" s="554"/>
      <c r="DF1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5-3'!$D$11:$Q319,DF$4,DF$5)"),"")</f>
        <v/>
      </c>
      <c r="DG113" s="554"/>
      <c r="DH1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5-3'!$D$11:$Q319,DH$4,DH$5)"),"")</f>
        <v/>
      </c>
      <c r="DI113" s="554"/>
      <c r="DJ1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5-3'!$D$11:$Q319,DJ$4,DJ$5)"),"")</f>
        <v/>
      </c>
      <c r="DK113" s="566"/>
      <c r="DL1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5-3'!$D$11:$Q319,DL$4,DL$5)"),"")</f>
        <v/>
      </c>
      <c r="DM113" s="554"/>
      <c r="DN113" s="554"/>
      <c r="DO113" s="554"/>
      <c r="DP113" s="554"/>
      <c r="DQ1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5-3'!$D$11:$Q319,DQ$4,DQ$5)"),"")</f>
        <v/>
      </c>
      <c r="DR113" s="569"/>
      <c r="DS1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5-3'!$D$11:$Q319,DS$4,DS$5)"),"")</f>
        <v/>
      </c>
      <c r="DT113" s="568"/>
      <c r="DU1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5-3'!$D$11:$Q319,DU$4,DU$5)"),"")</f>
        <v/>
      </c>
      <c r="DV113" s="568"/>
      <c r="DW1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5-3'!$D$11:$Q319,DW$4,DW$5)"),"")</f>
        <v/>
      </c>
      <c r="DX113" s="568"/>
      <c r="DY1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5-3'!$D$11:$Q319,DY$4,DY$5)"),"")</f>
        <v/>
      </c>
      <c r="DZ113" s="578"/>
      <c r="EA1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$C113, 'S-10 Топ 5-3'!$D$11:$Q319,EA$4,EA$5)"),"")</f>
        <v/>
      </c>
      <c r="EB113" s="568"/>
      <c r="EC113" s="568"/>
      <c r="ED113" s="568"/>
      <c r="EE113" s="568"/>
    </row>
    <row r="114">
      <c r="A114" s="519" t="str">
        <f t="shared" si="1"/>
        <v/>
      </c>
      <c r="B114" s="520" t="str">
        <f>'5-0 Товары'!B114</f>
        <v/>
      </c>
      <c r="C114" s="521" t="str">
        <f>'5-1 Сбор КП Закупки'!C114</f>
        <v/>
      </c>
      <c r="D114" s="521" t="str">
        <f>'5-1 Сбор КП Закупки'!D114</f>
        <v/>
      </c>
      <c r="E114" s="521" t="str">
        <f>'5-1 Сбор КП Закупки'!E114</f>
        <v/>
      </c>
      <c r="F114" s="521" t="str">
        <f>'5-1 Сбор КП Закупки'!F114</f>
        <v/>
      </c>
      <c r="G114" s="522" t="str">
        <f>'5-1 Сбор КП Закупки'!G114</f>
        <v/>
      </c>
      <c r="H114" s="522" t="str">
        <f>'5-1 Сбор КП Закупки'!H114</f>
        <v/>
      </c>
      <c r="I114" s="522" t="str">
        <f>'5-1 Сбор КП Закупки'!I114</f>
        <v/>
      </c>
      <c r="J114" s="197"/>
      <c r="K114" s="522" t="str">
        <f>'5-1 Сбор КП Закупки'!G114</f>
        <v/>
      </c>
      <c r="L114" s="523" t="str">
        <f>IF(A114="Да",'5-1 Сбор КП Закупки'!K114,)</f>
        <v/>
      </c>
      <c r="M114" s="197"/>
      <c r="N114" s="197"/>
      <c r="O114" s="197"/>
      <c r="P114" s="525" t="str">
        <f>'5-1 Сбор КП Закупки'!P114</f>
        <v/>
      </c>
      <c r="Q114" s="197"/>
      <c r="R114" s="197"/>
      <c r="S114" s="197"/>
      <c r="T114" s="197"/>
      <c r="U114" s="197"/>
      <c r="V114" s="197"/>
      <c r="W114" s="522" t="str">
        <f>'5-1 Сбор КП Закупки'!O114</f>
        <v/>
      </c>
      <c r="X114" s="197"/>
      <c r="Y114" s="197"/>
      <c r="Z114" s="197"/>
      <c r="AA114" s="197"/>
      <c r="AB114" s="197">
        <v>0.0</v>
      </c>
      <c r="AC114" s="197"/>
      <c r="AD114" s="197"/>
      <c r="AE1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5-3'!$D$11:$Q319,AE$4,AE$5)"),"")</f>
        <v/>
      </c>
      <c r="AF114" s="528"/>
      <c r="AG1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5-3'!$D$11:$Q319,AG$4,AG$5)"),"")</f>
        <v/>
      </c>
      <c r="AH114" s="527"/>
      <c r="AI1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5-3'!$D$11:$Q319,AI$4,AI$5)"),"")</f>
        <v/>
      </c>
      <c r="AJ114" s="527"/>
      <c r="AK1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5-3'!$D$11:$Q319,AK$4,AK$5)"),"")</f>
        <v/>
      </c>
      <c r="AL114" s="527"/>
      <c r="AM1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5-3'!$D$11:$Q319,AM$4,AM$5)"),"")</f>
        <v/>
      </c>
      <c r="AN114" s="529"/>
      <c r="AO1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5-3'!$D$11:$Q319,AO$4,AO$5)"),"")</f>
        <v/>
      </c>
      <c r="AP114" s="527"/>
      <c r="AQ114" s="527"/>
      <c r="AR114" s="527"/>
      <c r="AS114" s="527"/>
      <c r="AT1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5-3'!$D$11:$Q319,AT$4,AT$5)"),"")</f>
        <v/>
      </c>
      <c r="AU114" s="531"/>
      <c r="AV1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5-3'!$D$11:$Q319,AV$4,AV$5)"),"")</f>
        <v/>
      </c>
      <c r="AW114" s="530"/>
      <c r="AX1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5-3'!$D$11:$Q319,AX$4,AX$5)"),"")</f>
        <v/>
      </c>
      <c r="AY114" s="530"/>
      <c r="AZ1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5-3'!$D$11:$Q319,AZ$4,AZ$5)"),"")</f>
        <v/>
      </c>
      <c r="BA114" s="530"/>
      <c r="BB1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5-3'!$D$11:$Q319,BB$4,BB$5)"),"")</f>
        <v/>
      </c>
      <c r="BC114" s="532"/>
      <c r="BD1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5-3'!$D$11:$Q319,BD$4,BD$5)"),"")</f>
        <v/>
      </c>
      <c r="BE114" s="530"/>
      <c r="BF114" s="530"/>
      <c r="BG114" s="530"/>
      <c r="BH114" s="530"/>
      <c r="BI1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5-3'!$D$11:$Q319,BI$4,BI$5)"),"")</f>
        <v/>
      </c>
      <c r="BJ114" s="535"/>
      <c r="BK1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5-3'!$D$11:$Q319,BK$4,BK$5)"),"")</f>
        <v/>
      </c>
      <c r="BL114" s="534"/>
      <c r="BM1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5-3'!$D$11:$Q319,BM$4,BM$5)"),"")</f>
        <v/>
      </c>
      <c r="BN114" s="534"/>
      <c r="BO1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5-3'!$D$11:$Q319,BO$4,BO$5)"),"")</f>
        <v/>
      </c>
      <c r="BP114" s="534"/>
      <c r="BQ1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5-3'!$D$11:$Q319,BQ$4,BQ$5)"),"")</f>
        <v/>
      </c>
      <c r="BR114" s="536"/>
      <c r="BS1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5-3'!$D$11:$Q319,BS$4,BS$5)"),"")</f>
        <v/>
      </c>
      <c r="BT114" s="534"/>
      <c r="BU114" s="534"/>
      <c r="BV114" s="534"/>
      <c r="BW114" s="534"/>
      <c r="BX1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5-3'!$D$11:$Q319,BX$4,BX$5)"),"")</f>
        <v/>
      </c>
      <c r="BY114" s="538"/>
      <c r="BZ1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5-3'!$D$11:$Q319,BZ$4,BZ$5)"),"")</f>
        <v/>
      </c>
      <c r="CA114" s="537"/>
      <c r="CB1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5-3'!$D$11:$Q319,CB$4,CB$5)"),"")</f>
        <v/>
      </c>
      <c r="CC114" s="537"/>
      <c r="CD1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5-3'!$D$11:$Q319,CD$4,CD$5)"),"")</f>
        <v/>
      </c>
      <c r="CE114" s="537"/>
      <c r="CF1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5-3'!$D$11:$Q319,CF$4,CF$5)"),"")</f>
        <v/>
      </c>
      <c r="CG114" s="539"/>
      <c r="CH1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5-3'!$D$11:$Q319,CH$4,CH$5)"),"")</f>
        <v/>
      </c>
      <c r="CI114" s="537"/>
      <c r="CJ114" s="537"/>
      <c r="CK114" s="537"/>
      <c r="CL114" s="537"/>
      <c r="CM1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5-3'!$D$11:$Q319,CM$4,CM$5)"),"")</f>
        <v/>
      </c>
      <c r="CN114" s="541"/>
      <c r="CO1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5-3'!$D$11:$Q319,CO$4,CO$5)"),"")</f>
        <v/>
      </c>
      <c r="CP114" s="540"/>
      <c r="CQ1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5-3'!$D$11:$Q319,CQ$4,CQ$5)"),"")</f>
        <v/>
      </c>
      <c r="CR114" s="540"/>
      <c r="CS1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5-3'!$D$11:$Q319,CS$4,CS$5)"),"")</f>
        <v/>
      </c>
      <c r="CT114" s="540"/>
      <c r="CU1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5-3'!$D$11:$Q319,CU$4,CU$5)"),"")</f>
        <v/>
      </c>
      <c r="CV114" s="545"/>
      <c r="CW1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5-3'!$D$11:$Q319,CW$4,CW$5)"),"")</f>
        <v/>
      </c>
      <c r="CX114" s="540"/>
      <c r="CY114" s="540"/>
      <c r="CZ114" s="540"/>
      <c r="DA114" s="540"/>
      <c r="DB1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5-3'!$D$11:$Q319,DB$4,DB$5)"),"")</f>
        <v/>
      </c>
      <c r="DC114" s="555"/>
      <c r="DD1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5-3'!$D$11:$Q319,DD$4,DD$5)"),"")</f>
        <v/>
      </c>
      <c r="DE114" s="554"/>
      <c r="DF1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5-3'!$D$11:$Q319,DF$4,DF$5)"),"")</f>
        <v/>
      </c>
      <c r="DG114" s="554"/>
      <c r="DH1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5-3'!$D$11:$Q319,DH$4,DH$5)"),"")</f>
        <v/>
      </c>
      <c r="DI114" s="554"/>
      <c r="DJ1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5-3'!$D$11:$Q319,DJ$4,DJ$5)"),"")</f>
        <v/>
      </c>
      <c r="DK114" s="566"/>
      <c r="DL1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5-3'!$D$11:$Q319,DL$4,DL$5)"),"")</f>
        <v/>
      </c>
      <c r="DM114" s="554"/>
      <c r="DN114" s="554"/>
      <c r="DO114" s="554"/>
      <c r="DP114" s="554"/>
      <c r="DQ1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5-3'!$D$11:$Q319,DQ$4,DQ$5)"),"")</f>
        <v/>
      </c>
      <c r="DR114" s="569"/>
      <c r="DS1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5-3'!$D$11:$Q319,DS$4,DS$5)"),"")</f>
        <v/>
      </c>
      <c r="DT114" s="568"/>
      <c r="DU1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5-3'!$D$11:$Q319,DU$4,DU$5)"),"")</f>
        <v/>
      </c>
      <c r="DV114" s="568"/>
      <c r="DW1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5-3'!$D$11:$Q319,DW$4,DW$5)"),"")</f>
        <v/>
      </c>
      <c r="DX114" s="568"/>
      <c r="DY1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5-3'!$D$11:$Q319,DY$4,DY$5)"),"")</f>
        <v/>
      </c>
      <c r="DZ114" s="578"/>
      <c r="EA1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$C114, 'S-10 Топ 5-3'!$D$11:$Q319,EA$4,EA$5)"),"")</f>
        <v/>
      </c>
      <c r="EB114" s="568"/>
      <c r="EC114" s="568"/>
      <c r="ED114" s="568"/>
      <c r="EE114" s="568"/>
    </row>
    <row r="115">
      <c r="A115" s="519" t="str">
        <f t="shared" si="1"/>
        <v/>
      </c>
      <c r="B115" s="520" t="str">
        <f>'5-0 Товары'!B115</f>
        <v/>
      </c>
      <c r="C115" s="521" t="str">
        <f>'5-1 Сбор КП Закупки'!C115</f>
        <v/>
      </c>
      <c r="D115" s="521" t="str">
        <f>'5-1 Сбор КП Закупки'!D115</f>
        <v/>
      </c>
      <c r="E115" s="521" t="str">
        <f>'5-1 Сбор КП Закупки'!E115</f>
        <v/>
      </c>
      <c r="F115" s="521" t="str">
        <f>'5-1 Сбор КП Закупки'!F115</f>
        <v/>
      </c>
      <c r="G115" s="522" t="str">
        <f>'5-1 Сбор КП Закупки'!G115</f>
        <v/>
      </c>
      <c r="H115" s="522" t="str">
        <f>'5-1 Сбор КП Закупки'!H115</f>
        <v/>
      </c>
      <c r="I115" s="522" t="str">
        <f>'5-1 Сбор КП Закупки'!I115</f>
        <v/>
      </c>
      <c r="J115" s="197"/>
      <c r="K115" s="522" t="str">
        <f>'5-1 Сбор КП Закупки'!G115</f>
        <v/>
      </c>
      <c r="L115" s="523" t="str">
        <f>IF(A115="Да",'5-1 Сбор КП Закупки'!K115,)</f>
        <v/>
      </c>
      <c r="M115" s="197"/>
      <c r="N115" s="197"/>
      <c r="O115" s="197"/>
      <c r="P115" s="525" t="str">
        <f>'5-1 Сбор КП Закупки'!P115</f>
        <v/>
      </c>
      <c r="Q115" s="197"/>
      <c r="R115" s="197"/>
      <c r="S115" s="197"/>
      <c r="T115" s="197"/>
      <c r="U115" s="197"/>
      <c r="V115" s="197"/>
      <c r="W115" s="522" t="str">
        <f>'5-1 Сбор КП Закупки'!O115</f>
        <v/>
      </c>
      <c r="X115" s="197"/>
      <c r="Y115" s="197"/>
      <c r="Z115" s="197"/>
      <c r="AA115" s="197"/>
      <c r="AB115" s="197">
        <v>0.0</v>
      </c>
      <c r="AC115" s="197"/>
      <c r="AD115" s="197"/>
      <c r="AE1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5-3'!$D$11:$Q319,AE$4,AE$5)"),"")</f>
        <v/>
      </c>
      <c r="AF115" s="528"/>
      <c r="AG1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5-3'!$D$11:$Q319,AG$4,AG$5)"),"")</f>
        <v/>
      </c>
      <c r="AH115" s="527"/>
      <c r="AI1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5-3'!$D$11:$Q319,AI$4,AI$5)"),"")</f>
        <v/>
      </c>
      <c r="AJ115" s="527"/>
      <c r="AK1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5-3'!$D$11:$Q319,AK$4,AK$5)"),"")</f>
        <v/>
      </c>
      <c r="AL115" s="527"/>
      <c r="AM1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5-3'!$D$11:$Q319,AM$4,AM$5)"),"")</f>
        <v/>
      </c>
      <c r="AN115" s="529"/>
      <c r="AO1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5-3'!$D$11:$Q319,AO$4,AO$5)"),"")</f>
        <v/>
      </c>
      <c r="AP115" s="527"/>
      <c r="AQ115" s="527"/>
      <c r="AR115" s="527"/>
      <c r="AS115" s="527"/>
      <c r="AT1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5-3'!$D$11:$Q319,AT$4,AT$5)"),"")</f>
        <v/>
      </c>
      <c r="AU115" s="531"/>
      <c r="AV1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5-3'!$D$11:$Q319,AV$4,AV$5)"),"")</f>
        <v/>
      </c>
      <c r="AW115" s="530"/>
      <c r="AX1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5-3'!$D$11:$Q319,AX$4,AX$5)"),"")</f>
        <v/>
      </c>
      <c r="AY115" s="530"/>
      <c r="AZ1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5-3'!$D$11:$Q319,AZ$4,AZ$5)"),"")</f>
        <v/>
      </c>
      <c r="BA115" s="530"/>
      <c r="BB1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5-3'!$D$11:$Q319,BB$4,BB$5)"),"")</f>
        <v/>
      </c>
      <c r="BC115" s="532"/>
      <c r="BD1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5-3'!$D$11:$Q319,BD$4,BD$5)"),"")</f>
        <v/>
      </c>
      <c r="BE115" s="530"/>
      <c r="BF115" s="530"/>
      <c r="BG115" s="530"/>
      <c r="BH115" s="530"/>
      <c r="BI1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5-3'!$D$11:$Q319,BI$4,BI$5)"),"")</f>
        <v/>
      </c>
      <c r="BJ115" s="535"/>
      <c r="BK1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5-3'!$D$11:$Q319,BK$4,BK$5)"),"")</f>
        <v/>
      </c>
      <c r="BL115" s="534"/>
      <c r="BM1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5-3'!$D$11:$Q319,BM$4,BM$5)"),"")</f>
        <v/>
      </c>
      <c r="BN115" s="534"/>
      <c r="BO1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5-3'!$D$11:$Q319,BO$4,BO$5)"),"")</f>
        <v/>
      </c>
      <c r="BP115" s="534"/>
      <c r="BQ1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5-3'!$D$11:$Q319,BQ$4,BQ$5)"),"")</f>
        <v/>
      </c>
      <c r="BR115" s="536"/>
      <c r="BS1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5-3'!$D$11:$Q319,BS$4,BS$5)"),"")</f>
        <v/>
      </c>
      <c r="BT115" s="534"/>
      <c r="BU115" s="534"/>
      <c r="BV115" s="534"/>
      <c r="BW115" s="534"/>
      <c r="BX1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5-3'!$D$11:$Q319,BX$4,BX$5)"),"")</f>
        <v/>
      </c>
      <c r="BY115" s="538"/>
      <c r="BZ1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5-3'!$D$11:$Q319,BZ$4,BZ$5)"),"")</f>
        <v/>
      </c>
      <c r="CA115" s="537"/>
      <c r="CB1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5-3'!$D$11:$Q319,CB$4,CB$5)"),"")</f>
        <v/>
      </c>
      <c r="CC115" s="537"/>
      <c r="CD1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5-3'!$D$11:$Q319,CD$4,CD$5)"),"")</f>
        <v/>
      </c>
      <c r="CE115" s="537"/>
      <c r="CF1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5-3'!$D$11:$Q319,CF$4,CF$5)"),"")</f>
        <v/>
      </c>
      <c r="CG115" s="539"/>
      <c r="CH1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5-3'!$D$11:$Q319,CH$4,CH$5)"),"")</f>
        <v/>
      </c>
      <c r="CI115" s="537"/>
      <c r="CJ115" s="537"/>
      <c r="CK115" s="537"/>
      <c r="CL115" s="537"/>
      <c r="CM1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5-3'!$D$11:$Q319,CM$4,CM$5)"),"")</f>
        <v/>
      </c>
      <c r="CN115" s="541"/>
      <c r="CO1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5-3'!$D$11:$Q319,CO$4,CO$5)"),"")</f>
        <v/>
      </c>
      <c r="CP115" s="540"/>
      <c r="CQ1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5-3'!$D$11:$Q319,CQ$4,CQ$5)"),"")</f>
        <v/>
      </c>
      <c r="CR115" s="540"/>
      <c r="CS1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5-3'!$D$11:$Q319,CS$4,CS$5)"),"")</f>
        <v/>
      </c>
      <c r="CT115" s="540"/>
      <c r="CU1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5-3'!$D$11:$Q319,CU$4,CU$5)"),"")</f>
        <v/>
      </c>
      <c r="CV115" s="545"/>
      <c r="CW1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5-3'!$D$11:$Q319,CW$4,CW$5)"),"")</f>
        <v/>
      </c>
      <c r="CX115" s="540"/>
      <c r="CY115" s="540"/>
      <c r="CZ115" s="540"/>
      <c r="DA115" s="540"/>
      <c r="DB1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5-3'!$D$11:$Q319,DB$4,DB$5)"),"")</f>
        <v/>
      </c>
      <c r="DC115" s="555"/>
      <c r="DD1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5-3'!$D$11:$Q319,DD$4,DD$5)"),"")</f>
        <v/>
      </c>
      <c r="DE115" s="554"/>
      <c r="DF1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5-3'!$D$11:$Q319,DF$4,DF$5)"),"")</f>
        <v/>
      </c>
      <c r="DG115" s="554"/>
      <c r="DH1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5-3'!$D$11:$Q319,DH$4,DH$5)"),"")</f>
        <v/>
      </c>
      <c r="DI115" s="554"/>
      <c r="DJ1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5-3'!$D$11:$Q319,DJ$4,DJ$5)"),"")</f>
        <v/>
      </c>
      <c r="DK115" s="566"/>
      <c r="DL1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5-3'!$D$11:$Q319,DL$4,DL$5)"),"")</f>
        <v/>
      </c>
      <c r="DM115" s="554"/>
      <c r="DN115" s="554"/>
      <c r="DO115" s="554"/>
      <c r="DP115" s="554"/>
      <c r="DQ1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5-3'!$D$11:$Q319,DQ$4,DQ$5)"),"")</f>
        <v/>
      </c>
      <c r="DR115" s="569"/>
      <c r="DS1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5-3'!$D$11:$Q319,DS$4,DS$5)"),"")</f>
        <v/>
      </c>
      <c r="DT115" s="568"/>
      <c r="DU1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5-3'!$D$11:$Q319,DU$4,DU$5)"),"")</f>
        <v/>
      </c>
      <c r="DV115" s="568"/>
      <c r="DW1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5-3'!$D$11:$Q319,DW$4,DW$5)"),"")</f>
        <v/>
      </c>
      <c r="DX115" s="568"/>
      <c r="DY1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5-3'!$D$11:$Q319,DY$4,DY$5)"),"")</f>
        <v/>
      </c>
      <c r="DZ115" s="578"/>
      <c r="EA1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$C115, 'S-10 Топ 5-3'!$D$11:$Q319,EA$4,EA$5)"),"")</f>
        <v/>
      </c>
      <c r="EB115" s="568"/>
      <c r="EC115" s="568"/>
      <c r="ED115" s="568"/>
      <c r="EE115" s="568"/>
    </row>
    <row r="116">
      <c r="A116" s="519" t="str">
        <f t="shared" si="1"/>
        <v/>
      </c>
      <c r="B116" s="520" t="str">
        <f>'5-0 Товары'!B116</f>
        <v/>
      </c>
      <c r="C116" s="521" t="str">
        <f>'5-1 Сбор КП Закупки'!C116</f>
        <v/>
      </c>
      <c r="D116" s="521" t="str">
        <f>'5-1 Сбор КП Закупки'!D116</f>
        <v/>
      </c>
      <c r="E116" s="521" t="str">
        <f>'5-1 Сбор КП Закупки'!E116</f>
        <v/>
      </c>
      <c r="F116" s="521" t="str">
        <f>'5-1 Сбор КП Закупки'!F116</f>
        <v/>
      </c>
      <c r="G116" s="522" t="str">
        <f>'5-1 Сбор КП Закупки'!G116</f>
        <v/>
      </c>
      <c r="H116" s="522" t="str">
        <f>'5-1 Сбор КП Закупки'!H116</f>
        <v/>
      </c>
      <c r="I116" s="522" t="str">
        <f>'5-1 Сбор КП Закупки'!I116</f>
        <v/>
      </c>
      <c r="J116" s="197"/>
      <c r="K116" s="522" t="str">
        <f>'5-1 Сбор КП Закупки'!G116</f>
        <v/>
      </c>
      <c r="L116" s="523" t="str">
        <f>IF(A116="Да",'5-1 Сбор КП Закупки'!K116,)</f>
        <v/>
      </c>
      <c r="M116" s="197"/>
      <c r="N116" s="197"/>
      <c r="O116" s="197"/>
      <c r="P116" s="525" t="str">
        <f>'5-1 Сбор КП Закупки'!P116</f>
        <v/>
      </c>
      <c r="Q116" s="197"/>
      <c r="R116" s="197"/>
      <c r="S116" s="197"/>
      <c r="T116" s="197"/>
      <c r="U116" s="197"/>
      <c r="V116" s="197"/>
      <c r="W116" s="522" t="str">
        <f>'5-1 Сбор КП Закупки'!O116</f>
        <v/>
      </c>
      <c r="X116" s="197"/>
      <c r="Y116" s="197"/>
      <c r="Z116" s="197"/>
      <c r="AA116" s="197"/>
      <c r="AB116" s="197">
        <v>0.0</v>
      </c>
      <c r="AC116" s="197"/>
      <c r="AD116" s="197"/>
      <c r="AE1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5-3'!$D$11:$Q319,AE$4,AE$5)"),"")</f>
        <v/>
      </c>
      <c r="AF116" s="528"/>
      <c r="AG1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5-3'!$D$11:$Q319,AG$4,AG$5)"),"")</f>
        <v/>
      </c>
      <c r="AH116" s="527"/>
      <c r="AI1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5-3'!$D$11:$Q319,AI$4,AI$5)"),"")</f>
        <v/>
      </c>
      <c r="AJ116" s="527"/>
      <c r="AK1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5-3'!$D$11:$Q319,AK$4,AK$5)"),"")</f>
        <v/>
      </c>
      <c r="AL116" s="527"/>
      <c r="AM1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5-3'!$D$11:$Q319,AM$4,AM$5)"),"")</f>
        <v/>
      </c>
      <c r="AN116" s="529"/>
      <c r="AO1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5-3'!$D$11:$Q319,AO$4,AO$5)"),"")</f>
        <v/>
      </c>
      <c r="AP116" s="527"/>
      <c r="AQ116" s="527"/>
      <c r="AR116" s="527"/>
      <c r="AS116" s="527"/>
      <c r="AT1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5-3'!$D$11:$Q319,AT$4,AT$5)"),"")</f>
        <v/>
      </c>
      <c r="AU116" s="531"/>
      <c r="AV1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5-3'!$D$11:$Q319,AV$4,AV$5)"),"")</f>
        <v/>
      </c>
      <c r="AW116" s="530"/>
      <c r="AX1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5-3'!$D$11:$Q319,AX$4,AX$5)"),"")</f>
        <v/>
      </c>
      <c r="AY116" s="530"/>
      <c r="AZ1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5-3'!$D$11:$Q319,AZ$4,AZ$5)"),"")</f>
        <v/>
      </c>
      <c r="BA116" s="530"/>
      <c r="BB1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5-3'!$D$11:$Q319,BB$4,BB$5)"),"")</f>
        <v/>
      </c>
      <c r="BC116" s="532"/>
      <c r="BD1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5-3'!$D$11:$Q319,BD$4,BD$5)"),"")</f>
        <v/>
      </c>
      <c r="BE116" s="530"/>
      <c r="BF116" s="530"/>
      <c r="BG116" s="530"/>
      <c r="BH116" s="530"/>
      <c r="BI1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5-3'!$D$11:$Q319,BI$4,BI$5)"),"")</f>
        <v/>
      </c>
      <c r="BJ116" s="535"/>
      <c r="BK1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5-3'!$D$11:$Q319,BK$4,BK$5)"),"")</f>
        <v/>
      </c>
      <c r="BL116" s="534"/>
      <c r="BM1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5-3'!$D$11:$Q319,BM$4,BM$5)"),"")</f>
        <v/>
      </c>
      <c r="BN116" s="534"/>
      <c r="BO1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5-3'!$D$11:$Q319,BO$4,BO$5)"),"")</f>
        <v/>
      </c>
      <c r="BP116" s="534"/>
      <c r="BQ1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5-3'!$D$11:$Q319,BQ$4,BQ$5)"),"")</f>
        <v/>
      </c>
      <c r="BR116" s="536"/>
      <c r="BS1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5-3'!$D$11:$Q319,BS$4,BS$5)"),"")</f>
        <v/>
      </c>
      <c r="BT116" s="534"/>
      <c r="BU116" s="534"/>
      <c r="BV116" s="534"/>
      <c r="BW116" s="534"/>
      <c r="BX1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5-3'!$D$11:$Q319,BX$4,BX$5)"),"")</f>
        <v/>
      </c>
      <c r="BY116" s="538"/>
      <c r="BZ1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5-3'!$D$11:$Q319,BZ$4,BZ$5)"),"")</f>
        <v/>
      </c>
      <c r="CA116" s="537"/>
      <c r="CB1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5-3'!$D$11:$Q319,CB$4,CB$5)"),"")</f>
        <v/>
      </c>
      <c r="CC116" s="537"/>
      <c r="CD1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5-3'!$D$11:$Q319,CD$4,CD$5)"),"")</f>
        <v/>
      </c>
      <c r="CE116" s="537"/>
      <c r="CF1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5-3'!$D$11:$Q319,CF$4,CF$5)"),"")</f>
        <v/>
      </c>
      <c r="CG116" s="539"/>
      <c r="CH1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5-3'!$D$11:$Q319,CH$4,CH$5)"),"")</f>
        <v/>
      </c>
      <c r="CI116" s="537"/>
      <c r="CJ116" s="537"/>
      <c r="CK116" s="537"/>
      <c r="CL116" s="537"/>
      <c r="CM1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5-3'!$D$11:$Q319,CM$4,CM$5)"),"")</f>
        <v/>
      </c>
      <c r="CN116" s="541"/>
      <c r="CO1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5-3'!$D$11:$Q319,CO$4,CO$5)"),"")</f>
        <v/>
      </c>
      <c r="CP116" s="540"/>
      <c r="CQ1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5-3'!$D$11:$Q319,CQ$4,CQ$5)"),"")</f>
        <v/>
      </c>
      <c r="CR116" s="540"/>
      <c r="CS1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5-3'!$D$11:$Q319,CS$4,CS$5)"),"")</f>
        <v/>
      </c>
      <c r="CT116" s="540"/>
      <c r="CU1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5-3'!$D$11:$Q319,CU$4,CU$5)"),"")</f>
        <v/>
      </c>
      <c r="CV116" s="545"/>
      <c r="CW1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5-3'!$D$11:$Q319,CW$4,CW$5)"),"")</f>
        <v/>
      </c>
      <c r="CX116" s="540"/>
      <c r="CY116" s="540"/>
      <c r="CZ116" s="540"/>
      <c r="DA116" s="540"/>
      <c r="DB1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5-3'!$D$11:$Q319,DB$4,DB$5)"),"")</f>
        <v/>
      </c>
      <c r="DC116" s="555"/>
      <c r="DD1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5-3'!$D$11:$Q319,DD$4,DD$5)"),"")</f>
        <v/>
      </c>
      <c r="DE116" s="554"/>
      <c r="DF1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5-3'!$D$11:$Q319,DF$4,DF$5)"),"")</f>
        <v/>
      </c>
      <c r="DG116" s="554"/>
      <c r="DH1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5-3'!$D$11:$Q319,DH$4,DH$5)"),"")</f>
        <v/>
      </c>
      <c r="DI116" s="554"/>
      <c r="DJ1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5-3'!$D$11:$Q319,DJ$4,DJ$5)"),"")</f>
        <v/>
      </c>
      <c r="DK116" s="566"/>
      <c r="DL1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5-3'!$D$11:$Q319,DL$4,DL$5)"),"")</f>
        <v/>
      </c>
      <c r="DM116" s="554"/>
      <c r="DN116" s="554"/>
      <c r="DO116" s="554"/>
      <c r="DP116" s="554"/>
      <c r="DQ1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5-3'!$D$11:$Q319,DQ$4,DQ$5)"),"")</f>
        <v/>
      </c>
      <c r="DR116" s="569"/>
      <c r="DS1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5-3'!$D$11:$Q319,DS$4,DS$5)"),"")</f>
        <v/>
      </c>
      <c r="DT116" s="568"/>
      <c r="DU1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5-3'!$D$11:$Q319,DU$4,DU$5)"),"")</f>
        <v/>
      </c>
      <c r="DV116" s="568"/>
      <c r="DW1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5-3'!$D$11:$Q319,DW$4,DW$5)"),"")</f>
        <v/>
      </c>
      <c r="DX116" s="568"/>
      <c r="DY1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5-3'!$D$11:$Q319,DY$4,DY$5)"),"")</f>
        <v/>
      </c>
      <c r="DZ116" s="578"/>
      <c r="EA1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$C116, 'S-10 Топ 5-3'!$D$11:$Q319,EA$4,EA$5)"),"")</f>
        <v/>
      </c>
      <c r="EB116" s="568"/>
      <c r="EC116" s="568"/>
      <c r="ED116" s="568"/>
      <c r="EE116" s="568"/>
    </row>
    <row r="117">
      <c r="A117" s="519" t="str">
        <f t="shared" si="1"/>
        <v/>
      </c>
      <c r="B117" s="520" t="str">
        <f>'5-0 Товары'!B117</f>
        <v/>
      </c>
      <c r="C117" s="521" t="str">
        <f>'5-1 Сбор КП Закупки'!C117</f>
        <v/>
      </c>
      <c r="D117" s="521" t="str">
        <f>'5-1 Сбор КП Закупки'!D117</f>
        <v/>
      </c>
      <c r="E117" s="521" t="str">
        <f>'5-1 Сбор КП Закупки'!E117</f>
        <v/>
      </c>
      <c r="F117" s="521" t="str">
        <f>'5-1 Сбор КП Закупки'!F117</f>
        <v/>
      </c>
      <c r="G117" s="522" t="str">
        <f>'5-1 Сбор КП Закупки'!G117</f>
        <v/>
      </c>
      <c r="H117" s="522" t="str">
        <f>'5-1 Сбор КП Закупки'!H117</f>
        <v/>
      </c>
      <c r="I117" s="522" t="str">
        <f>'5-1 Сбор КП Закупки'!I117</f>
        <v/>
      </c>
      <c r="J117" s="197"/>
      <c r="K117" s="522" t="str">
        <f>'5-1 Сбор КП Закупки'!G117</f>
        <v/>
      </c>
      <c r="L117" s="523" t="str">
        <f>IF(A117="Да",'5-1 Сбор КП Закупки'!K117,)</f>
        <v/>
      </c>
      <c r="M117" s="197"/>
      <c r="N117" s="197"/>
      <c r="O117" s="197"/>
      <c r="P117" s="525" t="str">
        <f>'5-1 Сбор КП Закупки'!P117</f>
        <v/>
      </c>
      <c r="Q117" s="197"/>
      <c r="R117" s="197"/>
      <c r="S117" s="197"/>
      <c r="T117" s="197"/>
      <c r="U117" s="197"/>
      <c r="V117" s="197"/>
      <c r="W117" s="522" t="str">
        <f>'5-1 Сбор КП Закупки'!O117</f>
        <v/>
      </c>
      <c r="X117" s="197"/>
      <c r="Y117" s="197"/>
      <c r="Z117" s="197"/>
      <c r="AA117" s="197"/>
      <c r="AB117" s="197">
        <v>0.0</v>
      </c>
      <c r="AC117" s="197"/>
      <c r="AD117" s="197"/>
      <c r="AE1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5-3'!$D$11:$Q319,AE$4,AE$5)"),"")</f>
        <v/>
      </c>
      <c r="AF117" s="528"/>
      <c r="AG1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5-3'!$D$11:$Q319,AG$4,AG$5)"),"")</f>
        <v/>
      </c>
      <c r="AH117" s="527"/>
      <c r="AI1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5-3'!$D$11:$Q319,AI$4,AI$5)"),"")</f>
        <v/>
      </c>
      <c r="AJ117" s="527"/>
      <c r="AK1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5-3'!$D$11:$Q319,AK$4,AK$5)"),"")</f>
        <v/>
      </c>
      <c r="AL117" s="527"/>
      <c r="AM1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5-3'!$D$11:$Q319,AM$4,AM$5)"),"")</f>
        <v/>
      </c>
      <c r="AN117" s="529"/>
      <c r="AO1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5-3'!$D$11:$Q319,AO$4,AO$5)"),"")</f>
        <v/>
      </c>
      <c r="AP117" s="527"/>
      <c r="AQ117" s="527"/>
      <c r="AR117" s="527"/>
      <c r="AS117" s="527"/>
      <c r="AT1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5-3'!$D$11:$Q319,AT$4,AT$5)"),"")</f>
        <v/>
      </c>
      <c r="AU117" s="531"/>
      <c r="AV1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5-3'!$D$11:$Q319,AV$4,AV$5)"),"")</f>
        <v/>
      </c>
      <c r="AW117" s="530"/>
      <c r="AX1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5-3'!$D$11:$Q319,AX$4,AX$5)"),"")</f>
        <v/>
      </c>
      <c r="AY117" s="530"/>
      <c r="AZ1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5-3'!$D$11:$Q319,AZ$4,AZ$5)"),"")</f>
        <v/>
      </c>
      <c r="BA117" s="530"/>
      <c r="BB1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5-3'!$D$11:$Q319,BB$4,BB$5)"),"")</f>
        <v/>
      </c>
      <c r="BC117" s="532"/>
      <c r="BD1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5-3'!$D$11:$Q319,BD$4,BD$5)"),"")</f>
        <v/>
      </c>
      <c r="BE117" s="530"/>
      <c r="BF117" s="530"/>
      <c r="BG117" s="530"/>
      <c r="BH117" s="530"/>
      <c r="BI1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5-3'!$D$11:$Q319,BI$4,BI$5)"),"")</f>
        <v/>
      </c>
      <c r="BJ117" s="535"/>
      <c r="BK1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5-3'!$D$11:$Q319,BK$4,BK$5)"),"")</f>
        <v/>
      </c>
      <c r="BL117" s="534"/>
      <c r="BM1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5-3'!$D$11:$Q319,BM$4,BM$5)"),"")</f>
        <v/>
      </c>
      <c r="BN117" s="534"/>
      <c r="BO1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5-3'!$D$11:$Q319,BO$4,BO$5)"),"")</f>
        <v/>
      </c>
      <c r="BP117" s="534"/>
      <c r="BQ1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5-3'!$D$11:$Q319,BQ$4,BQ$5)"),"")</f>
        <v/>
      </c>
      <c r="BR117" s="536"/>
      <c r="BS1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5-3'!$D$11:$Q319,BS$4,BS$5)"),"")</f>
        <v/>
      </c>
      <c r="BT117" s="534"/>
      <c r="BU117" s="534"/>
      <c r="BV117" s="534"/>
      <c r="BW117" s="534"/>
      <c r="BX1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5-3'!$D$11:$Q319,BX$4,BX$5)"),"")</f>
        <v/>
      </c>
      <c r="BY117" s="538"/>
      <c r="BZ1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5-3'!$D$11:$Q319,BZ$4,BZ$5)"),"")</f>
        <v/>
      </c>
      <c r="CA117" s="537"/>
      <c r="CB1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5-3'!$D$11:$Q319,CB$4,CB$5)"),"")</f>
        <v/>
      </c>
      <c r="CC117" s="537"/>
      <c r="CD1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5-3'!$D$11:$Q319,CD$4,CD$5)"),"")</f>
        <v/>
      </c>
      <c r="CE117" s="537"/>
      <c r="CF1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5-3'!$D$11:$Q319,CF$4,CF$5)"),"")</f>
        <v/>
      </c>
      <c r="CG117" s="539"/>
      <c r="CH1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5-3'!$D$11:$Q319,CH$4,CH$5)"),"")</f>
        <v/>
      </c>
      <c r="CI117" s="537"/>
      <c r="CJ117" s="537"/>
      <c r="CK117" s="537"/>
      <c r="CL117" s="537"/>
      <c r="CM1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5-3'!$D$11:$Q319,CM$4,CM$5)"),"")</f>
        <v/>
      </c>
      <c r="CN117" s="541"/>
      <c r="CO1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5-3'!$D$11:$Q319,CO$4,CO$5)"),"")</f>
        <v/>
      </c>
      <c r="CP117" s="540"/>
      <c r="CQ1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5-3'!$D$11:$Q319,CQ$4,CQ$5)"),"")</f>
        <v/>
      </c>
      <c r="CR117" s="540"/>
      <c r="CS1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5-3'!$D$11:$Q319,CS$4,CS$5)"),"")</f>
        <v/>
      </c>
      <c r="CT117" s="540"/>
      <c r="CU1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5-3'!$D$11:$Q319,CU$4,CU$5)"),"")</f>
        <v/>
      </c>
      <c r="CV117" s="545"/>
      <c r="CW1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5-3'!$D$11:$Q319,CW$4,CW$5)"),"")</f>
        <v/>
      </c>
      <c r="CX117" s="540"/>
      <c r="CY117" s="540"/>
      <c r="CZ117" s="540"/>
      <c r="DA117" s="540"/>
      <c r="DB1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5-3'!$D$11:$Q319,DB$4,DB$5)"),"")</f>
        <v/>
      </c>
      <c r="DC117" s="555"/>
      <c r="DD1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5-3'!$D$11:$Q319,DD$4,DD$5)"),"")</f>
        <v/>
      </c>
      <c r="DE117" s="554"/>
      <c r="DF1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5-3'!$D$11:$Q319,DF$4,DF$5)"),"")</f>
        <v/>
      </c>
      <c r="DG117" s="554"/>
      <c r="DH1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5-3'!$D$11:$Q319,DH$4,DH$5)"),"")</f>
        <v/>
      </c>
      <c r="DI117" s="554"/>
      <c r="DJ1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5-3'!$D$11:$Q319,DJ$4,DJ$5)"),"")</f>
        <v/>
      </c>
      <c r="DK117" s="566"/>
      <c r="DL1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5-3'!$D$11:$Q319,DL$4,DL$5)"),"")</f>
        <v/>
      </c>
      <c r="DM117" s="554"/>
      <c r="DN117" s="554"/>
      <c r="DO117" s="554"/>
      <c r="DP117" s="554"/>
      <c r="DQ1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5-3'!$D$11:$Q319,DQ$4,DQ$5)"),"")</f>
        <v/>
      </c>
      <c r="DR117" s="569"/>
      <c r="DS1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5-3'!$D$11:$Q319,DS$4,DS$5)"),"")</f>
        <v/>
      </c>
      <c r="DT117" s="568"/>
      <c r="DU1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5-3'!$D$11:$Q319,DU$4,DU$5)"),"")</f>
        <v/>
      </c>
      <c r="DV117" s="568"/>
      <c r="DW1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5-3'!$D$11:$Q319,DW$4,DW$5)"),"")</f>
        <v/>
      </c>
      <c r="DX117" s="568"/>
      <c r="DY1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5-3'!$D$11:$Q319,DY$4,DY$5)"),"")</f>
        <v/>
      </c>
      <c r="DZ117" s="578"/>
      <c r="EA1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$C117, 'S-10 Топ 5-3'!$D$11:$Q319,EA$4,EA$5)"),"")</f>
        <v/>
      </c>
      <c r="EB117" s="568"/>
      <c r="EC117" s="568"/>
      <c r="ED117" s="568"/>
      <c r="EE117" s="568"/>
    </row>
    <row r="118">
      <c r="A118" s="519" t="str">
        <f t="shared" si="1"/>
        <v/>
      </c>
      <c r="B118" s="520" t="str">
        <f>'5-0 Товары'!B118</f>
        <v/>
      </c>
      <c r="C118" s="521" t="str">
        <f>'5-1 Сбор КП Закупки'!C118</f>
        <v/>
      </c>
      <c r="D118" s="521" t="str">
        <f>'5-1 Сбор КП Закупки'!D118</f>
        <v/>
      </c>
      <c r="E118" s="521" t="str">
        <f>'5-1 Сбор КП Закупки'!E118</f>
        <v/>
      </c>
      <c r="F118" s="521" t="str">
        <f>'5-1 Сбор КП Закупки'!F118</f>
        <v/>
      </c>
      <c r="G118" s="522" t="str">
        <f>'5-1 Сбор КП Закупки'!G118</f>
        <v/>
      </c>
      <c r="H118" s="522" t="str">
        <f>'5-1 Сбор КП Закупки'!H118</f>
        <v/>
      </c>
      <c r="I118" s="522" t="str">
        <f>'5-1 Сбор КП Закупки'!I118</f>
        <v/>
      </c>
      <c r="J118" s="197"/>
      <c r="K118" s="522" t="str">
        <f>'5-1 Сбор КП Закупки'!G118</f>
        <v/>
      </c>
      <c r="L118" s="523" t="str">
        <f>IF(A118="Да",'5-1 Сбор КП Закупки'!K118,)</f>
        <v/>
      </c>
      <c r="M118" s="197"/>
      <c r="N118" s="197"/>
      <c r="O118" s="197"/>
      <c r="P118" s="525" t="str">
        <f>'5-1 Сбор КП Закупки'!P118</f>
        <v/>
      </c>
      <c r="Q118" s="197"/>
      <c r="R118" s="197"/>
      <c r="S118" s="197"/>
      <c r="T118" s="197"/>
      <c r="U118" s="197"/>
      <c r="V118" s="197"/>
      <c r="W118" s="522" t="str">
        <f>'5-1 Сбор КП Закупки'!O118</f>
        <v/>
      </c>
      <c r="X118" s="197"/>
      <c r="Y118" s="197"/>
      <c r="Z118" s="197"/>
      <c r="AA118" s="197"/>
      <c r="AB118" s="197">
        <v>0.0</v>
      </c>
      <c r="AC118" s="197"/>
      <c r="AD118" s="197"/>
      <c r="AE1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5-3'!$D$11:$Q319,AE$4,AE$5)"),"")</f>
        <v/>
      </c>
      <c r="AF118" s="528"/>
      <c r="AG1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5-3'!$D$11:$Q319,AG$4,AG$5)"),"")</f>
        <v/>
      </c>
      <c r="AH118" s="527"/>
      <c r="AI1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5-3'!$D$11:$Q319,AI$4,AI$5)"),"")</f>
        <v/>
      </c>
      <c r="AJ118" s="527"/>
      <c r="AK1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5-3'!$D$11:$Q319,AK$4,AK$5)"),"")</f>
        <v/>
      </c>
      <c r="AL118" s="527"/>
      <c r="AM1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5-3'!$D$11:$Q319,AM$4,AM$5)"),"")</f>
        <v/>
      </c>
      <c r="AN118" s="529"/>
      <c r="AO1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5-3'!$D$11:$Q319,AO$4,AO$5)"),"")</f>
        <v/>
      </c>
      <c r="AP118" s="527"/>
      <c r="AQ118" s="527"/>
      <c r="AR118" s="527"/>
      <c r="AS118" s="527"/>
      <c r="AT1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5-3'!$D$11:$Q319,AT$4,AT$5)"),"")</f>
        <v/>
      </c>
      <c r="AU118" s="531"/>
      <c r="AV1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5-3'!$D$11:$Q319,AV$4,AV$5)"),"")</f>
        <v/>
      </c>
      <c r="AW118" s="530"/>
      <c r="AX1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5-3'!$D$11:$Q319,AX$4,AX$5)"),"")</f>
        <v/>
      </c>
      <c r="AY118" s="530"/>
      <c r="AZ1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5-3'!$D$11:$Q319,AZ$4,AZ$5)"),"")</f>
        <v/>
      </c>
      <c r="BA118" s="530"/>
      <c r="BB1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5-3'!$D$11:$Q319,BB$4,BB$5)"),"")</f>
        <v/>
      </c>
      <c r="BC118" s="532"/>
      <c r="BD1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5-3'!$D$11:$Q319,BD$4,BD$5)"),"")</f>
        <v/>
      </c>
      <c r="BE118" s="530"/>
      <c r="BF118" s="530"/>
      <c r="BG118" s="530"/>
      <c r="BH118" s="530"/>
      <c r="BI1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5-3'!$D$11:$Q319,BI$4,BI$5)"),"")</f>
        <v/>
      </c>
      <c r="BJ118" s="535"/>
      <c r="BK1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5-3'!$D$11:$Q319,BK$4,BK$5)"),"")</f>
        <v/>
      </c>
      <c r="BL118" s="534"/>
      <c r="BM1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5-3'!$D$11:$Q319,BM$4,BM$5)"),"")</f>
        <v/>
      </c>
      <c r="BN118" s="534"/>
      <c r="BO1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5-3'!$D$11:$Q319,BO$4,BO$5)"),"")</f>
        <v/>
      </c>
      <c r="BP118" s="534"/>
      <c r="BQ1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5-3'!$D$11:$Q319,BQ$4,BQ$5)"),"")</f>
        <v/>
      </c>
      <c r="BR118" s="536"/>
      <c r="BS1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5-3'!$D$11:$Q319,BS$4,BS$5)"),"")</f>
        <v/>
      </c>
      <c r="BT118" s="534"/>
      <c r="BU118" s="534"/>
      <c r="BV118" s="534"/>
      <c r="BW118" s="534"/>
      <c r="BX1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5-3'!$D$11:$Q319,BX$4,BX$5)"),"")</f>
        <v/>
      </c>
      <c r="BY118" s="538"/>
      <c r="BZ1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5-3'!$D$11:$Q319,BZ$4,BZ$5)"),"")</f>
        <v/>
      </c>
      <c r="CA118" s="537"/>
      <c r="CB1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5-3'!$D$11:$Q319,CB$4,CB$5)"),"")</f>
        <v/>
      </c>
      <c r="CC118" s="537"/>
      <c r="CD1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5-3'!$D$11:$Q319,CD$4,CD$5)"),"")</f>
        <v/>
      </c>
      <c r="CE118" s="537"/>
      <c r="CF1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5-3'!$D$11:$Q319,CF$4,CF$5)"),"")</f>
        <v/>
      </c>
      <c r="CG118" s="539"/>
      <c r="CH1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5-3'!$D$11:$Q319,CH$4,CH$5)"),"")</f>
        <v/>
      </c>
      <c r="CI118" s="537"/>
      <c r="CJ118" s="537"/>
      <c r="CK118" s="537"/>
      <c r="CL118" s="537"/>
      <c r="CM1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5-3'!$D$11:$Q319,CM$4,CM$5)"),"")</f>
        <v/>
      </c>
      <c r="CN118" s="541"/>
      <c r="CO1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5-3'!$D$11:$Q319,CO$4,CO$5)"),"")</f>
        <v/>
      </c>
      <c r="CP118" s="540"/>
      <c r="CQ1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5-3'!$D$11:$Q319,CQ$4,CQ$5)"),"")</f>
        <v/>
      </c>
      <c r="CR118" s="540"/>
      <c r="CS1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5-3'!$D$11:$Q319,CS$4,CS$5)"),"")</f>
        <v/>
      </c>
      <c r="CT118" s="540"/>
      <c r="CU1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5-3'!$D$11:$Q319,CU$4,CU$5)"),"")</f>
        <v/>
      </c>
      <c r="CV118" s="545"/>
      <c r="CW1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5-3'!$D$11:$Q319,CW$4,CW$5)"),"")</f>
        <v/>
      </c>
      <c r="CX118" s="540"/>
      <c r="CY118" s="540"/>
      <c r="CZ118" s="540"/>
      <c r="DA118" s="540"/>
      <c r="DB1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5-3'!$D$11:$Q319,DB$4,DB$5)"),"")</f>
        <v/>
      </c>
      <c r="DC118" s="555"/>
      <c r="DD1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5-3'!$D$11:$Q319,DD$4,DD$5)"),"")</f>
        <v/>
      </c>
      <c r="DE118" s="554"/>
      <c r="DF1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5-3'!$D$11:$Q319,DF$4,DF$5)"),"")</f>
        <v/>
      </c>
      <c r="DG118" s="554"/>
      <c r="DH1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5-3'!$D$11:$Q319,DH$4,DH$5)"),"")</f>
        <v/>
      </c>
      <c r="DI118" s="554"/>
      <c r="DJ1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5-3'!$D$11:$Q319,DJ$4,DJ$5)"),"")</f>
        <v/>
      </c>
      <c r="DK118" s="566"/>
      <c r="DL1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5-3'!$D$11:$Q319,DL$4,DL$5)"),"")</f>
        <v/>
      </c>
      <c r="DM118" s="554"/>
      <c r="DN118" s="554"/>
      <c r="DO118" s="554"/>
      <c r="DP118" s="554"/>
      <c r="DQ1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5-3'!$D$11:$Q319,DQ$4,DQ$5)"),"")</f>
        <v/>
      </c>
      <c r="DR118" s="569"/>
      <c r="DS1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5-3'!$D$11:$Q319,DS$4,DS$5)"),"")</f>
        <v/>
      </c>
      <c r="DT118" s="568"/>
      <c r="DU1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5-3'!$D$11:$Q319,DU$4,DU$5)"),"")</f>
        <v/>
      </c>
      <c r="DV118" s="568"/>
      <c r="DW1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5-3'!$D$11:$Q319,DW$4,DW$5)"),"")</f>
        <v/>
      </c>
      <c r="DX118" s="568"/>
      <c r="DY1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5-3'!$D$11:$Q319,DY$4,DY$5)"),"")</f>
        <v/>
      </c>
      <c r="DZ118" s="578"/>
      <c r="EA1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$C118, 'S-10 Топ 5-3'!$D$11:$Q319,EA$4,EA$5)"),"")</f>
        <v/>
      </c>
      <c r="EB118" s="568"/>
      <c r="EC118" s="568"/>
      <c r="ED118" s="568"/>
      <c r="EE118" s="568"/>
    </row>
    <row r="119">
      <c r="A119" s="519" t="str">
        <f t="shared" si="1"/>
        <v/>
      </c>
      <c r="B119" s="520" t="str">
        <f>'5-0 Товары'!B119</f>
        <v/>
      </c>
      <c r="C119" s="521" t="str">
        <f>'5-1 Сбор КП Закупки'!C119</f>
        <v/>
      </c>
      <c r="D119" s="521" t="str">
        <f>'5-1 Сбор КП Закупки'!D119</f>
        <v/>
      </c>
      <c r="E119" s="521" t="str">
        <f>'5-1 Сбор КП Закупки'!E119</f>
        <v/>
      </c>
      <c r="F119" s="521" t="str">
        <f>'5-1 Сбор КП Закупки'!F119</f>
        <v/>
      </c>
      <c r="G119" s="522" t="str">
        <f>'5-1 Сбор КП Закупки'!G119</f>
        <v/>
      </c>
      <c r="H119" s="522" t="str">
        <f>'5-1 Сбор КП Закупки'!H119</f>
        <v/>
      </c>
      <c r="I119" s="522" t="str">
        <f>'5-1 Сбор КП Закупки'!I119</f>
        <v/>
      </c>
      <c r="J119" s="197"/>
      <c r="K119" s="522" t="str">
        <f>'5-1 Сбор КП Закупки'!G119</f>
        <v/>
      </c>
      <c r="L119" s="523" t="str">
        <f>IF(A119="Да",'5-1 Сбор КП Закупки'!K119,)</f>
        <v/>
      </c>
      <c r="M119" s="197"/>
      <c r="N119" s="197"/>
      <c r="O119" s="197"/>
      <c r="P119" s="525" t="str">
        <f>'5-1 Сбор КП Закупки'!P119</f>
        <v/>
      </c>
      <c r="Q119" s="197"/>
      <c r="R119" s="197"/>
      <c r="S119" s="197"/>
      <c r="T119" s="197"/>
      <c r="U119" s="197"/>
      <c r="V119" s="197"/>
      <c r="W119" s="522" t="str">
        <f>'5-1 Сбор КП Закупки'!O119</f>
        <v/>
      </c>
      <c r="X119" s="197"/>
      <c r="Y119" s="197"/>
      <c r="Z119" s="197"/>
      <c r="AA119" s="197"/>
      <c r="AB119" s="197">
        <v>0.0</v>
      </c>
      <c r="AC119" s="197"/>
      <c r="AD119" s="197"/>
      <c r="AE1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5-3'!$D$11:$Q319,AE$4,AE$5)"),"")</f>
        <v/>
      </c>
      <c r="AF119" s="528"/>
      <c r="AG1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5-3'!$D$11:$Q319,AG$4,AG$5)"),"")</f>
        <v/>
      </c>
      <c r="AH119" s="527"/>
      <c r="AI1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5-3'!$D$11:$Q319,AI$4,AI$5)"),"")</f>
        <v/>
      </c>
      <c r="AJ119" s="527"/>
      <c r="AK1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5-3'!$D$11:$Q319,AK$4,AK$5)"),"")</f>
        <v/>
      </c>
      <c r="AL119" s="527"/>
      <c r="AM1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5-3'!$D$11:$Q319,AM$4,AM$5)"),"")</f>
        <v/>
      </c>
      <c r="AN119" s="529"/>
      <c r="AO1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5-3'!$D$11:$Q319,AO$4,AO$5)"),"")</f>
        <v/>
      </c>
      <c r="AP119" s="527"/>
      <c r="AQ119" s="527"/>
      <c r="AR119" s="527"/>
      <c r="AS119" s="527"/>
      <c r="AT1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5-3'!$D$11:$Q319,AT$4,AT$5)"),"")</f>
        <v/>
      </c>
      <c r="AU119" s="531"/>
      <c r="AV1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5-3'!$D$11:$Q319,AV$4,AV$5)"),"")</f>
        <v/>
      </c>
      <c r="AW119" s="530"/>
      <c r="AX1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5-3'!$D$11:$Q319,AX$4,AX$5)"),"")</f>
        <v/>
      </c>
      <c r="AY119" s="530"/>
      <c r="AZ1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5-3'!$D$11:$Q319,AZ$4,AZ$5)"),"")</f>
        <v/>
      </c>
      <c r="BA119" s="530"/>
      <c r="BB1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5-3'!$D$11:$Q319,BB$4,BB$5)"),"")</f>
        <v/>
      </c>
      <c r="BC119" s="532"/>
      <c r="BD1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5-3'!$D$11:$Q319,BD$4,BD$5)"),"")</f>
        <v/>
      </c>
      <c r="BE119" s="530"/>
      <c r="BF119" s="530"/>
      <c r="BG119" s="530"/>
      <c r="BH119" s="530"/>
      <c r="BI1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5-3'!$D$11:$Q319,BI$4,BI$5)"),"")</f>
        <v/>
      </c>
      <c r="BJ119" s="535"/>
      <c r="BK1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5-3'!$D$11:$Q319,BK$4,BK$5)"),"")</f>
        <v/>
      </c>
      <c r="BL119" s="534"/>
      <c r="BM1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5-3'!$D$11:$Q319,BM$4,BM$5)"),"")</f>
        <v/>
      </c>
      <c r="BN119" s="534"/>
      <c r="BO1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5-3'!$D$11:$Q319,BO$4,BO$5)"),"")</f>
        <v/>
      </c>
      <c r="BP119" s="534"/>
      <c r="BQ1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5-3'!$D$11:$Q319,BQ$4,BQ$5)"),"")</f>
        <v/>
      </c>
      <c r="BR119" s="536"/>
      <c r="BS1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5-3'!$D$11:$Q319,BS$4,BS$5)"),"")</f>
        <v/>
      </c>
      <c r="BT119" s="534"/>
      <c r="BU119" s="534"/>
      <c r="BV119" s="534"/>
      <c r="BW119" s="534"/>
      <c r="BX1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5-3'!$D$11:$Q319,BX$4,BX$5)"),"")</f>
        <v/>
      </c>
      <c r="BY119" s="538"/>
      <c r="BZ1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5-3'!$D$11:$Q319,BZ$4,BZ$5)"),"")</f>
        <v/>
      </c>
      <c r="CA119" s="537"/>
      <c r="CB1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5-3'!$D$11:$Q319,CB$4,CB$5)"),"")</f>
        <v/>
      </c>
      <c r="CC119" s="537"/>
      <c r="CD1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5-3'!$D$11:$Q319,CD$4,CD$5)"),"")</f>
        <v/>
      </c>
      <c r="CE119" s="537"/>
      <c r="CF1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5-3'!$D$11:$Q319,CF$4,CF$5)"),"")</f>
        <v/>
      </c>
      <c r="CG119" s="539"/>
      <c r="CH1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5-3'!$D$11:$Q319,CH$4,CH$5)"),"")</f>
        <v/>
      </c>
      <c r="CI119" s="537"/>
      <c r="CJ119" s="537"/>
      <c r="CK119" s="537"/>
      <c r="CL119" s="537"/>
      <c r="CM1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5-3'!$D$11:$Q319,CM$4,CM$5)"),"")</f>
        <v/>
      </c>
      <c r="CN119" s="541"/>
      <c r="CO1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5-3'!$D$11:$Q319,CO$4,CO$5)"),"")</f>
        <v/>
      </c>
      <c r="CP119" s="540"/>
      <c r="CQ1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5-3'!$D$11:$Q319,CQ$4,CQ$5)"),"")</f>
        <v/>
      </c>
      <c r="CR119" s="540"/>
      <c r="CS1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5-3'!$D$11:$Q319,CS$4,CS$5)"),"")</f>
        <v/>
      </c>
      <c r="CT119" s="540"/>
      <c r="CU1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5-3'!$D$11:$Q319,CU$4,CU$5)"),"")</f>
        <v/>
      </c>
      <c r="CV119" s="545"/>
      <c r="CW1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5-3'!$D$11:$Q319,CW$4,CW$5)"),"")</f>
        <v/>
      </c>
      <c r="CX119" s="540"/>
      <c r="CY119" s="540"/>
      <c r="CZ119" s="540"/>
      <c r="DA119" s="540"/>
      <c r="DB1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5-3'!$D$11:$Q319,DB$4,DB$5)"),"")</f>
        <v/>
      </c>
      <c r="DC119" s="555"/>
      <c r="DD1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5-3'!$D$11:$Q319,DD$4,DD$5)"),"")</f>
        <v/>
      </c>
      <c r="DE119" s="554"/>
      <c r="DF1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5-3'!$D$11:$Q319,DF$4,DF$5)"),"")</f>
        <v/>
      </c>
      <c r="DG119" s="554"/>
      <c r="DH1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5-3'!$D$11:$Q319,DH$4,DH$5)"),"")</f>
        <v/>
      </c>
      <c r="DI119" s="554"/>
      <c r="DJ1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5-3'!$D$11:$Q319,DJ$4,DJ$5)"),"")</f>
        <v/>
      </c>
      <c r="DK119" s="566"/>
      <c r="DL1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5-3'!$D$11:$Q319,DL$4,DL$5)"),"")</f>
        <v/>
      </c>
      <c r="DM119" s="554"/>
      <c r="DN119" s="554"/>
      <c r="DO119" s="554"/>
      <c r="DP119" s="554"/>
      <c r="DQ1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5-3'!$D$11:$Q319,DQ$4,DQ$5)"),"")</f>
        <v/>
      </c>
      <c r="DR119" s="569"/>
      <c r="DS1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5-3'!$D$11:$Q319,DS$4,DS$5)"),"")</f>
        <v/>
      </c>
      <c r="DT119" s="568"/>
      <c r="DU1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5-3'!$D$11:$Q319,DU$4,DU$5)"),"")</f>
        <v/>
      </c>
      <c r="DV119" s="568"/>
      <c r="DW1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5-3'!$D$11:$Q319,DW$4,DW$5)"),"")</f>
        <v/>
      </c>
      <c r="DX119" s="568"/>
      <c r="DY1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5-3'!$D$11:$Q319,DY$4,DY$5)"),"")</f>
        <v/>
      </c>
      <c r="DZ119" s="578"/>
      <c r="EA1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$C119, 'S-10 Топ 5-3'!$D$11:$Q319,EA$4,EA$5)"),"")</f>
        <v/>
      </c>
      <c r="EB119" s="568"/>
      <c r="EC119" s="568"/>
      <c r="ED119" s="568"/>
      <c r="EE119" s="568"/>
    </row>
    <row r="120">
      <c r="A120" s="519" t="str">
        <f t="shared" si="1"/>
        <v/>
      </c>
      <c r="B120" s="520" t="str">
        <f>'5-0 Товары'!B120</f>
        <v/>
      </c>
      <c r="C120" s="521" t="str">
        <f>'5-1 Сбор КП Закупки'!C120</f>
        <v/>
      </c>
      <c r="D120" s="521" t="str">
        <f>'5-1 Сбор КП Закупки'!D120</f>
        <v/>
      </c>
      <c r="E120" s="521" t="str">
        <f>'5-1 Сбор КП Закупки'!E120</f>
        <v/>
      </c>
      <c r="F120" s="521" t="str">
        <f>'5-1 Сбор КП Закупки'!F120</f>
        <v/>
      </c>
      <c r="G120" s="522" t="str">
        <f>'5-1 Сбор КП Закупки'!G120</f>
        <v/>
      </c>
      <c r="H120" s="522" t="str">
        <f>'5-1 Сбор КП Закупки'!H120</f>
        <v/>
      </c>
      <c r="I120" s="522" t="str">
        <f>'5-1 Сбор КП Закупки'!I120</f>
        <v/>
      </c>
      <c r="J120" s="197"/>
      <c r="K120" s="522" t="str">
        <f>'5-1 Сбор КП Закупки'!G120</f>
        <v/>
      </c>
      <c r="L120" s="523" t="str">
        <f>IF(A120="Да",'5-1 Сбор КП Закупки'!K120,)</f>
        <v/>
      </c>
      <c r="M120" s="197"/>
      <c r="N120" s="197"/>
      <c r="O120" s="197"/>
      <c r="P120" s="525" t="str">
        <f>'5-1 Сбор КП Закупки'!P120</f>
        <v/>
      </c>
      <c r="Q120" s="197"/>
      <c r="R120" s="197"/>
      <c r="S120" s="197"/>
      <c r="T120" s="197"/>
      <c r="U120" s="197"/>
      <c r="V120" s="197"/>
      <c r="W120" s="522" t="str">
        <f>'5-1 Сбор КП Закупки'!O120</f>
        <v/>
      </c>
      <c r="X120" s="197"/>
      <c r="Y120" s="197"/>
      <c r="Z120" s="197"/>
      <c r="AA120" s="197"/>
      <c r="AB120" s="197">
        <v>0.0</v>
      </c>
      <c r="AC120" s="197"/>
      <c r="AD120" s="197"/>
      <c r="AE1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5-3'!$D$11:$Q319,AE$4,AE$5)"),"")</f>
        <v/>
      </c>
      <c r="AF120" s="528"/>
      <c r="AG1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5-3'!$D$11:$Q319,AG$4,AG$5)"),"")</f>
        <v/>
      </c>
      <c r="AH120" s="527"/>
      <c r="AI1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5-3'!$D$11:$Q319,AI$4,AI$5)"),"")</f>
        <v/>
      </c>
      <c r="AJ120" s="527"/>
      <c r="AK1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5-3'!$D$11:$Q319,AK$4,AK$5)"),"")</f>
        <v/>
      </c>
      <c r="AL120" s="527"/>
      <c r="AM1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5-3'!$D$11:$Q319,AM$4,AM$5)"),"")</f>
        <v/>
      </c>
      <c r="AN120" s="529"/>
      <c r="AO1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5-3'!$D$11:$Q319,AO$4,AO$5)"),"")</f>
        <v/>
      </c>
      <c r="AP120" s="527"/>
      <c r="AQ120" s="527"/>
      <c r="AR120" s="527"/>
      <c r="AS120" s="527"/>
      <c r="AT1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5-3'!$D$11:$Q319,AT$4,AT$5)"),"")</f>
        <v/>
      </c>
      <c r="AU120" s="531"/>
      <c r="AV1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5-3'!$D$11:$Q319,AV$4,AV$5)"),"")</f>
        <v/>
      </c>
      <c r="AW120" s="530"/>
      <c r="AX1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5-3'!$D$11:$Q319,AX$4,AX$5)"),"")</f>
        <v/>
      </c>
      <c r="AY120" s="530"/>
      <c r="AZ1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5-3'!$D$11:$Q319,AZ$4,AZ$5)"),"")</f>
        <v/>
      </c>
      <c r="BA120" s="530"/>
      <c r="BB1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5-3'!$D$11:$Q319,BB$4,BB$5)"),"")</f>
        <v/>
      </c>
      <c r="BC120" s="532"/>
      <c r="BD1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5-3'!$D$11:$Q319,BD$4,BD$5)"),"")</f>
        <v/>
      </c>
      <c r="BE120" s="530"/>
      <c r="BF120" s="530"/>
      <c r="BG120" s="530"/>
      <c r="BH120" s="530"/>
      <c r="BI1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5-3'!$D$11:$Q319,BI$4,BI$5)"),"")</f>
        <v/>
      </c>
      <c r="BJ120" s="535"/>
      <c r="BK1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5-3'!$D$11:$Q319,BK$4,BK$5)"),"")</f>
        <v/>
      </c>
      <c r="BL120" s="534"/>
      <c r="BM1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5-3'!$D$11:$Q319,BM$4,BM$5)"),"")</f>
        <v/>
      </c>
      <c r="BN120" s="534"/>
      <c r="BO1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5-3'!$D$11:$Q319,BO$4,BO$5)"),"")</f>
        <v/>
      </c>
      <c r="BP120" s="534"/>
      <c r="BQ1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5-3'!$D$11:$Q319,BQ$4,BQ$5)"),"")</f>
        <v/>
      </c>
      <c r="BR120" s="536"/>
      <c r="BS1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5-3'!$D$11:$Q319,BS$4,BS$5)"),"")</f>
        <v/>
      </c>
      <c r="BT120" s="534"/>
      <c r="BU120" s="534"/>
      <c r="BV120" s="534"/>
      <c r="BW120" s="534"/>
      <c r="BX1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5-3'!$D$11:$Q319,BX$4,BX$5)"),"")</f>
        <v/>
      </c>
      <c r="BY120" s="538"/>
      <c r="BZ1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5-3'!$D$11:$Q319,BZ$4,BZ$5)"),"")</f>
        <v/>
      </c>
      <c r="CA120" s="537"/>
      <c r="CB1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5-3'!$D$11:$Q319,CB$4,CB$5)"),"")</f>
        <v/>
      </c>
      <c r="CC120" s="537"/>
      <c r="CD1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5-3'!$D$11:$Q319,CD$4,CD$5)"),"")</f>
        <v/>
      </c>
      <c r="CE120" s="537"/>
      <c r="CF1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5-3'!$D$11:$Q319,CF$4,CF$5)"),"")</f>
        <v/>
      </c>
      <c r="CG120" s="539"/>
      <c r="CH1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5-3'!$D$11:$Q319,CH$4,CH$5)"),"")</f>
        <v/>
      </c>
      <c r="CI120" s="537"/>
      <c r="CJ120" s="537"/>
      <c r="CK120" s="537"/>
      <c r="CL120" s="537"/>
      <c r="CM1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5-3'!$D$11:$Q319,CM$4,CM$5)"),"")</f>
        <v/>
      </c>
      <c r="CN120" s="541"/>
      <c r="CO1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5-3'!$D$11:$Q319,CO$4,CO$5)"),"")</f>
        <v/>
      </c>
      <c r="CP120" s="540"/>
      <c r="CQ1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5-3'!$D$11:$Q319,CQ$4,CQ$5)"),"")</f>
        <v/>
      </c>
      <c r="CR120" s="540"/>
      <c r="CS1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5-3'!$D$11:$Q319,CS$4,CS$5)"),"")</f>
        <v/>
      </c>
      <c r="CT120" s="540"/>
      <c r="CU1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5-3'!$D$11:$Q319,CU$4,CU$5)"),"")</f>
        <v/>
      </c>
      <c r="CV120" s="545"/>
      <c r="CW1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5-3'!$D$11:$Q319,CW$4,CW$5)"),"")</f>
        <v/>
      </c>
      <c r="CX120" s="540"/>
      <c r="CY120" s="540"/>
      <c r="CZ120" s="540"/>
      <c r="DA120" s="540"/>
      <c r="DB1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5-3'!$D$11:$Q319,DB$4,DB$5)"),"")</f>
        <v/>
      </c>
      <c r="DC120" s="555"/>
      <c r="DD1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5-3'!$D$11:$Q319,DD$4,DD$5)"),"")</f>
        <v/>
      </c>
      <c r="DE120" s="554"/>
      <c r="DF1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5-3'!$D$11:$Q319,DF$4,DF$5)"),"")</f>
        <v/>
      </c>
      <c r="DG120" s="554"/>
      <c r="DH1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5-3'!$D$11:$Q319,DH$4,DH$5)"),"")</f>
        <v/>
      </c>
      <c r="DI120" s="554"/>
      <c r="DJ1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5-3'!$D$11:$Q319,DJ$4,DJ$5)"),"")</f>
        <v/>
      </c>
      <c r="DK120" s="566"/>
      <c r="DL1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5-3'!$D$11:$Q319,DL$4,DL$5)"),"")</f>
        <v/>
      </c>
      <c r="DM120" s="554"/>
      <c r="DN120" s="554"/>
      <c r="DO120" s="554"/>
      <c r="DP120" s="554"/>
      <c r="DQ1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5-3'!$D$11:$Q319,DQ$4,DQ$5)"),"")</f>
        <v/>
      </c>
      <c r="DR120" s="569"/>
      <c r="DS1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5-3'!$D$11:$Q319,DS$4,DS$5)"),"")</f>
        <v/>
      </c>
      <c r="DT120" s="568"/>
      <c r="DU1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5-3'!$D$11:$Q319,DU$4,DU$5)"),"")</f>
        <v/>
      </c>
      <c r="DV120" s="568"/>
      <c r="DW1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5-3'!$D$11:$Q319,DW$4,DW$5)"),"")</f>
        <v/>
      </c>
      <c r="DX120" s="568"/>
      <c r="DY1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5-3'!$D$11:$Q319,DY$4,DY$5)"),"")</f>
        <v/>
      </c>
      <c r="DZ120" s="578"/>
      <c r="EA1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$C120, 'S-10 Топ 5-3'!$D$11:$Q319,EA$4,EA$5)"),"")</f>
        <v/>
      </c>
      <c r="EB120" s="568"/>
      <c r="EC120" s="568"/>
      <c r="ED120" s="568"/>
      <c r="EE120" s="568"/>
    </row>
    <row r="121">
      <c r="A121" s="519" t="str">
        <f t="shared" si="1"/>
        <v/>
      </c>
      <c r="B121" s="520" t="str">
        <f>'5-0 Товары'!B121</f>
        <v/>
      </c>
      <c r="C121" s="521" t="str">
        <f>'5-1 Сбор КП Закупки'!C121</f>
        <v/>
      </c>
      <c r="D121" s="521" t="str">
        <f>'5-1 Сбор КП Закупки'!D121</f>
        <v/>
      </c>
      <c r="E121" s="521" t="str">
        <f>'5-1 Сбор КП Закупки'!E121</f>
        <v/>
      </c>
      <c r="F121" s="521" t="str">
        <f>'5-1 Сбор КП Закупки'!F121</f>
        <v/>
      </c>
      <c r="G121" s="522" t="str">
        <f>'5-1 Сбор КП Закупки'!G121</f>
        <v/>
      </c>
      <c r="H121" s="522" t="str">
        <f>'5-1 Сбор КП Закупки'!H121</f>
        <v/>
      </c>
      <c r="I121" s="522" t="str">
        <f>'5-1 Сбор КП Закупки'!I121</f>
        <v/>
      </c>
      <c r="J121" s="197"/>
      <c r="K121" s="522" t="str">
        <f>'5-1 Сбор КП Закупки'!G121</f>
        <v/>
      </c>
      <c r="L121" s="523" t="str">
        <f>IF(A121="Да",'5-1 Сбор КП Закупки'!K121,)</f>
        <v/>
      </c>
      <c r="M121" s="197"/>
      <c r="N121" s="197"/>
      <c r="O121" s="197"/>
      <c r="P121" s="525" t="str">
        <f>'5-1 Сбор КП Закупки'!P121</f>
        <v/>
      </c>
      <c r="Q121" s="197"/>
      <c r="R121" s="197"/>
      <c r="S121" s="197"/>
      <c r="T121" s="197"/>
      <c r="U121" s="197"/>
      <c r="V121" s="197"/>
      <c r="W121" s="522" t="str">
        <f>'5-1 Сбор КП Закупки'!O121</f>
        <v/>
      </c>
      <c r="X121" s="197"/>
      <c r="Y121" s="197"/>
      <c r="Z121" s="197"/>
      <c r="AA121" s="197"/>
      <c r="AB121" s="197">
        <v>0.0</v>
      </c>
      <c r="AC121" s="197"/>
      <c r="AD121" s="197"/>
      <c r="AE1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5-3'!$D$11:$Q319,AE$4,AE$5)"),"")</f>
        <v/>
      </c>
      <c r="AF121" s="528"/>
      <c r="AG1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5-3'!$D$11:$Q319,AG$4,AG$5)"),"")</f>
        <v/>
      </c>
      <c r="AH121" s="527"/>
      <c r="AI1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5-3'!$D$11:$Q319,AI$4,AI$5)"),"")</f>
        <v/>
      </c>
      <c r="AJ121" s="527"/>
      <c r="AK1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5-3'!$D$11:$Q319,AK$4,AK$5)"),"")</f>
        <v/>
      </c>
      <c r="AL121" s="527"/>
      <c r="AM1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5-3'!$D$11:$Q319,AM$4,AM$5)"),"")</f>
        <v/>
      </c>
      <c r="AN121" s="529"/>
      <c r="AO1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5-3'!$D$11:$Q319,AO$4,AO$5)"),"")</f>
        <v/>
      </c>
      <c r="AP121" s="527"/>
      <c r="AQ121" s="527"/>
      <c r="AR121" s="527"/>
      <c r="AS121" s="527"/>
      <c r="AT1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5-3'!$D$11:$Q319,AT$4,AT$5)"),"")</f>
        <v/>
      </c>
      <c r="AU121" s="531"/>
      <c r="AV1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5-3'!$D$11:$Q319,AV$4,AV$5)"),"")</f>
        <v/>
      </c>
      <c r="AW121" s="530"/>
      <c r="AX1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5-3'!$D$11:$Q319,AX$4,AX$5)"),"")</f>
        <v/>
      </c>
      <c r="AY121" s="530"/>
      <c r="AZ1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5-3'!$D$11:$Q319,AZ$4,AZ$5)"),"")</f>
        <v/>
      </c>
      <c r="BA121" s="530"/>
      <c r="BB1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5-3'!$D$11:$Q319,BB$4,BB$5)"),"")</f>
        <v/>
      </c>
      <c r="BC121" s="532"/>
      <c r="BD1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5-3'!$D$11:$Q319,BD$4,BD$5)"),"")</f>
        <v/>
      </c>
      <c r="BE121" s="530"/>
      <c r="BF121" s="530"/>
      <c r="BG121" s="530"/>
      <c r="BH121" s="530"/>
      <c r="BI1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5-3'!$D$11:$Q319,BI$4,BI$5)"),"")</f>
        <v/>
      </c>
      <c r="BJ121" s="535"/>
      <c r="BK1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5-3'!$D$11:$Q319,BK$4,BK$5)"),"")</f>
        <v/>
      </c>
      <c r="BL121" s="534"/>
      <c r="BM1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5-3'!$D$11:$Q319,BM$4,BM$5)"),"")</f>
        <v/>
      </c>
      <c r="BN121" s="534"/>
      <c r="BO1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5-3'!$D$11:$Q319,BO$4,BO$5)"),"")</f>
        <v/>
      </c>
      <c r="BP121" s="534"/>
      <c r="BQ1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5-3'!$D$11:$Q319,BQ$4,BQ$5)"),"")</f>
        <v/>
      </c>
      <c r="BR121" s="536"/>
      <c r="BS1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5-3'!$D$11:$Q319,BS$4,BS$5)"),"")</f>
        <v/>
      </c>
      <c r="BT121" s="534"/>
      <c r="BU121" s="534"/>
      <c r="BV121" s="534"/>
      <c r="BW121" s="534"/>
      <c r="BX1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5-3'!$D$11:$Q319,BX$4,BX$5)"),"")</f>
        <v/>
      </c>
      <c r="BY121" s="538"/>
      <c r="BZ1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5-3'!$D$11:$Q319,BZ$4,BZ$5)"),"")</f>
        <v/>
      </c>
      <c r="CA121" s="537"/>
      <c r="CB1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5-3'!$D$11:$Q319,CB$4,CB$5)"),"")</f>
        <v/>
      </c>
      <c r="CC121" s="537"/>
      <c r="CD1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5-3'!$D$11:$Q319,CD$4,CD$5)"),"")</f>
        <v/>
      </c>
      <c r="CE121" s="537"/>
      <c r="CF1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5-3'!$D$11:$Q319,CF$4,CF$5)"),"")</f>
        <v/>
      </c>
      <c r="CG121" s="539"/>
      <c r="CH1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5-3'!$D$11:$Q319,CH$4,CH$5)"),"")</f>
        <v/>
      </c>
      <c r="CI121" s="537"/>
      <c r="CJ121" s="537"/>
      <c r="CK121" s="537"/>
      <c r="CL121" s="537"/>
      <c r="CM1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5-3'!$D$11:$Q319,CM$4,CM$5)"),"")</f>
        <v/>
      </c>
      <c r="CN121" s="541"/>
      <c r="CO1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5-3'!$D$11:$Q319,CO$4,CO$5)"),"")</f>
        <v/>
      </c>
      <c r="CP121" s="540"/>
      <c r="CQ1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5-3'!$D$11:$Q319,CQ$4,CQ$5)"),"")</f>
        <v/>
      </c>
      <c r="CR121" s="540"/>
      <c r="CS1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5-3'!$D$11:$Q319,CS$4,CS$5)"),"")</f>
        <v/>
      </c>
      <c r="CT121" s="540"/>
      <c r="CU1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5-3'!$D$11:$Q319,CU$4,CU$5)"),"")</f>
        <v/>
      </c>
      <c r="CV121" s="545"/>
      <c r="CW1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5-3'!$D$11:$Q319,CW$4,CW$5)"),"")</f>
        <v/>
      </c>
      <c r="CX121" s="540"/>
      <c r="CY121" s="540"/>
      <c r="CZ121" s="540"/>
      <c r="DA121" s="540"/>
      <c r="DB1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5-3'!$D$11:$Q319,DB$4,DB$5)"),"")</f>
        <v/>
      </c>
      <c r="DC121" s="555"/>
      <c r="DD1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5-3'!$D$11:$Q319,DD$4,DD$5)"),"")</f>
        <v/>
      </c>
      <c r="DE121" s="554"/>
      <c r="DF1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5-3'!$D$11:$Q319,DF$4,DF$5)"),"")</f>
        <v/>
      </c>
      <c r="DG121" s="554"/>
      <c r="DH1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5-3'!$D$11:$Q319,DH$4,DH$5)"),"")</f>
        <v/>
      </c>
      <c r="DI121" s="554"/>
      <c r="DJ1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5-3'!$D$11:$Q319,DJ$4,DJ$5)"),"")</f>
        <v/>
      </c>
      <c r="DK121" s="566"/>
      <c r="DL1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5-3'!$D$11:$Q319,DL$4,DL$5)"),"")</f>
        <v/>
      </c>
      <c r="DM121" s="554"/>
      <c r="DN121" s="554"/>
      <c r="DO121" s="554"/>
      <c r="DP121" s="554"/>
      <c r="DQ1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5-3'!$D$11:$Q319,DQ$4,DQ$5)"),"")</f>
        <v/>
      </c>
      <c r="DR121" s="569"/>
      <c r="DS1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5-3'!$D$11:$Q319,DS$4,DS$5)"),"")</f>
        <v/>
      </c>
      <c r="DT121" s="568"/>
      <c r="DU1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5-3'!$D$11:$Q319,DU$4,DU$5)"),"")</f>
        <v/>
      </c>
      <c r="DV121" s="568"/>
      <c r="DW1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5-3'!$D$11:$Q319,DW$4,DW$5)"),"")</f>
        <v/>
      </c>
      <c r="DX121" s="568"/>
      <c r="DY1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5-3'!$D$11:$Q319,DY$4,DY$5)"),"")</f>
        <v/>
      </c>
      <c r="DZ121" s="578"/>
      <c r="EA1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$C121, 'S-10 Топ 5-3'!$D$11:$Q319,EA$4,EA$5)"),"")</f>
        <v/>
      </c>
      <c r="EB121" s="568"/>
      <c r="EC121" s="568"/>
      <c r="ED121" s="568"/>
      <c r="EE121" s="568"/>
    </row>
    <row r="122">
      <c r="A122" s="519" t="str">
        <f t="shared" si="1"/>
        <v/>
      </c>
      <c r="B122" s="520" t="str">
        <f>'5-0 Товары'!B122</f>
        <v/>
      </c>
      <c r="C122" s="521" t="str">
        <f>'5-1 Сбор КП Закупки'!C122</f>
        <v/>
      </c>
      <c r="D122" s="521" t="str">
        <f>'5-1 Сбор КП Закупки'!D122</f>
        <v/>
      </c>
      <c r="E122" s="521" t="str">
        <f>'5-1 Сбор КП Закупки'!E122</f>
        <v/>
      </c>
      <c r="F122" s="521" t="str">
        <f>'5-1 Сбор КП Закупки'!F122</f>
        <v/>
      </c>
      <c r="G122" s="522" t="str">
        <f>'5-1 Сбор КП Закупки'!G122</f>
        <v/>
      </c>
      <c r="H122" s="522" t="str">
        <f>'5-1 Сбор КП Закупки'!H122</f>
        <v/>
      </c>
      <c r="I122" s="522" t="str">
        <f>'5-1 Сбор КП Закупки'!I122</f>
        <v/>
      </c>
      <c r="J122" s="197"/>
      <c r="K122" s="522" t="str">
        <f>'5-1 Сбор КП Закупки'!G122</f>
        <v/>
      </c>
      <c r="L122" s="523" t="str">
        <f>IF(A122="Да",'5-1 Сбор КП Закупки'!K122,)</f>
        <v/>
      </c>
      <c r="M122" s="197"/>
      <c r="N122" s="197"/>
      <c r="O122" s="197"/>
      <c r="P122" s="525" t="str">
        <f>'5-1 Сбор КП Закупки'!P122</f>
        <v/>
      </c>
      <c r="Q122" s="197"/>
      <c r="R122" s="197"/>
      <c r="S122" s="197"/>
      <c r="T122" s="197"/>
      <c r="U122" s="197"/>
      <c r="V122" s="197"/>
      <c r="W122" s="522" t="str">
        <f>'5-1 Сбор КП Закупки'!O122</f>
        <v/>
      </c>
      <c r="X122" s="197"/>
      <c r="Y122" s="197"/>
      <c r="Z122" s="197"/>
      <c r="AA122" s="197"/>
      <c r="AB122" s="197">
        <v>0.0</v>
      </c>
      <c r="AC122" s="197"/>
      <c r="AD122" s="197"/>
      <c r="AE1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5-3'!$D$11:$Q319,AE$4,AE$5)"),"")</f>
        <v/>
      </c>
      <c r="AF122" s="528"/>
      <c r="AG1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5-3'!$D$11:$Q319,AG$4,AG$5)"),"")</f>
        <v/>
      </c>
      <c r="AH122" s="527"/>
      <c r="AI1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5-3'!$D$11:$Q319,AI$4,AI$5)"),"")</f>
        <v/>
      </c>
      <c r="AJ122" s="527"/>
      <c r="AK1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5-3'!$D$11:$Q319,AK$4,AK$5)"),"")</f>
        <v/>
      </c>
      <c r="AL122" s="527"/>
      <c r="AM1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5-3'!$D$11:$Q319,AM$4,AM$5)"),"")</f>
        <v/>
      </c>
      <c r="AN122" s="529"/>
      <c r="AO1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5-3'!$D$11:$Q319,AO$4,AO$5)"),"")</f>
        <v/>
      </c>
      <c r="AP122" s="527"/>
      <c r="AQ122" s="527"/>
      <c r="AR122" s="527"/>
      <c r="AS122" s="527"/>
      <c r="AT1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5-3'!$D$11:$Q319,AT$4,AT$5)"),"")</f>
        <v/>
      </c>
      <c r="AU122" s="531"/>
      <c r="AV1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5-3'!$D$11:$Q319,AV$4,AV$5)"),"")</f>
        <v/>
      </c>
      <c r="AW122" s="530"/>
      <c r="AX1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5-3'!$D$11:$Q319,AX$4,AX$5)"),"")</f>
        <v/>
      </c>
      <c r="AY122" s="530"/>
      <c r="AZ1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5-3'!$D$11:$Q319,AZ$4,AZ$5)"),"")</f>
        <v/>
      </c>
      <c r="BA122" s="530"/>
      <c r="BB1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5-3'!$D$11:$Q319,BB$4,BB$5)"),"")</f>
        <v/>
      </c>
      <c r="BC122" s="532"/>
      <c r="BD1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5-3'!$D$11:$Q319,BD$4,BD$5)"),"")</f>
        <v/>
      </c>
      <c r="BE122" s="530"/>
      <c r="BF122" s="530"/>
      <c r="BG122" s="530"/>
      <c r="BH122" s="530"/>
      <c r="BI1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5-3'!$D$11:$Q319,BI$4,BI$5)"),"")</f>
        <v/>
      </c>
      <c r="BJ122" s="535"/>
      <c r="BK1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5-3'!$D$11:$Q319,BK$4,BK$5)"),"")</f>
        <v/>
      </c>
      <c r="BL122" s="534"/>
      <c r="BM1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5-3'!$D$11:$Q319,BM$4,BM$5)"),"")</f>
        <v/>
      </c>
      <c r="BN122" s="534"/>
      <c r="BO1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5-3'!$D$11:$Q319,BO$4,BO$5)"),"")</f>
        <v/>
      </c>
      <c r="BP122" s="534"/>
      <c r="BQ1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5-3'!$D$11:$Q319,BQ$4,BQ$5)"),"")</f>
        <v/>
      </c>
      <c r="BR122" s="536"/>
      <c r="BS1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5-3'!$D$11:$Q319,BS$4,BS$5)"),"")</f>
        <v/>
      </c>
      <c r="BT122" s="534"/>
      <c r="BU122" s="534"/>
      <c r="BV122" s="534"/>
      <c r="BW122" s="534"/>
      <c r="BX1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5-3'!$D$11:$Q319,BX$4,BX$5)"),"")</f>
        <v/>
      </c>
      <c r="BY122" s="538"/>
      <c r="BZ1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5-3'!$D$11:$Q319,BZ$4,BZ$5)"),"")</f>
        <v/>
      </c>
      <c r="CA122" s="537"/>
      <c r="CB1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5-3'!$D$11:$Q319,CB$4,CB$5)"),"")</f>
        <v/>
      </c>
      <c r="CC122" s="537"/>
      <c r="CD1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5-3'!$D$11:$Q319,CD$4,CD$5)"),"")</f>
        <v/>
      </c>
      <c r="CE122" s="537"/>
      <c r="CF1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5-3'!$D$11:$Q319,CF$4,CF$5)"),"")</f>
        <v/>
      </c>
      <c r="CG122" s="539"/>
      <c r="CH1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5-3'!$D$11:$Q319,CH$4,CH$5)"),"")</f>
        <v/>
      </c>
      <c r="CI122" s="537"/>
      <c r="CJ122" s="537"/>
      <c r="CK122" s="537"/>
      <c r="CL122" s="537"/>
      <c r="CM1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5-3'!$D$11:$Q319,CM$4,CM$5)"),"")</f>
        <v/>
      </c>
      <c r="CN122" s="541"/>
      <c r="CO1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5-3'!$D$11:$Q319,CO$4,CO$5)"),"")</f>
        <v/>
      </c>
      <c r="CP122" s="540"/>
      <c r="CQ1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5-3'!$D$11:$Q319,CQ$4,CQ$5)"),"")</f>
        <v/>
      </c>
      <c r="CR122" s="540"/>
      <c r="CS1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5-3'!$D$11:$Q319,CS$4,CS$5)"),"")</f>
        <v/>
      </c>
      <c r="CT122" s="540"/>
      <c r="CU1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5-3'!$D$11:$Q319,CU$4,CU$5)"),"")</f>
        <v/>
      </c>
      <c r="CV122" s="545"/>
      <c r="CW1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5-3'!$D$11:$Q319,CW$4,CW$5)"),"")</f>
        <v/>
      </c>
      <c r="CX122" s="540"/>
      <c r="CY122" s="540"/>
      <c r="CZ122" s="540"/>
      <c r="DA122" s="540"/>
      <c r="DB1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5-3'!$D$11:$Q319,DB$4,DB$5)"),"")</f>
        <v/>
      </c>
      <c r="DC122" s="555"/>
      <c r="DD1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5-3'!$D$11:$Q319,DD$4,DD$5)"),"")</f>
        <v/>
      </c>
      <c r="DE122" s="554"/>
      <c r="DF1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5-3'!$D$11:$Q319,DF$4,DF$5)"),"")</f>
        <v/>
      </c>
      <c r="DG122" s="554"/>
      <c r="DH1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5-3'!$D$11:$Q319,DH$4,DH$5)"),"")</f>
        <v/>
      </c>
      <c r="DI122" s="554"/>
      <c r="DJ1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5-3'!$D$11:$Q319,DJ$4,DJ$5)"),"")</f>
        <v/>
      </c>
      <c r="DK122" s="566"/>
      <c r="DL1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5-3'!$D$11:$Q319,DL$4,DL$5)"),"")</f>
        <v/>
      </c>
      <c r="DM122" s="554"/>
      <c r="DN122" s="554"/>
      <c r="DO122" s="554"/>
      <c r="DP122" s="554"/>
      <c r="DQ1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5-3'!$D$11:$Q319,DQ$4,DQ$5)"),"")</f>
        <v/>
      </c>
      <c r="DR122" s="569"/>
      <c r="DS1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5-3'!$D$11:$Q319,DS$4,DS$5)"),"")</f>
        <v/>
      </c>
      <c r="DT122" s="568"/>
      <c r="DU1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5-3'!$D$11:$Q319,DU$4,DU$5)"),"")</f>
        <v/>
      </c>
      <c r="DV122" s="568"/>
      <c r="DW1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5-3'!$D$11:$Q319,DW$4,DW$5)"),"")</f>
        <v/>
      </c>
      <c r="DX122" s="568"/>
      <c r="DY1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5-3'!$D$11:$Q319,DY$4,DY$5)"),"")</f>
        <v/>
      </c>
      <c r="DZ122" s="578"/>
      <c r="EA1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$C122, 'S-10 Топ 5-3'!$D$11:$Q319,EA$4,EA$5)"),"")</f>
        <v/>
      </c>
      <c r="EB122" s="568"/>
      <c r="EC122" s="568"/>
      <c r="ED122" s="568"/>
      <c r="EE122" s="568"/>
    </row>
    <row r="123">
      <c r="A123" s="519" t="str">
        <f t="shared" si="1"/>
        <v/>
      </c>
      <c r="B123" s="520" t="str">
        <f>'5-0 Товары'!B123</f>
        <v/>
      </c>
      <c r="C123" s="521" t="str">
        <f>'5-1 Сбор КП Закупки'!C123</f>
        <v/>
      </c>
      <c r="D123" s="521" t="str">
        <f>'5-1 Сбор КП Закупки'!D123</f>
        <v/>
      </c>
      <c r="E123" s="521" t="str">
        <f>'5-1 Сбор КП Закупки'!E123</f>
        <v/>
      </c>
      <c r="F123" s="521" t="str">
        <f>'5-1 Сбор КП Закупки'!F123</f>
        <v/>
      </c>
      <c r="G123" s="522" t="str">
        <f>'5-1 Сбор КП Закупки'!G123</f>
        <v/>
      </c>
      <c r="H123" s="522" t="str">
        <f>'5-1 Сбор КП Закупки'!H123</f>
        <v/>
      </c>
      <c r="I123" s="522" t="str">
        <f>'5-1 Сбор КП Закупки'!I123</f>
        <v/>
      </c>
      <c r="J123" s="197"/>
      <c r="K123" s="522" t="str">
        <f>'5-1 Сбор КП Закупки'!G123</f>
        <v/>
      </c>
      <c r="L123" s="523" t="str">
        <f>IF(A123="Да",'5-1 Сбор КП Закупки'!K123,)</f>
        <v/>
      </c>
      <c r="M123" s="197"/>
      <c r="N123" s="197"/>
      <c r="O123" s="197"/>
      <c r="P123" s="525" t="str">
        <f>'5-1 Сбор КП Закупки'!P123</f>
        <v/>
      </c>
      <c r="Q123" s="197"/>
      <c r="R123" s="197"/>
      <c r="S123" s="197"/>
      <c r="T123" s="197"/>
      <c r="U123" s="197"/>
      <c r="V123" s="197"/>
      <c r="W123" s="522" t="str">
        <f>'5-1 Сбор КП Закупки'!O123</f>
        <v/>
      </c>
      <c r="X123" s="197"/>
      <c r="Y123" s="197"/>
      <c r="Z123" s="197"/>
      <c r="AA123" s="197"/>
      <c r="AB123" s="197">
        <v>0.0</v>
      </c>
      <c r="AC123" s="197"/>
      <c r="AD123" s="197"/>
      <c r="AE1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5-3'!$D$11:$Q319,AE$4,AE$5)"),"")</f>
        <v/>
      </c>
      <c r="AF123" s="528"/>
      <c r="AG1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5-3'!$D$11:$Q319,AG$4,AG$5)"),"")</f>
        <v/>
      </c>
      <c r="AH123" s="527"/>
      <c r="AI1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5-3'!$D$11:$Q319,AI$4,AI$5)"),"")</f>
        <v/>
      </c>
      <c r="AJ123" s="527"/>
      <c r="AK1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5-3'!$D$11:$Q319,AK$4,AK$5)"),"")</f>
        <v/>
      </c>
      <c r="AL123" s="527"/>
      <c r="AM1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5-3'!$D$11:$Q319,AM$4,AM$5)"),"")</f>
        <v/>
      </c>
      <c r="AN123" s="529"/>
      <c r="AO1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5-3'!$D$11:$Q319,AO$4,AO$5)"),"")</f>
        <v/>
      </c>
      <c r="AP123" s="527"/>
      <c r="AQ123" s="527"/>
      <c r="AR123" s="527"/>
      <c r="AS123" s="527"/>
      <c r="AT1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5-3'!$D$11:$Q319,AT$4,AT$5)"),"")</f>
        <v/>
      </c>
      <c r="AU123" s="531"/>
      <c r="AV1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5-3'!$D$11:$Q319,AV$4,AV$5)"),"")</f>
        <v/>
      </c>
      <c r="AW123" s="530"/>
      <c r="AX1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5-3'!$D$11:$Q319,AX$4,AX$5)"),"")</f>
        <v/>
      </c>
      <c r="AY123" s="530"/>
      <c r="AZ1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5-3'!$D$11:$Q319,AZ$4,AZ$5)"),"")</f>
        <v/>
      </c>
      <c r="BA123" s="530"/>
      <c r="BB1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5-3'!$D$11:$Q319,BB$4,BB$5)"),"")</f>
        <v/>
      </c>
      <c r="BC123" s="532"/>
      <c r="BD1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5-3'!$D$11:$Q319,BD$4,BD$5)"),"")</f>
        <v/>
      </c>
      <c r="BE123" s="530"/>
      <c r="BF123" s="530"/>
      <c r="BG123" s="530"/>
      <c r="BH123" s="530"/>
      <c r="BI1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5-3'!$D$11:$Q319,BI$4,BI$5)"),"")</f>
        <v/>
      </c>
      <c r="BJ123" s="535"/>
      <c r="BK1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5-3'!$D$11:$Q319,BK$4,BK$5)"),"")</f>
        <v/>
      </c>
      <c r="BL123" s="534"/>
      <c r="BM1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5-3'!$D$11:$Q319,BM$4,BM$5)"),"")</f>
        <v/>
      </c>
      <c r="BN123" s="534"/>
      <c r="BO1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5-3'!$D$11:$Q319,BO$4,BO$5)"),"")</f>
        <v/>
      </c>
      <c r="BP123" s="534"/>
      <c r="BQ1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5-3'!$D$11:$Q319,BQ$4,BQ$5)"),"")</f>
        <v/>
      </c>
      <c r="BR123" s="536"/>
      <c r="BS1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5-3'!$D$11:$Q319,BS$4,BS$5)"),"")</f>
        <v/>
      </c>
      <c r="BT123" s="534"/>
      <c r="BU123" s="534"/>
      <c r="BV123" s="534"/>
      <c r="BW123" s="534"/>
      <c r="BX1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5-3'!$D$11:$Q319,BX$4,BX$5)"),"")</f>
        <v/>
      </c>
      <c r="BY123" s="538"/>
      <c r="BZ1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5-3'!$D$11:$Q319,BZ$4,BZ$5)"),"")</f>
        <v/>
      </c>
      <c r="CA123" s="537"/>
      <c r="CB1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5-3'!$D$11:$Q319,CB$4,CB$5)"),"")</f>
        <v/>
      </c>
      <c r="CC123" s="537"/>
      <c r="CD1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5-3'!$D$11:$Q319,CD$4,CD$5)"),"")</f>
        <v/>
      </c>
      <c r="CE123" s="537"/>
      <c r="CF1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5-3'!$D$11:$Q319,CF$4,CF$5)"),"")</f>
        <v/>
      </c>
      <c r="CG123" s="539"/>
      <c r="CH1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5-3'!$D$11:$Q319,CH$4,CH$5)"),"")</f>
        <v/>
      </c>
      <c r="CI123" s="537"/>
      <c r="CJ123" s="537"/>
      <c r="CK123" s="537"/>
      <c r="CL123" s="537"/>
      <c r="CM1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5-3'!$D$11:$Q319,CM$4,CM$5)"),"")</f>
        <v/>
      </c>
      <c r="CN123" s="541"/>
      <c r="CO1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5-3'!$D$11:$Q319,CO$4,CO$5)"),"")</f>
        <v/>
      </c>
      <c r="CP123" s="540"/>
      <c r="CQ1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5-3'!$D$11:$Q319,CQ$4,CQ$5)"),"")</f>
        <v/>
      </c>
      <c r="CR123" s="540"/>
      <c r="CS1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5-3'!$D$11:$Q319,CS$4,CS$5)"),"")</f>
        <v/>
      </c>
      <c r="CT123" s="540"/>
      <c r="CU1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5-3'!$D$11:$Q319,CU$4,CU$5)"),"")</f>
        <v/>
      </c>
      <c r="CV123" s="545"/>
      <c r="CW1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5-3'!$D$11:$Q319,CW$4,CW$5)"),"")</f>
        <v/>
      </c>
      <c r="CX123" s="540"/>
      <c r="CY123" s="540"/>
      <c r="CZ123" s="540"/>
      <c r="DA123" s="540"/>
      <c r="DB1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5-3'!$D$11:$Q319,DB$4,DB$5)"),"")</f>
        <v/>
      </c>
      <c r="DC123" s="555"/>
      <c r="DD1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5-3'!$D$11:$Q319,DD$4,DD$5)"),"")</f>
        <v/>
      </c>
      <c r="DE123" s="554"/>
      <c r="DF1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5-3'!$D$11:$Q319,DF$4,DF$5)"),"")</f>
        <v/>
      </c>
      <c r="DG123" s="554"/>
      <c r="DH1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5-3'!$D$11:$Q319,DH$4,DH$5)"),"")</f>
        <v/>
      </c>
      <c r="DI123" s="554"/>
      <c r="DJ1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5-3'!$D$11:$Q319,DJ$4,DJ$5)"),"")</f>
        <v/>
      </c>
      <c r="DK123" s="566"/>
      <c r="DL1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5-3'!$D$11:$Q319,DL$4,DL$5)"),"")</f>
        <v/>
      </c>
      <c r="DM123" s="554"/>
      <c r="DN123" s="554"/>
      <c r="DO123" s="554"/>
      <c r="DP123" s="554"/>
      <c r="DQ1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5-3'!$D$11:$Q319,DQ$4,DQ$5)"),"")</f>
        <v/>
      </c>
      <c r="DR123" s="569"/>
      <c r="DS1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5-3'!$D$11:$Q319,DS$4,DS$5)"),"")</f>
        <v/>
      </c>
      <c r="DT123" s="568"/>
      <c r="DU1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5-3'!$D$11:$Q319,DU$4,DU$5)"),"")</f>
        <v/>
      </c>
      <c r="DV123" s="568"/>
      <c r="DW1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5-3'!$D$11:$Q319,DW$4,DW$5)"),"")</f>
        <v/>
      </c>
      <c r="DX123" s="568"/>
      <c r="DY1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5-3'!$D$11:$Q319,DY$4,DY$5)"),"")</f>
        <v/>
      </c>
      <c r="DZ123" s="578"/>
      <c r="EA1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$C123, 'S-10 Топ 5-3'!$D$11:$Q319,EA$4,EA$5)"),"")</f>
        <v/>
      </c>
      <c r="EB123" s="568"/>
      <c r="EC123" s="568"/>
      <c r="ED123" s="568"/>
      <c r="EE123" s="568"/>
    </row>
    <row r="124">
      <c r="A124" s="519" t="str">
        <f t="shared" si="1"/>
        <v/>
      </c>
      <c r="B124" s="520" t="str">
        <f>'5-0 Товары'!B124</f>
        <v/>
      </c>
      <c r="C124" s="521" t="str">
        <f>'5-1 Сбор КП Закупки'!C124</f>
        <v/>
      </c>
      <c r="D124" s="521" t="str">
        <f>'5-1 Сбор КП Закупки'!D124</f>
        <v/>
      </c>
      <c r="E124" s="521" t="str">
        <f>'5-1 Сбор КП Закупки'!E124</f>
        <v/>
      </c>
      <c r="F124" s="521" t="str">
        <f>'5-1 Сбор КП Закупки'!F124</f>
        <v/>
      </c>
      <c r="G124" s="522" t="str">
        <f>'5-1 Сбор КП Закупки'!G124</f>
        <v/>
      </c>
      <c r="H124" s="522" t="str">
        <f>'5-1 Сбор КП Закупки'!H124</f>
        <v/>
      </c>
      <c r="I124" s="522" t="str">
        <f>'5-1 Сбор КП Закупки'!I124</f>
        <v/>
      </c>
      <c r="J124" s="197"/>
      <c r="K124" s="522" t="str">
        <f>'5-1 Сбор КП Закупки'!G124</f>
        <v/>
      </c>
      <c r="L124" s="523" t="str">
        <f>IF(A124="Да",'5-1 Сбор КП Закупки'!K124,)</f>
        <v/>
      </c>
      <c r="M124" s="197"/>
      <c r="N124" s="197"/>
      <c r="O124" s="197"/>
      <c r="P124" s="525" t="str">
        <f>'5-1 Сбор КП Закупки'!P124</f>
        <v/>
      </c>
      <c r="Q124" s="197"/>
      <c r="R124" s="197"/>
      <c r="S124" s="197"/>
      <c r="T124" s="197"/>
      <c r="U124" s="197"/>
      <c r="V124" s="197"/>
      <c r="W124" s="522" t="str">
        <f>'5-1 Сбор КП Закупки'!O124</f>
        <v/>
      </c>
      <c r="X124" s="197"/>
      <c r="Y124" s="197"/>
      <c r="Z124" s="197"/>
      <c r="AA124" s="197"/>
      <c r="AB124" s="197">
        <v>0.0</v>
      </c>
      <c r="AC124" s="197"/>
      <c r="AD124" s="197"/>
      <c r="AE1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5-3'!$D$11:$Q319,AE$4,AE$5)"),"")</f>
        <v/>
      </c>
      <c r="AF124" s="528"/>
      <c r="AG1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5-3'!$D$11:$Q319,AG$4,AG$5)"),"")</f>
        <v/>
      </c>
      <c r="AH124" s="527"/>
      <c r="AI1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5-3'!$D$11:$Q319,AI$4,AI$5)"),"")</f>
        <v/>
      </c>
      <c r="AJ124" s="527"/>
      <c r="AK1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5-3'!$D$11:$Q319,AK$4,AK$5)"),"")</f>
        <v/>
      </c>
      <c r="AL124" s="527"/>
      <c r="AM1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5-3'!$D$11:$Q319,AM$4,AM$5)"),"")</f>
        <v/>
      </c>
      <c r="AN124" s="529"/>
      <c r="AO1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5-3'!$D$11:$Q319,AO$4,AO$5)"),"")</f>
        <v/>
      </c>
      <c r="AP124" s="527"/>
      <c r="AQ124" s="527"/>
      <c r="AR124" s="527"/>
      <c r="AS124" s="527"/>
      <c r="AT1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5-3'!$D$11:$Q319,AT$4,AT$5)"),"")</f>
        <v/>
      </c>
      <c r="AU124" s="531"/>
      <c r="AV1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5-3'!$D$11:$Q319,AV$4,AV$5)"),"")</f>
        <v/>
      </c>
      <c r="AW124" s="530"/>
      <c r="AX1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5-3'!$D$11:$Q319,AX$4,AX$5)"),"")</f>
        <v/>
      </c>
      <c r="AY124" s="530"/>
      <c r="AZ1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5-3'!$D$11:$Q319,AZ$4,AZ$5)"),"")</f>
        <v/>
      </c>
      <c r="BA124" s="530"/>
      <c r="BB1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5-3'!$D$11:$Q319,BB$4,BB$5)"),"")</f>
        <v/>
      </c>
      <c r="BC124" s="532"/>
      <c r="BD1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5-3'!$D$11:$Q319,BD$4,BD$5)"),"")</f>
        <v/>
      </c>
      <c r="BE124" s="530"/>
      <c r="BF124" s="530"/>
      <c r="BG124" s="530"/>
      <c r="BH124" s="530"/>
      <c r="BI1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5-3'!$D$11:$Q319,BI$4,BI$5)"),"")</f>
        <v/>
      </c>
      <c r="BJ124" s="535"/>
      <c r="BK1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5-3'!$D$11:$Q319,BK$4,BK$5)"),"")</f>
        <v/>
      </c>
      <c r="BL124" s="534"/>
      <c r="BM1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5-3'!$D$11:$Q319,BM$4,BM$5)"),"")</f>
        <v/>
      </c>
      <c r="BN124" s="534"/>
      <c r="BO1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5-3'!$D$11:$Q319,BO$4,BO$5)"),"")</f>
        <v/>
      </c>
      <c r="BP124" s="534"/>
      <c r="BQ1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5-3'!$D$11:$Q319,BQ$4,BQ$5)"),"")</f>
        <v/>
      </c>
      <c r="BR124" s="536"/>
      <c r="BS1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5-3'!$D$11:$Q319,BS$4,BS$5)"),"")</f>
        <v/>
      </c>
      <c r="BT124" s="534"/>
      <c r="BU124" s="534"/>
      <c r="BV124" s="534"/>
      <c r="BW124" s="534"/>
      <c r="BX1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5-3'!$D$11:$Q319,BX$4,BX$5)"),"")</f>
        <v/>
      </c>
      <c r="BY124" s="538"/>
      <c r="BZ1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5-3'!$D$11:$Q319,BZ$4,BZ$5)"),"")</f>
        <v/>
      </c>
      <c r="CA124" s="537"/>
      <c r="CB1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5-3'!$D$11:$Q319,CB$4,CB$5)"),"")</f>
        <v/>
      </c>
      <c r="CC124" s="537"/>
      <c r="CD1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5-3'!$D$11:$Q319,CD$4,CD$5)"),"")</f>
        <v/>
      </c>
      <c r="CE124" s="537"/>
      <c r="CF1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5-3'!$D$11:$Q319,CF$4,CF$5)"),"")</f>
        <v/>
      </c>
      <c r="CG124" s="539"/>
      <c r="CH1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5-3'!$D$11:$Q319,CH$4,CH$5)"),"")</f>
        <v/>
      </c>
      <c r="CI124" s="537"/>
      <c r="CJ124" s="537"/>
      <c r="CK124" s="537"/>
      <c r="CL124" s="537"/>
      <c r="CM1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5-3'!$D$11:$Q319,CM$4,CM$5)"),"")</f>
        <v/>
      </c>
      <c r="CN124" s="541"/>
      <c r="CO1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5-3'!$D$11:$Q319,CO$4,CO$5)"),"")</f>
        <v/>
      </c>
      <c r="CP124" s="540"/>
      <c r="CQ1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5-3'!$D$11:$Q319,CQ$4,CQ$5)"),"")</f>
        <v/>
      </c>
      <c r="CR124" s="540"/>
      <c r="CS1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5-3'!$D$11:$Q319,CS$4,CS$5)"),"")</f>
        <v/>
      </c>
      <c r="CT124" s="540"/>
      <c r="CU1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5-3'!$D$11:$Q319,CU$4,CU$5)"),"")</f>
        <v/>
      </c>
      <c r="CV124" s="545"/>
      <c r="CW1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5-3'!$D$11:$Q319,CW$4,CW$5)"),"")</f>
        <v/>
      </c>
      <c r="CX124" s="540"/>
      <c r="CY124" s="540"/>
      <c r="CZ124" s="540"/>
      <c r="DA124" s="540"/>
      <c r="DB1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5-3'!$D$11:$Q319,DB$4,DB$5)"),"")</f>
        <v/>
      </c>
      <c r="DC124" s="555"/>
      <c r="DD1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5-3'!$D$11:$Q319,DD$4,DD$5)"),"")</f>
        <v/>
      </c>
      <c r="DE124" s="554"/>
      <c r="DF1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5-3'!$D$11:$Q319,DF$4,DF$5)"),"")</f>
        <v/>
      </c>
      <c r="DG124" s="554"/>
      <c r="DH1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5-3'!$D$11:$Q319,DH$4,DH$5)"),"")</f>
        <v/>
      </c>
      <c r="DI124" s="554"/>
      <c r="DJ1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5-3'!$D$11:$Q319,DJ$4,DJ$5)"),"")</f>
        <v/>
      </c>
      <c r="DK124" s="566"/>
      <c r="DL1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5-3'!$D$11:$Q319,DL$4,DL$5)"),"")</f>
        <v/>
      </c>
      <c r="DM124" s="554"/>
      <c r="DN124" s="554"/>
      <c r="DO124" s="554"/>
      <c r="DP124" s="554"/>
      <c r="DQ1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5-3'!$D$11:$Q319,DQ$4,DQ$5)"),"")</f>
        <v/>
      </c>
      <c r="DR124" s="569"/>
      <c r="DS1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5-3'!$D$11:$Q319,DS$4,DS$5)"),"")</f>
        <v/>
      </c>
      <c r="DT124" s="568"/>
      <c r="DU1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5-3'!$D$11:$Q319,DU$4,DU$5)"),"")</f>
        <v/>
      </c>
      <c r="DV124" s="568"/>
      <c r="DW1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5-3'!$D$11:$Q319,DW$4,DW$5)"),"")</f>
        <v/>
      </c>
      <c r="DX124" s="568"/>
      <c r="DY1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5-3'!$D$11:$Q319,DY$4,DY$5)"),"")</f>
        <v/>
      </c>
      <c r="DZ124" s="578"/>
      <c r="EA1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$C124, 'S-10 Топ 5-3'!$D$11:$Q319,EA$4,EA$5)"),"")</f>
        <v/>
      </c>
      <c r="EB124" s="568"/>
      <c r="EC124" s="568"/>
      <c r="ED124" s="568"/>
      <c r="EE124" s="568"/>
    </row>
    <row r="125">
      <c r="A125" s="519" t="str">
        <f t="shared" si="1"/>
        <v/>
      </c>
      <c r="B125" s="520" t="str">
        <f>'5-0 Товары'!B125</f>
        <v/>
      </c>
      <c r="C125" s="521" t="str">
        <f>'5-1 Сбор КП Закупки'!C125</f>
        <v/>
      </c>
      <c r="D125" s="521" t="str">
        <f>'5-1 Сбор КП Закупки'!D125</f>
        <v/>
      </c>
      <c r="E125" s="521" t="str">
        <f>'5-1 Сбор КП Закупки'!E125</f>
        <v/>
      </c>
      <c r="F125" s="521" t="str">
        <f>'5-1 Сбор КП Закупки'!F125</f>
        <v/>
      </c>
      <c r="G125" s="522" t="str">
        <f>'5-1 Сбор КП Закупки'!G125</f>
        <v/>
      </c>
      <c r="H125" s="522" t="str">
        <f>'5-1 Сбор КП Закупки'!H125</f>
        <v/>
      </c>
      <c r="I125" s="522" t="str">
        <f>'5-1 Сбор КП Закупки'!I125</f>
        <v/>
      </c>
      <c r="J125" s="197"/>
      <c r="K125" s="522" t="str">
        <f>'5-1 Сбор КП Закупки'!G125</f>
        <v/>
      </c>
      <c r="L125" s="523" t="str">
        <f>IF(A125="Да",'5-1 Сбор КП Закупки'!K125,)</f>
        <v/>
      </c>
      <c r="M125" s="197"/>
      <c r="N125" s="197"/>
      <c r="O125" s="197"/>
      <c r="P125" s="525" t="str">
        <f>'5-1 Сбор КП Закупки'!P125</f>
        <v/>
      </c>
      <c r="Q125" s="197"/>
      <c r="R125" s="197"/>
      <c r="S125" s="197"/>
      <c r="T125" s="197"/>
      <c r="U125" s="197"/>
      <c r="V125" s="197"/>
      <c r="W125" s="522" t="str">
        <f>'5-1 Сбор КП Закупки'!O125</f>
        <v/>
      </c>
      <c r="X125" s="197"/>
      <c r="Y125" s="197"/>
      <c r="Z125" s="197"/>
      <c r="AA125" s="197"/>
      <c r="AB125" s="197">
        <v>0.0</v>
      </c>
      <c r="AC125" s="197"/>
      <c r="AD125" s="197"/>
      <c r="AE1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5-3'!$D$11:$Q319,AE$4,AE$5)"),"")</f>
        <v/>
      </c>
      <c r="AF125" s="528"/>
      <c r="AG1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5-3'!$D$11:$Q319,AG$4,AG$5)"),"")</f>
        <v/>
      </c>
      <c r="AH125" s="527"/>
      <c r="AI1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5-3'!$D$11:$Q319,AI$4,AI$5)"),"")</f>
        <v/>
      </c>
      <c r="AJ125" s="527"/>
      <c r="AK1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5-3'!$D$11:$Q319,AK$4,AK$5)"),"")</f>
        <v/>
      </c>
      <c r="AL125" s="527"/>
      <c r="AM1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5-3'!$D$11:$Q319,AM$4,AM$5)"),"")</f>
        <v/>
      </c>
      <c r="AN125" s="529"/>
      <c r="AO1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5-3'!$D$11:$Q319,AO$4,AO$5)"),"")</f>
        <v/>
      </c>
      <c r="AP125" s="527"/>
      <c r="AQ125" s="527"/>
      <c r="AR125" s="527"/>
      <c r="AS125" s="527"/>
      <c r="AT1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5-3'!$D$11:$Q319,AT$4,AT$5)"),"")</f>
        <v/>
      </c>
      <c r="AU125" s="531"/>
      <c r="AV1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5-3'!$D$11:$Q319,AV$4,AV$5)"),"")</f>
        <v/>
      </c>
      <c r="AW125" s="530"/>
      <c r="AX1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5-3'!$D$11:$Q319,AX$4,AX$5)"),"")</f>
        <v/>
      </c>
      <c r="AY125" s="530"/>
      <c r="AZ1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5-3'!$D$11:$Q319,AZ$4,AZ$5)"),"")</f>
        <v/>
      </c>
      <c r="BA125" s="530"/>
      <c r="BB1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5-3'!$D$11:$Q319,BB$4,BB$5)"),"")</f>
        <v/>
      </c>
      <c r="BC125" s="532"/>
      <c r="BD1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5-3'!$D$11:$Q319,BD$4,BD$5)"),"")</f>
        <v/>
      </c>
      <c r="BE125" s="530"/>
      <c r="BF125" s="530"/>
      <c r="BG125" s="530"/>
      <c r="BH125" s="530"/>
      <c r="BI1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5-3'!$D$11:$Q319,BI$4,BI$5)"),"")</f>
        <v/>
      </c>
      <c r="BJ125" s="535"/>
      <c r="BK1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5-3'!$D$11:$Q319,BK$4,BK$5)"),"")</f>
        <v/>
      </c>
      <c r="BL125" s="534"/>
      <c r="BM1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5-3'!$D$11:$Q319,BM$4,BM$5)"),"")</f>
        <v/>
      </c>
      <c r="BN125" s="534"/>
      <c r="BO1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5-3'!$D$11:$Q319,BO$4,BO$5)"),"")</f>
        <v/>
      </c>
      <c r="BP125" s="534"/>
      <c r="BQ1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5-3'!$D$11:$Q319,BQ$4,BQ$5)"),"")</f>
        <v/>
      </c>
      <c r="BR125" s="536"/>
      <c r="BS1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5-3'!$D$11:$Q319,BS$4,BS$5)"),"")</f>
        <v/>
      </c>
      <c r="BT125" s="534"/>
      <c r="BU125" s="534"/>
      <c r="BV125" s="534"/>
      <c r="BW125" s="534"/>
      <c r="BX1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5-3'!$D$11:$Q319,BX$4,BX$5)"),"")</f>
        <v/>
      </c>
      <c r="BY125" s="538"/>
      <c r="BZ1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5-3'!$D$11:$Q319,BZ$4,BZ$5)"),"")</f>
        <v/>
      </c>
      <c r="CA125" s="537"/>
      <c r="CB1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5-3'!$D$11:$Q319,CB$4,CB$5)"),"")</f>
        <v/>
      </c>
      <c r="CC125" s="537"/>
      <c r="CD1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5-3'!$D$11:$Q319,CD$4,CD$5)"),"")</f>
        <v/>
      </c>
      <c r="CE125" s="537"/>
      <c r="CF1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5-3'!$D$11:$Q319,CF$4,CF$5)"),"")</f>
        <v/>
      </c>
      <c r="CG125" s="539"/>
      <c r="CH1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5-3'!$D$11:$Q319,CH$4,CH$5)"),"")</f>
        <v/>
      </c>
      <c r="CI125" s="537"/>
      <c r="CJ125" s="537"/>
      <c r="CK125" s="537"/>
      <c r="CL125" s="537"/>
      <c r="CM1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5-3'!$D$11:$Q319,CM$4,CM$5)"),"")</f>
        <v/>
      </c>
      <c r="CN125" s="541"/>
      <c r="CO1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5-3'!$D$11:$Q319,CO$4,CO$5)"),"")</f>
        <v/>
      </c>
      <c r="CP125" s="540"/>
      <c r="CQ1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5-3'!$D$11:$Q319,CQ$4,CQ$5)"),"")</f>
        <v/>
      </c>
      <c r="CR125" s="540"/>
      <c r="CS1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5-3'!$D$11:$Q319,CS$4,CS$5)"),"")</f>
        <v/>
      </c>
      <c r="CT125" s="540"/>
      <c r="CU1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5-3'!$D$11:$Q319,CU$4,CU$5)"),"")</f>
        <v/>
      </c>
      <c r="CV125" s="545"/>
      <c r="CW1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5-3'!$D$11:$Q319,CW$4,CW$5)"),"")</f>
        <v/>
      </c>
      <c r="CX125" s="540"/>
      <c r="CY125" s="540"/>
      <c r="CZ125" s="540"/>
      <c r="DA125" s="540"/>
      <c r="DB1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5-3'!$D$11:$Q319,DB$4,DB$5)"),"")</f>
        <v/>
      </c>
      <c r="DC125" s="555"/>
      <c r="DD1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5-3'!$D$11:$Q319,DD$4,DD$5)"),"")</f>
        <v/>
      </c>
      <c r="DE125" s="554"/>
      <c r="DF1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5-3'!$D$11:$Q319,DF$4,DF$5)"),"")</f>
        <v/>
      </c>
      <c r="DG125" s="554"/>
      <c r="DH1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5-3'!$D$11:$Q319,DH$4,DH$5)"),"")</f>
        <v/>
      </c>
      <c r="DI125" s="554"/>
      <c r="DJ1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5-3'!$D$11:$Q319,DJ$4,DJ$5)"),"")</f>
        <v/>
      </c>
      <c r="DK125" s="566"/>
      <c r="DL1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5-3'!$D$11:$Q319,DL$4,DL$5)"),"")</f>
        <v/>
      </c>
      <c r="DM125" s="554"/>
      <c r="DN125" s="554"/>
      <c r="DO125" s="554"/>
      <c r="DP125" s="554"/>
      <c r="DQ1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5-3'!$D$11:$Q319,DQ$4,DQ$5)"),"")</f>
        <v/>
      </c>
      <c r="DR125" s="569"/>
      <c r="DS1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5-3'!$D$11:$Q319,DS$4,DS$5)"),"")</f>
        <v/>
      </c>
      <c r="DT125" s="568"/>
      <c r="DU1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5-3'!$D$11:$Q319,DU$4,DU$5)"),"")</f>
        <v/>
      </c>
      <c r="DV125" s="568"/>
      <c r="DW1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5-3'!$D$11:$Q319,DW$4,DW$5)"),"")</f>
        <v/>
      </c>
      <c r="DX125" s="568"/>
      <c r="DY1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5-3'!$D$11:$Q319,DY$4,DY$5)"),"")</f>
        <v/>
      </c>
      <c r="DZ125" s="578"/>
      <c r="EA1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$C125, 'S-10 Топ 5-3'!$D$11:$Q319,EA$4,EA$5)"),"")</f>
        <v/>
      </c>
      <c r="EB125" s="568"/>
      <c r="EC125" s="568"/>
      <c r="ED125" s="568"/>
      <c r="EE125" s="568"/>
    </row>
    <row r="126">
      <c r="A126" s="519" t="str">
        <f t="shared" si="1"/>
        <v/>
      </c>
      <c r="B126" s="520" t="str">
        <f>'5-0 Товары'!B126</f>
        <v/>
      </c>
      <c r="C126" s="521" t="str">
        <f>'5-1 Сбор КП Закупки'!C126</f>
        <v/>
      </c>
      <c r="D126" s="521" t="str">
        <f>'5-1 Сбор КП Закупки'!D126</f>
        <v/>
      </c>
      <c r="E126" s="521" t="str">
        <f>'5-1 Сбор КП Закупки'!E126</f>
        <v/>
      </c>
      <c r="F126" s="521" t="str">
        <f>'5-1 Сбор КП Закупки'!F126</f>
        <v/>
      </c>
      <c r="G126" s="522" t="str">
        <f>'5-1 Сбор КП Закупки'!G126</f>
        <v/>
      </c>
      <c r="H126" s="522" t="str">
        <f>'5-1 Сбор КП Закупки'!H126</f>
        <v/>
      </c>
      <c r="I126" s="522" t="str">
        <f>'5-1 Сбор КП Закупки'!I126</f>
        <v/>
      </c>
      <c r="J126" s="197"/>
      <c r="K126" s="522" t="str">
        <f>'5-1 Сбор КП Закупки'!G126</f>
        <v/>
      </c>
      <c r="L126" s="523" t="str">
        <f>IF(A126="Да",'5-1 Сбор КП Закупки'!K126,)</f>
        <v/>
      </c>
      <c r="M126" s="197"/>
      <c r="N126" s="197"/>
      <c r="O126" s="197"/>
      <c r="P126" s="525" t="str">
        <f>'5-1 Сбор КП Закупки'!P126</f>
        <v/>
      </c>
      <c r="Q126" s="197"/>
      <c r="R126" s="197"/>
      <c r="S126" s="197"/>
      <c r="T126" s="197"/>
      <c r="U126" s="197"/>
      <c r="V126" s="197"/>
      <c r="W126" s="522" t="str">
        <f>'5-1 Сбор КП Закупки'!O126</f>
        <v/>
      </c>
      <c r="X126" s="197"/>
      <c r="Y126" s="197"/>
      <c r="Z126" s="197"/>
      <c r="AA126" s="197"/>
      <c r="AB126" s="197">
        <v>0.0</v>
      </c>
      <c r="AC126" s="197"/>
      <c r="AD126" s="197"/>
      <c r="AE1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5-3'!$D$11:$Q319,AE$4,AE$5)"),"")</f>
        <v/>
      </c>
      <c r="AF126" s="528"/>
      <c r="AG1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5-3'!$D$11:$Q319,AG$4,AG$5)"),"")</f>
        <v/>
      </c>
      <c r="AH126" s="527"/>
      <c r="AI1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5-3'!$D$11:$Q319,AI$4,AI$5)"),"")</f>
        <v/>
      </c>
      <c r="AJ126" s="527"/>
      <c r="AK1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5-3'!$D$11:$Q319,AK$4,AK$5)"),"")</f>
        <v/>
      </c>
      <c r="AL126" s="527"/>
      <c r="AM1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5-3'!$D$11:$Q319,AM$4,AM$5)"),"")</f>
        <v/>
      </c>
      <c r="AN126" s="529"/>
      <c r="AO1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5-3'!$D$11:$Q319,AO$4,AO$5)"),"")</f>
        <v/>
      </c>
      <c r="AP126" s="527"/>
      <c r="AQ126" s="527"/>
      <c r="AR126" s="527"/>
      <c r="AS126" s="527"/>
      <c r="AT1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5-3'!$D$11:$Q319,AT$4,AT$5)"),"")</f>
        <v/>
      </c>
      <c r="AU126" s="531"/>
      <c r="AV1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5-3'!$D$11:$Q319,AV$4,AV$5)"),"")</f>
        <v/>
      </c>
      <c r="AW126" s="530"/>
      <c r="AX1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5-3'!$D$11:$Q319,AX$4,AX$5)"),"")</f>
        <v/>
      </c>
      <c r="AY126" s="530"/>
      <c r="AZ1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5-3'!$D$11:$Q319,AZ$4,AZ$5)"),"")</f>
        <v/>
      </c>
      <c r="BA126" s="530"/>
      <c r="BB1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5-3'!$D$11:$Q319,BB$4,BB$5)"),"")</f>
        <v/>
      </c>
      <c r="BC126" s="532"/>
      <c r="BD1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5-3'!$D$11:$Q319,BD$4,BD$5)"),"")</f>
        <v/>
      </c>
      <c r="BE126" s="530"/>
      <c r="BF126" s="530"/>
      <c r="BG126" s="530"/>
      <c r="BH126" s="530"/>
      <c r="BI1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5-3'!$D$11:$Q319,BI$4,BI$5)"),"")</f>
        <v/>
      </c>
      <c r="BJ126" s="535"/>
      <c r="BK1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5-3'!$D$11:$Q319,BK$4,BK$5)"),"")</f>
        <v/>
      </c>
      <c r="BL126" s="534"/>
      <c r="BM1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5-3'!$D$11:$Q319,BM$4,BM$5)"),"")</f>
        <v/>
      </c>
      <c r="BN126" s="534"/>
      <c r="BO1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5-3'!$D$11:$Q319,BO$4,BO$5)"),"")</f>
        <v/>
      </c>
      <c r="BP126" s="534"/>
      <c r="BQ1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5-3'!$D$11:$Q319,BQ$4,BQ$5)"),"")</f>
        <v/>
      </c>
      <c r="BR126" s="536"/>
      <c r="BS1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5-3'!$D$11:$Q319,BS$4,BS$5)"),"")</f>
        <v/>
      </c>
      <c r="BT126" s="534"/>
      <c r="BU126" s="534"/>
      <c r="BV126" s="534"/>
      <c r="BW126" s="534"/>
      <c r="BX1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5-3'!$D$11:$Q319,BX$4,BX$5)"),"")</f>
        <v/>
      </c>
      <c r="BY126" s="538"/>
      <c r="BZ1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5-3'!$D$11:$Q319,BZ$4,BZ$5)"),"")</f>
        <v/>
      </c>
      <c r="CA126" s="537"/>
      <c r="CB1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5-3'!$D$11:$Q319,CB$4,CB$5)"),"")</f>
        <v/>
      </c>
      <c r="CC126" s="537"/>
      <c r="CD1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5-3'!$D$11:$Q319,CD$4,CD$5)"),"")</f>
        <v/>
      </c>
      <c r="CE126" s="537"/>
      <c r="CF1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5-3'!$D$11:$Q319,CF$4,CF$5)"),"")</f>
        <v/>
      </c>
      <c r="CG126" s="539"/>
      <c r="CH1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5-3'!$D$11:$Q319,CH$4,CH$5)"),"")</f>
        <v/>
      </c>
      <c r="CI126" s="537"/>
      <c r="CJ126" s="537"/>
      <c r="CK126" s="537"/>
      <c r="CL126" s="537"/>
      <c r="CM1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5-3'!$D$11:$Q319,CM$4,CM$5)"),"")</f>
        <v/>
      </c>
      <c r="CN126" s="541"/>
      <c r="CO1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5-3'!$D$11:$Q319,CO$4,CO$5)"),"")</f>
        <v/>
      </c>
      <c r="CP126" s="540"/>
      <c r="CQ1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5-3'!$D$11:$Q319,CQ$4,CQ$5)"),"")</f>
        <v/>
      </c>
      <c r="CR126" s="540"/>
      <c r="CS1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5-3'!$D$11:$Q319,CS$4,CS$5)"),"")</f>
        <v/>
      </c>
      <c r="CT126" s="540"/>
      <c r="CU1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5-3'!$D$11:$Q319,CU$4,CU$5)"),"")</f>
        <v/>
      </c>
      <c r="CV126" s="545"/>
      <c r="CW1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5-3'!$D$11:$Q319,CW$4,CW$5)"),"")</f>
        <v/>
      </c>
      <c r="CX126" s="540"/>
      <c r="CY126" s="540"/>
      <c r="CZ126" s="540"/>
      <c r="DA126" s="540"/>
      <c r="DB1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5-3'!$D$11:$Q319,DB$4,DB$5)"),"")</f>
        <v/>
      </c>
      <c r="DC126" s="555"/>
      <c r="DD1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5-3'!$D$11:$Q319,DD$4,DD$5)"),"")</f>
        <v/>
      </c>
      <c r="DE126" s="554"/>
      <c r="DF1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5-3'!$D$11:$Q319,DF$4,DF$5)"),"")</f>
        <v/>
      </c>
      <c r="DG126" s="554"/>
      <c r="DH1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5-3'!$D$11:$Q319,DH$4,DH$5)"),"")</f>
        <v/>
      </c>
      <c r="DI126" s="554"/>
      <c r="DJ1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5-3'!$D$11:$Q319,DJ$4,DJ$5)"),"")</f>
        <v/>
      </c>
      <c r="DK126" s="566"/>
      <c r="DL1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5-3'!$D$11:$Q319,DL$4,DL$5)"),"")</f>
        <v/>
      </c>
      <c r="DM126" s="554"/>
      <c r="DN126" s="554"/>
      <c r="DO126" s="554"/>
      <c r="DP126" s="554"/>
      <c r="DQ1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5-3'!$D$11:$Q319,DQ$4,DQ$5)"),"")</f>
        <v/>
      </c>
      <c r="DR126" s="569"/>
      <c r="DS1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5-3'!$D$11:$Q319,DS$4,DS$5)"),"")</f>
        <v/>
      </c>
      <c r="DT126" s="568"/>
      <c r="DU1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5-3'!$D$11:$Q319,DU$4,DU$5)"),"")</f>
        <v/>
      </c>
      <c r="DV126" s="568"/>
      <c r="DW1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5-3'!$D$11:$Q319,DW$4,DW$5)"),"")</f>
        <v/>
      </c>
      <c r="DX126" s="568"/>
      <c r="DY1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5-3'!$D$11:$Q319,DY$4,DY$5)"),"")</f>
        <v/>
      </c>
      <c r="DZ126" s="578"/>
      <c r="EA1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$C126, 'S-10 Топ 5-3'!$D$11:$Q319,EA$4,EA$5)"),"")</f>
        <v/>
      </c>
      <c r="EB126" s="568"/>
      <c r="EC126" s="568"/>
      <c r="ED126" s="568"/>
      <c r="EE126" s="568"/>
    </row>
    <row r="127">
      <c r="A127" s="519" t="str">
        <f t="shared" si="1"/>
        <v/>
      </c>
      <c r="B127" s="520" t="str">
        <f>'5-0 Товары'!B127</f>
        <v/>
      </c>
      <c r="C127" s="521" t="str">
        <f>'5-1 Сбор КП Закупки'!C127</f>
        <v/>
      </c>
      <c r="D127" s="521" t="str">
        <f>'5-1 Сбор КП Закупки'!D127</f>
        <v/>
      </c>
      <c r="E127" s="521" t="str">
        <f>'5-1 Сбор КП Закупки'!E127</f>
        <v/>
      </c>
      <c r="F127" s="521" t="str">
        <f>'5-1 Сбор КП Закупки'!F127</f>
        <v/>
      </c>
      <c r="G127" s="522" t="str">
        <f>'5-1 Сбор КП Закупки'!G127</f>
        <v/>
      </c>
      <c r="H127" s="522" t="str">
        <f>'5-1 Сбор КП Закупки'!H127</f>
        <v/>
      </c>
      <c r="I127" s="522" t="str">
        <f>'5-1 Сбор КП Закупки'!I127</f>
        <v/>
      </c>
      <c r="J127" s="197"/>
      <c r="K127" s="522" t="str">
        <f>'5-1 Сбор КП Закупки'!G127</f>
        <v/>
      </c>
      <c r="L127" s="523" t="str">
        <f>IF(A127="Да",'5-1 Сбор КП Закупки'!K127,)</f>
        <v/>
      </c>
      <c r="M127" s="197"/>
      <c r="N127" s="197"/>
      <c r="O127" s="197"/>
      <c r="P127" s="525" t="str">
        <f>'5-1 Сбор КП Закупки'!P127</f>
        <v/>
      </c>
      <c r="Q127" s="197"/>
      <c r="R127" s="197"/>
      <c r="S127" s="197"/>
      <c r="T127" s="197"/>
      <c r="U127" s="197"/>
      <c r="V127" s="197"/>
      <c r="W127" s="522" t="str">
        <f>'5-1 Сбор КП Закупки'!O127</f>
        <v/>
      </c>
      <c r="X127" s="197"/>
      <c r="Y127" s="197"/>
      <c r="Z127" s="197"/>
      <c r="AA127" s="197"/>
      <c r="AB127" s="197">
        <v>0.0</v>
      </c>
      <c r="AC127" s="197"/>
      <c r="AD127" s="197"/>
      <c r="AE1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5-3'!$D$11:$Q319,AE$4,AE$5)"),"")</f>
        <v/>
      </c>
      <c r="AF127" s="528"/>
      <c r="AG1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5-3'!$D$11:$Q319,AG$4,AG$5)"),"")</f>
        <v/>
      </c>
      <c r="AH127" s="527"/>
      <c r="AI1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5-3'!$D$11:$Q319,AI$4,AI$5)"),"")</f>
        <v/>
      </c>
      <c r="AJ127" s="527"/>
      <c r="AK1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5-3'!$D$11:$Q319,AK$4,AK$5)"),"")</f>
        <v/>
      </c>
      <c r="AL127" s="527"/>
      <c r="AM1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5-3'!$D$11:$Q319,AM$4,AM$5)"),"")</f>
        <v/>
      </c>
      <c r="AN127" s="529"/>
      <c r="AO1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5-3'!$D$11:$Q319,AO$4,AO$5)"),"")</f>
        <v/>
      </c>
      <c r="AP127" s="527"/>
      <c r="AQ127" s="527"/>
      <c r="AR127" s="527"/>
      <c r="AS127" s="527"/>
      <c r="AT1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5-3'!$D$11:$Q319,AT$4,AT$5)"),"")</f>
        <v/>
      </c>
      <c r="AU127" s="531"/>
      <c r="AV1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5-3'!$D$11:$Q319,AV$4,AV$5)"),"")</f>
        <v/>
      </c>
      <c r="AW127" s="530"/>
      <c r="AX1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5-3'!$D$11:$Q319,AX$4,AX$5)"),"")</f>
        <v/>
      </c>
      <c r="AY127" s="530"/>
      <c r="AZ1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5-3'!$D$11:$Q319,AZ$4,AZ$5)"),"")</f>
        <v/>
      </c>
      <c r="BA127" s="530"/>
      <c r="BB1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5-3'!$D$11:$Q319,BB$4,BB$5)"),"")</f>
        <v/>
      </c>
      <c r="BC127" s="532"/>
      <c r="BD1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5-3'!$D$11:$Q319,BD$4,BD$5)"),"")</f>
        <v/>
      </c>
      <c r="BE127" s="530"/>
      <c r="BF127" s="530"/>
      <c r="BG127" s="530"/>
      <c r="BH127" s="530"/>
      <c r="BI1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5-3'!$D$11:$Q319,BI$4,BI$5)"),"")</f>
        <v/>
      </c>
      <c r="BJ127" s="535"/>
      <c r="BK1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5-3'!$D$11:$Q319,BK$4,BK$5)"),"")</f>
        <v/>
      </c>
      <c r="BL127" s="534"/>
      <c r="BM1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5-3'!$D$11:$Q319,BM$4,BM$5)"),"")</f>
        <v/>
      </c>
      <c r="BN127" s="534"/>
      <c r="BO1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5-3'!$D$11:$Q319,BO$4,BO$5)"),"")</f>
        <v/>
      </c>
      <c r="BP127" s="534"/>
      <c r="BQ1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5-3'!$D$11:$Q319,BQ$4,BQ$5)"),"")</f>
        <v/>
      </c>
      <c r="BR127" s="536"/>
      <c r="BS1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5-3'!$D$11:$Q319,BS$4,BS$5)"),"")</f>
        <v/>
      </c>
      <c r="BT127" s="534"/>
      <c r="BU127" s="534"/>
      <c r="BV127" s="534"/>
      <c r="BW127" s="534"/>
      <c r="BX1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5-3'!$D$11:$Q319,BX$4,BX$5)"),"")</f>
        <v/>
      </c>
      <c r="BY127" s="538"/>
      <c r="BZ1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5-3'!$D$11:$Q319,BZ$4,BZ$5)"),"")</f>
        <v/>
      </c>
      <c r="CA127" s="537"/>
      <c r="CB1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5-3'!$D$11:$Q319,CB$4,CB$5)"),"")</f>
        <v/>
      </c>
      <c r="CC127" s="537"/>
      <c r="CD1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5-3'!$D$11:$Q319,CD$4,CD$5)"),"")</f>
        <v/>
      </c>
      <c r="CE127" s="537"/>
      <c r="CF1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5-3'!$D$11:$Q319,CF$4,CF$5)"),"")</f>
        <v/>
      </c>
      <c r="CG127" s="539"/>
      <c r="CH1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5-3'!$D$11:$Q319,CH$4,CH$5)"),"")</f>
        <v/>
      </c>
      <c r="CI127" s="537"/>
      <c r="CJ127" s="537"/>
      <c r="CK127" s="537"/>
      <c r="CL127" s="537"/>
      <c r="CM1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5-3'!$D$11:$Q319,CM$4,CM$5)"),"")</f>
        <v/>
      </c>
      <c r="CN127" s="541"/>
      <c r="CO1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5-3'!$D$11:$Q319,CO$4,CO$5)"),"")</f>
        <v/>
      </c>
      <c r="CP127" s="540"/>
      <c r="CQ1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5-3'!$D$11:$Q319,CQ$4,CQ$5)"),"")</f>
        <v/>
      </c>
      <c r="CR127" s="540"/>
      <c r="CS1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5-3'!$D$11:$Q319,CS$4,CS$5)"),"")</f>
        <v/>
      </c>
      <c r="CT127" s="540"/>
      <c r="CU1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5-3'!$D$11:$Q319,CU$4,CU$5)"),"")</f>
        <v/>
      </c>
      <c r="CV127" s="545"/>
      <c r="CW1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5-3'!$D$11:$Q319,CW$4,CW$5)"),"")</f>
        <v/>
      </c>
      <c r="CX127" s="540"/>
      <c r="CY127" s="540"/>
      <c r="CZ127" s="540"/>
      <c r="DA127" s="540"/>
      <c r="DB1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5-3'!$D$11:$Q319,DB$4,DB$5)"),"")</f>
        <v/>
      </c>
      <c r="DC127" s="555"/>
      <c r="DD1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5-3'!$D$11:$Q319,DD$4,DD$5)"),"")</f>
        <v/>
      </c>
      <c r="DE127" s="554"/>
      <c r="DF1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5-3'!$D$11:$Q319,DF$4,DF$5)"),"")</f>
        <v/>
      </c>
      <c r="DG127" s="554"/>
      <c r="DH1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5-3'!$D$11:$Q319,DH$4,DH$5)"),"")</f>
        <v/>
      </c>
      <c r="DI127" s="554"/>
      <c r="DJ1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5-3'!$D$11:$Q319,DJ$4,DJ$5)"),"")</f>
        <v/>
      </c>
      <c r="DK127" s="566"/>
      <c r="DL1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5-3'!$D$11:$Q319,DL$4,DL$5)"),"")</f>
        <v/>
      </c>
      <c r="DM127" s="554"/>
      <c r="DN127" s="554"/>
      <c r="DO127" s="554"/>
      <c r="DP127" s="554"/>
      <c r="DQ1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5-3'!$D$11:$Q319,DQ$4,DQ$5)"),"")</f>
        <v/>
      </c>
      <c r="DR127" s="569"/>
      <c r="DS1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5-3'!$D$11:$Q319,DS$4,DS$5)"),"")</f>
        <v/>
      </c>
      <c r="DT127" s="568"/>
      <c r="DU1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5-3'!$D$11:$Q319,DU$4,DU$5)"),"")</f>
        <v/>
      </c>
      <c r="DV127" s="568"/>
      <c r="DW1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5-3'!$D$11:$Q319,DW$4,DW$5)"),"")</f>
        <v/>
      </c>
      <c r="DX127" s="568"/>
      <c r="DY1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5-3'!$D$11:$Q319,DY$4,DY$5)"),"")</f>
        <v/>
      </c>
      <c r="DZ127" s="578"/>
      <c r="EA1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$C127, 'S-10 Топ 5-3'!$D$11:$Q319,EA$4,EA$5)"),"")</f>
        <v/>
      </c>
      <c r="EB127" s="568"/>
      <c r="EC127" s="568"/>
      <c r="ED127" s="568"/>
      <c r="EE127" s="568"/>
    </row>
    <row r="128">
      <c r="A128" s="519" t="str">
        <f t="shared" si="1"/>
        <v/>
      </c>
      <c r="B128" s="520" t="str">
        <f>'5-0 Товары'!B128</f>
        <v/>
      </c>
      <c r="C128" s="521" t="str">
        <f>'5-1 Сбор КП Закупки'!C128</f>
        <v/>
      </c>
      <c r="D128" s="521" t="str">
        <f>'5-1 Сбор КП Закупки'!D128</f>
        <v/>
      </c>
      <c r="E128" s="521" t="str">
        <f>'5-1 Сбор КП Закупки'!E128</f>
        <v/>
      </c>
      <c r="F128" s="521" t="str">
        <f>'5-1 Сбор КП Закупки'!F128</f>
        <v/>
      </c>
      <c r="G128" s="522" t="str">
        <f>'5-1 Сбор КП Закупки'!G128</f>
        <v/>
      </c>
      <c r="H128" s="522" t="str">
        <f>'5-1 Сбор КП Закупки'!H128</f>
        <v/>
      </c>
      <c r="I128" s="522" t="str">
        <f>'5-1 Сбор КП Закупки'!I128</f>
        <v/>
      </c>
      <c r="J128" s="197"/>
      <c r="K128" s="522" t="str">
        <f>'5-1 Сбор КП Закупки'!G128</f>
        <v/>
      </c>
      <c r="L128" s="523" t="str">
        <f>IF(A128="Да",'5-1 Сбор КП Закупки'!K128,)</f>
        <v/>
      </c>
      <c r="M128" s="197"/>
      <c r="N128" s="197"/>
      <c r="O128" s="197"/>
      <c r="P128" s="525" t="str">
        <f>'5-1 Сбор КП Закупки'!P128</f>
        <v/>
      </c>
      <c r="Q128" s="197"/>
      <c r="R128" s="197"/>
      <c r="S128" s="197"/>
      <c r="T128" s="197"/>
      <c r="U128" s="197"/>
      <c r="V128" s="197"/>
      <c r="W128" s="522" t="str">
        <f>'5-1 Сбор КП Закупки'!O128</f>
        <v/>
      </c>
      <c r="X128" s="197"/>
      <c r="Y128" s="197"/>
      <c r="Z128" s="197"/>
      <c r="AA128" s="197"/>
      <c r="AB128" s="197">
        <v>0.0</v>
      </c>
      <c r="AC128" s="197"/>
      <c r="AD128" s="197"/>
      <c r="AE1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5-3'!$D$11:$Q319,AE$4,AE$5)"),"")</f>
        <v/>
      </c>
      <c r="AF128" s="528"/>
      <c r="AG1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5-3'!$D$11:$Q319,AG$4,AG$5)"),"")</f>
        <v/>
      </c>
      <c r="AH128" s="527"/>
      <c r="AI1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5-3'!$D$11:$Q319,AI$4,AI$5)"),"")</f>
        <v/>
      </c>
      <c r="AJ128" s="527"/>
      <c r="AK1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5-3'!$D$11:$Q319,AK$4,AK$5)"),"")</f>
        <v/>
      </c>
      <c r="AL128" s="527"/>
      <c r="AM1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5-3'!$D$11:$Q319,AM$4,AM$5)"),"")</f>
        <v/>
      </c>
      <c r="AN128" s="529"/>
      <c r="AO1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5-3'!$D$11:$Q319,AO$4,AO$5)"),"")</f>
        <v/>
      </c>
      <c r="AP128" s="527"/>
      <c r="AQ128" s="527"/>
      <c r="AR128" s="527"/>
      <c r="AS128" s="527"/>
      <c r="AT1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5-3'!$D$11:$Q319,AT$4,AT$5)"),"")</f>
        <v/>
      </c>
      <c r="AU128" s="531"/>
      <c r="AV1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5-3'!$D$11:$Q319,AV$4,AV$5)"),"")</f>
        <v/>
      </c>
      <c r="AW128" s="530"/>
      <c r="AX1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5-3'!$D$11:$Q319,AX$4,AX$5)"),"")</f>
        <v/>
      </c>
      <c r="AY128" s="530"/>
      <c r="AZ1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5-3'!$D$11:$Q319,AZ$4,AZ$5)"),"")</f>
        <v/>
      </c>
      <c r="BA128" s="530"/>
      <c r="BB1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5-3'!$D$11:$Q319,BB$4,BB$5)"),"")</f>
        <v/>
      </c>
      <c r="BC128" s="532"/>
      <c r="BD1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5-3'!$D$11:$Q319,BD$4,BD$5)"),"")</f>
        <v/>
      </c>
      <c r="BE128" s="530"/>
      <c r="BF128" s="530"/>
      <c r="BG128" s="530"/>
      <c r="BH128" s="530"/>
      <c r="BI1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5-3'!$D$11:$Q319,BI$4,BI$5)"),"")</f>
        <v/>
      </c>
      <c r="BJ128" s="535"/>
      <c r="BK1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5-3'!$D$11:$Q319,BK$4,BK$5)"),"")</f>
        <v/>
      </c>
      <c r="BL128" s="534"/>
      <c r="BM1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5-3'!$D$11:$Q319,BM$4,BM$5)"),"")</f>
        <v/>
      </c>
      <c r="BN128" s="534"/>
      <c r="BO1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5-3'!$D$11:$Q319,BO$4,BO$5)"),"")</f>
        <v/>
      </c>
      <c r="BP128" s="534"/>
      <c r="BQ1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5-3'!$D$11:$Q319,BQ$4,BQ$5)"),"")</f>
        <v/>
      </c>
      <c r="BR128" s="536"/>
      <c r="BS1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5-3'!$D$11:$Q319,BS$4,BS$5)"),"")</f>
        <v/>
      </c>
      <c r="BT128" s="534"/>
      <c r="BU128" s="534"/>
      <c r="BV128" s="534"/>
      <c r="BW128" s="534"/>
      <c r="BX1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5-3'!$D$11:$Q319,BX$4,BX$5)"),"")</f>
        <v/>
      </c>
      <c r="BY128" s="538"/>
      <c r="BZ1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5-3'!$D$11:$Q319,BZ$4,BZ$5)"),"")</f>
        <v/>
      </c>
      <c r="CA128" s="537"/>
      <c r="CB1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5-3'!$D$11:$Q319,CB$4,CB$5)"),"")</f>
        <v/>
      </c>
      <c r="CC128" s="537"/>
      <c r="CD1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5-3'!$D$11:$Q319,CD$4,CD$5)"),"")</f>
        <v/>
      </c>
      <c r="CE128" s="537"/>
      <c r="CF1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5-3'!$D$11:$Q319,CF$4,CF$5)"),"")</f>
        <v/>
      </c>
      <c r="CG128" s="539"/>
      <c r="CH1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5-3'!$D$11:$Q319,CH$4,CH$5)"),"")</f>
        <v/>
      </c>
      <c r="CI128" s="537"/>
      <c r="CJ128" s="537"/>
      <c r="CK128" s="537"/>
      <c r="CL128" s="537"/>
      <c r="CM1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5-3'!$D$11:$Q319,CM$4,CM$5)"),"")</f>
        <v/>
      </c>
      <c r="CN128" s="541"/>
      <c r="CO1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5-3'!$D$11:$Q319,CO$4,CO$5)"),"")</f>
        <v/>
      </c>
      <c r="CP128" s="540"/>
      <c r="CQ1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5-3'!$D$11:$Q319,CQ$4,CQ$5)"),"")</f>
        <v/>
      </c>
      <c r="CR128" s="540"/>
      <c r="CS1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5-3'!$D$11:$Q319,CS$4,CS$5)"),"")</f>
        <v/>
      </c>
      <c r="CT128" s="540"/>
      <c r="CU1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5-3'!$D$11:$Q319,CU$4,CU$5)"),"")</f>
        <v/>
      </c>
      <c r="CV128" s="545"/>
      <c r="CW1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5-3'!$D$11:$Q319,CW$4,CW$5)"),"")</f>
        <v/>
      </c>
      <c r="CX128" s="540"/>
      <c r="CY128" s="540"/>
      <c r="CZ128" s="540"/>
      <c r="DA128" s="540"/>
      <c r="DB1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5-3'!$D$11:$Q319,DB$4,DB$5)"),"")</f>
        <v/>
      </c>
      <c r="DC128" s="555"/>
      <c r="DD1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5-3'!$D$11:$Q319,DD$4,DD$5)"),"")</f>
        <v/>
      </c>
      <c r="DE128" s="554"/>
      <c r="DF1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5-3'!$D$11:$Q319,DF$4,DF$5)"),"")</f>
        <v/>
      </c>
      <c r="DG128" s="554"/>
      <c r="DH1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5-3'!$D$11:$Q319,DH$4,DH$5)"),"")</f>
        <v/>
      </c>
      <c r="DI128" s="554"/>
      <c r="DJ1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5-3'!$D$11:$Q319,DJ$4,DJ$5)"),"")</f>
        <v/>
      </c>
      <c r="DK128" s="566"/>
      <c r="DL1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5-3'!$D$11:$Q319,DL$4,DL$5)"),"")</f>
        <v/>
      </c>
      <c r="DM128" s="554"/>
      <c r="DN128" s="554"/>
      <c r="DO128" s="554"/>
      <c r="DP128" s="554"/>
      <c r="DQ1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5-3'!$D$11:$Q319,DQ$4,DQ$5)"),"")</f>
        <v/>
      </c>
      <c r="DR128" s="569"/>
      <c r="DS1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5-3'!$D$11:$Q319,DS$4,DS$5)"),"")</f>
        <v/>
      </c>
      <c r="DT128" s="568"/>
      <c r="DU1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5-3'!$D$11:$Q319,DU$4,DU$5)"),"")</f>
        <v/>
      </c>
      <c r="DV128" s="568"/>
      <c r="DW1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5-3'!$D$11:$Q319,DW$4,DW$5)"),"")</f>
        <v/>
      </c>
      <c r="DX128" s="568"/>
      <c r="DY1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5-3'!$D$11:$Q319,DY$4,DY$5)"),"")</f>
        <v/>
      </c>
      <c r="DZ128" s="578"/>
      <c r="EA1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$C128, 'S-10 Топ 5-3'!$D$11:$Q319,EA$4,EA$5)"),"")</f>
        <v/>
      </c>
      <c r="EB128" s="568"/>
      <c r="EC128" s="568"/>
      <c r="ED128" s="568"/>
      <c r="EE128" s="568"/>
    </row>
    <row r="129">
      <c r="A129" s="519" t="str">
        <f t="shared" si="1"/>
        <v/>
      </c>
      <c r="B129" s="520" t="str">
        <f>'5-0 Товары'!B129</f>
        <v/>
      </c>
      <c r="C129" s="521" t="str">
        <f>'5-1 Сбор КП Закупки'!C129</f>
        <v/>
      </c>
      <c r="D129" s="521" t="str">
        <f>'5-1 Сбор КП Закупки'!D129</f>
        <v/>
      </c>
      <c r="E129" s="521" t="str">
        <f>'5-1 Сбор КП Закупки'!E129</f>
        <v/>
      </c>
      <c r="F129" s="521" t="str">
        <f>'5-1 Сбор КП Закупки'!F129</f>
        <v/>
      </c>
      <c r="G129" s="522" t="str">
        <f>'5-1 Сбор КП Закупки'!G129</f>
        <v/>
      </c>
      <c r="H129" s="522" t="str">
        <f>'5-1 Сбор КП Закупки'!H129</f>
        <v/>
      </c>
      <c r="I129" s="522" t="str">
        <f>'5-1 Сбор КП Закупки'!I129</f>
        <v/>
      </c>
      <c r="J129" s="197"/>
      <c r="K129" s="522" t="str">
        <f>'5-1 Сбор КП Закупки'!G129</f>
        <v/>
      </c>
      <c r="L129" s="523" t="str">
        <f>IF(A129="Да",'5-1 Сбор КП Закупки'!K129,)</f>
        <v/>
      </c>
      <c r="M129" s="197"/>
      <c r="N129" s="197"/>
      <c r="O129" s="197"/>
      <c r="P129" s="525" t="str">
        <f>'5-1 Сбор КП Закупки'!P129</f>
        <v/>
      </c>
      <c r="Q129" s="197"/>
      <c r="R129" s="197"/>
      <c r="S129" s="197"/>
      <c r="T129" s="197"/>
      <c r="U129" s="197"/>
      <c r="V129" s="197"/>
      <c r="W129" s="522" t="str">
        <f>'5-1 Сбор КП Закупки'!O129</f>
        <v/>
      </c>
      <c r="X129" s="197"/>
      <c r="Y129" s="197"/>
      <c r="Z129" s="197"/>
      <c r="AA129" s="197"/>
      <c r="AB129" s="197">
        <v>0.0</v>
      </c>
      <c r="AC129" s="197"/>
      <c r="AD129" s="197"/>
      <c r="AE1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5-3'!$D$11:$Q319,AE$4,AE$5)"),"")</f>
        <v/>
      </c>
      <c r="AF129" s="528"/>
      <c r="AG1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5-3'!$D$11:$Q319,AG$4,AG$5)"),"")</f>
        <v/>
      </c>
      <c r="AH129" s="527"/>
      <c r="AI1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5-3'!$D$11:$Q319,AI$4,AI$5)"),"")</f>
        <v/>
      </c>
      <c r="AJ129" s="527"/>
      <c r="AK1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5-3'!$D$11:$Q319,AK$4,AK$5)"),"")</f>
        <v/>
      </c>
      <c r="AL129" s="527"/>
      <c r="AM1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5-3'!$D$11:$Q319,AM$4,AM$5)"),"")</f>
        <v/>
      </c>
      <c r="AN129" s="529"/>
      <c r="AO1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5-3'!$D$11:$Q319,AO$4,AO$5)"),"")</f>
        <v/>
      </c>
      <c r="AP129" s="527"/>
      <c r="AQ129" s="527"/>
      <c r="AR129" s="527"/>
      <c r="AS129" s="527"/>
      <c r="AT1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5-3'!$D$11:$Q319,AT$4,AT$5)"),"")</f>
        <v/>
      </c>
      <c r="AU129" s="531"/>
      <c r="AV1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5-3'!$D$11:$Q319,AV$4,AV$5)"),"")</f>
        <v/>
      </c>
      <c r="AW129" s="530"/>
      <c r="AX1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5-3'!$D$11:$Q319,AX$4,AX$5)"),"")</f>
        <v/>
      </c>
      <c r="AY129" s="530"/>
      <c r="AZ1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5-3'!$D$11:$Q319,AZ$4,AZ$5)"),"")</f>
        <v/>
      </c>
      <c r="BA129" s="530"/>
      <c r="BB1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5-3'!$D$11:$Q319,BB$4,BB$5)"),"")</f>
        <v/>
      </c>
      <c r="BC129" s="532"/>
      <c r="BD1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5-3'!$D$11:$Q319,BD$4,BD$5)"),"")</f>
        <v/>
      </c>
      <c r="BE129" s="530"/>
      <c r="BF129" s="530"/>
      <c r="BG129" s="530"/>
      <c r="BH129" s="530"/>
      <c r="BI1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5-3'!$D$11:$Q319,BI$4,BI$5)"),"")</f>
        <v/>
      </c>
      <c r="BJ129" s="535"/>
      <c r="BK1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5-3'!$D$11:$Q319,BK$4,BK$5)"),"")</f>
        <v/>
      </c>
      <c r="BL129" s="534"/>
      <c r="BM1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5-3'!$D$11:$Q319,BM$4,BM$5)"),"")</f>
        <v/>
      </c>
      <c r="BN129" s="534"/>
      <c r="BO1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5-3'!$D$11:$Q319,BO$4,BO$5)"),"")</f>
        <v/>
      </c>
      <c r="BP129" s="534"/>
      <c r="BQ1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5-3'!$D$11:$Q319,BQ$4,BQ$5)"),"")</f>
        <v/>
      </c>
      <c r="BR129" s="536"/>
      <c r="BS1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5-3'!$D$11:$Q319,BS$4,BS$5)"),"")</f>
        <v/>
      </c>
      <c r="BT129" s="534"/>
      <c r="BU129" s="534"/>
      <c r="BV129" s="534"/>
      <c r="BW129" s="534"/>
      <c r="BX1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5-3'!$D$11:$Q319,BX$4,BX$5)"),"")</f>
        <v/>
      </c>
      <c r="BY129" s="538"/>
      <c r="BZ1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5-3'!$D$11:$Q319,BZ$4,BZ$5)"),"")</f>
        <v/>
      </c>
      <c r="CA129" s="537"/>
      <c r="CB1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5-3'!$D$11:$Q319,CB$4,CB$5)"),"")</f>
        <v/>
      </c>
      <c r="CC129" s="537"/>
      <c r="CD1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5-3'!$D$11:$Q319,CD$4,CD$5)"),"")</f>
        <v/>
      </c>
      <c r="CE129" s="537"/>
      <c r="CF1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5-3'!$D$11:$Q319,CF$4,CF$5)"),"")</f>
        <v/>
      </c>
      <c r="CG129" s="539"/>
      <c r="CH1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5-3'!$D$11:$Q319,CH$4,CH$5)"),"")</f>
        <v/>
      </c>
      <c r="CI129" s="537"/>
      <c r="CJ129" s="537"/>
      <c r="CK129" s="537"/>
      <c r="CL129" s="537"/>
      <c r="CM1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5-3'!$D$11:$Q319,CM$4,CM$5)"),"")</f>
        <v/>
      </c>
      <c r="CN129" s="541"/>
      <c r="CO1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5-3'!$D$11:$Q319,CO$4,CO$5)"),"")</f>
        <v/>
      </c>
      <c r="CP129" s="540"/>
      <c r="CQ1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5-3'!$D$11:$Q319,CQ$4,CQ$5)"),"")</f>
        <v/>
      </c>
      <c r="CR129" s="540"/>
      <c r="CS1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5-3'!$D$11:$Q319,CS$4,CS$5)"),"")</f>
        <v/>
      </c>
      <c r="CT129" s="540"/>
      <c r="CU1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5-3'!$D$11:$Q319,CU$4,CU$5)"),"")</f>
        <v/>
      </c>
      <c r="CV129" s="545"/>
      <c r="CW1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5-3'!$D$11:$Q319,CW$4,CW$5)"),"")</f>
        <v/>
      </c>
      <c r="CX129" s="540"/>
      <c r="CY129" s="540"/>
      <c r="CZ129" s="540"/>
      <c r="DA129" s="540"/>
      <c r="DB1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5-3'!$D$11:$Q319,DB$4,DB$5)"),"")</f>
        <v/>
      </c>
      <c r="DC129" s="555"/>
      <c r="DD1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5-3'!$D$11:$Q319,DD$4,DD$5)"),"")</f>
        <v/>
      </c>
      <c r="DE129" s="554"/>
      <c r="DF1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5-3'!$D$11:$Q319,DF$4,DF$5)"),"")</f>
        <v/>
      </c>
      <c r="DG129" s="554"/>
      <c r="DH1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5-3'!$D$11:$Q319,DH$4,DH$5)"),"")</f>
        <v/>
      </c>
      <c r="DI129" s="554"/>
      <c r="DJ1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5-3'!$D$11:$Q319,DJ$4,DJ$5)"),"")</f>
        <v/>
      </c>
      <c r="DK129" s="566"/>
      <c r="DL1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5-3'!$D$11:$Q319,DL$4,DL$5)"),"")</f>
        <v/>
      </c>
      <c r="DM129" s="554"/>
      <c r="DN129" s="554"/>
      <c r="DO129" s="554"/>
      <c r="DP129" s="554"/>
      <c r="DQ1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5-3'!$D$11:$Q319,DQ$4,DQ$5)"),"")</f>
        <v/>
      </c>
      <c r="DR129" s="569"/>
      <c r="DS1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5-3'!$D$11:$Q319,DS$4,DS$5)"),"")</f>
        <v/>
      </c>
      <c r="DT129" s="568"/>
      <c r="DU1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5-3'!$D$11:$Q319,DU$4,DU$5)"),"")</f>
        <v/>
      </c>
      <c r="DV129" s="568"/>
      <c r="DW1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5-3'!$D$11:$Q319,DW$4,DW$5)"),"")</f>
        <v/>
      </c>
      <c r="DX129" s="568"/>
      <c r="DY1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5-3'!$D$11:$Q319,DY$4,DY$5)"),"")</f>
        <v/>
      </c>
      <c r="DZ129" s="578"/>
      <c r="EA1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$C129, 'S-10 Топ 5-3'!$D$11:$Q319,EA$4,EA$5)"),"")</f>
        <v/>
      </c>
      <c r="EB129" s="568"/>
      <c r="EC129" s="568"/>
      <c r="ED129" s="568"/>
      <c r="EE129" s="568"/>
    </row>
    <row r="130">
      <c r="A130" s="519" t="str">
        <f t="shared" si="1"/>
        <v/>
      </c>
      <c r="B130" s="520" t="str">
        <f>'5-0 Товары'!B130</f>
        <v/>
      </c>
      <c r="C130" s="521" t="str">
        <f>'5-1 Сбор КП Закупки'!C130</f>
        <v/>
      </c>
      <c r="D130" s="521" t="str">
        <f>'5-1 Сбор КП Закупки'!D130</f>
        <v/>
      </c>
      <c r="E130" s="521" t="str">
        <f>'5-1 Сбор КП Закупки'!E130</f>
        <v/>
      </c>
      <c r="F130" s="521" t="str">
        <f>'5-1 Сбор КП Закупки'!F130</f>
        <v/>
      </c>
      <c r="G130" s="522" t="str">
        <f>'5-1 Сбор КП Закупки'!G130</f>
        <v/>
      </c>
      <c r="H130" s="522" t="str">
        <f>'5-1 Сбор КП Закупки'!H130</f>
        <v/>
      </c>
      <c r="I130" s="522" t="str">
        <f>'5-1 Сбор КП Закупки'!I130</f>
        <v/>
      </c>
      <c r="J130" s="197"/>
      <c r="K130" s="522" t="str">
        <f>'5-1 Сбор КП Закупки'!G130</f>
        <v/>
      </c>
      <c r="L130" s="523" t="str">
        <f>IF(A130="Да",'5-1 Сбор КП Закупки'!K130,)</f>
        <v/>
      </c>
      <c r="M130" s="197"/>
      <c r="N130" s="197"/>
      <c r="O130" s="197"/>
      <c r="P130" s="525" t="str">
        <f>'5-1 Сбор КП Закупки'!P130</f>
        <v/>
      </c>
      <c r="Q130" s="197"/>
      <c r="R130" s="197"/>
      <c r="S130" s="197"/>
      <c r="T130" s="197"/>
      <c r="U130" s="197"/>
      <c r="V130" s="197"/>
      <c r="W130" s="522" t="str">
        <f>'5-1 Сбор КП Закупки'!O130</f>
        <v/>
      </c>
      <c r="X130" s="197"/>
      <c r="Y130" s="197"/>
      <c r="Z130" s="197"/>
      <c r="AA130" s="197"/>
      <c r="AB130" s="197">
        <v>0.0</v>
      </c>
      <c r="AC130" s="197"/>
      <c r="AD130" s="197"/>
      <c r="AE1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5-3'!$D$11:$Q319,AE$4,AE$5)"),"")</f>
        <v/>
      </c>
      <c r="AF130" s="528"/>
      <c r="AG1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5-3'!$D$11:$Q319,AG$4,AG$5)"),"")</f>
        <v/>
      </c>
      <c r="AH130" s="527"/>
      <c r="AI1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5-3'!$D$11:$Q319,AI$4,AI$5)"),"")</f>
        <v/>
      </c>
      <c r="AJ130" s="527"/>
      <c r="AK1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5-3'!$D$11:$Q319,AK$4,AK$5)"),"")</f>
        <v/>
      </c>
      <c r="AL130" s="527"/>
      <c r="AM1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5-3'!$D$11:$Q319,AM$4,AM$5)"),"")</f>
        <v/>
      </c>
      <c r="AN130" s="529"/>
      <c r="AO1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5-3'!$D$11:$Q319,AO$4,AO$5)"),"")</f>
        <v/>
      </c>
      <c r="AP130" s="527"/>
      <c r="AQ130" s="527"/>
      <c r="AR130" s="527"/>
      <c r="AS130" s="527"/>
      <c r="AT1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5-3'!$D$11:$Q319,AT$4,AT$5)"),"")</f>
        <v/>
      </c>
      <c r="AU130" s="531"/>
      <c r="AV1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5-3'!$D$11:$Q319,AV$4,AV$5)"),"")</f>
        <v/>
      </c>
      <c r="AW130" s="530"/>
      <c r="AX1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5-3'!$D$11:$Q319,AX$4,AX$5)"),"")</f>
        <v/>
      </c>
      <c r="AY130" s="530"/>
      <c r="AZ1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5-3'!$D$11:$Q319,AZ$4,AZ$5)"),"")</f>
        <v/>
      </c>
      <c r="BA130" s="530"/>
      <c r="BB1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5-3'!$D$11:$Q319,BB$4,BB$5)"),"")</f>
        <v/>
      </c>
      <c r="BC130" s="532"/>
      <c r="BD1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5-3'!$D$11:$Q319,BD$4,BD$5)"),"")</f>
        <v/>
      </c>
      <c r="BE130" s="530"/>
      <c r="BF130" s="530"/>
      <c r="BG130" s="530"/>
      <c r="BH130" s="530"/>
      <c r="BI1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5-3'!$D$11:$Q319,BI$4,BI$5)"),"")</f>
        <v/>
      </c>
      <c r="BJ130" s="535"/>
      <c r="BK1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5-3'!$D$11:$Q319,BK$4,BK$5)"),"")</f>
        <v/>
      </c>
      <c r="BL130" s="534"/>
      <c r="BM1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5-3'!$D$11:$Q319,BM$4,BM$5)"),"")</f>
        <v/>
      </c>
      <c r="BN130" s="534"/>
      <c r="BO1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5-3'!$D$11:$Q319,BO$4,BO$5)"),"")</f>
        <v/>
      </c>
      <c r="BP130" s="534"/>
      <c r="BQ1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5-3'!$D$11:$Q319,BQ$4,BQ$5)"),"")</f>
        <v/>
      </c>
      <c r="BR130" s="536"/>
      <c r="BS1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5-3'!$D$11:$Q319,BS$4,BS$5)"),"")</f>
        <v/>
      </c>
      <c r="BT130" s="534"/>
      <c r="BU130" s="534"/>
      <c r="BV130" s="534"/>
      <c r="BW130" s="534"/>
      <c r="BX1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5-3'!$D$11:$Q319,BX$4,BX$5)"),"")</f>
        <v/>
      </c>
      <c r="BY130" s="538"/>
      <c r="BZ1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5-3'!$D$11:$Q319,BZ$4,BZ$5)"),"")</f>
        <v/>
      </c>
      <c r="CA130" s="537"/>
      <c r="CB1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5-3'!$D$11:$Q319,CB$4,CB$5)"),"")</f>
        <v/>
      </c>
      <c r="CC130" s="537"/>
      <c r="CD1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5-3'!$D$11:$Q319,CD$4,CD$5)"),"")</f>
        <v/>
      </c>
      <c r="CE130" s="537"/>
      <c r="CF1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5-3'!$D$11:$Q319,CF$4,CF$5)"),"")</f>
        <v/>
      </c>
      <c r="CG130" s="539"/>
      <c r="CH1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5-3'!$D$11:$Q319,CH$4,CH$5)"),"")</f>
        <v/>
      </c>
      <c r="CI130" s="537"/>
      <c r="CJ130" s="537"/>
      <c r="CK130" s="537"/>
      <c r="CL130" s="537"/>
      <c r="CM1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5-3'!$D$11:$Q319,CM$4,CM$5)"),"")</f>
        <v/>
      </c>
      <c r="CN130" s="541"/>
      <c r="CO1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5-3'!$D$11:$Q319,CO$4,CO$5)"),"")</f>
        <v/>
      </c>
      <c r="CP130" s="540"/>
      <c r="CQ1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5-3'!$D$11:$Q319,CQ$4,CQ$5)"),"")</f>
        <v/>
      </c>
      <c r="CR130" s="540"/>
      <c r="CS1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5-3'!$D$11:$Q319,CS$4,CS$5)"),"")</f>
        <v/>
      </c>
      <c r="CT130" s="540"/>
      <c r="CU1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5-3'!$D$11:$Q319,CU$4,CU$5)"),"")</f>
        <v/>
      </c>
      <c r="CV130" s="545"/>
      <c r="CW1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5-3'!$D$11:$Q319,CW$4,CW$5)"),"")</f>
        <v/>
      </c>
      <c r="CX130" s="540"/>
      <c r="CY130" s="540"/>
      <c r="CZ130" s="540"/>
      <c r="DA130" s="540"/>
      <c r="DB1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5-3'!$D$11:$Q319,DB$4,DB$5)"),"")</f>
        <v/>
      </c>
      <c r="DC130" s="555"/>
      <c r="DD1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5-3'!$D$11:$Q319,DD$4,DD$5)"),"")</f>
        <v/>
      </c>
      <c r="DE130" s="554"/>
      <c r="DF1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5-3'!$D$11:$Q319,DF$4,DF$5)"),"")</f>
        <v/>
      </c>
      <c r="DG130" s="554"/>
      <c r="DH1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5-3'!$D$11:$Q319,DH$4,DH$5)"),"")</f>
        <v/>
      </c>
      <c r="DI130" s="554"/>
      <c r="DJ1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5-3'!$D$11:$Q319,DJ$4,DJ$5)"),"")</f>
        <v/>
      </c>
      <c r="DK130" s="566"/>
      <c r="DL1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5-3'!$D$11:$Q319,DL$4,DL$5)"),"")</f>
        <v/>
      </c>
      <c r="DM130" s="554"/>
      <c r="DN130" s="554"/>
      <c r="DO130" s="554"/>
      <c r="DP130" s="554"/>
      <c r="DQ1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5-3'!$D$11:$Q319,DQ$4,DQ$5)"),"")</f>
        <v/>
      </c>
      <c r="DR130" s="569"/>
      <c r="DS1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5-3'!$D$11:$Q319,DS$4,DS$5)"),"")</f>
        <v/>
      </c>
      <c r="DT130" s="568"/>
      <c r="DU1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5-3'!$D$11:$Q319,DU$4,DU$5)"),"")</f>
        <v/>
      </c>
      <c r="DV130" s="568"/>
      <c r="DW1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5-3'!$D$11:$Q319,DW$4,DW$5)"),"")</f>
        <v/>
      </c>
      <c r="DX130" s="568"/>
      <c r="DY1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5-3'!$D$11:$Q319,DY$4,DY$5)"),"")</f>
        <v/>
      </c>
      <c r="DZ130" s="578"/>
      <c r="EA1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$C130, 'S-10 Топ 5-3'!$D$11:$Q319,EA$4,EA$5)"),"")</f>
        <v/>
      </c>
      <c r="EB130" s="568"/>
      <c r="EC130" s="568"/>
      <c r="ED130" s="568"/>
      <c r="EE130" s="568"/>
    </row>
    <row r="131">
      <c r="A131" s="519" t="str">
        <f t="shared" si="1"/>
        <v/>
      </c>
      <c r="B131" s="520" t="str">
        <f>'5-0 Товары'!B131</f>
        <v/>
      </c>
      <c r="C131" s="521" t="str">
        <f>'5-1 Сбор КП Закупки'!C131</f>
        <v/>
      </c>
      <c r="D131" s="521" t="str">
        <f>'5-1 Сбор КП Закупки'!D131</f>
        <v/>
      </c>
      <c r="E131" s="521" t="str">
        <f>'5-1 Сбор КП Закупки'!E131</f>
        <v/>
      </c>
      <c r="F131" s="521" t="str">
        <f>'5-1 Сбор КП Закупки'!F131</f>
        <v/>
      </c>
      <c r="G131" s="522" t="str">
        <f>'5-1 Сбор КП Закупки'!G131</f>
        <v/>
      </c>
      <c r="H131" s="522" t="str">
        <f>'5-1 Сбор КП Закупки'!H131</f>
        <v/>
      </c>
      <c r="I131" s="522" t="str">
        <f>'5-1 Сбор КП Закупки'!I131</f>
        <v/>
      </c>
      <c r="J131" s="197"/>
      <c r="K131" s="522" t="str">
        <f>'5-1 Сбор КП Закупки'!G131</f>
        <v/>
      </c>
      <c r="L131" s="523" t="str">
        <f>IF(A131="Да",'5-1 Сбор КП Закупки'!K131,)</f>
        <v/>
      </c>
      <c r="M131" s="197"/>
      <c r="N131" s="197"/>
      <c r="O131" s="197"/>
      <c r="P131" s="525" t="str">
        <f>'5-1 Сбор КП Закупки'!P131</f>
        <v/>
      </c>
      <c r="Q131" s="197"/>
      <c r="R131" s="197"/>
      <c r="S131" s="197"/>
      <c r="T131" s="197"/>
      <c r="U131" s="197"/>
      <c r="V131" s="197"/>
      <c r="W131" s="522" t="str">
        <f>'5-1 Сбор КП Закупки'!O131</f>
        <v/>
      </c>
      <c r="X131" s="197"/>
      <c r="Y131" s="197"/>
      <c r="Z131" s="197"/>
      <c r="AA131" s="197"/>
      <c r="AB131" s="197">
        <v>0.0</v>
      </c>
      <c r="AC131" s="197"/>
      <c r="AD131" s="197"/>
      <c r="AE1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5-3'!$D$11:$Q319,AE$4,AE$5)"),"")</f>
        <v/>
      </c>
      <c r="AF131" s="528"/>
      <c r="AG1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5-3'!$D$11:$Q319,AG$4,AG$5)"),"")</f>
        <v/>
      </c>
      <c r="AH131" s="527"/>
      <c r="AI1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5-3'!$D$11:$Q319,AI$4,AI$5)"),"")</f>
        <v/>
      </c>
      <c r="AJ131" s="527"/>
      <c r="AK1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5-3'!$D$11:$Q319,AK$4,AK$5)"),"")</f>
        <v/>
      </c>
      <c r="AL131" s="527"/>
      <c r="AM1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5-3'!$D$11:$Q319,AM$4,AM$5)"),"")</f>
        <v/>
      </c>
      <c r="AN131" s="529"/>
      <c r="AO1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5-3'!$D$11:$Q319,AO$4,AO$5)"),"")</f>
        <v/>
      </c>
      <c r="AP131" s="527"/>
      <c r="AQ131" s="527"/>
      <c r="AR131" s="527"/>
      <c r="AS131" s="527"/>
      <c r="AT1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5-3'!$D$11:$Q319,AT$4,AT$5)"),"")</f>
        <v/>
      </c>
      <c r="AU131" s="531"/>
      <c r="AV1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5-3'!$D$11:$Q319,AV$4,AV$5)"),"")</f>
        <v/>
      </c>
      <c r="AW131" s="530"/>
      <c r="AX1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5-3'!$D$11:$Q319,AX$4,AX$5)"),"")</f>
        <v/>
      </c>
      <c r="AY131" s="530"/>
      <c r="AZ1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5-3'!$D$11:$Q319,AZ$4,AZ$5)"),"")</f>
        <v/>
      </c>
      <c r="BA131" s="530"/>
      <c r="BB1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5-3'!$D$11:$Q319,BB$4,BB$5)"),"")</f>
        <v/>
      </c>
      <c r="BC131" s="532"/>
      <c r="BD1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5-3'!$D$11:$Q319,BD$4,BD$5)"),"")</f>
        <v/>
      </c>
      <c r="BE131" s="530"/>
      <c r="BF131" s="530"/>
      <c r="BG131" s="530"/>
      <c r="BH131" s="530"/>
      <c r="BI1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5-3'!$D$11:$Q319,BI$4,BI$5)"),"")</f>
        <v/>
      </c>
      <c r="BJ131" s="535"/>
      <c r="BK1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5-3'!$D$11:$Q319,BK$4,BK$5)"),"")</f>
        <v/>
      </c>
      <c r="BL131" s="534"/>
      <c r="BM1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5-3'!$D$11:$Q319,BM$4,BM$5)"),"")</f>
        <v/>
      </c>
      <c r="BN131" s="534"/>
      <c r="BO1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5-3'!$D$11:$Q319,BO$4,BO$5)"),"")</f>
        <v/>
      </c>
      <c r="BP131" s="534"/>
      <c r="BQ1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5-3'!$D$11:$Q319,BQ$4,BQ$5)"),"")</f>
        <v/>
      </c>
      <c r="BR131" s="536"/>
      <c r="BS1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5-3'!$D$11:$Q319,BS$4,BS$5)"),"")</f>
        <v/>
      </c>
      <c r="BT131" s="534"/>
      <c r="BU131" s="534"/>
      <c r="BV131" s="534"/>
      <c r="BW131" s="534"/>
      <c r="BX1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5-3'!$D$11:$Q319,BX$4,BX$5)"),"")</f>
        <v/>
      </c>
      <c r="BY131" s="538"/>
      <c r="BZ1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5-3'!$D$11:$Q319,BZ$4,BZ$5)"),"")</f>
        <v/>
      </c>
      <c r="CA131" s="537"/>
      <c r="CB1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5-3'!$D$11:$Q319,CB$4,CB$5)"),"")</f>
        <v/>
      </c>
      <c r="CC131" s="537"/>
      <c r="CD1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5-3'!$D$11:$Q319,CD$4,CD$5)"),"")</f>
        <v/>
      </c>
      <c r="CE131" s="537"/>
      <c r="CF1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5-3'!$D$11:$Q319,CF$4,CF$5)"),"")</f>
        <v/>
      </c>
      <c r="CG131" s="539"/>
      <c r="CH1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5-3'!$D$11:$Q319,CH$4,CH$5)"),"")</f>
        <v/>
      </c>
      <c r="CI131" s="537"/>
      <c r="CJ131" s="537"/>
      <c r="CK131" s="537"/>
      <c r="CL131" s="537"/>
      <c r="CM1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5-3'!$D$11:$Q319,CM$4,CM$5)"),"")</f>
        <v/>
      </c>
      <c r="CN131" s="541"/>
      <c r="CO1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5-3'!$D$11:$Q319,CO$4,CO$5)"),"")</f>
        <v/>
      </c>
      <c r="CP131" s="540"/>
      <c r="CQ1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5-3'!$D$11:$Q319,CQ$4,CQ$5)"),"")</f>
        <v/>
      </c>
      <c r="CR131" s="540"/>
      <c r="CS1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5-3'!$D$11:$Q319,CS$4,CS$5)"),"")</f>
        <v/>
      </c>
      <c r="CT131" s="540"/>
      <c r="CU1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5-3'!$D$11:$Q319,CU$4,CU$5)"),"")</f>
        <v/>
      </c>
      <c r="CV131" s="545"/>
      <c r="CW1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5-3'!$D$11:$Q319,CW$4,CW$5)"),"")</f>
        <v/>
      </c>
      <c r="CX131" s="540"/>
      <c r="CY131" s="540"/>
      <c r="CZ131" s="540"/>
      <c r="DA131" s="540"/>
      <c r="DB1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5-3'!$D$11:$Q319,DB$4,DB$5)"),"")</f>
        <v/>
      </c>
      <c r="DC131" s="555"/>
      <c r="DD1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5-3'!$D$11:$Q319,DD$4,DD$5)"),"")</f>
        <v/>
      </c>
      <c r="DE131" s="554"/>
      <c r="DF1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5-3'!$D$11:$Q319,DF$4,DF$5)"),"")</f>
        <v/>
      </c>
      <c r="DG131" s="554"/>
      <c r="DH1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5-3'!$D$11:$Q319,DH$4,DH$5)"),"")</f>
        <v/>
      </c>
      <c r="DI131" s="554"/>
      <c r="DJ1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5-3'!$D$11:$Q319,DJ$4,DJ$5)"),"")</f>
        <v/>
      </c>
      <c r="DK131" s="566"/>
      <c r="DL1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5-3'!$D$11:$Q319,DL$4,DL$5)"),"")</f>
        <v/>
      </c>
      <c r="DM131" s="554"/>
      <c r="DN131" s="554"/>
      <c r="DO131" s="554"/>
      <c r="DP131" s="554"/>
      <c r="DQ1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5-3'!$D$11:$Q319,DQ$4,DQ$5)"),"")</f>
        <v/>
      </c>
      <c r="DR131" s="569"/>
      <c r="DS1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5-3'!$D$11:$Q319,DS$4,DS$5)"),"")</f>
        <v/>
      </c>
      <c r="DT131" s="568"/>
      <c r="DU1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5-3'!$D$11:$Q319,DU$4,DU$5)"),"")</f>
        <v/>
      </c>
      <c r="DV131" s="568"/>
      <c r="DW1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5-3'!$D$11:$Q319,DW$4,DW$5)"),"")</f>
        <v/>
      </c>
      <c r="DX131" s="568"/>
      <c r="DY1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5-3'!$D$11:$Q319,DY$4,DY$5)"),"")</f>
        <v/>
      </c>
      <c r="DZ131" s="578"/>
      <c r="EA1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$C131, 'S-10 Топ 5-3'!$D$11:$Q319,EA$4,EA$5)"),"")</f>
        <v/>
      </c>
      <c r="EB131" s="568"/>
      <c r="EC131" s="568"/>
      <c r="ED131" s="568"/>
      <c r="EE131" s="568"/>
    </row>
    <row r="132">
      <c r="A132" s="519" t="str">
        <f t="shared" si="1"/>
        <v/>
      </c>
      <c r="B132" s="520" t="str">
        <f>'5-0 Товары'!B132</f>
        <v/>
      </c>
      <c r="C132" s="521" t="str">
        <f>'5-1 Сбор КП Закупки'!C132</f>
        <v/>
      </c>
      <c r="D132" s="521" t="str">
        <f>'5-1 Сбор КП Закупки'!D132</f>
        <v/>
      </c>
      <c r="E132" s="521" t="str">
        <f>'5-1 Сбор КП Закупки'!E132</f>
        <v/>
      </c>
      <c r="F132" s="521" t="str">
        <f>'5-1 Сбор КП Закупки'!F132</f>
        <v/>
      </c>
      <c r="G132" s="522" t="str">
        <f>'5-1 Сбор КП Закупки'!G132</f>
        <v/>
      </c>
      <c r="H132" s="522" t="str">
        <f>'5-1 Сбор КП Закупки'!H132</f>
        <v/>
      </c>
      <c r="I132" s="522" t="str">
        <f>'5-1 Сбор КП Закупки'!I132</f>
        <v/>
      </c>
      <c r="J132" s="197"/>
      <c r="K132" s="522" t="str">
        <f>'5-1 Сбор КП Закупки'!G132</f>
        <v/>
      </c>
      <c r="L132" s="523" t="str">
        <f>IF(A132="Да",'5-1 Сбор КП Закупки'!K132,)</f>
        <v/>
      </c>
      <c r="M132" s="197"/>
      <c r="N132" s="197"/>
      <c r="O132" s="197"/>
      <c r="P132" s="525" t="str">
        <f>'5-1 Сбор КП Закупки'!P132</f>
        <v/>
      </c>
      <c r="Q132" s="197"/>
      <c r="R132" s="197"/>
      <c r="S132" s="197"/>
      <c r="T132" s="197"/>
      <c r="U132" s="197"/>
      <c r="V132" s="197"/>
      <c r="W132" s="522" t="str">
        <f>'5-1 Сбор КП Закупки'!O132</f>
        <v/>
      </c>
      <c r="X132" s="197"/>
      <c r="Y132" s="197"/>
      <c r="Z132" s="197"/>
      <c r="AA132" s="197"/>
      <c r="AB132" s="197">
        <v>0.0</v>
      </c>
      <c r="AC132" s="197"/>
      <c r="AD132" s="197"/>
      <c r="AE1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5-3'!$D$11:$Q319,AE$4,AE$5)"),"")</f>
        <v/>
      </c>
      <c r="AF132" s="528"/>
      <c r="AG1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5-3'!$D$11:$Q319,AG$4,AG$5)"),"")</f>
        <v/>
      </c>
      <c r="AH132" s="527"/>
      <c r="AI1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5-3'!$D$11:$Q319,AI$4,AI$5)"),"")</f>
        <v/>
      </c>
      <c r="AJ132" s="527"/>
      <c r="AK1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5-3'!$D$11:$Q319,AK$4,AK$5)"),"")</f>
        <v/>
      </c>
      <c r="AL132" s="527"/>
      <c r="AM1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5-3'!$D$11:$Q319,AM$4,AM$5)"),"")</f>
        <v/>
      </c>
      <c r="AN132" s="529"/>
      <c r="AO1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5-3'!$D$11:$Q319,AO$4,AO$5)"),"")</f>
        <v/>
      </c>
      <c r="AP132" s="527"/>
      <c r="AQ132" s="527"/>
      <c r="AR132" s="527"/>
      <c r="AS132" s="527"/>
      <c r="AT1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5-3'!$D$11:$Q319,AT$4,AT$5)"),"")</f>
        <v/>
      </c>
      <c r="AU132" s="531"/>
      <c r="AV1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5-3'!$D$11:$Q319,AV$4,AV$5)"),"")</f>
        <v/>
      </c>
      <c r="AW132" s="530"/>
      <c r="AX1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5-3'!$D$11:$Q319,AX$4,AX$5)"),"")</f>
        <v/>
      </c>
      <c r="AY132" s="530"/>
      <c r="AZ1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5-3'!$D$11:$Q319,AZ$4,AZ$5)"),"")</f>
        <v/>
      </c>
      <c r="BA132" s="530"/>
      <c r="BB1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5-3'!$D$11:$Q319,BB$4,BB$5)"),"")</f>
        <v/>
      </c>
      <c r="BC132" s="532"/>
      <c r="BD1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5-3'!$D$11:$Q319,BD$4,BD$5)"),"")</f>
        <v/>
      </c>
      <c r="BE132" s="530"/>
      <c r="BF132" s="530"/>
      <c r="BG132" s="530"/>
      <c r="BH132" s="530"/>
      <c r="BI1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5-3'!$D$11:$Q319,BI$4,BI$5)"),"")</f>
        <v/>
      </c>
      <c r="BJ132" s="535"/>
      <c r="BK1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5-3'!$D$11:$Q319,BK$4,BK$5)"),"")</f>
        <v/>
      </c>
      <c r="BL132" s="534"/>
      <c r="BM1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5-3'!$D$11:$Q319,BM$4,BM$5)"),"")</f>
        <v/>
      </c>
      <c r="BN132" s="534"/>
      <c r="BO1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5-3'!$D$11:$Q319,BO$4,BO$5)"),"")</f>
        <v/>
      </c>
      <c r="BP132" s="534"/>
      <c r="BQ1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5-3'!$D$11:$Q319,BQ$4,BQ$5)"),"")</f>
        <v/>
      </c>
      <c r="BR132" s="536"/>
      <c r="BS1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5-3'!$D$11:$Q319,BS$4,BS$5)"),"")</f>
        <v/>
      </c>
      <c r="BT132" s="534"/>
      <c r="BU132" s="534"/>
      <c r="BV132" s="534"/>
      <c r="BW132" s="534"/>
      <c r="BX1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5-3'!$D$11:$Q319,BX$4,BX$5)"),"")</f>
        <v/>
      </c>
      <c r="BY132" s="538"/>
      <c r="BZ1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5-3'!$D$11:$Q319,BZ$4,BZ$5)"),"")</f>
        <v/>
      </c>
      <c r="CA132" s="537"/>
      <c r="CB1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5-3'!$D$11:$Q319,CB$4,CB$5)"),"")</f>
        <v/>
      </c>
      <c r="CC132" s="537"/>
      <c r="CD1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5-3'!$D$11:$Q319,CD$4,CD$5)"),"")</f>
        <v/>
      </c>
      <c r="CE132" s="537"/>
      <c r="CF1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5-3'!$D$11:$Q319,CF$4,CF$5)"),"")</f>
        <v/>
      </c>
      <c r="CG132" s="539"/>
      <c r="CH1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5-3'!$D$11:$Q319,CH$4,CH$5)"),"")</f>
        <v/>
      </c>
      <c r="CI132" s="537"/>
      <c r="CJ132" s="537"/>
      <c r="CK132" s="537"/>
      <c r="CL132" s="537"/>
      <c r="CM1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5-3'!$D$11:$Q319,CM$4,CM$5)"),"")</f>
        <v/>
      </c>
      <c r="CN132" s="541"/>
      <c r="CO1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5-3'!$D$11:$Q319,CO$4,CO$5)"),"")</f>
        <v/>
      </c>
      <c r="CP132" s="540"/>
      <c r="CQ1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5-3'!$D$11:$Q319,CQ$4,CQ$5)"),"")</f>
        <v/>
      </c>
      <c r="CR132" s="540"/>
      <c r="CS1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5-3'!$D$11:$Q319,CS$4,CS$5)"),"")</f>
        <v/>
      </c>
      <c r="CT132" s="540"/>
      <c r="CU1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5-3'!$D$11:$Q319,CU$4,CU$5)"),"")</f>
        <v/>
      </c>
      <c r="CV132" s="545"/>
      <c r="CW1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5-3'!$D$11:$Q319,CW$4,CW$5)"),"")</f>
        <v/>
      </c>
      <c r="CX132" s="540"/>
      <c r="CY132" s="540"/>
      <c r="CZ132" s="540"/>
      <c r="DA132" s="540"/>
      <c r="DB1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5-3'!$D$11:$Q319,DB$4,DB$5)"),"")</f>
        <v/>
      </c>
      <c r="DC132" s="555"/>
      <c r="DD1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5-3'!$D$11:$Q319,DD$4,DD$5)"),"")</f>
        <v/>
      </c>
      <c r="DE132" s="554"/>
      <c r="DF1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5-3'!$D$11:$Q319,DF$4,DF$5)"),"")</f>
        <v/>
      </c>
      <c r="DG132" s="554"/>
      <c r="DH1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5-3'!$D$11:$Q319,DH$4,DH$5)"),"")</f>
        <v/>
      </c>
      <c r="DI132" s="554"/>
      <c r="DJ1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5-3'!$D$11:$Q319,DJ$4,DJ$5)"),"")</f>
        <v/>
      </c>
      <c r="DK132" s="566"/>
      <c r="DL1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5-3'!$D$11:$Q319,DL$4,DL$5)"),"")</f>
        <v/>
      </c>
      <c r="DM132" s="554"/>
      <c r="DN132" s="554"/>
      <c r="DO132" s="554"/>
      <c r="DP132" s="554"/>
      <c r="DQ1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5-3'!$D$11:$Q319,DQ$4,DQ$5)"),"")</f>
        <v/>
      </c>
      <c r="DR132" s="569"/>
      <c r="DS1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5-3'!$D$11:$Q319,DS$4,DS$5)"),"")</f>
        <v/>
      </c>
      <c r="DT132" s="568"/>
      <c r="DU1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5-3'!$D$11:$Q319,DU$4,DU$5)"),"")</f>
        <v/>
      </c>
      <c r="DV132" s="568"/>
      <c r="DW1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5-3'!$D$11:$Q319,DW$4,DW$5)"),"")</f>
        <v/>
      </c>
      <c r="DX132" s="568"/>
      <c r="DY1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5-3'!$D$11:$Q319,DY$4,DY$5)"),"")</f>
        <v/>
      </c>
      <c r="DZ132" s="578"/>
      <c r="EA1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$C132, 'S-10 Топ 5-3'!$D$11:$Q319,EA$4,EA$5)"),"")</f>
        <v/>
      </c>
      <c r="EB132" s="568"/>
      <c r="EC132" s="568"/>
      <c r="ED132" s="568"/>
      <c r="EE132" s="568"/>
    </row>
    <row r="133">
      <c r="A133" s="519" t="str">
        <f t="shared" si="1"/>
        <v/>
      </c>
      <c r="B133" s="520" t="str">
        <f>'5-0 Товары'!B133</f>
        <v/>
      </c>
      <c r="C133" s="521" t="str">
        <f>'5-1 Сбор КП Закупки'!C133</f>
        <v/>
      </c>
      <c r="D133" s="521" t="str">
        <f>'5-1 Сбор КП Закупки'!D133</f>
        <v/>
      </c>
      <c r="E133" s="521" t="str">
        <f>'5-1 Сбор КП Закупки'!E133</f>
        <v/>
      </c>
      <c r="F133" s="521" t="str">
        <f>'5-1 Сбор КП Закупки'!F133</f>
        <v/>
      </c>
      <c r="G133" s="522" t="str">
        <f>'5-1 Сбор КП Закупки'!G133</f>
        <v/>
      </c>
      <c r="H133" s="522" t="str">
        <f>'5-1 Сбор КП Закупки'!H133</f>
        <v/>
      </c>
      <c r="I133" s="522" t="str">
        <f>'5-1 Сбор КП Закупки'!I133</f>
        <v/>
      </c>
      <c r="J133" s="197"/>
      <c r="K133" s="522" t="str">
        <f>'5-1 Сбор КП Закупки'!G133</f>
        <v/>
      </c>
      <c r="L133" s="523" t="str">
        <f>IF(A133="Да",'5-1 Сбор КП Закупки'!K133,)</f>
        <v/>
      </c>
      <c r="M133" s="197"/>
      <c r="N133" s="197"/>
      <c r="O133" s="197"/>
      <c r="P133" s="525" t="str">
        <f>'5-1 Сбор КП Закупки'!P133</f>
        <v/>
      </c>
      <c r="Q133" s="197"/>
      <c r="R133" s="197"/>
      <c r="S133" s="197"/>
      <c r="T133" s="197"/>
      <c r="U133" s="197"/>
      <c r="V133" s="197"/>
      <c r="W133" s="522" t="str">
        <f>'5-1 Сбор КП Закупки'!O133</f>
        <v/>
      </c>
      <c r="X133" s="197"/>
      <c r="Y133" s="197"/>
      <c r="Z133" s="197"/>
      <c r="AA133" s="197"/>
      <c r="AB133" s="197">
        <v>0.0</v>
      </c>
      <c r="AC133" s="197"/>
      <c r="AD133" s="197"/>
      <c r="AE1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5-3'!$D$11:$Q319,AE$4,AE$5)"),"")</f>
        <v/>
      </c>
      <c r="AF133" s="528"/>
      <c r="AG1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5-3'!$D$11:$Q319,AG$4,AG$5)"),"")</f>
        <v/>
      </c>
      <c r="AH133" s="527"/>
      <c r="AI1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5-3'!$D$11:$Q319,AI$4,AI$5)"),"")</f>
        <v/>
      </c>
      <c r="AJ133" s="527"/>
      <c r="AK1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5-3'!$D$11:$Q319,AK$4,AK$5)"),"")</f>
        <v/>
      </c>
      <c r="AL133" s="527"/>
      <c r="AM1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5-3'!$D$11:$Q319,AM$4,AM$5)"),"")</f>
        <v/>
      </c>
      <c r="AN133" s="529"/>
      <c r="AO1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5-3'!$D$11:$Q319,AO$4,AO$5)"),"")</f>
        <v/>
      </c>
      <c r="AP133" s="527"/>
      <c r="AQ133" s="527"/>
      <c r="AR133" s="527"/>
      <c r="AS133" s="527"/>
      <c r="AT1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5-3'!$D$11:$Q319,AT$4,AT$5)"),"")</f>
        <v/>
      </c>
      <c r="AU133" s="531"/>
      <c r="AV1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5-3'!$D$11:$Q319,AV$4,AV$5)"),"")</f>
        <v/>
      </c>
      <c r="AW133" s="530"/>
      <c r="AX1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5-3'!$D$11:$Q319,AX$4,AX$5)"),"")</f>
        <v/>
      </c>
      <c r="AY133" s="530"/>
      <c r="AZ1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5-3'!$D$11:$Q319,AZ$4,AZ$5)"),"")</f>
        <v/>
      </c>
      <c r="BA133" s="530"/>
      <c r="BB1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5-3'!$D$11:$Q319,BB$4,BB$5)"),"")</f>
        <v/>
      </c>
      <c r="BC133" s="532"/>
      <c r="BD1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5-3'!$D$11:$Q319,BD$4,BD$5)"),"")</f>
        <v/>
      </c>
      <c r="BE133" s="530"/>
      <c r="BF133" s="530"/>
      <c r="BG133" s="530"/>
      <c r="BH133" s="530"/>
      <c r="BI1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5-3'!$D$11:$Q319,BI$4,BI$5)"),"")</f>
        <v/>
      </c>
      <c r="BJ133" s="535"/>
      <c r="BK1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5-3'!$D$11:$Q319,BK$4,BK$5)"),"")</f>
        <v/>
      </c>
      <c r="BL133" s="534"/>
      <c r="BM1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5-3'!$D$11:$Q319,BM$4,BM$5)"),"")</f>
        <v/>
      </c>
      <c r="BN133" s="534"/>
      <c r="BO1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5-3'!$D$11:$Q319,BO$4,BO$5)"),"")</f>
        <v/>
      </c>
      <c r="BP133" s="534"/>
      <c r="BQ1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5-3'!$D$11:$Q319,BQ$4,BQ$5)"),"")</f>
        <v/>
      </c>
      <c r="BR133" s="536"/>
      <c r="BS1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5-3'!$D$11:$Q319,BS$4,BS$5)"),"")</f>
        <v/>
      </c>
      <c r="BT133" s="534"/>
      <c r="BU133" s="534"/>
      <c r="BV133" s="534"/>
      <c r="BW133" s="534"/>
      <c r="BX1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5-3'!$D$11:$Q319,BX$4,BX$5)"),"")</f>
        <v/>
      </c>
      <c r="BY133" s="538"/>
      <c r="BZ1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5-3'!$D$11:$Q319,BZ$4,BZ$5)"),"")</f>
        <v/>
      </c>
      <c r="CA133" s="537"/>
      <c r="CB1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5-3'!$D$11:$Q319,CB$4,CB$5)"),"")</f>
        <v/>
      </c>
      <c r="CC133" s="537"/>
      <c r="CD1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5-3'!$D$11:$Q319,CD$4,CD$5)"),"")</f>
        <v/>
      </c>
      <c r="CE133" s="537"/>
      <c r="CF1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5-3'!$D$11:$Q319,CF$4,CF$5)"),"")</f>
        <v/>
      </c>
      <c r="CG133" s="539"/>
      <c r="CH1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5-3'!$D$11:$Q319,CH$4,CH$5)"),"")</f>
        <v/>
      </c>
      <c r="CI133" s="537"/>
      <c r="CJ133" s="537"/>
      <c r="CK133" s="537"/>
      <c r="CL133" s="537"/>
      <c r="CM1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5-3'!$D$11:$Q319,CM$4,CM$5)"),"")</f>
        <v/>
      </c>
      <c r="CN133" s="541"/>
      <c r="CO1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5-3'!$D$11:$Q319,CO$4,CO$5)"),"")</f>
        <v/>
      </c>
      <c r="CP133" s="540"/>
      <c r="CQ1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5-3'!$D$11:$Q319,CQ$4,CQ$5)"),"")</f>
        <v/>
      </c>
      <c r="CR133" s="540"/>
      <c r="CS1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5-3'!$D$11:$Q319,CS$4,CS$5)"),"")</f>
        <v/>
      </c>
      <c r="CT133" s="540"/>
      <c r="CU1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5-3'!$D$11:$Q319,CU$4,CU$5)"),"")</f>
        <v/>
      </c>
      <c r="CV133" s="545"/>
      <c r="CW1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5-3'!$D$11:$Q319,CW$4,CW$5)"),"")</f>
        <v/>
      </c>
      <c r="CX133" s="540"/>
      <c r="CY133" s="540"/>
      <c r="CZ133" s="540"/>
      <c r="DA133" s="540"/>
      <c r="DB1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5-3'!$D$11:$Q319,DB$4,DB$5)"),"")</f>
        <v/>
      </c>
      <c r="DC133" s="555"/>
      <c r="DD1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5-3'!$D$11:$Q319,DD$4,DD$5)"),"")</f>
        <v/>
      </c>
      <c r="DE133" s="554"/>
      <c r="DF1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5-3'!$D$11:$Q319,DF$4,DF$5)"),"")</f>
        <v/>
      </c>
      <c r="DG133" s="554"/>
      <c r="DH1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5-3'!$D$11:$Q319,DH$4,DH$5)"),"")</f>
        <v/>
      </c>
      <c r="DI133" s="554"/>
      <c r="DJ1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5-3'!$D$11:$Q319,DJ$4,DJ$5)"),"")</f>
        <v/>
      </c>
      <c r="DK133" s="566"/>
      <c r="DL1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5-3'!$D$11:$Q319,DL$4,DL$5)"),"")</f>
        <v/>
      </c>
      <c r="DM133" s="554"/>
      <c r="DN133" s="554"/>
      <c r="DO133" s="554"/>
      <c r="DP133" s="554"/>
      <c r="DQ1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5-3'!$D$11:$Q319,DQ$4,DQ$5)"),"")</f>
        <v/>
      </c>
      <c r="DR133" s="569"/>
      <c r="DS1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5-3'!$D$11:$Q319,DS$4,DS$5)"),"")</f>
        <v/>
      </c>
      <c r="DT133" s="568"/>
      <c r="DU1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5-3'!$D$11:$Q319,DU$4,DU$5)"),"")</f>
        <v/>
      </c>
      <c r="DV133" s="568"/>
      <c r="DW1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5-3'!$D$11:$Q319,DW$4,DW$5)"),"")</f>
        <v/>
      </c>
      <c r="DX133" s="568"/>
      <c r="DY1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5-3'!$D$11:$Q319,DY$4,DY$5)"),"")</f>
        <v/>
      </c>
      <c r="DZ133" s="578"/>
      <c r="EA1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$C133, 'S-10 Топ 5-3'!$D$11:$Q319,EA$4,EA$5)"),"")</f>
        <v/>
      </c>
      <c r="EB133" s="568"/>
      <c r="EC133" s="568"/>
      <c r="ED133" s="568"/>
      <c r="EE133" s="568"/>
    </row>
    <row r="134">
      <c r="A134" s="519" t="str">
        <f t="shared" si="1"/>
        <v/>
      </c>
      <c r="B134" s="520" t="str">
        <f>'5-0 Товары'!B134</f>
        <v/>
      </c>
      <c r="C134" s="521" t="str">
        <f>'5-1 Сбор КП Закупки'!C134</f>
        <v/>
      </c>
      <c r="D134" s="521" t="str">
        <f>'5-1 Сбор КП Закупки'!D134</f>
        <v/>
      </c>
      <c r="E134" s="521" t="str">
        <f>'5-1 Сбор КП Закупки'!E134</f>
        <v/>
      </c>
      <c r="F134" s="521" t="str">
        <f>'5-1 Сбор КП Закупки'!F134</f>
        <v/>
      </c>
      <c r="G134" s="522" t="str">
        <f>'5-1 Сбор КП Закупки'!G134</f>
        <v/>
      </c>
      <c r="H134" s="522" t="str">
        <f>'5-1 Сбор КП Закупки'!H134</f>
        <v/>
      </c>
      <c r="I134" s="522" t="str">
        <f>'5-1 Сбор КП Закупки'!I134</f>
        <v/>
      </c>
      <c r="J134" s="197"/>
      <c r="K134" s="522" t="str">
        <f>'5-1 Сбор КП Закупки'!G134</f>
        <v/>
      </c>
      <c r="L134" s="523" t="str">
        <f>IF(A134="Да",'5-1 Сбор КП Закупки'!K134,)</f>
        <v/>
      </c>
      <c r="M134" s="197"/>
      <c r="N134" s="197"/>
      <c r="O134" s="197"/>
      <c r="P134" s="525" t="str">
        <f>'5-1 Сбор КП Закупки'!P134</f>
        <v/>
      </c>
      <c r="Q134" s="197"/>
      <c r="R134" s="197"/>
      <c r="S134" s="197"/>
      <c r="T134" s="197"/>
      <c r="U134" s="197"/>
      <c r="V134" s="197"/>
      <c r="W134" s="522" t="str">
        <f>'5-1 Сбор КП Закупки'!O134</f>
        <v/>
      </c>
      <c r="X134" s="197"/>
      <c r="Y134" s="197"/>
      <c r="Z134" s="197"/>
      <c r="AA134" s="197"/>
      <c r="AB134" s="197">
        <v>0.0</v>
      </c>
      <c r="AC134" s="197"/>
      <c r="AD134" s="197"/>
      <c r="AE1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5-3'!$D$11:$Q319,AE$4,AE$5)"),"")</f>
        <v/>
      </c>
      <c r="AF134" s="528"/>
      <c r="AG1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5-3'!$D$11:$Q319,AG$4,AG$5)"),"")</f>
        <v/>
      </c>
      <c r="AH134" s="527"/>
      <c r="AI1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5-3'!$D$11:$Q319,AI$4,AI$5)"),"")</f>
        <v/>
      </c>
      <c r="AJ134" s="527"/>
      <c r="AK1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5-3'!$D$11:$Q319,AK$4,AK$5)"),"")</f>
        <v/>
      </c>
      <c r="AL134" s="527"/>
      <c r="AM1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5-3'!$D$11:$Q319,AM$4,AM$5)"),"")</f>
        <v/>
      </c>
      <c r="AN134" s="529"/>
      <c r="AO1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5-3'!$D$11:$Q319,AO$4,AO$5)"),"")</f>
        <v/>
      </c>
      <c r="AP134" s="527"/>
      <c r="AQ134" s="527"/>
      <c r="AR134" s="527"/>
      <c r="AS134" s="527"/>
      <c r="AT1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5-3'!$D$11:$Q319,AT$4,AT$5)"),"")</f>
        <v/>
      </c>
      <c r="AU134" s="531"/>
      <c r="AV1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5-3'!$D$11:$Q319,AV$4,AV$5)"),"")</f>
        <v/>
      </c>
      <c r="AW134" s="530"/>
      <c r="AX1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5-3'!$D$11:$Q319,AX$4,AX$5)"),"")</f>
        <v/>
      </c>
      <c r="AY134" s="530"/>
      <c r="AZ1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5-3'!$D$11:$Q319,AZ$4,AZ$5)"),"")</f>
        <v/>
      </c>
      <c r="BA134" s="530"/>
      <c r="BB1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5-3'!$D$11:$Q319,BB$4,BB$5)"),"")</f>
        <v/>
      </c>
      <c r="BC134" s="532"/>
      <c r="BD1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5-3'!$D$11:$Q319,BD$4,BD$5)"),"")</f>
        <v/>
      </c>
      <c r="BE134" s="530"/>
      <c r="BF134" s="530"/>
      <c r="BG134" s="530"/>
      <c r="BH134" s="530"/>
      <c r="BI1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5-3'!$D$11:$Q319,BI$4,BI$5)"),"")</f>
        <v/>
      </c>
      <c r="BJ134" s="535"/>
      <c r="BK1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5-3'!$D$11:$Q319,BK$4,BK$5)"),"")</f>
        <v/>
      </c>
      <c r="BL134" s="534"/>
      <c r="BM1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5-3'!$D$11:$Q319,BM$4,BM$5)"),"")</f>
        <v/>
      </c>
      <c r="BN134" s="534"/>
      <c r="BO1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5-3'!$D$11:$Q319,BO$4,BO$5)"),"")</f>
        <v/>
      </c>
      <c r="BP134" s="534"/>
      <c r="BQ1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5-3'!$D$11:$Q319,BQ$4,BQ$5)"),"")</f>
        <v/>
      </c>
      <c r="BR134" s="536"/>
      <c r="BS1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5-3'!$D$11:$Q319,BS$4,BS$5)"),"")</f>
        <v/>
      </c>
      <c r="BT134" s="534"/>
      <c r="BU134" s="534"/>
      <c r="BV134" s="534"/>
      <c r="BW134" s="534"/>
      <c r="BX1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5-3'!$D$11:$Q319,BX$4,BX$5)"),"")</f>
        <v/>
      </c>
      <c r="BY134" s="538"/>
      <c r="BZ1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5-3'!$D$11:$Q319,BZ$4,BZ$5)"),"")</f>
        <v/>
      </c>
      <c r="CA134" s="537"/>
      <c r="CB1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5-3'!$D$11:$Q319,CB$4,CB$5)"),"")</f>
        <v/>
      </c>
      <c r="CC134" s="537"/>
      <c r="CD1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5-3'!$D$11:$Q319,CD$4,CD$5)"),"")</f>
        <v/>
      </c>
      <c r="CE134" s="537"/>
      <c r="CF1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5-3'!$D$11:$Q319,CF$4,CF$5)"),"")</f>
        <v/>
      </c>
      <c r="CG134" s="539"/>
      <c r="CH1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5-3'!$D$11:$Q319,CH$4,CH$5)"),"")</f>
        <v/>
      </c>
      <c r="CI134" s="537"/>
      <c r="CJ134" s="537"/>
      <c r="CK134" s="537"/>
      <c r="CL134" s="537"/>
      <c r="CM1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5-3'!$D$11:$Q319,CM$4,CM$5)"),"")</f>
        <v/>
      </c>
      <c r="CN134" s="541"/>
      <c r="CO1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5-3'!$D$11:$Q319,CO$4,CO$5)"),"")</f>
        <v/>
      </c>
      <c r="CP134" s="540"/>
      <c r="CQ1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5-3'!$D$11:$Q319,CQ$4,CQ$5)"),"")</f>
        <v/>
      </c>
      <c r="CR134" s="540"/>
      <c r="CS1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5-3'!$D$11:$Q319,CS$4,CS$5)"),"")</f>
        <v/>
      </c>
      <c r="CT134" s="540"/>
      <c r="CU1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5-3'!$D$11:$Q319,CU$4,CU$5)"),"")</f>
        <v/>
      </c>
      <c r="CV134" s="545"/>
      <c r="CW1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5-3'!$D$11:$Q319,CW$4,CW$5)"),"")</f>
        <v/>
      </c>
      <c r="CX134" s="540"/>
      <c r="CY134" s="540"/>
      <c r="CZ134" s="540"/>
      <c r="DA134" s="540"/>
      <c r="DB1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5-3'!$D$11:$Q319,DB$4,DB$5)"),"")</f>
        <v/>
      </c>
      <c r="DC134" s="555"/>
      <c r="DD1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5-3'!$D$11:$Q319,DD$4,DD$5)"),"")</f>
        <v/>
      </c>
      <c r="DE134" s="554"/>
      <c r="DF1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5-3'!$D$11:$Q319,DF$4,DF$5)"),"")</f>
        <v/>
      </c>
      <c r="DG134" s="554"/>
      <c r="DH1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5-3'!$D$11:$Q319,DH$4,DH$5)"),"")</f>
        <v/>
      </c>
      <c r="DI134" s="554"/>
      <c r="DJ1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5-3'!$D$11:$Q319,DJ$4,DJ$5)"),"")</f>
        <v/>
      </c>
      <c r="DK134" s="566"/>
      <c r="DL1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5-3'!$D$11:$Q319,DL$4,DL$5)"),"")</f>
        <v/>
      </c>
      <c r="DM134" s="554"/>
      <c r="DN134" s="554"/>
      <c r="DO134" s="554"/>
      <c r="DP134" s="554"/>
      <c r="DQ1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5-3'!$D$11:$Q319,DQ$4,DQ$5)"),"")</f>
        <v/>
      </c>
      <c r="DR134" s="569"/>
      <c r="DS1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5-3'!$D$11:$Q319,DS$4,DS$5)"),"")</f>
        <v/>
      </c>
      <c r="DT134" s="568"/>
      <c r="DU1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5-3'!$D$11:$Q319,DU$4,DU$5)"),"")</f>
        <v/>
      </c>
      <c r="DV134" s="568"/>
      <c r="DW1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5-3'!$D$11:$Q319,DW$4,DW$5)"),"")</f>
        <v/>
      </c>
      <c r="DX134" s="568"/>
      <c r="DY1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5-3'!$D$11:$Q319,DY$4,DY$5)"),"")</f>
        <v/>
      </c>
      <c r="DZ134" s="578"/>
      <c r="EA1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$C134, 'S-10 Топ 5-3'!$D$11:$Q319,EA$4,EA$5)"),"")</f>
        <v/>
      </c>
      <c r="EB134" s="568"/>
      <c r="EC134" s="568"/>
      <c r="ED134" s="568"/>
      <c r="EE134" s="568"/>
    </row>
    <row r="135">
      <c r="A135" s="519" t="str">
        <f t="shared" si="1"/>
        <v/>
      </c>
      <c r="B135" s="520" t="str">
        <f>'5-0 Товары'!B135</f>
        <v/>
      </c>
      <c r="C135" s="521" t="str">
        <f>'5-1 Сбор КП Закупки'!C135</f>
        <v/>
      </c>
      <c r="D135" s="521" t="str">
        <f>'5-1 Сбор КП Закупки'!D135</f>
        <v/>
      </c>
      <c r="E135" s="521" t="str">
        <f>'5-1 Сбор КП Закупки'!E135</f>
        <v/>
      </c>
      <c r="F135" s="521" t="str">
        <f>'5-1 Сбор КП Закупки'!F135</f>
        <v/>
      </c>
      <c r="G135" s="522" t="str">
        <f>'5-1 Сбор КП Закупки'!G135</f>
        <v/>
      </c>
      <c r="H135" s="522" t="str">
        <f>'5-1 Сбор КП Закупки'!H135</f>
        <v/>
      </c>
      <c r="I135" s="522" t="str">
        <f>'5-1 Сбор КП Закупки'!I135</f>
        <v/>
      </c>
      <c r="J135" s="197"/>
      <c r="K135" s="522" t="str">
        <f>'5-1 Сбор КП Закупки'!G135</f>
        <v/>
      </c>
      <c r="L135" s="523" t="str">
        <f>IF(A135="Да",'5-1 Сбор КП Закупки'!K135,)</f>
        <v/>
      </c>
      <c r="M135" s="197"/>
      <c r="N135" s="197"/>
      <c r="O135" s="197"/>
      <c r="P135" s="525" t="str">
        <f>'5-1 Сбор КП Закупки'!P135</f>
        <v/>
      </c>
      <c r="Q135" s="197"/>
      <c r="R135" s="197"/>
      <c r="S135" s="197"/>
      <c r="T135" s="197"/>
      <c r="U135" s="197"/>
      <c r="V135" s="197"/>
      <c r="W135" s="522" t="str">
        <f>'5-1 Сбор КП Закупки'!O135</f>
        <v/>
      </c>
      <c r="X135" s="197"/>
      <c r="Y135" s="197"/>
      <c r="Z135" s="197"/>
      <c r="AA135" s="197"/>
      <c r="AB135" s="197">
        <v>0.0</v>
      </c>
      <c r="AC135" s="197"/>
      <c r="AD135" s="197"/>
      <c r="AE1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5-3'!$D$11:$Q319,AE$4,AE$5)"),"")</f>
        <v/>
      </c>
      <c r="AF135" s="528"/>
      <c r="AG1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5-3'!$D$11:$Q319,AG$4,AG$5)"),"")</f>
        <v/>
      </c>
      <c r="AH135" s="527"/>
      <c r="AI1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5-3'!$D$11:$Q319,AI$4,AI$5)"),"")</f>
        <v/>
      </c>
      <c r="AJ135" s="527"/>
      <c r="AK1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5-3'!$D$11:$Q319,AK$4,AK$5)"),"")</f>
        <v/>
      </c>
      <c r="AL135" s="527"/>
      <c r="AM1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5-3'!$D$11:$Q319,AM$4,AM$5)"),"")</f>
        <v/>
      </c>
      <c r="AN135" s="529"/>
      <c r="AO1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5-3'!$D$11:$Q319,AO$4,AO$5)"),"")</f>
        <v/>
      </c>
      <c r="AP135" s="527"/>
      <c r="AQ135" s="527"/>
      <c r="AR135" s="527"/>
      <c r="AS135" s="527"/>
      <c r="AT1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5-3'!$D$11:$Q319,AT$4,AT$5)"),"")</f>
        <v/>
      </c>
      <c r="AU135" s="531"/>
      <c r="AV1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5-3'!$D$11:$Q319,AV$4,AV$5)"),"")</f>
        <v/>
      </c>
      <c r="AW135" s="530"/>
      <c r="AX1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5-3'!$D$11:$Q319,AX$4,AX$5)"),"")</f>
        <v/>
      </c>
      <c r="AY135" s="530"/>
      <c r="AZ1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5-3'!$D$11:$Q319,AZ$4,AZ$5)"),"")</f>
        <v/>
      </c>
      <c r="BA135" s="530"/>
      <c r="BB1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5-3'!$D$11:$Q319,BB$4,BB$5)"),"")</f>
        <v/>
      </c>
      <c r="BC135" s="532"/>
      <c r="BD1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5-3'!$D$11:$Q319,BD$4,BD$5)"),"")</f>
        <v/>
      </c>
      <c r="BE135" s="530"/>
      <c r="BF135" s="530"/>
      <c r="BG135" s="530"/>
      <c r="BH135" s="530"/>
      <c r="BI1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5-3'!$D$11:$Q319,BI$4,BI$5)"),"")</f>
        <v/>
      </c>
      <c r="BJ135" s="535"/>
      <c r="BK1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5-3'!$D$11:$Q319,BK$4,BK$5)"),"")</f>
        <v/>
      </c>
      <c r="BL135" s="534"/>
      <c r="BM1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5-3'!$D$11:$Q319,BM$4,BM$5)"),"")</f>
        <v/>
      </c>
      <c r="BN135" s="534"/>
      <c r="BO1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5-3'!$D$11:$Q319,BO$4,BO$5)"),"")</f>
        <v/>
      </c>
      <c r="BP135" s="534"/>
      <c r="BQ1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5-3'!$D$11:$Q319,BQ$4,BQ$5)"),"")</f>
        <v/>
      </c>
      <c r="BR135" s="536"/>
      <c r="BS1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5-3'!$D$11:$Q319,BS$4,BS$5)"),"")</f>
        <v/>
      </c>
      <c r="BT135" s="534"/>
      <c r="BU135" s="534"/>
      <c r="BV135" s="534"/>
      <c r="BW135" s="534"/>
      <c r="BX1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5-3'!$D$11:$Q319,BX$4,BX$5)"),"")</f>
        <v/>
      </c>
      <c r="BY135" s="538"/>
      <c r="BZ1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5-3'!$D$11:$Q319,BZ$4,BZ$5)"),"")</f>
        <v/>
      </c>
      <c r="CA135" s="537"/>
      <c r="CB1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5-3'!$D$11:$Q319,CB$4,CB$5)"),"")</f>
        <v/>
      </c>
      <c r="CC135" s="537"/>
      <c r="CD1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5-3'!$D$11:$Q319,CD$4,CD$5)"),"")</f>
        <v/>
      </c>
      <c r="CE135" s="537"/>
      <c r="CF1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5-3'!$D$11:$Q319,CF$4,CF$5)"),"")</f>
        <v/>
      </c>
      <c r="CG135" s="539"/>
      <c r="CH1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5-3'!$D$11:$Q319,CH$4,CH$5)"),"")</f>
        <v/>
      </c>
      <c r="CI135" s="537"/>
      <c r="CJ135" s="537"/>
      <c r="CK135" s="537"/>
      <c r="CL135" s="537"/>
      <c r="CM1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5-3'!$D$11:$Q319,CM$4,CM$5)"),"")</f>
        <v/>
      </c>
      <c r="CN135" s="541"/>
      <c r="CO1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5-3'!$D$11:$Q319,CO$4,CO$5)"),"")</f>
        <v/>
      </c>
      <c r="CP135" s="540"/>
      <c r="CQ1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5-3'!$D$11:$Q319,CQ$4,CQ$5)"),"")</f>
        <v/>
      </c>
      <c r="CR135" s="540"/>
      <c r="CS1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5-3'!$D$11:$Q319,CS$4,CS$5)"),"")</f>
        <v/>
      </c>
      <c r="CT135" s="540"/>
      <c r="CU1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5-3'!$D$11:$Q319,CU$4,CU$5)"),"")</f>
        <v/>
      </c>
      <c r="CV135" s="545"/>
      <c r="CW1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5-3'!$D$11:$Q319,CW$4,CW$5)"),"")</f>
        <v/>
      </c>
      <c r="CX135" s="540"/>
      <c r="CY135" s="540"/>
      <c r="CZ135" s="540"/>
      <c r="DA135" s="540"/>
      <c r="DB1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5-3'!$D$11:$Q319,DB$4,DB$5)"),"")</f>
        <v/>
      </c>
      <c r="DC135" s="555"/>
      <c r="DD1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5-3'!$D$11:$Q319,DD$4,DD$5)"),"")</f>
        <v/>
      </c>
      <c r="DE135" s="554"/>
      <c r="DF1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5-3'!$D$11:$Q319,DF$4,DF$5)"),"")</f>
        <v/>
      </c>
      <c r="DG135" s="554"/>
      <c r="DH1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5-3'!$D$11:$Q319,DH$4,DH$5)"),"")</f>
        <v/>
      </c>
      <c r="DI135" s="554"/>
      <c r="DJ1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5-3'!$D$11:$Q319,DJ$4,DJ$5)"),"")</f>
        <v/>
      </c>
      <c r="DK135" s="566"/>
      <c r="DL1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5-3'!$D$11:$Q319,DL$4,DL$5)"),"")</f>
        <v/>
      </c>
      <c r="DM135" s="554"/>
      <c r="DN135" s="554"/>
      <c r="DO135" s="554"/>
      <c r="DP135" s="554"/>
      <c r="DQ1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5-3'!$D$11:$Q319,DQ$4,DQ$5)"),"")</f>
        <v/>
      </c>
      <c r="DR135" s="569"/>
      <c r="DS1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5-3'!$D$11:$Q319,DS$4,DS$5)"),"")</f>
        <v/>
      </c>
      <c r="DT135" s="568"/>
      <c r="DU1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5-3'!$D$11:$Q319,DU$4,DU$5)"),"")</f>
        <v/>
      </c>
      <c r="DV135" s="568"/>
      <c r="DW1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5-3'!$D$11:$Q319,DW$4,DW$5)"),"")</f>
        <v/>
      </c>
      <c r="DX135" s="568"/>
      <c r="DY1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5-3'!$D$11:$Q319,DY$4,DY$5)"),"")</f>
        <v/>
      </c>
      <c r="DZ135" s="578"/>
      <c r="EA1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$C135, 'S-10 Топ 5-3'!$D$11:$Q319,EA$4,EA$5)"),"")</f>
        <v/>
      </c>
      <c r="EB135" s="568"/>
      <c r="EC135" s="568"/>
      <c r="ED135" s="568"/>
      <c r="EE135" s="568"/>
    </row>
    <row r="136">
      <c r="A136" s="519" t="str">
        <f t="shared" si="1"/>
        <v/>
      </c>
      <c r="B136" s="520" t="str">
        <f>'5-0 Товары'!B136</f>
        <v/>
      </c>
      <c r="C136" s="521" t="str">
        <f>'5-1 Сбор КП Закупки'!C136</f>
        <v/>
      </c>
      <c r="D136" s="521" t="str">
        <f>'5-1 Сбор КП Закупки'!D136</f>
        <v/>
      </c>
      <c r="E136" s="521" t="str">
        <f>'5-1 Сбор КП Закупки'!E136</f>
        <v/>
      </c>
      <c r="F136" s="521" t="str">
        <f>'5-1 Сбор КП Закупки'!F136</f>
        <v/>
      </c>
      <c r="G136" s="522" t="str">
        <f>'5-1 Сбор КП Закупки'!G136</f>
        <v/>
      </c>
      <c r="H136" s="522" t="str">
        <f>'5-1 Сбор КП Закупки'!H136</f>
        <v/>
      </c>
      <c r="I136" s="522" t="str">
        <f>'5-1 Сбор КП Закупки'!I136</f>
        <v/>
      </c>
      <c r="J136" s="197"/>
      <c r="K136" s="522" t="str">
        <f>'5-1 Сбор КП Закупки'!G136</f>
        <v/>
      </c>
      <c r="L136" s="523" t="str">
        <f>IF(A136="Да",'5-1 Сбор КП Закупки'!K136,)</f>
        <v/>
      </c>
      <c r="M136" s="197"/>
      <c r="N136" s="197"/>
      <c r="O136" s="197"/>
      <c r="P136" s="525" t="str">
        <f>'5-1 Сбор КП Закупки'!P136</f>
        <v/>
      </c>
      <c r="Q136" s="197"/>
      <c r="R136" s="197"/>
      <c r="S136" s="197"/>
      <c r="T136" s="197"/>
      <c r="U136" s="197"/>
      <c r="V136" s="197"/>
      <c r="W136" s="522" t="str">
        <f>'5-1 Сбор КП Закупки'!O136</f>
        <v/>
      </c>
      <c r="X136" s="197"/>
      <c r="Y136" s="197"/>
      <c r="Z136" s="197"/>
      <c r="AA136" s="197"/>
      <c r="AB136" s="197">
        <v>0.0</v>
      </c>
      <c r="AC136" s="197"/>
      <c r="AD136" s="197"/>
      <c r="AE1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5-3'!$D$11:$Q319,AE$4,AE$5)"),"")</f>
        <v/>
      </c>
      <c r="AF136" s="528"/>
      <c r="AG1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5-3'!$D$11:$Q319,AG$4,AG$5)"),"")</f>
        <v/>
      </c>
      <c r="AH136" s="527"/>
      <c r="AI1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5-3'!$D$11:$Q319,AI$4,AI$5)"),"")</f>
        <v/>
      </c>
      <c r="AJ136" s="527"/>
      <c r="AK1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5-3'!$D$11:$Q319,AK$4,AK$5)"),"")</f>
        <v/>
      </c>
      <c r="AL136" s="527"/>
      <c r="AM1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5-3'!$D$11:$Q319,AM$4,AM$5)"),"")</f>
        <v/>
      </c>
      <c r="AN136" s="529"/>
      <c r="AO1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5-3'!$D$11:$Q319,AO$4,AO$5)"),"")</f>
        <v/>
      </c>
      <c r="AP136" s="527"/>
      <c r="AQ136" s="527"/>
      <c r="AR136" s="527"/>
      <c r="AS136" s="527"/>
      <c r="AT1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5-3'!$D$11:$Q319,AT$4,AT$5)"),"")</f>
        <v/>
      </c>
      <c r="AU136" s="531"/>
      <c r="AV1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5-3'!$D$11:$Q319,AV$4,AV$5)"),"")</f>
        <v/>
      </c>
      <c r="AW136" s="530"/>
      <c r="AX1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5-3'!$D$11:$Q319,AX$4,AX$5)"),"")</f>
        <v/>
      </c>
      <c r="AY136" s="530"/>
      <c r="AZ1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5-3'!$D$11:$Q319,AZ$4,AZ$5)"),"")</f>
        <v/>
      </c>
      <c r="BA136" s="530"/>
      <c r="BB1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5-3'!$D$11:$Q319,BB$4,BB$5)"),"")</f>
        <v/>
      </c>
      <c r="BC136" s="532"/>
      <c r="BD1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5-3'!$D$11:$Q319,BD$4,BD$5)"),"")</f>
        <v/>
      </c>
      <c r="BE136" s="530"/>
      <c r="BF136" s="530"/>
      <c r="BG136" s="530"/>
      <c r="BH136" s="530"/>
      <c r="BI1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5-3'!$D$11:$Q319,BI$4,BI$5)"),"")</f>
        <v/>
      </c>
      <c r="BJ136" s="535"/>
      <c r="BK1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5-3'!$D$11:$Q319,BK$4,BK$5)"),"")</f>
        <v/>
      </c>
      <c r="BL136" s="534"/>
      <c r="BM1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5-3'!$D$11:$Q319,BM$4,BM$5)"),"")</f>
        <v/>
      </c>
      <c r="BN136" s="534"/>
      <c r="BO1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5-3'!$D$11:$Q319,BO$4,BO$5)"),"")</f>
        <v/>
      </c>
      <c r="BP136" s="534"/>
      <c r="BQ1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5-3'!$D$11:$Q319,BQ$4,BQ$5)"),"")</f>
        <v/>
      </c>
      <c r="BR136" s="536"/>
      <c r="BS1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5-3'!$D$11:$Q319,BS$4,BS$5)"),"")</f>
        <v/>
      </c>
      <c r="BT136" s="534"/>
      <c r="BU136" s="534"/>
      <c r="BV136" s="534"/>
      <c r="BW136" s="534"/>
      <c r="BX1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5-3'!$D$11:$Q319,BX$4,BX$5)"),"")</f>
        <v/>
      </c>
      <c r="BY136" s="538"/>
      <c r="BZ1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5-3'!$D$11:$Q319,BZ$4,BZ$5)"),"")</f>
        <v/>
      </c>
      <c r="CA136" s="537"/>
      <c r="CB1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5-3'!$D$11:$Q319,CB$4,CB$5)"),"")</f>
        <v/>
      </c>
      <c r="CC136" s="537"/>
      <c r="CD1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5-3'!$D$11:$Q319,CD$4,CD$5)"),"")</f>
        <v/>
      </c>
      <c r="CE136" s="537"/>
      <c r="CF1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5-3'!$D$11:$Q319,CF$4,CF$5)"),"")</f>
        <v/>
      </c>
      <c r="CG136" s="539"/>
      <c r="CH1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5-3'!$D$11:$Q319,CH$4,CH$5)"),"")</f>
        <v/>
      </c>
      <c r="CI136" s="537"/>
      <c r="CJ136" s="537"/>
      <c r="CK136" s="537"/>
      <c r="CL136" s="537"/>
      <c r="CM1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5-3'!$D$11:$Q319,CM$4,CM$5)"),"")</f>
        <v/>
      </c>
      <c r="CN136" s="541"/>
      <c r="CO1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5-3'!$D$11:$Q319,CO$4,CO$5)"),"")</f>
        <v/>
      </c>
      <c r="CP136" s="540"/>
      <c r="CQ1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5-3'!$D$11:$Q319,CQ$4,CQ$5)"),"")</f>
        <v/>
      </c>
      <c r="CR136" s="540"/>
      <c r="CS1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5-3'!$D$11:$Q319,CS$4,CS$5)"),"")</f>
        <v/>
      </c>
      <c r="CT136" s="540"/>
      <c r="CU1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5-3'!$D$11:$Q319,CU$4,CU$5)"),"")</f>
        <v/>
      </c>
      <c r="CV136" s="545"/>
      <c r="CW1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5-3'!$D$11:$Q319,CW$4,CW$5)"),"")</f>
        <v/>
      </c>
      <c r="CX136" s="540"/>
      <c r="CY136" s="540"/>
      <c r="CZ136" s="540"/>
      <c r="DA136" s="540"/>
      <c r="DB1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5-3'!$D$11:$Q319,DB$4,DB$5)"),"")</f>
        <v/>
      </c>
      <c r="DC136" s="555"/>
      <c r="DD1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5-3'!$D$11:$Q319,DD$4,DD$5)"),"")</f>
        <v/>
      </c>
      <c r="DE136" s="554"/>
      <c r="DF1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5-3'!$D$11:$Q319,DF$4,DF$5)"),"")</f>
        <v/>
      </c>
      <c r="DG136" s="554"/>
      <c r="DH1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5-3'!$D$11:$Q319,DH$4,DH$5)"),"")</f>
        <v/>
      </c>
      <c r="DI136" s="554"/>
      <c r="DJ1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5-3'!$D$11:$Q319,DJ$4,DJ$5)"),"")</f>
        <v/>
      </c>
      <c r="DK136" s="566"/>
      <c r="DL1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5-3'!$D$11:$Q319,DL$4,DL$5)"),"")</f>
        <v/>
      </c>
      <c r="DM136" s="554"/>
      <c r="DN136" s="554"/>
      <c r="DO136" s="554"/>
      <c r="DP136" s="554"/>
      <c r="DQ1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5-3'!$D$11:$Q319,DQ$4,DQ$5)"),"")</f>
        <v/>
      </c>
      <c r="DR136" s="569"/>
      <c r="DS1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5-3'!$D$11:$Q319,DS$4,DS$5)"),"")</f>
        <v/>
      </c>
      <c r="DT136" s="568"/>
      <c r="DU1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5-3'!$D$11:$Q319,DU$4,DU$5)"),"")</f>
        <v/>
      </c>
      <c r="DV136" s="568"/>
      <c r="DW1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5-3'!$D$11:$Q319,DW$4,DW$5)"),"")</f>
        <v/>
      </c>
      <c r="DX136" s="568"/>
      <c r="DY1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5-3'!$D$11:$Q319,DY$4,DY$5)"),"")</f>
        <v/>
      </c>
      <c r="DZ136" s="578"/>
      <c r="EA1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$C136, 'S-10 Топ 5-3'!$D$11:$Q319,EA$4,EA$5)"),"")</f>
        <v/>
      </c>
      <c r="EB136" s="568"/>
      <c r="EC136" s="568"/>
      <c r="ED136" s="568"/>
      <c r="EE136" s="568"/>
    </row>
    <row r="137">
      <c r="A137" s="519" t="str">
        <f t="shared" si="1"/>
        <v/>
      </c>
      <c r="B137" s="520" t="str">
        <f>'5-0 Товары'!B137</f>
        <v/>
      </c>
      <c r="C137" s="521" t="str">
        <f>'5-1 Сбор КП Закупки'!C137</f>
        <v/>
      </c>
      <c r="D137" s="521" t="str">
        <f>'5-1 Сбор КП Закупки'!D137</f>
        <v/>
      </c>
      <c r="E137" s="521" t="str">
        <f>'5-1 Сбор КП Закупки'!E137</f>
        <v/>
      </c>
      <c r="F137" s="521" t="str">
        <f>'5-1 Сбор КП Закупки'!F137</f>
        <v/>
      </c>
      <c r="G137" s="522" t="str">
        <f>'5-1 Сбор КП Закупки'!G137</f>
        <v/>
      </c>
      <c r="H137" s="522" t="str">
        <f>'5-1 Сбор КП Закупки'!H137</f>
        <v/>
      </c>
      <c r="I137" s="522" t="str">
        <f>'5-1 Сбор КП Закупки'!I137</f>
        <v/>
      </c>
      <c r="J137" s="197"/>
      <c r="K137" s="522" t="str">
        <f>'5-1 Сбор КП Закупки'!G137</f>
        <v/>
      </c>
      <c r="L137" s="523" t="str">
        <f>IF(A137="Да",'5-1 Сбор КП Закупки'!K137,)</f>
        <v/>
      </c>
      <c r="M137" s="197"/>
      <c r="N137" s="197"/>
      <c r="O137" s="197"/>
      <c r="P137" s="525" t="str">
        <f>'5-1 Сбор КП Закупки'!P137</f>
        <v/>
      </c>
      <c r="Q137" s="197"/>
      <c r="R137" s="197"/>
      <c r="S137" s="197"/>
      <c r="T137" s="197"/>
      <c r="U137" s="197"/>
      <c r="V137" s="197"/>
      <c r="W137" s="522" t="str">
        <f>'5-1 Сбор КП Закупки'!O137</f>
        <v/>
      </c>
      <c r="X137" s="197"/>
      <c r="Y137" s="197"/>
      <c r="Z137" s="197"/>
      <c r="AA137" s="197"/>
      <c r="AB137" s="197">
        <v>0.0</v>
      </c>
      <c r="AC137" s="197"/>
      <c r="AD137" s="197"/>
      <c r="AE1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5-3'!$D$11:$Q319,AE$4,AE$5)"),"")</f>
        <v/>
      </c>
      <c r="AF137" s="528"/>
      <c r="AG1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5-3'!$D$11:$Q319,AG$4,AG$5)"),"")</f>
        <v/>
      </c>
      <c r="AH137" s="527"/>
      <c r="AI1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5-3'!$D$11:$Q319,AI$4,AI$5)"),"")</f>
        <v/>
      </c>
      <c r="AJ137" s="527"/>
      <c r="AK1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5-3'!$D$11:$Q319,AK$4,AK$5)"),"")</f>
        <v/>
      </c>
      <c r="AL137" s="527"/>
      <c r="AM1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5-3'!$D$11:$Q319,AM$4,AM$5)"),"")</f>
        <v/>
      </c>
      <c r="AN137" s="529"/>
      <c r="AO1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5-3'!$D$11:$Q319,AO$4,AO$5)"),"")</f>
        <v/>
      </c>
      <c r="AP137" s="527"/>
      <c r="AQ137" s="527"/>
      <c r="AR137" s="527"/>
      <c r="AS137" s="527"/>
      <c r="AT1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5-3'!$D$11:$Q319,AT$4,AT$5)"),"")</f>
        <v/>
      </c>
      <c r="AU137" s="531"/>
      <c r="AV1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5-3'!$D$11:$Q319,AV$4,AV$5)"),"")</f>
        <v/>
      </c>
      <c r="AW137" s="530"/>
      <c r="AX1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5-3'!$D$11:$Q319,AX$4,AX$5)"),"")</f>
        <v/>
      </c>
      <c r="AY137" s="530"/>
      <c r="AZ1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5-3'!$D$11:$Q319,AZ$4,AZ$5)"),"")</f>
        <v/>
      </c>
      <c r="BA137" s="530"/>
      <c r="BB1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5-3'!$D$11:$Q319,BB$4,BB$5)"),"")</f>
        <v/>
      </c>
      <c r="BC137" s="532"/>
      <c r="BD1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5-3'!$D$11:$Q319,BD$4,BD$5)"),"")</f>
        <v/>
      </c>
      <c r="BE137" s="530"/>
      <c r="BF137" s="530"/>
      <c r="BG137" s="530"/>
      <c r="BH137" s="530"/>
      <c r="BI1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5-3'!$D$11:$Q319,BI$4,BI$5)"),"")</f>
        <v/>
      </c>
      <c r="BJ137" s="535"/>
      <c r="BK1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5-3'!$D$11:$Q319,BK$4,BK$5)"),"")</f>
        <v/>
      </c>
      <c r="BL137" s="534"/>
      <c r="BM1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5-3'!$D$11:$Q319,BM$4,BM$5)"),"")</f>
        <v/>
      </c>
      <c r="BN137" s="534"/>
      <c r="BO1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5-3'!$D$11:$Q319,BO$4,BO$5)"),"")</f>
        <v/>
      </c>
      <c r="BP137" s="534"/>
      <c r="BQ1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5-3'!$D$11:$Q319,BQ$4,BQ$5)"),"")</f>
        <v/>
      </c>
      <c r="BR137" s="536"/>
      <c r="BS1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5-3'!$D$11:$Q319,BS$4,BS$5)"),"")</f>
        <v/>
      </c>
      <c r="BT137" s="534"/>
      <c r="BU137" s="534"/>
      <c r="BV137" s="534"/>
      <c r="BW137" s="534"/>
      <c r="BX1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5-3'!$D$11:$Q319,BX$4,BX$5)"),"")</f>
        <v/>
      </c>
      <c r="BY137" s="538"/>
      <c r="BZ1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5-3'!$D$11:$Q319,BZ$4,BZ$5)"),"")</f>
        <v/>
      </c>
      <c r="CA137" s="537"/>
      <c r="CB1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5-3'!$D$11:$Q319,CB$4,CB$5)"),"")</f>
        <v/>
      </c>
      <c r="CC137" s="537"/>
      <c r="CD1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5-3'!$D$11:$Q319,CD$4,CD$5)"),"")</f>
        <v/>
      </c>
      <c r="CE137" s="537"/>
      <c r="CF1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5-3'!$D$11:$Q319,CF$4,CF$5)"),"")</f>
        <v/>
      </c>
      <c r="CG137" s="539"/>
      <c r="CH1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5-3'!$D$11:$Q319,CH$4,CH$5)"),"")</f>
        <v/>
      </c>
      <c r="CI137" s="537"/>
      <c r="CJ137" s="537"/>
      <c r="CK137" s="537"/>
      <c r="CL137" s="537"/>
      <c r="CM1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5-3'!$D$11:$Q319,CM$4,CM$5)"),"")</f>
        <v/>
      </c>
      <c r="CN137" s="541"/>
      <c r="CO1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5-3'!$D$11:$Q319,CO$4,CO$5)"),"")</f>
        <v/>
      </c>
      <c r="CP137" s="540"/>
      <c r="CQ1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5-3'!$D$11:$Q319,CQ$4,CQ$5)"),"")</f>
        <v/>
      </c>
      <c r="CR137" s="540"/>
      <c r="CS1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5-3'!$D$11:$Q319,CS$4,CS$5)"),"")</f>
        <v/>
      </c>
      <c r="CT137" s="540"/>
      <c r="CU1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5-3'!$D$11:$Q319,CU$4,CU$5)"),"")</f>
        <v/>
      </c>
      <c r="CV137" s="545"/>
      <c r="CW1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5-3'!$D$11:$Q319,CW$4,CW$5)"),"")</f>
        <v/>
      </c>
      <c r="CX137" s="540"/>
      <c r="CY137" s="540"/>
      <c r="CZ137" s="540"/>
      <c r="DA137" s="540"/>
      <c r="DB1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5-3'!$D$11:$Q319,DB$4,DB$5)"),"")</f>
        <v/>
      </c>
      <c r="DC137" s="555"/>
      <c r="DD1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5-3'!$D$11:$Q319,DD$4,DD$5)"),"")</f>
        <v/>
      </c>
      <c r="DE137" s="554"/>
      <c r="DF1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5-3'!$D$11:$Q319,DF$4,DF$5)"),"")</f>
        <v/>
      </c>
      <c r="DG137" s="554"/>
      <c r="DH1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5-3'!$D$11:$Q319,DH$4,DH$5)"),"")</f>
        <v/>
      </c>
      <c r="DI137" s="554"/>
      <c r="DJ1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5-3'!$D$11:$Q319,DJ$4,DJ$5)"),"")</f>
        <v/>
      </c>
      <c r="DK137" s="566"/>
      <c r="DL1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5-3'!$D$11:$Q319,DL$4,DL$5)"),"")</f>
        <v/>
      </c>
      <c r="DM137" s="554"/>
      <c r="DN137" s="554"/>
      <c r="DO137" s="554"/>
      <c r="DP137" s="554"/>
      <c r="DQ1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5-3'!$D$11:$Q319,DQ$4,DQ$5)"),"")</f>
        <v/>
      </c>
      <c r="DR137" s="569"/>
      <c r="DS1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5-3'!$D$11:$Q319,DS$4,DS$5)"),"")</f>
        <v/>
      </c>
      <c r="DT137" s="568"/>
      <c r="DU1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5-3'!$D$11:$Q319,DU$4,DU$5)"),"")</f>
        <v/>
      </c>
      <c r="DV137" s="568"/>
      <c r="DW1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5-3'!$D$11:$Q319,DW$4,DW$5)"),"")</f>
        <v/>
      </c>
      <c r="DX137" s="568"/>
      <c r="DY1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5-3'!$D$11:$Q319,DY$4,DY$5)"),"")</f>
        <v/>
      </c>
      <c r="DZ137" s="578"/>
      <c r="EA1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$C137, 'S-10 Топ 5-3'!$D$11:$Q319,EA$4,EA$5)"),"")</f>
        <v/>
      </c>
      <c r="EB137" s="568"/>
      <c r="EC137" s="568"/>
      <c r="ED137" s="568"/>
      <c r="EE137" s="568"/>
    </row>
    <row r="138">
      <c r="A138" s="519" t="str">
        <f t="shared" si="1"/>
        <v/>
      </c>
      <c r="B138" s="520" t="str">
        <f>'5-0 Товары'!B138</f>
        <v/>
      </c>
      <c r="C138" s="521" t="str">
        <f>'5-1 Сбор КП Закупки'!C138</f>
        <v/>
      </c>
      <c r="D138" s="521" t="str">
        <f>'5-1 Сбор КП Закупки'!D138</f>
        <v/>
      </c>
      <c r="E138" s="521" t="str">
        <f>'5-1 Сбор КП Закупки'!E138</f>
        <v/>
      </c>
      <c r="F138" s="521" t="str">
        <f>'5-1 Сбор КП Закупки'!F138</f>
        <v/>
      </c>
      <c r="G138" s="522" t="str">
        <f>'5-1 Сбор КП Закупки'!G138</f>
        <v/>
      </c>
      <c r="H138" s="522" t="str">
        <f>'5-1 Сбор КП Закупки'!H138</f>
        <v/>
      </c>
      <c r="I138" s="522" t="str">
        <f>'5-1 Сбор КП Закупки'!I138</f>
        <v/>
      </c>
      <c r="J138" s="197"/>
      <c r="K138" s="522" t="str">
        <f>'5-1 Сбор КП Закупки'!G138</f>
        <v/>
      </c>
      <c r="L138" s="523" t="str">
        <f>IF(A138="Да",'5-1 Сбор КП Закупки'!K138,)</f>
        <v/>
      </c>
      <c r="M138" s="197"/>
      <c r="N138" s="197"/>
      <c r="O138" s="197"/>
      <c r="P138" s="525" t="str">
        <f>'5-1 Сбор КП Закупки'!P138</f>
        <v/>
      </c>
      <c r="Q138" s="197"/>
      <c r="R138" s="197"/>
      <c r="S138" s="197"/>
      <c r="T138" s="197"/>
      <c r="U138" s="197"/>
      <c r="V138" s="197"/>
      <c r="W138" s="522" t="str">
        <f>'5-1 Сбор КП Закупки'!O138</f>
        <v/>
      </c>
      <c r="X138" s="197"/>
      <c r="Y138" s="197"/>
      <c r="Z138" s="197"/>
      <c r="AA138" s="197"/>
      <c r="AB138" s="197">
        <v>0.0</v>
      </c>
      <c r="AC138" s="197"/>
      <c r="AD138" s="197"/>
      <c r="AE1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5-3'!$D$11:$Q319,AE$4,AE$5)"),"")</f>
        <v/>
      </c>
      <c r="AF138" s="528"/>
      <c r="AG1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5-3'!$D$11:$Q319,AG$4,AG$5)"),"")</f>
        <v/>
      </c>
      <c r="AH138" s="527"/>
      <c r="AI1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5-3'!$D$11:$Q319,AI$4,AI$5)"),"")</f>
        <v/>
      </c>
      <c r="AJ138" s="527"/>
      <c r="AK1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5-3'!$D$11:$Q319,AK$4,AK$5)"),"")</f>
        <v/>
      </c>
      <c r="AL138" s="527"/>
      <c r="AM1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5-3'!$D$11:$Q319,AM$4,AM$5)"),"")</f>
        <v/>
      </c>
      <c r="AN138" s="529"/>
      <c r="AO1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5-3'!$D$11:$Q319,AO$4,AO$5)"),"")</f>
        <v/>
      </c>
      <c r="AP138" s="527"/>
      <c r="AQ138" s="527"/>
      <c r="AR138" s="527"/>
      <c r="AS138" s="527"/>
      <c r="AT1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5-3'!$D$11:$Q319,AT$4,AT$5)"),"")</f>
        <v/>
      </c>
      <c r="AU138" s="531"/>
      <c r="AV1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5-3'!$D$11:$Q319,AV$4,AV$5)"),"")</f>
        <v/>
      </c>
      <c r="AW138" s="530"/>
      <c r="AX1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5-3'!$D$11:$Q319,AX$4,AX$5)"),"")</f>
        <v/>
      </c>
      <c r="AY138" s="530"/>
      <c r="AZ1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5-3'!$D$11:$Q319,AZ$4,AZ$5)"),"")</f>
        <v/>
      </c>
      <c r="BA138" s="530"/>
      <c r="BB1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5-3'!$D$11:$Q319,BB$4,BB$5)"),"")</f>
        <v/>
      </c>
      <c r="BC138" s="532"/>
      <c r="BD1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5-3'!$D$11:$Q319,BD$4,BD$5)"),"")</f>
        <v/>
      </c>
      <c r="BE138" s="530"/>
      <c r="BF138" s="530"/>
      <c r="BG138" s="530"/>
      <c r="BH138" s="530"/>
      <c r="BI1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5-3'!$D$11:$Q319,BI$4,BI$5)"),"")</f>
        <v/>
      </c>
      <c r="BJ138" s="535"/>
      <c r="BK1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5-3'!$D$11:$Q319,BK$4,BK$5)"),"")</f>
        <v/>
      </c>
      <c r="BL138" s="534"/>
      <c r="BM1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5-3'!$D$11:$Q319,BM$4,BM$5)"),"")</f>
        <v/>
      </c>
      <c r="BN138" s="534"/>
      <c r="BO1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5-3'!$D$11:$Q319,BO$4,BO$5)"),"")</f>
        <v/>
      </c>
      <c r="BP138" s="534"/>
      <c r="BQ1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5-3'!$D$11:$Q319,BQ$4,BQ$5)"),"")</f>
        <v/>
      </c>
      <c r="BR138" s="536"/>
      <c r="BS1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5-3'!$D$11:$Q319,BS$4,BS$5)"),"")</f>
        <v/>
      </c>
      <c r="BT138" s="534"/>
      <c r="BU138" s="534"/>
      <c r="BV138" s="534"/>
      <c r="BW138" s="534"/>
      <c r="BX1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5-3'!$D$11:$Q319,BX$4,BX$5)"),"")</f>
        <v/>
      </c>
      <c r="BY138" s="538"/>
      <c r="BZ1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5-3'!$D$11:$Q319,BZ$4,BZ$5)"),"")</f>
        <v/>
      </c>
      <c r="CA138" s="537"/>
      <c r="CB1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5-3'!$D$11:$Q319,CB$4,CB$5)"),"")</f>
        <v/>
      </c>
      <c r="CC138" s="537"/>
      <c r="CD1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5-3'!$D$11:$Q319,CD$4,CD$5)"),"")</f>
        <v/>
      </c>
      <c r="CE138" s="537"/>
      <c r="CF1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5-3'!$D$11:$Q319,CF$4,CF$5)"),"")</f>
        <v/>
      </c>
      <c r="CG138" s="539"/>
      <c r="CH1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5-3'!$D$11:$Q319,CH$4,CH$5)"),"")</f>
        <v/>
      </c>
      <c r="CI138" s="537"/>
      <c r="CJ138" s="537"/>
      <c r="CK138" s="537"/>
      <c r="CL138" s="537"/>
      <c r="CM1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5-3'!$D$11:$Q319,CM$4,CM$5)"),"")</f>
        <v/>
      </c>
      <c r="CN138" s="541"/>
      <c r="CO1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5-3'!$D$11:$Q319,CO$4,CO$5)"),"")</f>
        <v/>
      </c>
      <c r="CP138" s="540"/>
      <c r="CQ1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5-3'!$D$11:$Q319,CQ$4,CQ$5)"),"")</f>
        <v/>
      </c>
      <c r="CR138" s="540"/>
      <c r="CS1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5-3'!$D$11:$Q319,CS$4,CS$5)"),"")</f>
        <v/>
      </c>
      <c r="CT138" s="540"/>
      <c r="CU1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5-3'!$D$11:$Q319,CU$4,CU$5)"),"")</f>
        <v/>
      </c>
      <c r="CV138" s="545"/>
      <c r="CW1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5-3'!$D$11:$Q319,CW$4,CW$5)"),"")</f>
        <v/>
      </c>
      <c r="CX138" s="540"/>
      <c r="CY138" s="540"/>
      <c r="CZ138" s="540"/>
      <c r="DA138" s="540"/>
      <c r="DB1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5-3'!$D$11:$Q319,DB$4,DB$5)"),"")</f>
        <v/>
      </c>
      <c r="DC138" s="555"/>
      <c r="DD1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5-3'!$D$11:$Q319,DD$4,DD$5)"),"")</f>
        <v/>
      </c>
      <c r="DE138" s="554"/>
      <c r="DF1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5-3'!$D$11:$Q319,DF$4,DF$5)"),"")</f>
        <v/>
      </c>
      <c r="DG138" s="554"/>
      <c r="DH1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5-3'!$D$11:$Q319,DH$4,DH$5)"),"")</f>
        <v/>
      </c>
      <c r="DI138" s="554"/>
      <c r="DJ1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5-3'!$D$11:$Q319,DJ$4,DJ$5)"),"")</f>
        <v/>
      </c>
      <c r="DK138" s="566"/>
      <c r="DL1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5-3'!$D$11:$Q319,DL$4,DL$5)"),"")</f>
        <v/>
      </c>
      <c r="DM138" s="554"/>
      <c r="DN138" s="554"/>
      <c r="DO138" s="554"/>
      <c r="DP138" s="554"/>
      <c r="DQ1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5-3'!$D$11:$Q319,DQ$4,DQ$5)"),"")</f>
        <v/>
      </c>
      <c r="DR138" s="569"/>
      <c r="DS1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5-3'!$D$11:$Q319,DS$4,DS$5)"),"")</f>
        <v/>
      </c>
      <c r="DT138" s="568"/>
      <c r="DU1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5-3'!$D$11:$Q319,DU$4,DU$5)"),"")</f>
        <v/>
      </c>
      <c r="DV138" s="568"/>
      <c r="DW1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5-3'!$D$11:$Q319,DW$4,DW$5)"),"")</f>
        <v/>
      </c>
      <c r="DX138" s="568"/>
      <c r="DY1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5-3'!$D$11:$Q319,DY$4,DY$5)"),"")</f>
        <v/>
      </c>
      <c r="DZ138" s="578"/>
      <c r="EA1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$C138, 'S-10 Топ 5-3'!$D$11:$Q319,EA$4,EA$5)"),"")</f>
        <v/>
      </c>
      <c r="EB138" s="568"/>
      <c r="EC138" s="568"/>
      <c r="ED138" s="568"/>
      <c r="EE138" s="568"/>
    </row>
    <row r="139">
      <c r="A139" s="519" t="str">
        <f t="shared" si="1"/>
        <v/>
      </c>
      <c r="B139" s="520" t="str">
        <f>'5-0 Товары'!B139</f>
        <v/>
      </c>
      <c r="C139" s="521" t="str">
        <f>'5-1 Сбор КП Закупки'!C139</f>
        <v/>
      </c>
      <c r="D139" s="521" t="str">
        <f>'5-1 Сбор КП Закупки'!D139</f>
        <v/>
      </c>
      <c r="E139" s="521" t="str">
        <f>'5-1 Сбор КП Закупки'!E139</f>
        <v/>
      </c>
      <c r="F139" s="521" t="str">
        <f>'5-1 Сбор КП Закупки'!F139</f>
        <v/>
      </c>
      <c r="G139" s="522" t="str">
        <f>'5-1 Сбор КП Закупки'!G139</f>
        <v/>
      </c>
      <c r="H139" s="522" t="str">
        <f>'5-1 Сбор КП Закупки'!H139</f>
        <v/>
      </c>
      <c r="I139" s="522" t="str">
        <f>'5-1 Сбор КП Закупки'!I139</f>
        <v/>
      </c>
      <c r="J139" s="197"/>
      <c r="K139" s="522" t="str">
        <f>'5-1 Сбор КП Закупки'!G139</f>
        <v/>
      </c>
      <c r="L139" s="523" t="str">
        <f>IF(A139="Да",'5-1 Сбор КП Закупки'!K139,)</f>
        <v/>
      </c>
      <c r="M139" s="197"/>
      <c r="N139" s="197"/>
      <c r="O139" s="197"/>
      <c r="P139" s="525" t="str">
        <f>'5-1 Сбор КП Закупки'!P139</f>
        <v/>
      </c>
      <c r="Q139" s="197"/>
      <c r="R139" s="197"/>
      <c r="S139" s="197"/>
      <c r="T139" s="197"/>
      <c r="U139" s="197"/>
      <c r="V139" s="197"/>
      <c r="W139" s="522" t="str">
        <f>'5-1 Сбор КП Закупки'!O139</f>
        <v/>
      </c>
      <c r="X139" s="197"/>
      <c r="Y139" s="197"/>
      <c r="Z139" s="197"/>
      <c r="AA139" s="197"/>
      <c r="AB139" s="197">
        <v>0.0</v>
      </c>
      <c r="AC139" s="197"/>
      <c r="AD139" s="197"/>
      <c r="AE1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5-3'!$D$11:$Q319,AE$4,AE$5)"),"")</f>
        <v/>
      </c>
      <c r="AF139" s="528"/>
      <c r="AG1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5-3'!$D$11:$Q319,AG$4,AG$5)"),"")</f>
        <v/>
      </c>
      <c r="AH139" s="527"/>
      <c r="AI1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5-3'!$D$11:$Q319,AI$4,AI$5)"),"")</f>
        <v/>
      </c>
      <c r="AJ139" s="527"/>
      <c r="AK1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5-3'!$D$11:$Q319,AK$4,AK$5)"),"")</f>
        <v/>
      </c>
      <c r="AL139" s="527"/>
      <c r="AM1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5-3'!$D$11:$Q319,AM$4,AM$5)"),"")</f>
        <v/>
      </c>
      <c r="AN139" s="529"/>
      <c r="AO1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5-3'!$D$11:$Q319,AO$4,AO$5)"),"")</f>
        <v/>
      </c>
      <c r="AP139" s="527"/>
      <c r="AQ139" s="527"/>
      <c r="AR139" s="527"/>
      <c r="AS139" s="527"/>
      <c r="AT1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5-3'!$D$11:$Q319,AT$4,AT$5)"),"")</f>
        <v/>
      </c>
      <c r="AU139" s="531"/>
      <c r="AV1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5-3'!$D$11:$Q319,AV$4,AV$5)"),"")</f>
        <v/>
      </c>
      <c r="AW139" s="530"/>
      <c r="AX1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5-3'!$D$11:$Q319,AX$4,AX$5)"),"")</f>
        <v/>
      </c>
      <c r="AY139" s="530"/>
      <c r="AZ1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5-3'!$D$11:$Q319,AZ$4,AZ$5)"),"")</f>
        <v/>
      </c>
      <c r="BA139" s="530"/>
      <c r="BB1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5-3'!$D$11:$Q319,BB$4,BB$5)"),"")</f>
        <v/>
      </c>
      <c r="BC139" s="532"/>
      <c r="BD1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5-3'!$D$11:$Q319,BD$4,BD$5)"),"")</f>
        <v/>
      </c>
      <c r="BE139" s="530"/>
      <c r="BF139" s="530"/>
      <c r="BG139" s="530"/>
      <c r="BH139" s="530"/>
      <c r="BI1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5-3'!$D$11:$Q319,BI$4,BI$5)"),"")</f>
        <v/>
      </c>
      <c r="BJ139" s="535"/>
      <c r="BK1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5-3'!$D$11:$Q319,BK$4,BK$5)"),"")</f>
        <v/>
      </c>
      <c r="BL139" s="534"/>
      <c r="BM1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5-3'!$D$11:$Q319,BM$4,BM$5)"),"")</f>
        <v/>
      </c>
      <c r="BN139" s="534"/>
      <c r="BO1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5-3'!$D$11:$Q319,BO$4,BO$5)"),"")</f>
        <v/>
      </c>
      <c r="BP139" s="534"/>
      <c r="BQ1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5-3'!$D$11:$Q319,BQ$4,BQ$5)"),"")</f>
        <v/>
      </c>
      <c r="BR139" s="536"/>
      <c r="BS1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5-3'!$D$11:$Q319,BS$4,BS$5)"),"")</f>
        <v/>
      </c>
      <c r="BT139" s="534"/>
      <c r="BU139" s="534"/>
      <c r="BV139" s="534"/>
      <c r="BW139" s="534"/>
      <c r="BX1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5-3'!$D$11:$Q319,BX$4,BX$5)"),"")</f>
        <v/>
      </c>
      <c r="BY139" s="538"/>
      <c r="BZ1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5-3'!$D$11:$Q319,BZ$4,BZ$5)"),"")</f>
        <v/>
      </c>
      <c r="CA139" s="537"/>
      <c r="CB1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5-3'!$D$11:$Q319,CB$4,CB$5)"),"")</f>
        <v/>
      </c>
      <c r="CC139" s="537"/>
      <c r="CD1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5-3'!$D$11:$Q319,CD$4,CD$5)"),"")</f>
        <v/>
      </c>
      <c r="CE139" s="537"/>
      <c r="CF1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5-3'!$D$11:$Q319,CF$4,CF$5)"),"")</f>
        <v/>
      </c>
      <c r="CG139" s="539"/>
      <c r="CH1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5-3'!$D$11:$Q319,CH$4,CH$5)"),"")</f>
        <v/>
      </c>
      <c r="CI139" s="537"/>
      <c r="CJ139" s="537"/>
      <c r="CK139" s="537"/>
      <c r="CL139" s="537"/>
      <c r="CM1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5-3'!$D$11:$Q319,CM$4,CM$5)"),"")</f>
        <v/>
      </c>
      <c r="CN139" s="541"/>
      <c r="CO1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5-3'!$D$11:$Q319,CO$4,CO$5)"),"")</f>
        <v/>
      </c>
      <c r="CP139" s="540"/>
      <c r="CQ1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5-3'!$D$11:$Q319,CQ$4,CQ$5)"),"")</f>
        <v/>
      </c>
      <c r="CR139" s="540"/>
      <c r="CS1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5-3'!$D$11:$Q319,CS$4,CS$5)"),"")</f>
        <v/>
      </c>
      <c r="CT139" s="540"/>
      <c r="CU1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5-3'!$D$11:$Q319,CU$4,CU$5)"),"")</f>
        <v/>
      </c>
      <c r="CV139" s="545"/>
      <c r="CW1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5-3'!$D$11:$Q319,CW$4,CW$5)"),"")</f>
        <v/>
      </c>
      <c r="CX139" s="540"/>
      <c r="CY139" s="540"/>
      <c r="CZ139" s="540"/>
      <c r="DA139" s="540"/>
      <c r="DB1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5-3'!$D$11:$Q319,DB$4,DB$5)"),"")</f>
        <v/>
      </c>
      <c r="DC139" s="555"/>
      <c r="DD1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5-3'!$D$11:$Q319,DD$4,DD$5)"),"")</f>
        <v/>
      </c>
      <c r="DE139" s="554"/>
      <c r="DF1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5-3'!$D$11:$Q319,DF$4,DF$5)"),"")</f>
        <v/>
      </c>
      <c r="DG139" s="554"/>
      <c r="DH1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5-3'!$D$11:$Q319,DH$4,DH$5)"),"")</f>
        <v/>
      </c>
      <c r="DI139" s="554"/>
      <c r="DJ1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5-3'!$D$11:$Q319,DJ$4,DJ$5)"),"")</f>
        <v/>
      </c>
      <c r="DK139" s="566"/>
      <c r="DL1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5-3'!$D$11:$Q319,DL$4,DL$5)"),"")</f>
        <v/>
      </c>
      <c r="DM139" s="554"/>
      <c r="DN139" s="554"/>
      <c r="DO139" s="554"/>
      <c r="DP139" s="554"/>
      <c r="DQ1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5-3'!$D$11:$Q319,DQ$4,DQ$5)"),"")</f>
        <v/>
      </c>
      <c r="DR139" s="569"/>
      <c r="DS1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5-3'!$D$11:$Q319,DS$4,DS$5)"),"")</f>
        <v/>
      </c>
      <c r="DT139" s="568"/>
      <c r="DU1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5-3'!$D$11:$Q319,DU$4,DU$5)"),"")</f>
        <v/>
      </c>
      <c r="DV139" s="568"/>
      <c r="DW1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5-3'!$D$11:$Q319,DW$4,DW$5)"),"")</f>
        <v/>
      </c>
      <c r="DX139" s="568"/>
      <c r="DY1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5-3'!$D$11:$Q319,DY$4,DY$5)"),"")</f>
        <v/>
      </c>
      <c r="DZ139" s="578"/>
      <c r="EA1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$C139, 'S-10 Топ 5-3'!$D$11:$Q319,EA$4,EA$5)"),"")</f>
        <v/>
      </c>
      <c r="EB139" s="568"/>
      <c r="EC139" s="568"/>
      <c r="ED139" s="568"/>
      <c r="EE139" s="568"/>
    </row>
    <row r="140">
      <c r="A140" s="519" t="str">
        <f t="shared" si="1"/>
        <v/>
      </c>
      <c r="B140" s="520" t="str">
        <f>'5-0 Товары'!B140</f>
        <v/>
      </c>
      <c r="C140" s="521" t="str">
        <f>'5-1 Сбор КП Закупки'!C140</f>
        <v/>
      </c>
      <c r="D140" s="521" t="str">
        <f>'5-1 Сбор КП Закупки'!D140</f>
        <v/>
      </c>
      <c r="E140" s="521" t="str">
        <f>'5-1 Сбор КП Закупки'!E140</f>
        <v/>
      </c>
      <c r="F140" s="521" t="str">
        <f>'5-1 Сбор КП Закупки'!F140</f>
        <v/>
      </c>
      <c r="G140" s="522" t="str">
        <f>'5-1 Сбор КП Закупки'!G140</f>
        <v/>
      </c>
      <c r="H140" s="522" t="str">
        <f>'5-1 Сбор КП Закупки'!H140</f>
        <v/>
      </c>
      <c r="I140" s="522" t="str">
        <f>'5-1 Сбор КП Закупки'!I140</f>
        <v/>
      </c>
      <c r="J140" s="197"/>
      <c r="K140" s="522" t="str">
        <f>'5-1 Сбор КП Закупки'!G140</f>
        <v/>
      </c>
      <c r="L140" s="523" t="str">
        <f>IF(A140="Да",'5-1 Сбор КП Закупки'!K140,)</f>
        <v/>
      </c>
      <c r="M140" s="197"/>
      <c r="N140" s="197"/>
      <c r="O140" s="197"/>
      <c r="P140" s="525" t="str">
        <f>'5-1 Сбор КП Закупки'!P140</f>
        <v/>
      </c>
      <c r="Q140" s="197"/>
      <c r="R140" s="197"/>
      <c r="S140" s="197"/>
      <c r="T140" s="197"/>
      <c r="U140" s="197"/>
      <c r="V140" s="197"/>
      <c r="W140" s="522" t="str">
        <f>'5-1 Сбор КП Закупки'!O140</f>
        <v/>
      </c>
      <c r="X140" s="197"/>
      <c r="Y140" s="197"/>
      <c r="Z140" s="197"/>
      <c r="AA140" s="197"/>
      <c r="AB140" s="197">
        <v>0.0</v>
      </c>
      <c r="AC140" s="197"/>
      <c r="AD140" s="197"/>
      <c r="AE1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5-3'!$D$11:$Q319,AE$4,AE$5)"),"")</f>
        <v/>
      </c>
      <c r="AF140" s="528"/>
      <c r="AG1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5-3'!$D$11:$Q319,AG$4,AG$5)"),"")</f>
        <v/>
      </c>
      <c r="AH140" s="527"/>
      <c r="AI1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5-3'!$D$11:$Q319,AI$4,AI$5)"),"")</f>
        <v/>
      </c>
      <c r="AJ140" s="527"/>
      <c r="AK1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5-3'!$D$11:$Q319,AK$4,AK$5)"),"")</f>
        <v/>
      </c>
      <c r="AL140" s="527"/>
      <c r="AM1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5-3'!$D$11:$Q319,AM$4,AM$5)"),"")</f>
        <v/>
      </c>
      <c r="AN140" s="529"/>
      <c r="AO1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5-3'!$D$11:$Q319,AO$4,AO$5)"),"")</f>
        <v/>
      </c>
      <c r="AP140" s="527"/>
      <c r="AQ140" s="527"/>
      <c r="AR140" s="527"/>
      <c r="AS140" s="527"/>
      <c r="AT1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5-3'!$D$11:$Q319,AT$4,AT$5)"),"")</f>
        <v/>
      </c>
      <c r="AU140" s="531"/>
      <c r="AV1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5-3'!$D$11:$Q319,AV$4,AV$5)"),"")</f>
        <v/>
      </c>
      <c r="AW140" s="530"/>
      <c r="AX1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5-3'!$D$11:$Q319,AX$4,AX$5)"),"")</f>
        <v/>
      </c>
      <c r="AY140" s="530"/>
      <c r="AZ1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5-3'!$D$11:$Q319,AZ$4,AZ$5)"),"")</f>
        <v/>
      </c>
      <c r="BA140" s="530"/>
      <c r="BB1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5-3'!$D$11:$Q319,BB$4,BB$5)"),"")</f>
        <v/>
      </c>
      <c r="BC140" s="532"/>
      <c r="BD1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5-3'!$D$11:$Q319,BD$4,BD$5)"),"")</f>
        <v/>
      </c>
      <c r="BE140" s="530"/>
      <c r="BF140" s="530"/>
      <c r="BG140" s="530"/>
      <c r="BH140" s="530"/>
      <c r="BI1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5-3'!$D$11:$Q319,BI$4,BI$5)"),"")</f>
        <v/>
      </c>
      <c r="BJ140" s="535"/>
      <c r="BK1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5-3'!$D$11:$Q319,BK$4,BK$5)"),"")</f>
        <v/>
      </c>
      <c r="BL140" s="534"/>
      <c r="BM1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5-3'!$D$11:$Q319,BM$4,BM$5)"),"")</f>
        <v/>
      </c>
      <c r="BN140" s="534"/>
      <c r="BO1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5-3'!$D$11:$Q319,BO$4,BO$5)"),"")</f>
        <v/>
      </c>
      <c r="BP140" s="534"/>
      <c r="BQ1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5-3'!$D$11:$Q319,BQ$4,BQ$5)"),"")</f>
        <v/>
      </c>
      <c r="BR140" s="536"/>
      <c r="BS1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5-3'!$D$11:$Q319,BS$4,BS$5)"),"")</f>
        <v/>
      </c>
      <c r="BT140" s="534"/>
      <c r="BU140" s="534"/>
      <c r="BV140" s="534"/>
      <c r="BW140" s="534"/>
      <c r="BX1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5-3'!$D$11:$Q319,BX$4,BX$5)"),"")</f>
        <v/>
      </c>
      <c r="BY140" s="538"/>
      <c r="BZ1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5-3'!$D$11:$Q319,BZ$4,BZ$5)"),"")</f>
        <v/>
      </c>
      <c r="CA140" s="537"/>
      <c r="CB1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5-3'!$D$11:$Q319,CB$4,CB$5)"),"")</f>
        <v/>
      </c>
      <c r="CC140" s="537"/>
      <c r="CD1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5-3'!$D$11:$Q319,CD$4,CD$5)"),"")</f>
        <v/>
      </c>
      <c r="CE140" s="537"/>
      <c r="CF1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5-3'!$D$11:$Q319,CF$4,CF$5)"),"")</f>
        <v/>
      </c>
      <c r="CG140" s="539"/>
      <c r="CH1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5-3'!$D$11:$Q319,CH$4,CH$5)"),"")</f>
        <v/>
      </c>
      <c r="CI140" s="537"/>
      <c r="CJ140" s="537"/>
      <c r="CK140" s="537"/>
      <c r="CL140" s="537"/>
      <c r="CM1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5-3'!$D$11:$Q319,CM$4,CM$5)"),"")</f>
        <v/>
      </c>
      <c r="CN140" s="541"/>
      <c r="CO1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5-3'!$D$11:$Q319,CO$4,CO$5)"),"")</f>
        <v/>
      </c>
      <c r="CP140" s="540"/>
      <c r="CQ1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5-3'!$D$11:$Q319,CQ$4,CQ$5)"),"")</f>
        <v/>
      </c>
      <c r="CR140" s="540"/>
      <c r="CS1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5-3'!$D$11:$Q319,CS$4,CS$5)"),"")</f>
        <v/>
      </c>
      <c r="CT140" s="540"/>
      <c r="CU1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5-3'!$D$11:$Q319,CU$4,CU$5)"),"")</f>
        <v/>
      </c>
      <c r="CV140" s="545"/>
      <c r="CW1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5-3'!$D$11:$Q319,CW$4,CW$5)"),"")</f>
        <v/>
      </c>
      <c r="CX140" s="540"/>
      <c r="CY140" s="540"/>
      <c r="CZ140" s="540"/>
      <c r="DA140" s="540"/>
      <c r="DB1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5-3'!$D$11:$Q319,DB$4,DB$5)"),"")</f>
        <v/>
      </c>
      <c r="DC140" s="555"/>
      <c r="DD1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5-3'!$D$11:$Q319,DD$4,DD$5)"),"")</f>
        <v/>
      </c>
      <c r="DE140" s="554"/>
      <c r="DF1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5-3'!$D$11:$Q319,DF$4,DF$5)"),"")</f>
        <v/>
      </c>
      <c r="DG140" s="554"/>
      <c r="DH1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5-3'!$D$11:$Q319,DH$4,DH$5)"),"")</f>
        <v/>
      </c>
      <c r="DI140" s="554"/>
      <c r="DJ1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5-3'!$D$11:$Q319,DJ$4,DJ$5)"),"")</f>
        <v/>
      </c>
      <c r="DK140" s="566"/>
      <c r="DL1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5-3'!$D$11:$Q319,DL$4,DL$5)"),"")</f>
        <v/>
      </c>
      <c r="DM140" s="554"/>
      <c r="DN140" s="554"/>
      <c r="DO140" s="554"/>
      <c r="DP140" s="554"/>
      <c r="DQ1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5-3'!$D$11:$Q319,DQ$4,DQ$5)"),"")</f>
        <v/>
      </c>
      <c r="DR140" s="569"/>
      <c r="DS1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5-3'!$D$11:$Q319,DS$4,DS$5)"),"")</f>
        <v/>
      </c>
      <c r="DT140" s="568"/>
      <c r="DU1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5-3'!$D$11:$Q319,DU$4,DU$5)"),"")</f>
        <v/>
      </c>
      <c r="DV140" s="568"/>
      <c r="DW1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5-3'!$D$11:$Q319,DW$4,DW$5)"),"")</f>
        <v/>
      </c>
      <c r="DX140" s="568"/>
      <c r="DY1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5-3'!$D$11:$Q319,DY$4,DY$5)"),"")</f>
        <v/>
      </c>
      <c r="DZ140" s="578"/>
      <c r="EA1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$C140, 'S-10 Топ 5-3'!$D$11:$Q319,EA$4,EA$5)"),"")</f>
        <v/>
      </c>
      <c r="EB140" s="568"/>
      <c r="EC140" s="568"/>
      <c r="ED140" s="568"/>
      <c r="EE140" s="568"/>
    </row>
    <row r="141">
      <c r="A141" s="519" t="str">
        <f t="shared" si="1"/>
        <v/>
      </c>
      <c r="B141" s="520" t="str">
        <f>'5-0 Товары'!B141</f>
        <v/>
      </c>
      <c r="C141" s="521" t="str">
        <f>'5-1 Сбор КП Закупки'!C141</f>
        <v/>
      </c>
      <c r="D141" s="521" t="str">
        <f>'5-1 Сбор КП Закупки'!D141</f>
        <v/>
      </c>
      <c r="E141" s="521" t="str">
        <f>'5-1 Сбор КП Закупки'!E141</f>
        <v/>
      </c>
      <c r="F141" s="521" t="str">
        <f>'5-1 Сбор КП Закупки'!F141</f>
        <v/>
      </c>
      <c r="G141" s="522" t="str">
        <f>'5-1 Сбор КП Закупки'!G141</f>
        <v/>
      </c>
      <c r="H141" s="522" t="str">
        <f>'5-1 Сбор КП Закупки'!H141</f>
        <v/>
      </c>
      <c r="I141" s="522" t="str">
        <f>'5-1 Сбор КП Закупки'!I141</f>
        <v/>
      </c>
      <c r="J141" s="197"/>
      <c r="K141" s="522" t="str">
        <f>'5-1 Сбор КП Закупки'!G141</f>
        <v/>
      </c>
      <c r="L141" s="523" t="str">
        <f>IF(A141="Да",'5-1 Сбор КП Закупки'!K141,)</f>
        <v/>
      </c>
      <c r="M141" s="197"/>
      <c r="N141" s="197"/>
      <c r="O141" s="197"/>
      <c r="P141" s="525" t="str">
        <f>'5-1 Сбор КП Закупки'!P141</f>
        <v/>
      </c>
      <c r="Q141" s="197"/>
      <c r="R141" s="197"/>
      <c r="S141" s="197"/>
      <c r="T141" s="197"/>
      <c r="U141" s="197"/>
      <c r="V141" s="197"/>
      <c r="W141" s="522" t="str">
        <f>'5-1 Сбор КП Закупки'!O141</f>
        <v/>
      </c>
      <c r="X141" s="197"/>
      <c r="Y141" s="197"/>
      <c r="Z141" s="197"/>
      <c r="AA141" s="197"/>
      <c r="AB141" s="197">
        <v>0.0</v>
      </c>
      <c r="AC141" s="197"/>
      <c r="AD141" s="197"/>
      <c r="AE1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5-3'!$D$11:$Q319,AE$4,AE$5)"),"")</f>
        <v/>
      </c>
      <c r="AF141" s="528"/>
      <c r="AG1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5-3'!$D$11:$Q319,AG$4,AG$5)"),"")</f>
        <v/>
      </c>
      <c r="AH141" s="527"/>
      <c r="AI1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5-3'!$D$11:$Q319,AI$4,AI$5)"),"")</f>
        <v/>
      </c>
      <c r="AJ141" s="527"/>
      <c r="AK1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5-3'!$D$11:$Q319,AK$4,AK$5)"),"")</f>
        <v/>
      </c>
      <c r="AL141" s="527"/>
      <c r="AM1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5-3'!$D$11:$Q319,AM$4,AM$5)"),"")</f>
        <v/>
      </c>
      <c r="AN141" s="529"/>
      <c r="AO1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5-3'!$D$11:$Q319,AO$4,AO$5)"),"")</f>
        <v/>
      </c>
      <c r="AP141" s="527"/>
      <c r="AQ141" s="527"/>
      <c r="AR141" s="527"/>
      <c r="AS141" s="527"/>
      <c r="AT1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5-3'!$D$11:$Q319,AT$4,AT$5)"),"")</f>
        <v/>
      </c>
      <c r="AU141" s="531"/>
      <c r="AV1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5-3'!$D$11:$Q319,AV$4,AV$5)"),"")</f>
        <v/>
      </c>
      <c r="AW141" s="530"/>
      <c r="AX1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5-3'!$D$11:$Q319,AX$4,AX$5)"),"")</f>
        <v/>
      </c>
      <c r="AY141" s="530"/>
      <c r="AZ1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5-3'!$D$11:$Q319,AZ$4,AZ$5)"),"")</f>
        <v/>
      </c>
      <c r="BA141" s="530"/>
      <c r="BB1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5-3'!$D$11:$Q319,BB$4,BB$5)"),"")</f>
        <v/>
      </c>
      <c r="BC141" s="532"/>
      <c r="BD1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5-3'!$D$11:$Q319,BD$4,BD$5)"),"")</f>
        <v/>
      </c>
      <c r="BE141" s="530"/>
      <c r="BF141" s="530"/>
      <c r="BG141" s="530"/>
      <c r="BH141" s="530"/>
      <c r="BI1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5-3'!$D$11:$Q319,BI$4,BI$5)"),"")</f>
        <v/>
      </c>
      <c r="BJ141" s="535"/>
      <c r="BK1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5-3'!$D$11:$Q319,BK$4,BK$5)"),"")</f>
        <v/>
      </c>
      <c r="BL141" s="534"/>
      <c r="BM1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5-3'!$D$11:$Q319,BM$4,BM$5)"),"")</f>
        <v/>
      </c>
      <c r="BN141" s="534"/>
      <c r="BO1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5-3'!$D$11:$Q319,BO$4,BO$5)"),"")</f>
        <v/>
      </c>
      <c r="BP141" s="534"/>
      <c r="BQ1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5-3'!$D$11:$Q319,BQ$4,BQ$5)"),"")</f>
        <v/>
      </c>
      <c r="BR141" s="536"/>
      <c r="BS1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5-3'!$D$11:$Q319,BS$4,BS$5)"),"")</f>
        <v/>
      </c>
      <c r="BT141" s="534"/>
      <c r="BU141" s="534"/>
      <c r="BV141" s="534"/>
      <c r="BW141" s="534"/>
      <c r="BX1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5-3'!$D$11:$Q319,BX$4,BX$5)"),"")</f>
        <v/>
      </c>
      <c r="BY141" s="538"/>
      <c r="BZ1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5-3'!$D$11:$Q319,BZ$4,BZ$5)"),"")</f>
        <v/>
      </c>
      <c r="CA141" s="537"/>
      <c r="CB1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5-3'!$D$11:$Q319,CB$4,CB$5)"),"")</f>
        <v/>
      </c>
      <c r="CC141" s="537"/>
      <c r="CD1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5-3'!$D$11:$Q319,CD$4,CD$5)"),"")</f>
        <v/>
      </c>
      <c r="CE141" s="537"/>
      <c r="CF1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5-3'!$D$11:$Q319,CF$4,CF$5)"),"")</f>
        <v/>
      </c>
      <c r="CG141" s="539"/>
      <c r="CH1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5-3'!$D$11:$Q319,CH$4,CH$5)"),"")</f>
        <v/>
      </c>
      <c r="CI141" s="537"/>
      <c r="CJ141" s="537"/>
      <c r="CK141" s="537"/>
      <c r="CL141" s="537"/>
      <c r="CM1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5-3'!$D$11:$Q319,CM$4,CM$5)"),"")</f>
        <v/>
      </c>
      <c r="CN141" s="541"/>
      <c r="CO1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5-3'!$D$11:$Q319,CO$4,CO$5)"),"")</f>
        <v/>
      </c>
      <c r="CP141" s="540"/>
      <c r="CQ1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5-3'!$D$11:$Q319,CQ$4,CQ$5)"),"")</f>
        <v/>
      </c>
      <c r="CR141" s="540"/>
      <c r="CS1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5-3'!$D$11:$Q319,CS$4,CS$5)"),"")</f>
        <v/>
      </c>
      <c r="CT141" s="540"/>
      <c r="CU1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5-3'!$D$11:$Q319,CU$4,CU$5)"),"")</f>
        <v/>
      </c>
      <c r="CV141" s="545"/>
      <c r="CW1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5-3'!$D$11:$Q319,CW$4,CW$5)"),"")</f>
        <v/>
      </c>
      <c r="CX141" s="540"/>
      <c r="CY141" s="540"/>
      <c r="CZ141" s="540"/>
      <c r="DA141" s="540"/>
      <c r="DB1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5-3'!$D$11:$Q319,DB$4,DB$5)"),"")</f>
        <v/>
      </c>
      <c r="DC141" s="555"/>
      <c r="DD1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5-3'!$D$11:$Q319,DD$4,DD$5)"),"")</f>
        <v/>
      </c>
      <c r="DE141" s="554"/>
      <c r="DF1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5-3'!$D$11:$Q319,DF$4,DF$5)"),"")</f>
        <v/>
      </c>
      <c r="DG141" s="554"/>
      <c r="DH1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5-3'!$D$11:$Q319,DH$4,DH$5)"),"")</f>
        <v/>
      </c>
      <c r="DI141" s="554"/>
      <c r="DJ1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5-3'!$D$11:$Q319,DJ$4,DJ$5)"),"")</f>
        <v/>
      </c>
      <c r="DK141" s="566"/>
      <c r="DL1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5-3'!$D$11:$Q319,DL$4,DL$5)"),"")</f>
        <v/>
      </c>
      <c r="DM141" s="554"/>
      <c r="DN141" s="554"/>
      <c r="DO141" s="554"/>
      <c r="DP141" s="554"/>
      <c r="DQ1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5-3'!$D$11:$Q319,DQ$4,DQ$5)"),"")</f>
        <v/>
      </c>
      <c r="DR141" s="569"/>
      <c r="DS1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5-3'!$D$11:$Q319,DS$4,DS$5)"),"")</f>
        <v/>
      </c>
      <c r="DT141" s="568"/>
      <c r="DU1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5-3'!$D$11:$Q319,DU$4,DU$5)"),"")</f>
        <v/>
      </c>
      <c r="DV141" s="568"/>
      <c r="DW1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5-3'!$D$11:$Q319,DW$4,DW$5)"),"")</f>
        <v/>
      </c>
      <c r="DX141" s="568"/>
      <c r="DY1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5-3'!$D$11:$Q319,DY$4,DY$5)"),"")</f>
        <v/>
      </c>
      <c r="DZ141" s="578"/>
      <c r="EA1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$C141, 'S-10 Топ 5-3'!$D$11:$Q319,EA$4,EA$5)"),"")</f>
        <v/>
      </c>
      <c r="EB141" s="568"/>
      <c r="EC141" s="568"/>
      <c r="ED141" s="568"/>
      <c r="EE141" s="568"/>
    </row>
    <row r="142">
      <c r="A142" s="519" t="str">
        <f t="shared" si="1"/>
        <v/>
      </c>
      <c r="B142" s="520" t="str">
        <f>'5-0 Товары'!B142</f>
        <v/>
      </c>
      <c r="C142" s="521" t="str">
        <f>'5-1 Сбор КП Закупки'!C142</f>
        <v/>
      </c>
      <c r="D142" s="521" t="str">
        <f>'5-1 Сбор КП Закупки'!D142</f>
        <v/>
      </c>
      <c r="E142" s="521" t="str">
        <f>'5-1 Сбор КП Закупки'!E142</f>
        <v/>
      </c>
      <c r="F142" s="521" t="str">
        <f>'5-1 Сбор КП Закупки'!F142</f>
        <v/>
      </c>
      <c r="G142" s="522" t="str">
        <f>'5-1 Сбор КП Закупки'!G142</f>
        <v/>
      </c>
      <c r="H142" s="522" t="str">
        <f>'5-1 Сбор КП Закупки'!H142</f>
        <v/>
      </c>
      <c r="I142" s="522" t="str">
        <f>'5-1 Сбор КП Закупки'!I142</f>
        <v/>
      </c>
      <c r="J142" s="197"/>
      <c r="K142" s="522" t="str">
        <f>'5-1 Сбор КП Закупки'!G142</f>
        <v/>
      </c>
      <c r="L142" s="523" t="str">
        <f>IF(A142="Да",'5-1 Сбор КП Закупки'!K142,)</f>
        <v/>
      </c>
      <c r="M142" s="197"/>
      <c r="N142" s="197"/>
      <c r="O142" s="197"/>
      <c r="P142" s="525" t="str">
        <f>'5-1 Сбор КП Закупки'!P142</f>
        <v/>
      </c>
      <c r="Q142" s="197"/>
      <c r="R142" s="197"/>
      <c r="S142" s="197"/>
      <c r="T142" s="197"/>
      <c r="U142" s="197"/>
      <c r="V142" s="197"/>
      <c r="W142" s="522" t="str">
        <f>'5-1 Сбор КП Закупки'!O142</f>
        <v/>
      </c>
      <c r="X142" s="197"/>
      <c r="Y142" s="197"/>
      <c r="Z142" s="197"/>
      <c r="AA142" s="197"/>
      <c r="AB142" s="197">
        <v>0.0</v>
      </c>
      <c r="AC142" s="197"/>
      <c r="AD142" s="197"/>
      <c r="AE1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5-3'!$D$11:$Q319,AE$4,AE$5)"),"")</f>
        <v/>
      </c>
      <c r="AF142" s="528"/>
      <c r="AG1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5-3'!$D$11:$Q319,AG$4,AG$5)"),"")</f>
        <v/>
      </c>
      <c r="AH142" s="527"/>
      <c r="AI1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5-3'!$D$11:$Q319,AI$4,AI$5)"),"")</f>
        <v/>
      </c>
      <c r="AJ142" s="527"/>
      <c r="AK1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5-3'!$D$11:$Q319,AK$4,AK$5)"),"")</f>
        <v/>
      </c>
      <c r="AL142" s="527"/>
      <c r="AM1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5-3'!$D$11:$Q319,AM$4,AM$5)"),"")</f>
        <v/>
      </c>
      <c r="AN142" s="529"/>
      <c r="AO1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5-3'!$D$11:$Q319,AO$4,AO$5)"),"")</f>
        <v/>
      </c>
      <c r="AP142" s="527"/>
      <c r="AQ142" s="527"/>
      <c r="AR142" s="527"/>
      <c r="AS142" s="527"/>
      <c r="AT1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5-3'!$D$11:$Q319,AT$4,AT$5)"),"")</f>
        <v/>
      </c>
      <c r="AU142" s="531"/>
      <c r="AV1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5-3'!$D$11:$Q319,AV$4,AV$5)"),"")</f>
        <v/>
      </c>
      <c r="AW142" s="530"/>
      <c r="AX1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5-3'!$D$11:$Q319,AX$4,AX$5)"),"")</f>
        <v/>
      </c>
      <c r="AY142" s="530"/>
      <c r="AZ1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5-3'!$D$11:$Q319,AZ$4,AZ$5)"),"")</f>
        <v/>
      </c>
      <c r="BA142" s="530"/>
      <c r="BB1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5-3'!$D$11:$Q319,BB$4,BB$5)"),"")</f>
        <v/>
      </c>
      <c r="BC142" s="532"/>
      <c r="BD1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5-3'!$D$11:$Q319,BD$4,BD$5)"),"")</f>
        <v/>
      </c>
      <c r="BE142" s="530"/>
      <c r="BF142" s="530"/>
      <c r="BG142" s="530"/>
      <c r="BH142" s="530"/>
      <c r="BI1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5-3'!$D$11:$Q319,BI$4,BI$5)"),"")</f>
        <v/>
      </c>
      <c r="BJ142" s="535"/>
      <c r="BK1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5-3'!$D$11:$Q319,BK$4,BK$5)"),"")</f>
        <v/>
      </c>
      <c r="BL142" s="534"/>
      <c r="BM1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5-3'!$D$11:$Q319,BM$4,BM$5)"),"")</f>
        <v/>
      </c>
      <c r="BN142" s="534"/>
      <c r="BO1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5-3'!$D$11:$Q319,BO$4,BO$5)"),"")</f>
        <v/>
      </c>
      <c r="BP142" s="534"/>
      <c r="BQ1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5-3'!$D$11:$Q319,BQ$4,BQ$5)"),"")</f>
        <v/>
      </c>
      <c r="BR142" s="536"/>
      <c r="BS1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5-3'!$D$11:$Q319,BS$4,BS$5)"),"")</f>
        <v/>
      </c>
      <c r="BT142" s="534"/>
      <c r="BU142" s="534"/>
      <c r="BV142" s="534"/>
      <c r="BW142" s="534"/>
      <c r="BX1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5-3'!$D$11:$Q319,BX$4,BX$5)"),"")</f>
        <v/>
      </c>
      <c r="BY142" s="538"/>
      <c r="BZ1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5-3'!$D$11:$Q319,BZ$4,BZ$5)"),"")</f>
        <v/>
      </c>
      <c r="CA142" s="537"/>
      <c r="CB1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5-3'!$D$11:$Q319,CB$4,CB$5)"),"")</f>
        <v/>
      </c>
      <c r="CC142" s="537"/>
      <c r="CD1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5-3'!$D$11:$Q319,CD$4,CD$5)"),"")</f>
        <v/>
      </c>
      <c r="CE142" s="537"/>
      <c r="CF1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5-3'!$D$11:$Q319,CF$4,CF$5)"),"")</f>
        <v/>
      </c>
      <c r="CG142" s="539"/>
      <c r="CH1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5-3'!$D$11:$Q319,CH$4,CH$5)"),"")</f>
        <v/>
      </c>
      <c r="CI142" s="537"/>
      <c r="CJ142" s="537"/>
      <c r="CK142" s="537"/>
      <c r="CL142" s="537"/>
      <c r="CM1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5-3'!$D$11:$Q319,CM$4,CM$5)"),"")</f>
        <v/>
      </c>
      <c r="CN142" s="541"/>
      <c r="CO1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5-3'!$D$11:$Q319,CO$4,CO$5)"),"")</f>
        <v/>
      </c>
      <c r="CP142" s="540"/>
      <c r="CQ1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5-3'!$D$11:$Q319,CQ$4,CQ$5)"),"")</f>
        <v/>
      </c>
      <c r="CR142" s="540"/>
      <c r="CS1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5-3'!$D$11:$Q319,CS$4,CS$5)"),"")</f>
        <v/>
      </c>
      <c r="CT142" s="540"/>
      <c r="CU1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5-3'!$D$11:$Q319,CU$4,CU$5)"),"")</f>
        <v/>
      </c>
      <c r="CV142" s="545"/>
      <c r="CW1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5-3'!$D$11:$Q319,CW$4,CW$5)"),"")</f>
        <v/>
      </c>
      <c r="CX142" s="540"/>
      <c r="CY142" s="540"/>
      <c r="CZ142" s="540"/>
      <c r="DA142" s="540"/>
      <c r="DB1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5-3'!$D$11:$Q319,DB$4,DB$5)"),"")</f>
        <v/>
      </c>
      <c r="DC142" s="555"/>
      <c r="DD1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5-3'!$D$11:$Q319,DD$4,DD$5)"),"")</f>
        <v/>
      </c>
      <c r="DE142" s="554"/>
      <c r="DF1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5-3'!$D$11:$Q319,DF$4,DF$5)"),"")</f>
        <v/>
      </c>
      <c r="DG142" s="554"/>
      <c r="DH1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5-3'!$D$11:$Q319,DH$4,DH$5)"),"")</f>
        <v/>
      </c>
      <c r="DI142" s="554"/>
      <c r="DJ1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5-3'!$D$11:$Q319,DJ$4,DJ$5)"),"")</f>
        <v/>
      </c>
      <c r="DK142" s="566"/>
      <c r="DL1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5-3'!$D$11:$Q319,DL$4,DL$5)"),"")</f>
        <v/>
      </c>
      <c r="DM142" s="554"/>
      <c r="DN142" s="554"/>
      <c r="DO142" s="554"/>
      <c r="DP142" s="554"/>
      <c r="DQ1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5-3'!$D$11:$Q319,DQ$4,DQ$5)"),"")</f>
        <v/>
      </c>
      <c r="DR142" s="569"/>
      <c r="DS1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5-3'!$D$11:$Q319,DS$4,DS$5)"),"")</f>
        <v/>
      </c>
      <c r="DT142" s="568"/>
      <c r="DU1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5-3'!$D$11:$Q319,DU$4,DU$5)"),"")</f>
        <v/>
      </c>
      <c r="DV142" s="568"/>
      <c r="DW1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5-3'!$D$11:$Q319,DW$4,DW$5)"),"")</f>
        <v/>
      </c>
      <c r="DX142" s="568"/>
      <c r="DY1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5-3'!$D$11:$Q319,DY$4,DY$5)"),"")</f>
        <v/>
      </c>
      <c r="DZ142" s="578"/>
      <c r="EA1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$C142, 'S-10 Топ 5-3'!$D$11:$Q319,EA$4,EA$5)"),"")</f>
        <v/>
      </c>
      <c r="EB142" s="568"/>
      <c r="EC142" s="568"/>
      <c r="ED142" s="568"/>
      <c r="EE142" s="568"/>
    </row>
    <row r="143">
      <c r="A143" s="519" t="str">
        <f t="shared" si="1"/>
        <v/>
      </c>
      <c r="B143" s="520" t="str">
        <f>'5-0 Товары'!B143</f>
        <v/>
      </c>
      <c r="C143" s="521" t="str">
        <f>'5-1 Сбор КП Закупки'!C143</f>
        <v/>
      </c>
      <c r="D143" s="521" t="str">
        <f>'5-1 Сбор КП Закупки'!D143</f>
        <v/>
      </c>
      <c r="E143" s="521" t="str">
        <f>'5-1 Сбор КП Закупки'!E143</f>
        <v/>
      </c>
      <c r="F143" s="521" t="str">
        <f>'5-1 Сбор КП Закупки'!F143</f>
        <v/>
      </c>
      <c r="G143" s="522" t="str">
        <f>'5-1 Сбор КП Закупки'!G143</f>
        <v/>
      </c>
      <c r="H143" s="522" t="str">
        <f>'5-1 Сбор КП Закупки'!H143</f>
        <v/>
      </c>
      <c r="I143" s="522" t="str">
        <f>'5-1 Сбор КП Закупки'!I143</f>
        <v/>
      </c>
      <c r="J143" s="197"/>
      <c r="K143" s="522" t="str">
        <f>'5-1 Сбор КП Закупки'!G143</f>
        <v/>
      </c>
      <c r="L143" s="523" t="str">
        <f>IF(A143="Да",'5-1 Сбор КП Закупки'!K143,)</f>
        <v/>
      </c>
      <c r="M143" s="197"/>
      <c r="N143" s="197"/>
      <c r="O143" s="197"/>
      <c r="P143" s="525" t="str">
        <f>'5-1 Сбор КП Закупки'!P143</f>
        <v/>
      </c>
      <c r="Q143" s="197"/>
      <c r="R143" s="197"/>
      <c r="S143" s="197"/>
      <c r="T143" s="197"/>
      <c r="U143" s="197"/>
      <c r="V143" s="197"/>
      <c r="W143" s="522" t="str">
        <f>'5-1 Сбор КП Закупки'!O143</f>
        <v/>
      </c>
      <c r="X143" s="197"/>
      <c r="Y143" s="197"/>
      <c r="Z143" s="197"/>
      <c r="AA143" s="197"/>
      <c r="AB143" s="197">
        <v>0.0</v>
      </c>
      <c r="AC143" s="197"/>
      <c r="AD143" s="197"/>
      <c r="AE1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5-3'!$D$11:$Q319,AE$4,AE$5)"),"")</f>
        <v/>
      </c>
      <c r="AF143" s="528"/>
      <c r="AG1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5-3'!$D$11:$Q319,AG$4,AG$5)"),"")</f>
        <v/>
      </c>
      <c r="AH143" s="527"/>
      <c r="AI1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5-3'!$D$11:$Q319,AI$4,AI$5)"),"")</f>
        <v/>
      </c>
      <c r="AJ143" s="527"/>
      <c r="AK1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5-3'!$D$11:$Q319,AK$4,AK$5)"),"")</f>
        <v/>
      </c>
      <c r="AL143" s="527"/>
      <c r="AM1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5-3'!$D$11:$Q319,AM$4,AM$5)"),"")</f>
        <v/>
      </c>
      <c r="AN143" s="529"/>
      <c r="AO1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5-3'!$D$11:$Q319,AO$4,AO$5)"),"")</f>
        <v/>
      </c>
      <c r="AP143" s="527"/>
      <c r="AQ143" s="527"/>
      <c r="AR143" s="527"/>
      <c r="AS143" s="527"/>
      <c r="AT1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5-3'!$D$11:$Q319,AT$4,AT$5)"),"")</f>
        <v/>
      </c>
      <c r="AU143" s="531"/>
      <c r="AV1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5-3'!$D$11:$Q319,AV$4,AV$5)"),"")</f>
        <v/>
      </c>
      <c r="AW143" s="530"/>
      <c r="AX1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5-3'!$D$11:$Q319,AX$4,AX$5)"),"")</f>
        <v/>
      </c>
      <c r="AY143" s="530"/>
      <c r="AZ1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5-3'!$D$11:$Q319,AZ$4,AZ$5)"),"")</f>
        <v/>
      </c>
      <c r="BA143" s="530"/>
      <c r="BB1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5-3'!$D$11:$Q319,BB$4,BB$5)"),"")</f>
        <v/>
      </c>
      <c r="BC143" s="532"/>
      <c r="BD1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5-3'!$D$11:$Q319,BD$4,BD$5)"),"")</f>
        <v/>
      </c>
      <c r="BE143" s="530"/>
      <c r="BF143" s="530"/>
      <c r="BG143" s="530"/>
      <c r="BH143" s="530"/>
      <c r="BI1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5-3'!$D$11:$Q319,BI$4,BI$5)"),"")</f>
        <v/>
      </c>
      <c r="BJ143" s="535"/>
      <c r="BK1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5-3'!$D$11:$Q319,BK$4,BK$5)"),"")</f>
        <v/>
      </c>
      <c r="BL143" s="534"/>
      <c r="BM1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5-3'!$D$11:$Q319,BM$4,BM$5)"),"")</f>
        <v/>
      </c>
      <c r="BN143" s="534"/>
      <c r="BO1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5-3'!$D$11:$Q319,BO$4,BO$5)"),"")</f>
        <v/>
      </c>
      <c r="BP143" s="534"/>
      <c r="BQ1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5-3'!$D$11:$Q319,BQ$4,BQ$5)"),"")</f>
        <v/>
      </c>
      <c r="BR143" s="536"/>
      <c r="BS1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5-3'!$D$11:$Q319,BS$4,BS$5)"),"")</f>
        <v/>
      </c>
      <c r="BT143" s="534"/>
      <c r="BU143" s="534"/>
      <c r="BV143" s="534"/>
      <c r="BW143" s="534"/>
      <c r="BX1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5-3'!$D$11:$Q319,BX$4,BX$5)"),"")</f>
        <v/>
      </c>
      <c r="BY143" s="538"/>
      <c r="BZ1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5-3'!$D$11:$Q319,BZ$4,BZ$5)"),"")</f>
        <v/>
      </c>
      <c r="CA143" s="537"/>
      <c r="CB1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5-3'!$D$11:$Q319,CB$4,CB$5)"),"")</f>
        <v/>
      </c>
      <c r="CC143" s="537"/>
      <c r="CD1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5-3'!$D$11:$Q319,CD$4,CD$5)"),"")</f>
        <v/>
      </c>
      <c r="CE143" s="537"/>
      <c r="CF1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5-3'!$D$11:$Q319,CF$4,CF$5)"),"")</f>
        <v/>
      </c>
      <c r="CG143" s="539"/>
      <c r="CH1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5-3'!$D$11:$Q319,CH$4,CH$5)"),"")</f>
        <v/>
      </c>
      <c r="CI143" s="537"/>
      <c r="CJ143" s="537"/>
      <c r="CK143" s="537"/>
      <c r="CL143" s="537"/>
      <c r="CM1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5-3'!$D$11:$Q319,CM$4,CM$5)"),"")</f>
        <v/>
      </c>
      <c r="CN143" s="541"/>
      <c r="CO1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5-3'!$D$11:$Q319,CO$4,CO$5)"),"")</f>
        <v/>
      </c>
      <c r="CP143" s="540"/>
      <c r="CQ1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5-3'!$D$11:$Q319,CQ$4,CQ$5)"),"")</f>
        <v/>
      </c>
      <c r="CR143" s="540"/>
      <c r="CS1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5-3'!$D$11:$Q319,CS$4,CS$5)"),"")</f>
        <v/>
      </c>
      <c r="CT143" s="540"/>
      <c r="CU1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5-3'!$D$11:$Q319,CU$4,CU$5)"),"")</f>
        <v/>
      </c>
      <c r="CV143" s="545"/>
      <c r="CW1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5-3'!$D$11:$Q319,CW$4,CW$5)"),"")</f>
        <v/>
      </c>
      <c r="CX143" s="540"/>
      <c r="CY143" s="540"/>
      <c r="CZ143" s="540"/>
      <c r="DA143" s="540"/>
      <c r="DB1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5-3'!$D$11:$Q319,DB$4,DB$5)"),"")</f>
        <v/>
      </c>
      <c r="DC143" s="555"/>
      <c r="DD1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5-3'!$D$11:$Q319,DD$4,DD$5)"),"")</f>
        <v/>
      </c>
      <c r="DE143" s="554"/>
      <c r="DF1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5-3'!$D$11:$Q319,DF$4,DF$5)"),"")</f>
        <v/>
      </c>
      <c r="DG143" s="554"/>
      <c r="DH1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5-3'!$D$11:$Q319,DH$4,DH$5)"),"")</f>
        <v/>
      </c>
      <c r="DI143" s="554"/>
      <c r="DJ1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5-3'!$D$11:$Q319,DJ$4,DJ$5)"),"")</f>
        <v/>
      </c>
      <c r="DK143" s="566"/>
      <c r="DL1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5-3'!$D$11:$Q319,DL$4,DL$5)"),"")</f>
        <v/>
      </c>
      <c r="DM143" s="554"/>
      <c r="DN143" s="554"/>
      <c r="DO143" s="554"/>
      <c r="DP143" s="554"/>
      <c r="DQ1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5-3'!$D$11:$Q319,DQ$4,DQ$5)"),"")</f>
        <v/>
      </c>
      <c r="DR143" s="569"/>
      <c r="DS1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5-3'!$D$11:$Q319,DS$4,DS$5)"),"")</f>
        <v/>
      </c>
      <c r="DT143" s="568"/>
      <c r="DU1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5-3'!$D$11:$Q319,DU$4,DU$5)"),"")</f>
        <v/>
      </c>
      <c r="DV143" s="568"/>
      <c r="DW1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5-3'!$D$11:$Q319,DW$4,DW$5)"),"")</f>
        <v/>
      </c>
      <c r="DX143" s="568"/>
      <c r="DY1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5-3'!$D$11:$Q319,DY$4,DY$5)"),"")</f>
        <v/>
      </c>
      <c r="DZ143" s="578"/>
      <c r="EA1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$C143, 'S-10 Топ 5-3'!$D$11:$Q319,EA$4,EA$5)"),"")</f>
        <v/>
      </c>
      <c r="EB143" s="568"/>
      <c r="EC143" s="568"/>
      <c r="ED143" s="568"/>
      <c r="EE143" s="568"/>
    </row>
    <row r="144">
      <c r="A144" s="519" t="str">
        <f t="shared" si="1"/>
        <v/>
      </c>
      <c r="B144" s="520" t="str">
        <f>'5-0 Товары'!B144</f>
        <v/>
      </c>
      <c r="C144" s="521" t="str">
        <f>'5-1 Сбор КП Закупки'!C144</f>
        <v/>
      </c>
      <c r="D144" s="521" t="str">
        <f>'5-1 Сбор КП Закупки'!D144</f>
        <v/>
      </c>
      <c r="E144" s="521" t="str">
        <f>'5-1 Сбор КП Закупки'!E144</f>
        <v/>
      </c>
      <c r="F144" s="521" t="str">
        <f>'5-1 Сбор КП Закупки'!F144</f>
        <v/>
      </c>
      <c r="G144" s="522" t="str">
        <f>'5-1 Сбор КП Закупки'!G144</f>
        <v/>
      </c>
      <c r="H144" s="522" t="str">
        <f>'5-1 Сбор КП Закупки'!H144</f>
        <v/>
      </c>
      <c r="I144" s="522" t="str">
        <f>'5-1 Сбор КП Закупки'!I144</f>
        <v/>
      </c>
      <c r="J144" s="197"/>
      <c r="K144" s="522" t="str">
        <f>'5-1 Сбор КП Закупки'!G144</f>
        <v/>
      </c>
      <c r="L144" s="523" t="str">
        <f>IF(A144="Да",'5-1 Сбор КП Закупки'!K144,)</f>
        <v/>
      </c>
      <c r="M144" s="197"/>
      <c r="N144" s="197"/>
      <c r="O144" s="197"/>
      <c r="P144" s="525" t="str">
        <f>'5-1 Сбор КП Закупки'!P144</f>
        <v/>
      </c>
      <c r="Q144" s="197"/>
      <c r="R144" s="197"/>
      <c r="S144" s="197"/>
      <c r="T144" s="197"/>
      <c r="U144" s="197"/>
      <c r="V144" s="197"/>
      <c r="W144" s="522" t="str">
        <f>'5-1 Сбор КП Закупки'!O144</f>
        <v/>
      </c>
      <c r="X144" s="197"/>
      <c r="Y144" s="197"/>
      <c r="Z144" s="197"/>
      <c r="AA144" s="197"/>
      <c r="AB144" s="197">
        <v>0.0</v>
      </c>
      <c r="AC144" s="197"/>
      <c r="AD144" s="197"/>
      <c r="AE1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5-3'!$D$11:$Q319,AE$4,AE$5)"),"")</f>
        <v/>
      </c>
      <c r="AF144" s="528"/>
      <c r="AG1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5-3'!$D$11:$Q319,AG$4,AG$5)"),"")</f>
        <v/>
      </c>
      <c r="AH144" s="527"/>
      <c r="AI1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5-3'!$D$11:$Q319,AI$4,AI$5)"),"")</f>
        <v/>
      </c>
      <c r="AJ144" s="527"/>
      <c r="AK1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5-3'!$D$11:$Q319,AK$4,AK$5)"),"")</f>
        <v/>
      </c>
      <c r="AL144" s="527"/>
      <c r="AM1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5-3'!$D$11:$Q319,AM$4,AM$5)"),"")</f>
        <v/>
      </c>
      <c r="AN144" s="529"/>
      <c r="AO1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5-3'!$D$11:$Q319,AO$4,AO$5)"),"")</f>
        <v/>
      </c>
      <c r="AP144" s="527"/>
      <c r="AQ144" s="527"/>
      <c r="AR144" s="527"/>
      <c r="AS144" s="527"/>
      <c r="AT1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5-3'!$D$11:$Q319,AT$4,AT$5)"),"")</f>
        <v/>
      </c>
      <c r="AU144" s="531"/>
      <c r="AV1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5-3'!$D$11:$Q319,AV$4,AV$5)"),"")</f>
        <v/>
      </c>
      <c r="AW144" s="530"/>
      <c r="AX1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5-3'!$D$11:$Q319,AX$4,AX$5)"),"")</f>
        <v/>
      </c>
      <c r="AY144" s="530"/>
      <c r="AZ1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5-3'!$D$11:$Q319,AZ$4,AZ$5)"),"")</f>
        <v/>
      </c>
      <c r="BA144" s="530"/>
      <c r="BB1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5-3'!$D$11:$Q319,BB$4,BB$5)"),"")</f>
        <v/>
      </c>
      <c r="BC144" s="532"/>
      <c r="BD1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5-3'!$D$11:$Q319,BD$4,BD$5)"),"")</f>
        <v/>
      </c>
      <c r="BE144" s="530"/>
      <c r="BF144" s="530"/>
      <c r="BG144" s="530"/>
      <c r="BH144" s="530"/>
      <c r="BI1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5-3'!$D$11:$Q319,BI$4,BI$5)"),"")</f>
        <v/>
      </c>
      <c r="BJ144" s="535"/>
      <c r="BK1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5-3'!$D$11:$Q319,BK$4,BK$5)"),"")</f>
        <v/>
      </c>
      <c r="BL144" s="534"/>
      <c r="BM1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5-3'!$D$11:$Q319,BM$4,BM$5)"),"")</f>
        <v/>
      </c>
      <c r="BN144" s="534"/>
      <c r="BO1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5-3'!$D$11:$Q319,BO$4,BO$5)"),"")</f>
        <v/>
      </c>
      <c r="BP144" s="534"/>
      <c r="BQ1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5-3'!$D$11:$Q319,BQ$4,BQ$5)"),"")</f>
        <v/>
      </c>
      <c r="BR144" s="536"/>
      <c r="BS1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5-3'!$D$11:$Q319,BS$4,BS$5)"),"")</f>
        <v/>
      </c>
      <c r="BT144" s="534"/>
      <c r="BU144" s="534"/>
      <c r="BV144" s="534"/>
      <c r="BW144" s="534"/>
      <c r="BX1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5-3'!$D$11:$Q319,BX$4,BX$5)"),"")</f>
        <v/>
      </c>
      <c r="BY144" s="538"/>
      <c r="BZ1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5-3'!$D$11:$Q319,BZ$4,BZ$5)"),"")</f>
        <v/>
      </c>
      <c r="CA144" s="537"/>
      <c r="CB1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5-3'!$D$11:$Q319,CB$4,CB$5)"),"")</f>
        <v/>
      </c>
      <c r="CC144" s="537"/>
      <c r="CD1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5-3'!$D$11:$Q319,CD$4,CD$5)"),"")</f>
        <v/>
      </c>
      <c r="CE144" s="537"/>
      <c r="CF1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5-3'!$D$11:$Q319,CF$4,CF$5)"),"")</f>
        <v/>
      </c>
      <c r="CG144" s="539"/>
      <c r="CH1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5-3'!$D$11:$Q319,CH$4,CH$5)"),"")</f>
        <v/>
      </c>
      <c r="CI144" s="537"/>
      <c r="CJ144" s="537"/>
      <c r="CK144" s="537"/>
      <c r="CL144" s="537"/>
      <c r="CM1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5-3'!$D$11:$Q319,CM$4,CM$5)"),"")</f>
        <v/>
      </c>
      <c r="CN144" s="541"/>
      <c r="CO1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5-3'!$D$11:$Q319,CO$4,CO$5)"),"")</f>
        <v/>
      </c>
      <c r="CP144" s="540"/>
      <c r="CQ1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5-3'!$D$11:$Q319,CQ$4,CQ$5)"),"")</f>
        <v/>
      </c>
      <c r="CR144" s="540"/>
      <c r="CS1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5-3'!$D$11:$Q319,CS$4,CS$5)"),"")</f>
        <v/>
      </c>
      <c r="CT144" s="540"/>
      <c r="CU1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5-3'!$D$11:$Q319,CU$4,CU$5)"),"")</f>
        <v/>
      </c>
      <c r="CV144" s="545"/>
      <c r="CW1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5-3'!$D$11:$Q319,CW$4,CW$5)"),"")</f>
        <v/>
      </c>
      <c r="CX144" s="540"/>
      <c r="CY144" s="540"/>
      <c r="CZ144" s="540"/>
      <c r="DA144" s="540"/>
      <c r="DB1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5-3'!$D$11:$Q319,DB$4,DB$5)"),"")</f>
        <v/>
      </c>
      <c r="DC144" s="555"/>
      <c r="DD1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5-3'!$D$11:$Q319,DD$4,DD$5)"),"")</f>
        <v/>
      </c>
      <c r="DE144" s="554"/>
      <c r="DF1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5-3'!$D$11:$Q319,DF$4,DF$5)"),"")</f>
        <v/>
      </c>
      <c r="DG144" s="554"/>
      <c r="DH1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5-3'!$D$11:$Q319,DH$4,DH$5)"),"")</f>
        <v/>
      </c>
      <c r="DI144" s="554"/>
      <c r="DJ1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5-3'!$D$11:$Q319,DJ$4,DJ$5)"),"")</f>
        <v/>
      </c>
      <c r="DK144" s="566"/>
      <c r="DL1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5-3'!$D$11:$Q319,DL$4,DL$5)"),"")</f>
        <v/>
      </c>
      <c r="DM144" s="554"/>
      <c r="DN144" s="554"/>
      <c r="DO144" s="554"/>
      <c r="DP144" s="554"/>
      <c r="DQ1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5-3'!$D$11:$Q319,DQ$4,DQ$5)"),"")</f>
        <v/>
      </c>
      <c r="DR144" s="569"/>
      <c r="DS1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5-3'!$D$11:$Q319,DS$4,DS$5)"),"")</f>
        <v/>
      </c>
      <c r="DT144" s="568"/>
      <c r="DU1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5-3'!$D$11:$Q319,DU$4,DU$5)"),"")</f>
        <v/>
      </c>
      <c r="DV144" s="568"/>
      <c r="DW1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5-3'!$D$11:$Q319,DW$4,DW$5)"),"")</f>
        <v/>
      </c>
      <c r="DX144" s="568"/>
      <c r="DY1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5-3'!$D$11:$Q319,DY$4,DY$5)"),"")</f>
        <v/>
      </c>
      <c r="DZ144" s="578"/>
      <c r="EA1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$C144, 'S-10 Топ 5-3'!$D$11:$Q319,EA$4,EA$5)"),"")</f>
        <v/>
      </c>
      <c r="EB144" s="568"/>
      <c r="EC144" s="568"/>
      <c r="ED144" s="568"/>
      <c r="EE144" s="568"/>
    </row>
    <row r="145">
      <c r="A145" s="519" t="str">
        <f t="shared" si="1"/>
        <v/>
      </c>
      <c r="B145" s="520" t="str">
        <f>'5-0 Товары'!B145</f>
        <v/>
      </c>
      <c r="C145" s="521" t="str">
        <f>'5-1 Сбор КП Закупки'!C145</f>
        <v/>
      </c>
      <c r="D145" s="521" t="str">
        <f>'5-1 Сбор КП Закупки'!D145</f>
        <v/>
      </c>
      <c r="E145" s="521" t="str">
        <f>'5-1 Сбор КП Закупки'!E145</f>
        <v/>
      </c>
      <c r="F145" s="521" t="str">
        <f>'5-1 Сбор КП Закупки'!F145</f>
        <v/>
      </c>
      <c r="G145" s="522" t="str">
        <f>'5-1 Сбор КП Закупки'!G145</f>
        <v/>
      </c>
      <c r="H145" s="522" t="str">
        <f>'5-1 Сбор КП Закупки'!H145</f>
        <v/>
      </c>
      <c r="I145" s="522" t="str">
        <f>'5-1 Сбор КП Закупки'!I145</f>
        <v/>
      </c>
      <c r="J145" s="197"/>
      <c r="K145" s="522" t="str">
        <f>'5-1 Сбор КП Закупки'!G145</f>
        <v/>
      </c>
      <c r="L145" s="523" t="str">
        <f>IF(A145="Да",'5-1 Сбор КП Закупки'!K145,)</f>
        <v/>
      </c>
      <c r="M145" s="197"/>
      <c r="N145" s="197"/>
      <c r="O145" s="197"/>
      <c r="P145" s="525" t="str">
        <f>'5-1 Сбор КП Закупки'!P145</f>
        <v/>
      </c>
      <c r="Q145" s="197"/>
      <c r="R145" s="197"/>
      <c r="S145" s="197"/>
      <c r="T145" s="197"/>
      <c r="U145" s="197"/>
      <c r="V145" s="197"/>
      <c r="W145" s="522" t="str">
        <f>'5-1 Сбор КП Закупки'!O145</f>
        <v/>
      </c>
      <c r="X145" s="197"/>
      <c r="Y145" s="197"/>
      <c r="Z145" s="197"/>
      <c r="AA145" s="197"/>
      <c r="AB145" s="197">
        <v>0.0</v>
      </c>
      <c r="AC145" s="197"/>
      <c r="AD145" s="197"/>
      <c r="AE1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5-3'!$D$11:$Q319,AE$4,AE$5)"),"")</f>
        <v/>
      </c>
      <c r="AF145" s="528"/>
      <c r="AG1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5-3'!$D$11:$Q319,AG$4,AG$5)"),"")</f>
        <v/>
      </c>
      <c r="AH145" s="527"/>
      <c r="AI1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5-3'!$D$11:$Q319,AI$4,AI$5)"),"")</f>
        <v/>
      </c>
      <c r="AJ145" s="527"/>
      <c r="AK1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5-3'!$D$11:$Q319,AK$4,AK$5)"),"")</f>
        <v/>
      </c>
      <c r="AL145" s="527"/>
      <c r="AM1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5-3'!$D$11:$Q319,AM$4,AM$5)"),"")</f>
        <v/>
      </c>
      <c r="AN145" s="529"/>
      <c r="AO1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5-3'!$D$11:$Q319,AO$4,AO$5)"),"")</f>
        <v/>
      </c>
      <c r="AP145" s="527"/>
      <c r="AQ145" s="527"/>
      <c r="AR145" s="527"/>
      <c r="AS145" s="527"/>
      <c r="AT1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5-3'!$D$11:$Q319,AT$4,AT$5)"),"")</f>
        <v/>
      </c>
      <c r="AU145" s="531"/>
      <c r="AV1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5-3'!$D$11:$Q319,AV$4,AV$5)"),"")</f>
        <v/>
      </c>
      <c r="AW145" s="530"/>
      <c r="AX1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5-3'!$D$11:$Q319,AX$4,AX$5)"),"")</f>
        <v/>
      </c>
      <c r="AY145" s="530"/>
      <c r="AZ1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5-3'!$D$11:$Q319,AZ$4,AZ$5)"),"")</f>
        <v/>
      </c>
      <c r="BA145" s="530"/>
      <c r="BB1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5-3'!$D$11:$Q319,BB$4,BB$5)"),"")</f>
        <v/>
      </c>
      <c r="BC145" s="532"/>
      <c r="BD1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5-3'!$D$11:$Q319,BD$4,BD$5)"),"")</f>
        <v/>
      </c>
      <c r="BE145" s="530"/>
      <c r="BF145" s="530"/>
      <c r="BG145" s="530"/>
      <c r="BH145" s="530"/>
      <c r="BI1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5-3'!$D$11:$Q319,BI$4,BI$5)"),"")</f>
        <v/>
      </c>
      <c r="BJ145" s="535"/>
      <c r="BK1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5-3'!$D$11:$Q319,BK$4,BK$5)"),"")</f>
        <v/>
      </c>
      <c r="BL145" s="534"/>
      <c r="BM1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5-3'!$D$11:$Q319,BM$4,BM$5)"),"")</f>
        <v/>
      </c>
      <c r="BN145" s="534"/>
      <c r="BO1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5-3'!$D$11:$Q319,BO$4,BO$5)"),"")</f>
        <v/>
      </c>
      <c r="BP145" s="534"/>
      <c r="BQ1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5-3'!$D$11:$Q319,BQ$4,BQ$5)"),"")</f>
        <v/>
      </c>
      <c r="BR145" s="536"/>
      <c r="BS1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5-3'!$D$11:$Q319,BS$4,BS$5)"),"")</f>
        <v/>
      </c>
      <c r="BT145" s="534"/>
      <c r="BU145" s="534"/>
      <c r="BV145" s="534"/>
      <c r="BW145" s="534"/>
      <c r="BX1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5-3'!$D$11:$Q319,BX$4,BX$5)"),"")</f>
        <v/>
      </c>
      <c r="BY145" s="538"/>
      <c r="BZ1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5-3'!$D$11:$Q319,BZ$4,BZ$5)"),"")</f>
        <v/>
      </c>
      <c r="CA145" s="537"/>
      <c r="CB1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5-3'!$D$11:$Q319,CB$4,CB$5)"),"")</f>
        <v/>
      </c>
      <c r="CC145" s="537"/>
      <c r="CD1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5-3'!$D$11:$Q319,CD$4,CD$5)"),"")</f>
        <v/>
      </c>
      <c r="CE145" s="537"/>
      <c r="CF1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5-3'!$D$11:$Q319,CF$4,CF$5)"),"")</f>
        <v/>
      </c>
      <c r="CG145" s="539"/>
      <c r="CH1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5-3'!$D$11:$Q319,CH$4,CH$5)"),"")</f>
        <v/>
      </c>
      <c r="CI145" s="537"/>
      <c r="CJ145" s="537"/>
      <c r="CK145" s="537"/>
      <c r="CL145" s="537"/>
      <c r="CM1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5-3'!$D$11:$Q319,CM$4,CM$5)"),"")</f>
        <v/>
      </c>
      <c r="CN145" s="541"/>
      <c r="CO1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5-3'!$D$11:$Q319,CO$4,CO$5)"),"")</f>
        <v/>
      </c>
      <c r="CP145" s="540"/>
      <c r="CQ1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5-3'!$D$11:$Q319,CQ$4,CQ$5)"),"")</f>
        <v/>
      </c>
      <c r="CR145" s="540"/>
      <c r="CS1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5-3'!$D$11:$Q319,CS$4,CS$5)"),"")</f>
        <v/>
      </c>
      <c r="CT145" s="540"/>
      <c r="CU1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5-3'!$D$11:$Q319,CU$4,CU$5)"),"")</f>
        <v/>
      </c>
      <c r="CV145" s="545"/>
      <c r="CW1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5-3'!$D$11:$Q319,CW$4,CW$5)"),"")</f>
        <v/>
      </c>
      <c r="CX145" s="540"/>
      <c r="CY145" s="540"/>
      <c r="CZ145" s="540"/>
      <c r="DA145" s="540"/>
      <c r="DB1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5-3'!$D$11:$Q319,DB$4,DB$5)"),"")</f>
        <v/>
      </c>
      <c r="DC145" s="555"/>
      <c r="DD1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5-3'!$D$11:$Q319,DD$4,DD$5)"),"")</f>
        <v/>
      </c>
      <c r="DE145" s="554"/>
      <c r="DF1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5-3'!$D$11:$Q319,DF$4,DF$5)"),"")</f>
        <v/>
      </c>
      <c r="DG145" s="554"/>
      <c r="DH1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5-3'!$D$11:$Q319,DH$4,DH$5)"),"")</f>
        <v/>
      </c>
      <c r="DI145" s="554"/>
      <c r="DJ1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5-3'!$D$11:$Q319,DJ$4,DJ$5)"),"")</f>
        <v/>
      </c>
      <c r="DK145" s="566"/>
      <c r="DL1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5-3'!$D$11:$Q319,DL$4,DL$5)"),"")</f>
        <v/>
      </c>
      <c r="DM145" s="554"/>
      <c r="DN145" s="554"/>
      <c r="DO145" s="554"/>
      <c r="DP145" s="554"/>
      <c r="DQ1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5-3'!$D$11:$Q319,DQ$4,DQ$5)"),"")</f>
        <v/>
      </c>
      <c r="DR145" s="569"/>
      <c r="DS1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5-3'!$D$11:$Q319,DS$4,DS$5)"),"")</f>
        <v/>
      </c>
      <c r="DT145" s="568"/>
      <c r="DU1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5-3'!$D$11:$Q319,DU$4,DU$5)"),"")</f>
        <v/>
      </c>
      <c r="DV145" s="568"/>
      <c r="DW1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5-3'!$D$11:$Q319,DW$4,DW$5)"),"")</f>
        <v/>
      </c>
      <c r="DX145" s="568"/>
      <c r="DY1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5-3'!$D$11:$Q319,DY$4,DY$5)"),"")</f>
        <v/>
      </c>
      <c r="DZ145" s="578"/>
      <c r="EA1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$C145, 'S-10 Топ 5-3'!$D$11:$Q319,EA$4,EA$5)"),"")</f>
        <v/>
      </c>
      <c r="EB145" s="568"/>
      <c r="EC145" s="568"/>
      <c r="ED145" s="568"/>
      <c r="EE145" s="568"/>
    </row>
    <row r="146">
      <c r="A146" s="519" t="str">
        <f t="shared" si="1"/>
        <v/>
      </c>
      <c r="B146" s="520" t="str">
        <f>'5-0 Товары'!B146</f>
        <v/>
      </c>
      <c r="C146" s="521" t="str">
        <f>'5-1 Сбор КП Закупки'!C146</f>
        <v/>
      </c>
      <c r="D146" s="521" t="str">
        <f>'5-1 Сбор КП Закупки'!D146</f>
        <v/>
      </c>
      <c r="E146" s="521" t="str">
        <f>'5-1 Сбор КП Закупки'!E146</f>
        <v/>
      </c>
      <c r="F146" s="521" t="str">
        <f>'5-1 Сбор КП Закупки'!F146</f>
        <v/>
      </c>
      <c r="G146" s="522" t="str">
        <f>'5-1 Сбор КП Закупки'!G146</f>
        <v/>
      </c>
      <c r="H146" s="522" t="str">
        <f>'5-1 Сбор КП Закупки'!H146</f>
        <v/>
      </c>
      <c r="I146" s="522" t="str">
        <f>'5-1 Сбор КП Закупки'!I146</f>
        <v/>
      </c>
      <c r="J146" s="197"/>
      <c r="K146" s="522" t="str">
        <f>'5-1 Сбор КП Закупки'!G146</f>
        <v/>
      </c>
      <c r="L146" s="523" t="str">
        <f>IF(A146="Да",'5-1 Сбор КП Закупки'!K146,)</f>
        <v/>
      </c>
      <c r="M146" s="197"/>
      <c r="N146" s="197"/>
      <c r="O146" s="197"/>
      <c r="P146" s="525" t="str">
        <f>'5-1 Сбор КП Закупки'!P146</f>
        <v/>
      </c>
      <c r="Q146" s="197"/>
      <c r="R146" s="197"/>
      <c r="S146" s="197"/>
      <c r="T146" s="197"/>
      <c r="U146" s="197"/>
      <c r="V146" s="197"/>
      <c r="W146" s="522" t="str">
        <f>'5-1 Сбор КП Закупки'!O146</f>
        <v/>
      </c>
      <c r="X146" s="197"/>
      <c r="Y146" s="197"/>
      <c r="Z146" s="197"/>
      <c r="AA146" s="197"/>
      <c r="AB146" s="197">
        <v>0.0</v>
      </c>
      <c r="AC146" s="197"/>
      <c r="AD146" s="197"/>
      <c r="AE1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5-3'!$D$11:$Q319,AE$4,AE$5)"),"")</f>
        <v/>
      </c>
      <c r="AF146" s="528"/>
      <c r="AG1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5-3'!$D$11:$Q319,AG$4,AG$5)"),"")</f>
        <v/>
      </c>
      <c r="AH146" s="527"/>
      <c r="AI1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5-3'!$D$11:$Q319,AI$4,AI$5)"),"")</f>
        <v/>
      </c>
      <c r="AJ146" s="527"/>
      <c r="AK1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5-3'!$D$11:$Q319,AK$4,AK$5)"),"")</f>
        <v/>
      </c>
      <c r="AL146" s="527"/>
      <c r="AM1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5-3'!$D$11:$Q319,AM$4,AM$5)"),"")</f>
        <v/>
      </c>
      <c r="AN146" s="529"/>
      <c r="AO1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5-3'!$D$11:$Q319,AO$4,AO$5)"),"")</f>
        <v/>
      </c>
      <c r="AP146" s="527"/>
      <c r="AQ146" s="527"/>
      <c r="AR146" s="527"/>
      <c r="AS146" s="527"/>
      <c r="AT1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5-3'!$D$11:$Q319,AT$4,AT$5)"),"")</f>
        <v/>
      </c>
      <c r="AU146" s="531"/>
      <c r="AV1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5-3'!$D$11:$Q319,AV$4,AV$5)"),"")</f>
        <v/>
      </c>
      <c r="AW146" s="530"/>
      <c r="AX1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5-3'!$D$11:$Q319,AX$4,AX$5)"),"")</f>
        <v/>
      </c>
      <c r="AY146" s="530"/>
      <c r="AZ1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5-3'!$D$11:$Q319,AZ$4,AZ$5)"),"")</f>
        <v/>
      </c>
      <c r="BA146" s="530"/>
      <c r="BB1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5-3'!$D$11:$Q319,BB$4,BB$5)"),"")</f>
        <v/>
      </c>
      <c r="BC146" s="532"/>
      <c r="BD1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5-3'!$D$11:$Q319,BD$4,BD$5)"),"")</f>
        <v/>
      </c>
      <c r="BE146" s="530"/>
      <c r="BF146" s="530"/>
      <c r="BG146" s="530"/>
      <c r="BH146" s="530"/>
      <c r="BI1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5-3'!$D$11:$Q319,BI$4,BI$5)"),"")</f>
        <v/>
      </c>
      <c r="BJ146" s="535"/>
      <c r="BK1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5-3'!$D$11:$Q319,BK$4,BK$5)"),"")</f>
        <v/>
      </c>
      <c r="BL146" s="534"/>
      <c r="BM1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5-3'!$D$11:$Q319,BM$4,BM$5)"),"")</f>
        <v/>
      </c>
      <c r="BN146" s="534"/>
      <c r="BO1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5-3'!$D$11:$Q319,BO$4,BO$5)"),"")</f>
        <v/>
      </c>
      <c r="BP146" s="534"/>
      <c r="BQ1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5-3'!$D$11:$Q319,BQ$4,BQ$5)"),"")</f>
        <v/>
      </c>
      <c r="BR146" s="536"/>
      <c r="BS1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5-3'!$D$11:$Q319,BS$4,BS$5)"),"")</f>
        <v/>
      </c>
      <c r="BT146" s="534"/>
      <c r="BU146" s="534"/>
      <c r="BV146" s="534"/>
      <c r="BW146" s="534"/>
      <c r="BX1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5-3'!$D$11:$Q319,BX$4,BX$5)"),"")</f>
        <v/>
      </c>
      <c r="BY146" s="538"/>
      <c r="BZ1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5-3'!$D$11:$Q319,BZ$4,BZ$5)"),"")</f>
        <v/>
      </c>
      <c r="CA146" s="537"/>
      <c r="CB1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5-3'!$D$11:$Q319,CB$4,CB$5)"),"")</f>
        <v/>
      </c>
      <c r="CC146" s="537"/>
      <c r="CD1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5-3'!$D$11:$Q319,CD$4,CD$5)"),"")</f>
        <v/>
      </c>
      <c r="CE146" s="537"/>
      <c r="CF1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5-3'!$D$11:$Q319,CF$4,CF$5)"),"")</f>
        <v/>
      </c>
      <c r="CG146" s="539"/>
      <c r="CH1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5-3'!$D$11:$Q319,CH$4,CH$5)"),"")</f>
        <v/>
      </c>
      <c r="CI146" s="537"/>
      <c r="CJ146" s="537"/>
      <c r="CK146" s="537"/>
      <c r="CL146" s="537"/>
      <c r="CM1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5-3'!$D$11:$Q319,CM$4,CM$5)"),"")</f>
        <v/>
      </c>
      <c r="CN146" s="541"/>
      <c r="CO1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5-3'!$D$11:$Q319,CO$4,CO$5)"),"")</f>
        <v/>
      </c>
      <c r="CP146" s="540"/>
      <c r="CQ1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5-3'!$D$11:$Q319,CQ$4,CQ$5)"),"")</f>
        <v/>
      </c>
      <c r="CR146" s="540"/>
      <c r="CS1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5-3'!$D$11:$Q319,CS$4,CS$5)"),"")</f>
        <v/>
      </c>
      <c r="CT146" s="540"/>
      <c r="CU1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5-3'!$D$11:$Q319,CU$4,CU$5)"),"")</f>
        <v/>
      </c>
      <c r="CV146" s="545"/>
      <c r="CW1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5-3'!$D$11:$Q319,CW$4,CW$5)"),"")</f>
        <v/>
      </c>
      <c r="CX146" s="540"/>
      <c r="CY146" s="540"/>
      <c r="CZ146" s="540"/>
      <c r="DA146" s="540"/>
      <c r="DB1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5-3'!$D$11:$Q319,DB$4,DB$5)"),"")</f>
        <v/>
      </c>
      <c r="DC146" s="555"/>
      <c r="DD1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5-3'!$D$11:$Q319,DD$4,DD$5)"),"")</f>
        <v/>
      </c>
      <c r="DE146" s="554"/>
      <c r="DF1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5-3'!$D$11:$Q319,DF$4,DF$5)"),"")</f>
        <v/>
      </c>
      <c r="DG146" s="554"/>
      <c r="DH1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5-3'!$D$11:$Q319,DH$4,DH$5)"),"")</f>
        <v/>
      </c>
      <c r="DI146" s="554"/>
      <c r="DJ1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5-3'!$D$11:$Q319,DJ$4,DJ$5)"),"")</f>
        <v/>
      </c>
      <c r="DK146" s="566"/>
      <c r="DL1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5-3'!$D$11:$Q319,DL$4,DL$5)"),"")</f>
        <v/>
      </c>
      <c r="DM146" s="554"/>
      <c r="DN146" s="554"/>
      <c r="DO146" s="554"/>
      <c r="DP146" s="554"/>
      <c r="DQ1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5-3'!$D$11:$Q319,DQ$4,DQ$5)"),"")</f>
        <v/>
      </c>
      <c r="DR146" s="569"/>
      <c r="DS1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5-3'!$D$11:$Q319,DS$4,DS$5)"),"")</f>
        <v/>
      </c>
      <c r="DT146" s="568"/>
      <c r="DU1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5-3'!$D$11:$Q319,DU$4,DU$5)"),"")</f>
        <v/>
      </c>
      <c r="DV146" s="568"/>
      <c r="DW1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5-3'!$D$11:$Q319,DW$4,DW$5)"),"")</f>
        <v/>
      </c>
      <c r="DX146" s="568"/>
      <c r="DY1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5-3'!$D$11:$Q319,DY$4,DY$5)"),"")</f>
        <v/>
      </c>
      <c r="DZ146" s="578"/>
      <c r="EA1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$C146, 'S-10 Топ 5-3'!$D$11:$Q319,EA$4,EA$5)"),"")</f>
        <v/>
      </c>
      <c r="EB146" s="568"/>
      <c r="EC146" s="568"/>
      <c r="ED146" s="568"/>
      <c r="EE146" s="568"/>
    </row>
    <row r="147">
      <c r="A147" s="519" t="str">
        <f t="shared" si="1"/>
        <v/>
      </c>
      <c r="B147" s="520" t="str">
        <f>'5-0 Товары'!B147</f>
        <v/>
      </c>
      <c r="C147" s="521" t="str">
        <f>'5-1 Сбор КП Закупки'!C147</f>
        <v/>
      </c>
      <c r="D147" s="521" t="str">
        <f>'5-1 Сбор КП Закупки'!D147</f>
        <v/>
      </c>
      <c r="E147" s="521" t="str">
        <f>'5-1 Сбор КП Закупки'!E147</f>
        <v/>
      </c>
      <c r="F147" s="521" t="str">
        <f>'5-1 Сбор КП Закупки'!F147</f>
        <v/>
      </c>
      <c r="G147" s="522" t="str">
        <f>'5-1 Сбор КП Закупки'!G147</f>
        <v/>
      </c>
      <c r="H147" s="522" t="str">
        <f>'5-1 Сбор КП Закупки'!H147</f>
        <v/>
      </c>
      <c r="I147" s="522" t="str">
        <f>'5-1 Сбор КП Закупки'!I147</f>
        <v/>
      </c>
      <c r="J147" s="197"/>
      <c r="K147" s="522" t="str">
        <f>'5-1 Сбор КП Закупки'!G147</f>
        <v/>
      </c>
      <c r="L147" s="523" t="str">
        <f>IF(A147="Да",'5-1 Сбор КП Закупки'!K147,)</f>
        <v/>
      </c>
      <c r="M147" s="197"/>
      <c r="N147" s="197"/>
      <c r="O147" s="197"/>
      <c r="P147" s="525" t="str">
        <f>'5-1 Сбор КП Закупки'!P147</f>
        <v/>
      </c>
      <c r="Q147" s="197"/>
      <c r="R147" s="197"/>
      <c r="S147" s="197"/>
      <c r="T147" s="197"/>
      <c r="U147" s="197"/>
      <c r="V147" s="197"/>
      <c r="W147" s="522" t="str">
        <f>'5-1 Сбор КП Закупки'!O147</f>
        <v/>
      </c>
      <c r="X147" s="197"/>
      <c r="Y147" s="197"/>
      <c r="Z147" s="197"/>
      <c r="AA147" s="197"/>
      <c r="AB147" s="197">
        <v>0.0</v>
      </c>
      <c r="AC147" s="197"/>
      <c r="AD147" s="197"/>
      <c r="AE1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5-3'!$D$11:$Q319,AE$4,AE$5)"),"")</f>
        <v/>
      </c>
      <c r="AF147" s="528"/>
      <c r="AG1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5-3'!$D$11:$Q319,AG$4,AG$5)"),"")</f>
        <v/>
      </c>
      <c r="AH147" s="527"/>
      <c r="AI1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5-3'!$D$11:$Q319,AI$4,AI$5)"),"")</f>
        <v/>
      </c>
      <c r="AJ147" s="527"/>
      <c r="AK1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5-3'!$D$11:$Q319,AK$4,AK$5)"),"")</f>
        <v/>
      </c>
      <c r="AL147" s="527"/>
      <c r="AM1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5-3'!$D$11:$Q319,AM$4,AM$5)"),"")</f>
        <v/>
      </c>
      <c r="AN147" s="529"/>
      <c r="AO1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5-3'!$D$11:$Q319,AO$4,AO$5)"),"")</f>
        <v/>
      </c>
      <c r="AP147" s="527"/>
      <c r="AQ147" s="527"/>
      <c r="AR147" s="527"/>
      <c r="AS147" s="527"/>
      <c r="AT1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5-3'!$D$11:$Q319,AT$4,AT$5)"),"")</f>
        <v/>
      </c>
      <c r="AU147" s="531"/>
      <c r="AV1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5-3'!$D$11:$Q319,AV$4,AV$5)"),"")</f>
        <v/>
      </c>
      <c r="AW147" s="530"/>
      <c r="AX1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5-3'!$D$11:$Q319,AX$4,AX$5)"),"")</f>
        <v/>
      </c>
      <c r="AY147" s="530"/>
      <c r="AZ1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5-3'!$D$11:$Q319,AZ$4,AZ$5)"),"")</f>
        <v/>
      </c>
      <c r="BA147" s="530"/>
      <c r="BB1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5-3'!$D$11:$Q319,BB$4,BB$5)"),"")</f>
        <v/>
      </c>
      <c r="BC147" s="532"/>
      <c r="BD1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5-3'!$D$11:$Q319,BD$4,BD$5)"),"")</f>
        <v/>
      </c>
      <c r="BE147" s="530"/>
      <c r="BF147" s="530"/>
      <c r="BG147" s="530"/>
      <c r="BH147" s="530"/>
      <c r="BI1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5-3'!$D$11:$Q319,BI$4,BI$5)"),"")</f>
        <v/>
      </c>
      <c r="BJ147" s="535"/>
      <c r="BK1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5-3'!$D$11:$Q319,BK$4,BK$5)"),"")</f>
        <v/>
      </c>
      <c r="BL147" s="534"/>
      <c r="BM1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5-3'!$D$11:$Q319,BM$4,BM$5)"),"")</f>
        <v/>
      </c>
      <c r="BN147" s="534"/>
      <c r="BO1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5-3'!$D$11:$Q319,BO$4,BO$5)"),"")</f>
        <v/>
      </c>
      <c r="BP147" s="534"/>
      <c r="BQ1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5-3'!$D$11:$Q319,BQ$4,BQ$5)"),"")</f>
        <v/>
      </c>
      <c r="BR147" s="536"/>
      <c r="BS1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5-3'!$D$11:$Q319,BS$4,BS$5)"),"")</f>
        <v/>
      </c>
      <c r="BT147" s="534"/>
      <c r="BU147" s="534"/>
      <c r="BV147" s="534"/>
      <c r="BW147" s="534"/>
      <c r="BX1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5-3'!$D$11:$Q319,BX$4,BX$5)"),"")</f>
        <v/>
      </c>
      <c r="BY147" s="538"/>
      <c r="BZ1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5-3'!$D$11:$Q319,BZ$4,BZ$5)"),"")</f>
        <v/>
      </c>
      <c r="CA147" s="537"/>
      <c r="CB1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5-3'!$D$11:$Q319,CB$4,CB$5)"),"")</f>
        <v/>
      </c>
      <c r="CC147" s="537"/>
      <c r="CD1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5-3'!$D$11:$Q319,CD$4,CD$5)"),"")</f>
        <v/>
      </c>
      <c r="CE147" s="537"/>
      <c r="CF1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5-3'!$D$11:$Q319,CF$4,CF$5)"),"")</f>
        <v/>
      </c>
      <c r="CG147" s="539"/>
      <c r="CH1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5-3'!$D$11:$Q319,CH$4,CH$5)"),"")</f>
        <v/>
      </c>
      <c r="CI147" s="537"/>
      <c r="CJ147" s="537"/>
      <c r="CK147" s="537"/>
      <c r="CL147" s="537"/>
      <c r="CM1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5-3'!$D$11:$Q319,CM$4,CM$5)"),"")</f>
        <v/>
      </c>
      <c r="CN147" s="541"/>
      <c r="CO1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5-3'!$D$11:$Q319,CO$4,CO$5)"),"")</f>
        <v/>
      </c>
      <c r="CP147" s="540"/>
      <c r="CQ1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5-3'!$D$11:$Q319,CQ$4,CQ$5)"),"")</f>
        <v/>
      </c>
      <c r="CR147" s="540"/>
      <c r="CS1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5-3'!$D$11:$Q319,CS$4,CS$5)"),"")</f>
        <v/>
      </c>
      <c r="CT147" s="540"/>
      <c r="CU1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5-3'!$D$11:$Q319,CU$4,CU$5)"),"")</f>
        <v/>
      </c>
      <c r="CV147" s="545"/>
      <c r="CW1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5-3'!$D$11:$Q319,CW$4,CW$5)"),"")</f>
        <v/>
      </c>
      <c r="CX147" s="540"/>
      <c r="CY147" s="540"/>
      <c r="CZ147" s="540"/>
      <c r="DA147" s="540"/>
      <c r="DB1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5-3'!$D$11:$Q319,DB$4,DB$5)"),"")</f>
        <v/>
      </c>
      <c r="DC147" s="555"/>
      <c r="DD1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5-3'!$D$11:$Q319,DD$4,DD$5)"),"")</f>
        <v/>
      </c>
      <c r="DE147" s="554"/>
      <c r="DF1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5-3'!$D$11:$Q319,DF$4,DF$5)"),"")</f>
        <v/>
      </c>
      <c r="DG147" s="554"/>
      <c r="DH1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5-3'!$D$11:$Q319,DH$4,DH$5)"),"")</f>
        <v/>
      </c>
      <c r="DI147" s="554"/>
      <c r="DJ1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5-3'!$D$11:$Q319,DJ$4,DJ$5)"),"")</f>
        <v/>
      </c>
      <c r="DK147" s="566"/>
      <c r="DL1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5-3'!$D$11:$Q319,DL$4,DL$5)"),"")</f>
        <v/>
      </c>
      <c r="DM147" s="554"/>
      <c r="DN147" s="554"/>
      <c r="DO147" s="554"/>
      <c r="DP147" s="554"/>
      <c r="DQ1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5-3'!$D$11:$Q319,DQ$4,DQ$5)"),"")</f>
        <v/>
      </c>
      <c r="DR147" s="569"/>
      <c r="DS1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5-3'!$D$11:$Q319,DS$4,DS$5)"),"")</f>
        <v/>
      </c>
      <c r="DT147" s="568"/>
      <c r="DU1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5-3'!$D$11:$Q319,DU$4,DU$5)"),"")</f>
        <v/>
      </c>
      <c r="DV147" s="568"/>
      <c r="DW1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5-3'!$D$11:$Q319,DW$4,DW$5)"),"")</f>
        <v/>
      </c>
      <c r="DX147" s="568"/>
      <c r="DY1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5-3'!$D$11:$Q319,DY$4,DY$5)"),"")</f>
        <v/>
      </c>
      <c r="DZ147" s="578"/>
      <c r="EA1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$C147, 'S-10 Топ 5-3'!$D$11:$Q319,EA$4,EA$5)"),"")</f>
        <v/>
      </c>
      <c r="EB147" s="568"/>
      <c r="EC147" s="568"/>
      <c r="ED147" s="568"/>
      <c r="EE147" s="568"/>
    </row>
    <row r="148">
      <c r="A148" s="519" t="str">
        <f t="shared" si="1"/>
        <v/>
      </c>
      <c r="B148" s="520" t="str">
        <f>'5-0 Товары'!B148</f>
        <v/>
      </c>
      <c r="C148" s="521" t="str">
        <f>'5-1 Сбор КП Закупки'!C148</f>
        <v/>
      </c>
      <c r="D148" s="521" t="str">
        <f>'5-1 Сбор КП Закупки'!D148</f>
        <v/>
      </c>
      <c r="E148" s="521" t="str">
        <f>'5-1 Сбор КП Закупки'!E148</f>
        <v/>
      </c>
      <c r="F148" s="521" t="str">
        <f>'5-1 Сбор КП Закупки'!F148</f>
        <v/>
      </c>
      <c r="G148" s="522" t="str">
        <f>'5-1 Сбор КП Закупки'!G148</f>
        <v/>
      </c>
      <c r="H148" s="522" t="str">
        <f>'5-1 Сбор КП Закупки'!H148</f>
        <v/>
      </c>
      <c r="I148" s="522" t="str">
        <f>'5-1 Сбор КП Закупки'!I148</f>
        <v/>
      </c>
      <c r="J148" s="197"/>
      <c r="K148" s="522" t="str">
        <f>'5-1 Сбор КП Закупки'!G148</f>
        <v/>
      </c>
      <c r="L148" s="523" t="str">
        <f>IF(A148="Да",'5-1 Сбор КП Закупки'!K148,)</f>
        <v/>
      </c>
      <c r="M148" s="197"/>
      <c r="N148" s="197"/>
      <c r="O148" s="197"/>
      <c r="P148" s="525" t="str">
        <f>'5-1 Сбор КП Закупки'!P148</f>
        <v/>
      </c>
      <c r="Q148" s="197"/>
      <c r="R148" s="197"/>
      <c r="S148" s="197"/>
      <c r="T148" s="197"/>
      <c r="U148" s="197"/>
      <c r="V148" s="197"/>
      <c r="W148" s="522" t="str">
        <f>'5-1 Сбор КП Закупки'!O148</f>
        <v/>
      </c>
      <c r="X148" s="197"/>
      <c r="Y148" s="197"/>
      <c r="Z148" s="197"/>
      <c r="AA148" s="197"/>
      <c r="AB148" s="197">
        <v>0.0</v>
      </c>
      <c r="AC148" s="197"/>
      <c r="AD148" s="197"/>
      <c r="AE1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5-3'!$D$11:$Q319,AE$4,AE$5)"),"")</f>
        <v/>
      </c>
      <c r="AF148" s="528"/>
      <c r="AG1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5-3'!$D$11:$Q319,AG$4,AG$5)"),"")</f>
        <v/>
      </c>
      <c r="AH148" s="527"/>
      <c r="AI1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5-3'!$D$11:$Q319,AI$4,AI$5)"),"")</f>
        <v/>
      </c>
      <c r="AJ148" s="527"/>
      <c r="AK1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5-3'!$D$11:$Q319,AK$4,AK$5)"),"")</f>
        <v/>
      </c>
      <c r="AL148" s="527"/>
      <c r="AM1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5-3'!$D$11:$Q319,AM$4,AM$5)"),"")</f>
        <v/>
      </c>
      <c r="AN148" s="529"/>
      <c r="AO1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5-3'!$D$11:$Q319,AO$4,AO$5)"),"")</f>
        <v/>
      </c>
      <c r="AP148" s="527"/>
      <c r="AQ148" s="527"/>
      <c r="AR148" s="527"/>
      <c r="AS148" s="527"/>
      <c r="AT1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5-3'!$D$11:$Q319,AT$4,AT$5)"),"")</f>
        <v/>
      </c>
      <c r="AU148" s="531"/>
      <c r="AV1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5-3'!$D$11:$Q319,AV$4,AV$5)"),"")</f>
        <v/>
      </c>
      <c r="AW148" s="530"/>
      <c r="AX1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5-3'!$D$11:$Q319,AX$4,AX$5)"),"")</f>
        <v/>
      </c>
      <c r="AY148" s="530"/>
      <c r="AZ1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5-3'!$D$11:$Q319,AZ$4,AZ$5)"),"")</f>
        <v/>
      </c>
      <c r="BA148" s="530"/>
      <c r="BB1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5-3'!$D$11:$Q319,BB$4,BB$5)"),"")</f>
        <v/>
      </c>
      <c r="BC148" s="532"/>
      <c r="BD1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5-3'!$D$11:$Q319,BD$4,BD$5)"),"")</f>
        <v/>
      </c>
      <c r="BE148" s="530"/>
      <c r="BF148" s="530"/>
      <c r="BG148" s="530"/>
      <c r="BH148" s="530"/>
      <c r="BI1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5-3'!$D$11:$Q319,BI$4,BI$5)"),"")</f>
        <v/>
      </c>
      <c r="BJ148" s="535"/>
      <c r="BK1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5-3'!$D$11:$Q319,BK$4,BK$5)"),"")</f>
        <v/>
      </c>
      <c r="BL148" s="534"/>
      <c r="BM1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5-3'!$D$11:$Q319,BM$4,BM$5)"),"")</f>
        <v/>
      </c>
      <c r="BN148" s="534"/>
      <c r="BO1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5-3'!$D$11:$Q319,BO$4,BO$5)"),"")</f>
        <v/>
      </c>
      <c r="BP148" s="534"/>
      <c r="BQ1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5-3'!$D$11:$Q319,BQ$4,BQ$5)"),"")</f>
        <v/>
      </c>
      <c r="BR148" s="536"/>
      <c r="BS1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5-3'!$D$11:$Q319,BS$4,BS$5)"),"")</f>
        <v/>
      </c>
      <c r="BT148" s="534"/>
      <c r="BU148" s="534"/>
      <c r="BV148" s="534"/>
      <c r="BW148" s="534"/>
      <c r="BX1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5-3'!$D$11:$Q319,BX$4,BX$5)"),"")</f>
        <v/>
      </c>
      <c r="BY148" s="538"/>
      <c r="BZ1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5-3'!$D$11:$Q319,BZ$4,BZ$5)"),"")</f>
        <v/>
      </c>
      <c r="CA148" s="537"/>
      <c r="CB1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5-3'!$D$11:$Q319,CB$4,CB$5)"),"")</f>
        <v/>
      </c>
      <c r="CC148" s="537"/>
      <c r="CD1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5-3'!$D$11:$Q319,CD$4,CD$5)"),"")</f>
        <v/>
      </c>
      <c r="CE148" s="537"/>
      <c r="CF1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5-3'!$D$11:$Q319,CF$4,CF$5)"),"")</f>
        <v/>
      </c>
      <c r="CG148" s="539"/>
      <c r="CH1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5-3'!$D$11:$Q319,CH$4,CH$5)"),"")</f>
        <v/>
      </c>
      <c r="CI148" s="537"/>
      <c r="CJ148" s="537"/>
      <c r="CK148" s="537"/>
      <c r="CL148" s="537"/>
      <c r="CM1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5-3'!$D$11:$Q319,CM$4,CM$5)"),"")</f>
        <v/>
      </c>
      <c r="CN148" s="541"/>
      <c r="CO1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5-3'!$D$11:$Q319,CO$4,CO$5)"),"")</f>
        <v/>
      </c>
      <c r="CP148" s="540"/>
      <c r="CQ1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5-3'!$D$11:$Q319,CQ$4,CQ$5)"),"")</f>
        <v/>
      </c>
      <c r="CR148" s="540"/>
      <c r="CS1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5-3'!$D$11:$Q319,CS$4,CS$5)"),"")</f>
        <v/>
      </c>
      <c r="CT148" s="540"/>
      <c r="CU1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5-3'!$D$11:$Q319,CU$4,CU$5)"),"")</f>
        <v/>
      </c>
      <c r="CV148" s="545"/>
      <c r="CW1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5-3'!$D$11:$Q319,CW$4,CW$5)"),"")</f>
        <v/>
      </c>
      <c r="CX148" s="540"/>
      <c r="CY148" s="540"/>
      <c r="CZ148" s="540"/>
      <c r="DA148" s="540"/>
      <c r="DB1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5-3'!$D$11:$Q319,DB$4,DB$5)"),"")</f>
        <v/>
      </c>
      <c r="DC148" s="555"/>
      <c r="DD1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5-3'!$D$11:$Q319,DD$4,DD$5)"),"")</f>
        <v/>
      </c>
      <c r="DE148" s="554"/>
      <c r="DF1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5-3'!$D$11:$Q319,DF$4,DF$5)"),"")</f>
        <v/>
      </c>
      <c r="DG148" s="554"/>
      <c r="DH1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5-3'!$D$11:$Q319,DH$4,DH$5)"),"")</f>
        <v/>
      </c>
      <c r="DI148" s="554"/>
      <c r="DJ1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5-3'!$D$11:$Q319,DJ$4,DJ$5)"),"")</f>
        <v/>
      </c>
      <c r="DK148" s="566"/>
      <c r="DL1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5-3'!$D$11:$Q319,DL$4,DL$5)"),"")</f>
        <v/>
      </c>
      <c r="DM148" s="554"/>
      <c r="DN148" s="554"/>
      <c r="DO148" s="554"/>
      <c r="DP148" s="554"/>
      <c r="DQ1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5-3'!$D$11:$Q319,DQ$4,DQ$5)"),"")</f>
        <v/>
      </c>
      <c r="DR148" s="569"/>
      <c r="DS1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5-3'!$D$11:$Q319,DS$4,DS$5)"),"")</f>
        <v/>
      </c>
      <c r="DT148" s="568"/>
      <c r="DU1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5-3'!$D$11:$Q319,DU$4,DU$5)"),"")</f>
        <v/>
      </c>
      <c r="DV148" s="568"/>
      <c r="DW1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5-3'!$D$11:$Q319,DW$4,DW$5)"),"")</f>
        <v/>
      </c>
      <c r="DX148" s="568"/>
      <c r="DY1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5-3'!$D$11:$Q319,DY$4,DY$5)"),"")</f>
        <v/>
      </c>
      <c r="DZ148" s="578"/>
      <c r="EA1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$C148, 'S-10 Топ 5-3'!$D$11:$Q319,EA$4,EA$5)"),"")</f>
        <v/>
      </c>
      <c r="EB148" s="568"/>
      <c r="EC148" s="568"/>
      <c r="ED148" s="568"/>
      <c r="EE148" s="568"/>
    </row>
    <row r="149">
      <c r="A149" s="519" t="str">
        <f t="shared" si="1"/>
        <v/>
      </c>
      <c r="B149" s="520" t="str">
        <f>'5-0 Товары'!B149</f>
        <v/>
      </c>
      <c r="C149" s="521" t="str">
        <f>'5-1 Сбор КП Закупки'!C149</f>
        <v/>
      </c>
      <c r="D149" s="521" t="str">
        <f>'5-1 Сбор КП Закупки'!D149</f>
        <v/>
      </c>
      <c r="E149" s="521" t="str">
        <f>'5-1 Сбор КП Закупки'!E149</f>
        <v/>
      </c>
      <c r="F149" s="521" t="str">
        <f>'5-1 Сбор КП Закупки'!F149</f>
        <v/>
      </c>
      <c r="G149" s="522" t="str">
        <f>'5-1 Сбор КП Закупки'!G149</f>
        <v/>
      </c>
      <c r="H149" s="522" t="str">
        <f>'5-1 Сбор КП Закупки'!H149</f>
        <v/>
      </c>
      <c r="I149" s="522" t="str">
        <f>'5-1 Сбор КП Закупки'!I149</f>
        <v/>
      </c>
      <c r="J149" s="197"/>
      <c r="K149" s="522" t="str">
        <f>'5-1 Сбор КП Закупки'!G149</f>
        <v/>
      </c>
      <c r="L149" s="523" t="str">
        <f>IF(A149="Да",'5-1 Сбор КП Закупки'!K149,)</f>
        <v/>
      </c>
      <c r="M149" s="197"/>
      <c r="N149" s="197"/>
      <c r="O149" s="197"/>
      <c r="P149" s="525" t="str">
        <f>'5-1 Сбор КП Закупки'!P149</f>
        <v/>
      </c>
      <c r="Q149" s="197"/>
      <c r="R149" s="197"/>
      <c r="S149" s="197"/>
      <c r="T149" s="197"/>
      <c r="U149" s="197"/>
      <c r="V149" s="197"/>
      <c r="W149" s="522" t="str">
        <f>'5-1 Сбор КП Закупки'!O149</f>
        <v/>
      </c>
      <c r="X149" s="197"/>
      <c r="Y149" s="197"/>
      <c r="Z149" s="197"/>
      <c r="AA149" s="197"/>
      <c r="AB149" s="197">
        <v>0.0</v>
      </c>
      <c r="AC149" s="197"/>
      <c r="AD149" s="197"/>
      <c r="AE1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5-3'!$D$11:$Q319,AE$4,AE$5)"),"")</f>
        <v/>
      </c>
      <c r="AF149" s="528"/>
      <c r="AG1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5-3'!$D$11:$Q319,AG$4,AG$5)"),"")</f>
        <v/>
      </c>
      <c r="AH149" s="527"/>
      <c r="AI1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5-3'!$D$11:$Q319,AI$4,AI$5)"),"")</f>
        <v/>
      </c>
      <c r="AJ149" s="527"/>
      <c r="AK1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5-3'!$D$11:$Q319,AK$4,AK$5)"),"")</f>
        <v/>
      </c>
      <c r="AL149" s="527"/>
      <c r="AM1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5-3'!$D$11:$Q319,AM$4,AM$5)"),"")</f>
        <v/>
      </c>
      <c r="AN149" s="529"/>
      <c r="AO1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5-3'!$D$11:$Q319,AO$4,AO$5)"),"")</f>
        <v/>
      </c>
      <c r="AP149" s="527"/>
      <c r="AQ149" s="527"/>
      <c r="AR149" s="527"/>
      <c r="AS149" s="527"/>
      <c r="AT1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5-3'!$D$11:$Q319,AT$4,AT$5)"),"")</f>
        <v/>
      </c>
      <c r="AU149" s="531"/>
      <c r="AV1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5-3'!$D$11:$Q319,AV$4,AV$5)"),"")</f>
        <v/>
      </c>
      <c r="AW149" s="530"/>
      <c r="AX1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5-3'!$D$11:$Q319,AX$4,AX$5)"),"")</f>
        <v/>
      </c>
      <c r="AY149" s="530"/>
      <c r="AZ1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5-3'!$D$11:$Q319,AZ$4,AZ$5)"),"")</f>
        <v/>
      </c>
      <c r="BA149" s="530"/>
      <c r="BB1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5-3'!$D$11:$Q319,BB$4,BB$5)"),"")</f>
        <v/>
      </c>
      <c r="BC149" s="532"/>
      <c r="BD1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5-3'!$D$11:$Q319,BD$4,BD$5)"),"")</f>
        <v/>
      </c>
      <c r="BE149" s="530"/>
      <c r="BF149" s="530"/>
      <c r="BG149" s="530"/>
      <c r="BH149" s="530"/>
      <c r="BI1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5-3'!$D$11:$Q319,BI$4,BI$5)"),"")</f>
        <v/>
      </c>
      <c r="BJ149" s="535"/>
      <c r="BK1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5-3'!$D$11:$Q319,BK$4,BK$5)"),"")</f>
        <v/>
      </c>
      <c r="BL149" s="534"/>
      <c r="BM1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5-3'!$D$11:$Q319,BM$4,BM$5)"),"")</f>
        <v/>
      </c>
      <c r="BN149" s="534"/>
      <c r="BO1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5-3'!$D$11:$Q319,BO$4,BO$5)"),"")</f>
        <v/>
      </c>
      <c r="BP149" s="534"/>
      <c r="BQ1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5-3'!$D$11:$Q319,BQ$4,BQ$5)"),"")</f>
        <v/>
      </c>
      <c r="BR149" s="536"/>
      <c r="BS1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5-3'!$D$11:$Q319,BS$4,BS$5)"),"")</f>
        <v/>
      </c>
      <c r="BT149" s="534"/>
      <c r="BU149" s="534"/>
      <c r="BV149" s="534"/>
      <c r="BW149" s="534"/>
      <c r="BX1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5-3'!$D$11:$Q319,BX$4,BX$5)"),"")</f>
        <v/>
      </c>
      <c r="BY149" s="538"/>
      <c r="BZ1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5-3'!$D$11:$Q319,BZ$4,BZ$5)"),"")</f>
        <v/>
      </c>
      <c r="CA149" s="537"/>
      <c r="CB1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5-3'!$D$11:$Q319,CB$4,CB$5)"),"")</f>
        <v/>
      </c>
      <c r="CC149" s="537"/>
      <c r="CD1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5-3'!$D$11:$Q319,CD$4,CD$5)"),"")</f>
        <v/>
      </c>
      <c r="CE149" s="537"/>
      <c r="CF1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5-3'!$D$11:$Q319,CF$4,CF$5)"),"")</f>
        <v/>
      </c>
      <c r="CG149" s="539"/>
      <c r="CH1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5-3'!$D$11:$Q319,CH$4,CH$5)"),"")</f>
        <v/>
      </c>
      <c r="CI149" s="537"/>
      <c r="CJ149" s="537"/>
      <c r="CK149" s="537"/>
      <c r="CL149" s="537"/>
      <c r="CM1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5-3'!$D$11:$Q319,CM$4,CM$5)"),"")</f>
        <v/>
      </c>
      <c r="CN149" s="541"/>
      <c r="CO1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5-3'!$D$11:$Q319,CO$4,CO$5)"),"")</f>
        <v/>
      </c>
      <c r="CP149" s="540"/>
      <c r="CQ1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5-3'!$D$11:$Q319,CQ$4,CQ$5)"),"")</f>
        <v/>
      </c>
      <c r="CR149" s="540"/>
      <c r="CS1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5-3'!$D$11:$Q319,CS$4,CS$5)"),"")</f>
        <v/>
      </c>
      <c r="CT149" s="540"/>
      <c r="CU1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5-3'!$D$11:$Q319,CU$4,CU$5)"),"")</f>
        <v/>
      </c>
      <c r="CV149" s="545"/>
      <c r="CW1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5-3'!$D$11:$Q319,CW$4,CW$5)"),"")</f>
        <v/>
      </c>
      <c r="CX149" s="540"/>
      <c r="CY149" s="540"/>
      <c r="CZ149" s="540"/>
      <c r="DA149" s="540"/>
      <c r="DB1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5-3'!$D$11:$Q319,DB$4,DB$5)"),"")</f>
        <v/>
      </c>
      <c r="DC149" s="555"/>
      <c r="DD1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5-3'!$D$11:$Q319,DD$4,DD$5)"),"")</f>
        <v/>
      </c>
      <c r="DE149" s="554"/>
      <c r="DF1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5-3'!$D$11:$Q319,DF$4,DF$5)"),"")</f>
        <v/>
      </c>
      <c r="DG149" s="554"/>
      <c r="DH1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5-3'!$D$11:$Q319,DH$4,DH$5)"),"")</f>
        <v/>
      </c>
      <c r="DI149" s="554"/>
      <c r="DJ1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5-3'!$D$11:$Q319,DJ$4,DJ$5)"),"")</f>
        <v/>
      </c>
      <c r="DK149" s="566"/>
      <c r="DL1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5-3'!$D$11:$Q319,DL$4,DL$5)"),"")</f>
        <v/>
      </c>
      <c r="DM149" s="554"/>
      <c r="DN149" s="554"/>
      <c r="DO149" s="554"/>
      <c r="DP149" s="554"/>
      <c r="DQ1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5-3'!$D$11:$Q319,DQ$4,DQ$5)"),"")</f>
        <v/>
      </c>
      <c r="DR149" s="569"/>
      <c r="DS1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5-3'!$D$11:$Q319,DS$4,DS$5)"),"")</f>
        <v/>
      </c>
      <c r="DT149" s="568"/>
      <c r="DU1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5-3'!$D$11:$Q319,DU$4,DU$5)"),"")</f>
        <v/>
      </c>
      <c r="DV149" s="568"/>
      <c r="DW1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5-3'!$D$11:$Q319,DW$4,DW$5)"),"")</f>
        <v/>
      </c>
      <c r="DX149" s="568"/>
      <c r="DY1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5-3'!$D$11:$Q319,DY$4,DY$5)"),"")</f>
        <v/>
      </c>
      <c r="DZ149" s="578"/>
      <c r="EA1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$C149, 'S-10 Топ 5-3'!$D$11:$Q319,EA$4,EA$5)"),"")</f>
        <v/>
      </c>
      <c r="EB149" s="568"/>
      <c r="EC149" s="568"/>
      <c r="ED149" s="568"/>
      <c r="EE149" s="568"/>
    </row>
    <row r="150">
      <c r="A150" s="519" t="str">
        <f t="shared" si="1"/>
        <v/>
      </c>
      <c r="B150" s="520" t="str">
        <f>'5-0 Товары'!B150</f>
        <v/>
      </c>
      <c r="C150" s="521" t="str">
        <f>'5-1 Сбор КП Закупки'!C150</f>
        <v/>
      </c>
      <c r="D150" s="521" t="str">
        <f>'5-1 Сбор КП Закупки'!D150</f>
        <v/>
      </c>
      <c r="E150" s="521" t="str">
        <f>'5-1 Сбор КП Закупки'!E150</f>
        <v/>
      </c>
      <c r="F150" s="521" t="str">
        <f>'5-1 Сбор КП Закупки'!F150</f>
        <v/>
      </c>
      <c r="G150" s="522" t="str">
        <f>'5-1 Сбор КП Закупки'!G150</f>
        <v/>
      </c>
      <c r="H150" s="522" t="str">
        <f>'5-1 Сбор КП Закупки'!H150</f>
        <v/>
      </c>
      <c r="I150" s="522" t="str">
        <f>'5-1 Сбор КП Закупки'!I150</f>
        <v/>
      </c>
      <c r="J150" s="197"/>
      <c r="K150" s="522" t="str">
        <f>'5-1 Сбор КП Закупки'!G150</f>
        <v/>
      </c>
      <c r="L150" s="523" t="str">
        <f>IF(A150="Да",'5-1 Сбор КП Закупки'!K150,)</f>
        <v/>
      </c>
      <c r="M150" s="197"/>
      <c r="N150" s="197"/>
      <c r="O150" s="197"/>
      <c r="P150" s="525" t="str">
        <f>'5-1 Сбор КП Закупки'!P150</f>
        <v/>
      </c>
      <c r="Q150" s="197"/>
      <c r="R150" s="197"/>
      <c r="S150" s="197"/>
      <c r="T150" s="197"/>
      <c r="U150" s="197"/>
      <c r="V150" s="197"/>
      <c r="W150" s="522" t="str">
        <f>'5-1 Сбор КП Закупки'!O150</f>
        <v/>
      </c>
      <c r="X150" s="197"/>
      <c r="Y150" s="197"/>
      <c r="Z150" s="197"/>
      <c r="AA150" s="197"/>
      <c r="AB150" s="197">
        <v>0.0</v>
      </c>
      <c r="AC150" s="197"/>
      <c r="AD150" s="197"/>
      <c r="AE1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5-3'!$D$11:$Q319,AE$4,AE$5)"),"")</f>
        <v/>
      </c>
      <c r="AF150" s="528"/>
      <c r="AG1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5-3'!$D$11:$Q319,AG$4,AG$5)"),"")</f>
        <v/>
      </c>
      <c r="AH150" s="527"/>
      <c r="AI1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5-3'!$D$11:$Q319,AI$4,AI$5)"),"")</f>
        <v/>
      </c>
      <c r="AJ150" s="527"/>
      <c r="AK1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5-3'!$D$11:$Q319,AK$4,AK$5)"),"")</f>
        <v/>
      </c>
      <c r="AL150" s="527"/>
      <c r="AM1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5-3'!$D$11:$Q319,AM$4,AM$5)"),"")</f>
        <v/>
      </c>
      <c r="AN150" s="529"/>
      <c r="AO1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5-3'!$D$11:$Q319,AO$4,AO$5)"),"")</f>
        <v/>
      </c>
      <c r="AP150" s="527"/>
      <c r="AQ150" s="527"/>
      <c r="AR150" s="527"/>
      <c r="AS150" s="527"/>
      <c r="AT1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5-3'!$D$11:$Q319,AT$4,AT$5)"),"")</f>
        <v/>
      </c>
      <c r="AU150" s="531"/>
      <c r="AV1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5-3'!$D$11:$Q319,AV$4,AV$5)"),"")</f>
        <v/>
      </c>
      <c r="AW150" s="530"/>
      <c r="AX1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5-3'!$D$11:$Q319,AX$4,AX$5)"),"")</f>
        <v/>
      </c>
      <c r="AY150" s="530"/>
      <c r="AZ1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5-3'!$D$11:$Q319,AZ$4,AZ$5)"),"")</f>
        <v/>
      </c>
      <c r="BA150" s="530"/>
      <c r="BB1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5-3'!$D$11:$Q319,BB$4,BB$5)"),"")</f>
        <v/>
      </c>
      <c r="BC150" s="532"/>
      <c r="BD1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5-3'!$D$11:$Q319,BD$4,BD$5)"),"")</f>
        <v/>
      </c>
      <c r="BE150" s="530"/>
      <c r="BF150" s="530"/>
      <c r="BG150" s="530"/>
      <c r="BH150" s="530"/>
      <c r="BI1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5-3'!$D$11:$Q319,BI$4,BI$5)"),"")</f>
        <v/>
      </c>
      <c r="BJ150" s="535"/>
      <c r="BK1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5-3'!$D$11:$Q319,BK$4,BK$5)"),"")</f>
        <v/>
      </c>
      <c r="BL150" s="534"/>
      <c r="BM1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5-3'!$D$11:$Q319,BM$4,BM$5)"),"")</f>
        <v/>
      </c>
      <c r="BN150" s="534"/>
      <c r="BO1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5-3'!$D$11:$Q319,BO$4,BO$5)"),"")</f>
        <v/>
      </c>
      <c r="BP150" s="534"/>
      <c r="BQ1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5-3'!$D$11:$Q319,BQ$4,BQ$5)"),"")</f>
        <v/>
      </c>
      <c r="BR150" s="536"/>
      <c r="BS1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5-3'!$D$11:$Q319,BS$4,BS$5)"),"")</f>
        <v/>
      </c>
      <c r="BT150" s="534"/>
      <c r="BU150" s="534"/>
      <c r="BV150" s="534"/>
      <c r="BW150" s="534"/>
      <c r="BX1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5-3'!$D$11:$Q319,BX$4,BX$5)"),"")</f>
        <v/>
      </c>
      <c r="BY150" s="538"/>
      <c r="BZ1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5-3'!$D$11:$Q319,BZ$4,BZ$5)"),"")</f>
        <v/>
      </c>
      <c r="CA150" s="537"/>
      <c r="CB1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5-3'!$D$11:$Q319,CB$4,CB$5)"),"")</f>
        <v/>
      </c>
      <c r="CC150" s="537"/>
      <c r="CD1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5-3'!$D$11:$Q319,CD$4,CD$5)"),"")</f>
        <v/>
      </c>
      <c r="CE150" s="537"/>
      <c r="CF1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5-3'!$D$11:$Q319,CF$4,CF$5)"),"")</f>
        <v/>
      </c>
      <c r="CG150" s="539"/>
      <c r="CH1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5-3'!$D$11:$Q319,CH$4,CH$5)"),"")</f>
        <v/>
      </c>
      <c r="CI150" s="537"/>
      <c r="CJ150" s="537"/>
      <c r="CK150" s="537"/>
      <c r="CL150" s="537"/>
      <c r="CM1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5-3'!$D$11:$Q319,CM$4,CM$5)"),"")</f>
        <v/>
      </c>
      <c r="CN150" s="541"/>
      <c r="CO1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5-3'!$D$11:$Q319,CO$4,CO$5)"),"")</f>
        <v/>
      </c>
      <c r="CP150" s="540"/>
      <c r="CQ1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5-3'!$D$11:$Q319,CQ$4,CQ$5)"),"")</f>
        <v/>
      </c>
      <c r="CR150" s="540"/>
      <c r="CS1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5-3'!$D$11:$Q319,CS$4,CS$5)"),"")</f>
        <v/>
      </c>
      <c r="CT150" s="540"/>
      <c r="CU1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5-3'!$D$11:$Q319,CU$4,CU$5)"),"")</f>
        <v/>
      </c>
      <c r="CV150" s="545"/>
      <c r="CW1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5-3'!$D$11:$Q319,CW$4,CW$5)"),"")</f>
        <v/>
      </c>
      <c r="CX150" s="540"/>
      <c r="CY150" s="540"/>
      <c r="CZ150" s="540"/>
      <c r="DA150" s="540"/>
      <c r="DB1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5-3'!$D$11:$Q319,DB$4,DB$5)"),"")</f>
        <v/>
      </c>
      <c r="DC150" s="555"/>
      <c r="DD1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5-3'!$D$11:$Q319,DD$4,DD$5)"),"")</f>
        <v/>
      </c>
      <c r="DE150" s="554"/>
      <c r="DF1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5-3'!$D$11:$Q319,DF$4,DF$5)"),"")</f>
        <v/>
      </c>
      <c r="DG150" s="554"/>
      <c r="DH1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5-3'!$D$11:$Q319,DH$4,DH$5)"),"")</f>
        <v/>
      </c>
      <c r="DI150" s="554"/>
      <c r="DJ1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5-3'!$D$11:$Q319,DJ$4,DJ$5)"),"")</f>
        <v/>
      </c>
      <c r="DK150" s="566"/>
      <c r="DL1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5-3'!$D$11:$Q319,DL$4,DL$5)"),"")</f>
        <v/>
      </c>
      <c r="DM150" s="554"/>
      <c r="DN150" s="554"/>
      <c r="DO150" s="554"/>
      <c r="DP150" s="554"/>
      <c r="DQ1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5-3'!$D$11:$Q319,DQ$4,DQ$5)"),"")</f>
        <v/>
      </c>
      <c r="DR150" s="569"/>
      <c r="DS1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5-3'!$D$11:$Q319,DS$4,DS$5)"),"")</f>
        <v/>
      </c>
      <c r="DT150" s="568"/>
      <c r="DU1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5-3'!$D$11:$Q319,DU$4,DU$5)"),"")</f>
        <v/>
      </c>
      <c r="DV150" s="568"/>
      <c r="DW1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5-3'!$D$11:$Q319,DW$4,DW$5)"),"")</f>
        <v/>
      </c>
      <c r="DX150" s="568"/>
      <c r="DY1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5-3'!$D$11:$Q319,DY$4,DY$5)"),"")</f>
        <v/>
      </c>
      <c r="DZ150" s="578"/>
      <c r="EA1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$C150, 'S-10 Топ 5-3'!$D$11:$Q319,EA$4,EA$5)"),"")</f>
        <v/>
      </c>
      <c r="EB150" s="568"/>
      <c r="EC150" s="568"/>
      <c r="ED150" s="568"/>
      <c r="EE150" s="568"/>
    </row>
    <row r="151">
      <c r="A151" s="519" t="str">
        <f t="shared" si="1"/>
        <v/>
      </c>
      <c r="B151" s="520" t="str">
        <f>'5-0 Товары'!B151</f>
        <v/>
      </c>
      <c r="C151" s="521" t="str">
        <f>'5-1 Сбор КП Закупки'!C151</f>
        <v/>
      </c>
      <c r="D151" s="521" t="str">
        <f>'5-1 Сбор КП Закупки'!D151</f>
        <v/>
      </c>
      <c r="E151" s="521" t="str">
        <f>'5-1 Сбор КП Закупки'!E151</f>
        <v/>
      </c>
      <c r="F151" s="521" t="str">
        <f>'5-1 Сбор КП Закупки'!F151</f>
        <v/>
      </c>
      <c r="G151" s="522" t="str">
        <f>'5-1 Сбор КП Закупки'!G151</f>
        <v/>
      </c>
      <c r="H151" s="522" t="str">
        <f>'5-1 Сбор КП Закупки'!H151</f>
        <v/>
      </c>
      <c r="I151" s="522" t="str">
        <f>'5-1 Сбор КП Закупки'!I151</f>
        <v/>
      </c>
      <c r="J151" s="197"/>
      <c r="K151" s="522" t="str">
        <f>'5-1 Сбор КП Закупки'!G151</f>
        <v/>
      </c>
      <c r="L151" s="523" t="str">
        <f>IF(A151="Да",'5-1 Сбор КП Закупки'!K151,)</f>
        <v/>
      </c>
      <c r="M151" s="197"/>
      <c r="N151" s="197"/>
      <c r="O151" s="197"/>
      <c r="P151" s="525" t="str">
        <f>'5-1 Сбор КП Закупки'!P151</f>
        <v/>
      </c>
      <c r="Q151" s="197"/>
      <c r="R151" s="197"/>
      <c r="S151" s="197"/>
      <c r="T151" s="197"/>
      <c r="U151" s="197"/>
      <c r="V151" s="197"/>
      <c r="W151" s="522" t="str">
        <f>'5-1 Сбор КП Закупки'!O151</f>
        <v/>
      </c>
      <c r="X151" s="197"/>
      <c r="Y151" s="197"/>
      <c r="Z151" s="197"/>
      <c r="AA151" s="197"/>
      <c r="AB151" s="197">
        <v>0.0</v>
      </c>
      <c r="AC151" s="197"/>
      <c r="AD151" s="197"/>
      <c r="AE1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5-3'!$D$11:$Q319,AE$4,AE$5)"),"")</f>
        <v/>
      </c>
      <c r="AF151" s="528"/>
      <c r="AG1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5-3'!$D$11:$Q319,AG$4,AG$5)"),"")</f>
        <v/>
      </c>
      <c r="AH151" s="527"/>
      <c r="AI1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5-3'!$D$11:$Q319,AI$4,AI$5)"),"")</f>
        <v/>
      </c>
      <c r="AJ151" s="527"/>
      <c r="AK1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5-3'!$D$11:$Q319,AK$4,AK$5)"),"")</f>
        <v/>
      </c>
      <c r="AL151" s="527"/>
      <c r="AM1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5-3'!$D$11:$Q319,AM$4,AM$5)"),"")</f>
        <v/>
      </c>
      <c r="AN151" s="529"/>
      <c r="AO1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5-3'!$D$11:$Q319,AO$4,AO$5)"),"")</f>
        <v/>
      </c>
      <c r="AP151" s="527"/>
      <c r="AQ151" s="527"/>
      <c r="AR151" s="527"/>
      <c r="AS151" s="527"/>
      <c r="AT1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5-3'!$D$11:$Q319,AT$4,AT$5)"),"")</f>
        <v/>
      </c>
      <c r="AU151" s="531"/>
      <c r="AV1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5-3'!$D$11:$Q319,AV$4,AV$5)"),"")</f>
        <v/>
      </c>
      <c r="AW151" s="530"/>
      <c r="AX1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5-3'!$D$11:$Q319,AX$4,AX$5)"),"")</f>
        <v/>
      </c>
      <c r="AY151" s="530"/>
      <c r="AZ1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5-3'!$D$11:$Q319,AZ$4,AZ$5)"),"")</f>
        <v/>
      </c>
      <c r="BA151" s="530"/>
      <c r="BB1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5-3'!$D$11:$Q319,BB$4,BB$5)"),"")</f>
        <v/>
      </c>
      <c r="BC151" s="532"/>
      <c r="BD1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5-3'!$D$11:$Q319,BD$4,BD$5)"),"")</f>
        <v/>
      </c>
      <c r="BE151" s="530"/>
      <c r="BF151" s="530"/>
      <c r="BG151" s="530"/>
      <c r="BH151" s="530"/>
      <c r="BI1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5-3'!$D$11:$Q319,BI$4,BI$5)"),"")</f>
        <v/>
      </c>
      <c r="BJ151" s="535"/>
      <c r="BK1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5-3'!$D$11:$Q319,BK$4,BK$5)"),"")</f>
        <v/>
      </c>
      <c r="BL151" s="534"/>
      <c r="BM1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5-3'!$D$11:$Q319,BM$4,BM$5)"),"")</f>
        <v/>
      </c>
      <c r="BN151" s="534"/>
      <c r="BO1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5-3'!$D$11:$Q319,BO$4,BO$5)"),"")</f>
        <v/>
      </c>
      <c r="BP151" s="534"/>
      <c r="BQ1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5-3'!$D$11:$Q319,BQ$4,BQ$5)"),"")</f>
        <v/>
      </c>
      <c r="BR151" s="536"/>
      <c r="BS1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5-3'!$D$11:$Q319,BS$4,BS$5)"),"")</f>
        <v/>
      </c>
      <c r="BT151" s="534"/>
      <c r="BU151" s="534"/>
      <c r="BV151" s="534"/>
      <c r="BW151" s="534"/>
      <c r="BX1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5-3'!$D$11:$Q319,BX$4,BX$5)"),"")</f>
        <v/>
      </c>
      <c r="BY151" s="538"/>
      <c r="BZ1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5-3'!$D$11:$Q319,BZ$4,BZ$5)"),"")</f>
        <v/>
      </c>
      <c r="CA151" s="537"/>
      <c r="CB1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5-3'!$D$11:$Q319,CB$4,CB$5)"),"")</f>
        <v/>
      </c>
      <c r="CC151" s="537"/>
      <c r="CD1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5-3'!$D$11:$Q319,CD$4,CD$5)"),"")</f>
        <v/>
      </c>
      <c r="CE151" s="537"/>
      <c r="CF1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5-3'!$D$11:$Q319,CF$4,CF$5)"),"")</f>
        <v/>
      </c>
      <c r="CG151" s="539"/>
      <c r="CH1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5-3'!$D$11:$Q319,CH$4,CH$5)"),"")</f>
        <v/>
      </c>
      <c r="CI151" s="537"/>
      <c r="CJ151" s="537"/>
      <c r="CK151" s="537"/>
      <c r="CL151" s="537"/>
      <c r="CM1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5-3'!$D$11:$Q319,CM$4,CM$5)"),"")</f>
        <v/>
      </c>
      <c r="CN151" s="541"/>
      <c r="CO1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5-3'!$D$11:$Q319,CO$4,CO$5)"),"")</f>
        <v/>
      </c>
      <c r="CP151" s="540"/>
      <c r="CQ1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5-3'!$D$11:$Q319,CQ$4,CQ$5)"),"")</f>
        <v/>
      </c>
      <c r="CR151" s="540"/>
      <c r="CS1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5-3'!$D$11:$Q319,CS$4,CS$5)"),"")</f>
        <v/>
      </c>
      <c r="CT151" s="540"/>
      <c r="CU1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5-3'!$D$11:$Q319,CU$4,CU$5)"),"")</f>
        <v/>
      </c>
      <c r="CV151" s="545"/>
      <c r="CW1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5-3'!$D$11:$Q319,CW$4,CW$5)"),"")</f>
        <v/>
      </c>
      <c r="CX151" s="540"/>
      <c r="CY151" s="540"/>
      <c r="CZ151" s="540"/>
      <c r="DA151" s="540"/>
      <c r="DB1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5-3'!$D$11:$Q319,DB$4,DB$5)"),"")</f>
        <v/>
      </c>
      <c r="DC151" s="555"/>
      <c r="DD1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5-3'!$D$11:$Q319,DD$4,DD$5)"),"")</f>
        <v/>
      </c>
      <c r="DE151" s="554"/>
      <c r="DF1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5-3'!$D$11:$Q319,DF$4,DF$5)"),"")</f>
        <v/>
      </c>
      <c r="DG151" s="554"/>
      <c r="DH1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5-3'!$D$11:$Q319,DH$4,DH$5)"),"")</f>
        <v/>
      </c>
      <c r="DI151" s="554"/>
      <c r="DJ1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5-3'!$D$11:$Q319,DJ$4,DJ$5)"),"")</f>
        <v/>
      </c>
      <c r="DK151" s="566"/>
      <c r="DL1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5-3'!$D$11:$Q319,DL$4,DL$5)"),"")</f>
        <v/>
      </c>
      <c r="DM151" s="554"/>
      <c r="DN151" s="554"/>
      <c r="DO151" s="554"/>
      <c r="DP151" s="554"/>
      <c r="DQ1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5-3'!$D$11:$Q319,DQ$4,DQ$5)"),"")</f>
        <v/>
      </c>
      <c r="DR151" s="569"/>
      <c r="DS1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5-3'!$D$11:$Q319,DS$4,DS$5)"),"")</f>
        <v/>
      </c>
      <c r="DT151" s="568"/>
      <c r="DU1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5-3'!$D$11:$Q319,DU$4,DU$5)"),"")</f>
        <v/>
      </c>
      <c r="DV151" s="568"/>
      <c r="DW1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5-3'!$D$11:$Q319,DW$4,DW$5)"),"")</f>
        <v/>
      </c>
      <c r="DX151" s="568"/>
      <c r="DY1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5-3'!$D$11:$Q319,DY$4,DY$5)"),"")</f>
        <v/>
      </c>
      <c r="DZ151" s="578"/>
      <c r="EA1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$C151, 'S-10 Топ 5-3'!$D$11:$Q319,EA$4,EA$5)"),"")</f>
        <v/>
      </c>
      <c r="EB151" s="568"/>
      <c r="EC151" s="568"/>
      <c r="ED151" s="568"/>
      <c r="EE151" s="568"/>
    </row>
    <row r="152">
      <c r="A152" s="519" t="str">
        <f t="shared" si="1"/>
        <v/>
      </c>
      <c r="B152" s="520" t="str">
        <f>'5-0 Товары'!B152</f>
        <v/>
      </c>
      <c r="C152" s="521" t="str">
        <f>'5-1 Сбор КП Закупки'!C152</f>
        <v/>
      </c>
      <c r="D152" s="521" t="str">
        <f>'5-1 Сбор КП Закупки'!D152</f>
        <v/>
      </c>
      <c r="E152" s="521" t="str">
        <f>'5-1 Сбор КП Закупки'!E152</f>
        <v/>
      </c>
      <c r="F152" s="521" t="str">
        <f>'5-1 Сбор КП Закупки'!F152</f>
        <v/>
      </c>
      <c r="G152" s="522" t="str">
        <f>'5-1 Сбор КП Закупки'!G152</f>
        <v/>
      </c>
      <c r="H152" s="522" t="str">
        <f>'5-1 Сбор КП Закупки'!H152</f>
        <v/>
      </c>
      <c r="I152" s="522" t="str">
        <f>'5-1 Сбор КП Закупки'!I152</f>
        <v/>
      </c>
      <c r="J152" s="197"/>
      <c r="K152" s="522" t="str">
        <f>'5-1 Сбор КП Закупки'!G152</f>
        <v/>
      </c>
      <c r="L152" s="523" t="str">
        <f>IF(A152="Да",'5-1 Сбор КП Закупки'!K152,)</f>
        <v/>
      </c>
      <c r="M152" s="197"/>
      <c r="N152" s="197"/>
      <c r="O152" s="197"/>
      <c r="P152" s="525" t="str">
        <f>'5-1 Сбор КП Закупки'!P152</f>
        <v/>
      </c>
      <c r="Q152" s="197"/>
      <c r="R152" s="197"/>
      <c r="S152" s="197"/>
      <c r="T152" s="197"/>
      <c r="U152" s="197"/>
      <c r="V152" s="197"/>
      <c r="W152" s="522" t="str">
        <f>'5-1 Сбор КП Закупки'!O152</f>
        <v/>
      </c>
      <c r="X152" s="197"/>
      <c r="Y152" s="197"/>
      <c r="Z152" s="197"/>
      <c r="AA152" s="197"/>
      <c r="AB152" s="197">
        <v>0.0</v>
      </c>
      <c r="AC152" s="197"/>
      <c r="AD152" s="197"/>
      <c r="AE1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5-3'!$D$11:$Q319,AE$4,AE$5)"),"")</f>
        <v/>
      </c>
      <c r="AF152" s="528"/>
      <c r="AG1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5-3'!$D$11:$Q319,AG$4,AG$5)"),"")</f>
        <v/>
      </c>
      <c r="AH152" s="527"/>
      <c r="AI1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5-3'!$D$11:$Q319,AI$4,AI$5)"),"")</f>
        <v/>
      </c>
      <c r="AJ152" s="527"/>
      <c r="AK1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5-3'!$D$11:$Q319,AK$4,AK$5)"),"")</f>
        <v/>
      </c>
      <c r="AL152" s="527"/>
      <c r="AM1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5-3'!$D$11:$Q319,AM$4,AM$5)"),"")</f>
        <v/>
      </c>
      <c r="AN152" s="529"/>
      <c r="AO1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5-3'!$D$11:$Q319,AO$4,AO$5)"),"")</f>
        <v/>
      </c>
      <c r="AP152" s="527"/>
      <c r="AQ152" s="527"/>
      <c r="AR152" s="527"/>
      <c r="AS152" s="527"/>
      <c r="AT1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5-3'!$D$11:$Q319,AT$4,AT$5)"),"")</f>
        <v/>
      </c>
      <c r="AU152" s="531"/>
      <c r="AV1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5-3'!$D$11:$Q319,AV$4,AV$5)"),"")</f>
        <v/>
      </c>
      <c r="AW152" s="530"/>
      <c r="AX1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5-3'!$D$11:$Q319,AX$4,AX$5)"),"")</f>
        <v/>
      </c>
      <c r="AY152" s="530"/>
      <c r="AZ1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5-3'!$D$11:$Q319,AZ$4,AZ$5)"),"")</f>
        <v/>
      </c>
      <c r="BA152" s="530"/>
      <c r="BB1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5-3'!$D$11:$Q319,BB$4,BB$5)"),"")</f>
        <v/>
      </c>
      <c r="BC152" s="532"/>
      <c r="BD1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5-3'!$D$11:$Q319,BD$4,BD$5)"),"")</f>
        <v/>
      </c>
      <c r="BE152" s="530"/>
      <c r="BF152" s="530"/>
      <c r="BG152" s="530"/>
      <c r="BH152" s="530"/>
      <c r="BI1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5-3'!$D$11:$Q319,BI$4,BI$5)"),"")</f>
        <v/>
      </c>
      <c r="BJ152" s="535"/>
      <c r="BK1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5-3'!$D$11:$Q319,BK$4,BK$5)"),"")</f>
        <v/>
      </c>
      <c r="BL152" s="534"/>
      <c r="BM1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5-3'!$D$11:$Q319,BM$4,BM$5)"),"")</f>
        <v/>
      </c>
      <c r="BN152" s="534"/>
      <c r="BO1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5-3'!$D$11:$Q319,BO$4,BO$5)"),"")</f>
        <v/>
      </c>
      <c r="BP152" s="534"/>
      <c r="BQ1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5-3'!$D$11:$Q319,BQ$4,BQ$5)"),"")</f>
        <v/>
      </c>
      <c r="BR152" s="536"/>
      <c r="BS1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5-3'!$D$11:$Q319,BS$4,BS$5)"),"")</f>
        <v/>
      </c>
      <c r="BT152" s="534"/>
      <c r="BU152" s="534"/>
      <c r="BV152" s="534"/>
      <c r="BW152" s="534"/>
      <c r="BX1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5-3'!$D$11:$Q319,BX$4,BX$5)"),"")</f>
        <v/>
      </c>
      <c r="BY152" s="538"/>
      <c r="BZ1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5-3'!$D$11:$Q319,BZ$4,BZ$5)"),"")</f>
        <v/>
      </c>
      <c r="CA152" s="537"/>
      <c r="CB1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5-3'!$D$11:$Q319,CB$4,CB$5)"),"")</f>
        <v/>
      </c>
      <c r="CC152" s="537"/>
      <c r="CD1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5-3'!$D$11:$Q319,CD$4,CD$5)"),"")</f>
        <v/>
      </c>
      <c r="CE152" s="537"/>
      <c r="CF1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5-3'!$D$11:$Q319,CF$4,CF$5)"),"")</f>
        <v/>
      </c>
      <c r="CG152" s="539"/>
      <c r="CH1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5-3'!$D$11:$Q319,CH$4,CH$5)"),"")</f>
        <v/>
      </c>
      <c r="CI152" s="537"/>
      <c r="CJ152" s="537"/>
      <c r="CK152" s="537"/>
      <c r="CL152" s="537"/>
      <c r="CM1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5-3'!$D$11:$Q319,CM$4,CM$5)"),"")</f>
        <v/>
      </c>
      <c r="CN152" s="541"/>
      <c r="CO1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5-3'!$D$11:$Q319,CO$4,CO$5)"),"")</f>
        <v/>
      </c>
      <c r="CP152" s="540"/>
      <c r="CQ1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5-3'!$D$11:$Q319,CQ$4,CQ$5)"),"")</f>
        <v/>
      </c>
      <c r="CR152" s="540"/>
      <c r="CS1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5-3'!$D$11:$Q319,CS$4,CS$5)"),"")</f>
        <v/>
      </c>
      <c r="CT152" s="540"/>
      <c r="CU1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5-3'!$D$11:$Q319,CU$4,CU$5)"),"")</f>
        <v/>
      </c>
      <c r="CV152" s="545"/>
      <c r="CW1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5-3'!$D$11:$Q319,CW$4,CW$5)"),"")</f>
        <v/>
      </c>
      <c r="CX152" s="540"/>
      <c r="CY152" s="540"/>
      <c r="CZ152" s="540"/>
      <c r="DA152" s="540"/>
      <c r="DB1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5-3'!$D$11:$Q319,DB$4,DB$5)"),"")</f>
        <v/>
      </c>
      <c r="DC152" s="555"/>
      <c r="DD1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5-3'!$D$11:$Q319,DD$4,DD$5)"),"")</f>
        <v/>
      </c>
      <c r="DE152" s="554"/>
      <c r="DF1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5-3'!$D$11:$Q319,DF$4,DF$5)"),"")</f>
        <v/>
      </c>
      <c r="DG152" s="554"/>
      <c r="DH1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5-3'!$D$11:$Q319,DH$4,DH$5)"),"")</f>
        <v/>
      </c>
      <c r="DI152" s="554"/>
      <c r="DJ1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5-3'!$D$11:$Q319,DJ$4,DJ$5)"),"")</f>
        <v/>
      </c>
      <c r="DK152" s="566"/>
      <c r="DL1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5-3'!$D$11:$Q319,DL$4,DL$5)"),"")</f>
        <v/>
      </c>
      <c r="DM152" s="554"/>
      <c r="DN152" s="554"/>
      <c r="DO152" s="554"/>
      <c r="DP152" s="554"/>
      <c r="DQ1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5-3'!$D$11:$Q319,DQ$4,DQ$5)"),"")</f>
        <v/>
      </c>
      <c r="DR152" s="569"/>
      <c r="DS1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5-3'!$D$11:$Q319,DS$4,DS$5)"),"")</f>
        <v/>
      </c>
      <c r="DT152" s="568"/>
      <c r="DU1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5-3'!$D$11:$Q319,DU$4,DU$5)"),"")</f>
        <v/>
      </c>
      <c r="DV152" s="568"/>
      <c r="DW1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5-3'!$D$11:$Q319,DW$4,DW$5)"),"")</f>
        <v/>
      </c>
      <c r="DX152" s="568"/>
      <c r="DY1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5-3'!$D$11:$Q319,DY$4,DY$5)"),"")</f>
        <v/>
      </c>
      <c r="DZ152" s="578"/>
      <c r="EA1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$C152, 'S-10 Топ 5-3'!$D$11:$Q319,EA$4,EA$5)"),"")</f>
        <v/>
      </c>
      <c r="EB152" s="568"/>
      <c r="EC152" s="568"/>
      <c r="ED152" s="568"/>
      <c r="EE152" s="568"/>
    </row>
    <row r="153">
      <c r="A153" s="519" t="str">
        <f t="shared" si="1"/>
        <v/>
      </c>
      <c r="B153" s="520" t="str">
        <f>'5-0 Товары'!B153</f>
        <v/>
      </c>
      <c r="C153" s="521" t="str">
        <f>'5-1 Сбор КП Закупки'!C153</f>
        <v/>
      </c>
      <c r="D153" s="521" t="str">
        <f>'5-1 Сбор КП Закупки'!D153</f>
        <v/>
      </c>
      <c r="E153" s="521" t="str">
        <f>'5-1 Сбор КП Закупки'!E153</f>
        <v/>
      </c>
      <c r="F153" s="521" t="str">
        <f>'5-1 Сбор КП Закупки'!F153</f>
        <v/>
      </c>
      <c r="G153" s="522" t="str">
        <f>'5-1 Сбор КП Закупки'!G153</f>
        <v/>
      </c>
      <c r="H153" s="522" t="str">
        <f>'5-1 Сбор КП Закупки'!H153</f>
        <v/>
      </c>
      <c r="I153" s="522" t="str">
        <f>'5-1 Сбор КП Закупки'!I153</f>
        <v/>
      </c>
      <c r="J153" s="197"/>
      <c r="K153" s="522" t="str">
        <f>'5-1 Сбор КП Закупки'!G153</f>
        <v/>
      </c>
      <c r="L153" s="523" t="str">
        <f>IF(A153="Да",'5-1 Сбор КП Закупки'!K153,)</f>
        <v/>
      </c>
      <c r="M153" s="197"/>
      <c r="N153" s="197"/>
      <c r="O153" s="197"/>
      <c r="P153" s="525" t="str">
        <f>'5-1 Сбор КП Закупки'!P153</f>
        <v/>
      </c>
      <c r="Q153" s="197"/>
      <c r="R153" s="197"/>
      <c r="S153" s="197"/>
      <c r="T153" s="197"/>
      <c r="U153" s="197"/>
      <c r="V153" s="197"/>
      <c r="W153" s="522" t="str">
        <f>'5-1 Сбор КП Закупки'!O153</f>
        <v/>
      </c>
      <c r="X153" s="197"/>
      <c r="Y153" s="197"/>
      <c r="Z153" s="197"/>
      <c r="AA153" s="197"/>
      <c r="AB153" s="197">
        <v>0.0</v>
      </c>
      <c r="AC153" s="197"/>
      <c r="AD153" s="197"/>
      <c r="AE1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5-3'!$D$11:$Q319,AE$4,AE$5)"),"")</f>
        <v/>
      </c>
      <c r="AF153" s="528"/>
      <c r="AG1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5-3'!$D$11:$Q319,AG$4,AG$5)"),"")</f>
        <v/>
      </c>
      <c r="AH153" s="527"/>
      <c r="AI1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5-3'!$D$11:$Q319,AI$4,AI$5)"),"")</f>
        <v/>
      </c>
      <c r="AJ153" s="527"/>
      <c r="AK1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5-3'!$D$11:$Q319,AK$4,AK$5)"),"")</f>
        <v/>
      </c>
      <c r="AL153" s="527"/>
      <c r="AM1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5-3'!$D$11:$Q319,AM$4,AM$5)"),"")</f>
        <v/>
      </c>
      <c r="AN153" s="529"/>
      <c r="AO1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5-3'!$D$11:$Q319,AO$4,AO$5)"),"")</f>
        <v/>
      </c>
      <c r="AP153" s="527"/>
      <c r="AQ153" s="527"/>
      <c r="AR153" s="527"/>
      <c r="AS153" s="527"/>
      <c r="AT1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5-3'!$D$11:$Q319,AT$4,AT$5)"),"")</f>
        <v/>
      </c>
      <c r="AU153" s="531"/>
      <c r="AV1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5-3'!$D$11:$Q319,AV$4,AV$5)"),"")</f>
        <v/>
      </c>
      <c r="AW153" s="530"/>
      <c r="AX1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5-3'!$D$11:$Q319,AX$4,AX$5)"),"")</f>
        <v/>
      </c>
      <c r="AY153" s="530"/>
      <c r="AZ1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5-3'!$D$11:$Q319,AZ$4,AZ$5)"),"")</f>
        <v/>
      </c>
      <c r="BA153" s="530"/>
      <c r="BB1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5-3'!$D$11:$Q319,BB$4,BB$5)"),"")</f>
        <v/>
      </c>
      <c r="BC153" s="532"/>
      <c r="BD1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5-3'!$D$11:$Q319,BD$4,BD$5)"),"")</f>
        <v/>
      </c>
      <c r="BE153" s="530"/>
      <c r="BF153" s="530"/>
      <c r="BG153" s="530"/>
      <c r="BH153" s="530"/>
      <c r="BI1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5-3'!$D$11:$Q319,BI$4,BI$5)"),"")</f>
        <v/>
      </c>
      <c r="BJ153" s="535"/>
      <c r="BK1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5-3'!$D$11:$Q319,BK$4,BK$5)"),"")</f>
        <v/>
      </c>
      <c r="BL153" s="534"/>
      <c r="BM1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5-3'!$D$11:$Q319,BM$4,BM$5)"),"")</f>
        <v/>
      </c>
      <c r="BN153" s="534"/>
      <c r="BO1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5-3'!$D$11:$Q319,BO$4,BO$5)"),"")</f>
        <v/>
      </c>
      <c r="BP153" s="534"/>
      <c r="BQ1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5-3'!$D$11:$Q319,BQ$4,BQ$5)"),"")</f>
        <v/>
      </c>
      <c r="BR153" s="536"/>
      <c r="BS1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5-3'!$D$11:$Q319,BS$4,BS$5)"),"")</f>
        <v/>
      </c>
      <c r="BT153" s="534"/>
      <c r="BU153" s="534"/>
      <c r="BV153" s="534"/>
      <c r="BW153" s="534"/>
      <c r="BX1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5-3'!$D$11:$Q319,BX$4,BX$5)"),"")</f>
        <v/>
      </c>
      <c r="BY153" s="538"/>
      <c r="BZ1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5-3'!$D$11:$Q319,BZ$4,BZ$5)"),"")</f>
        <v/>
      </c>
      <c r="CA153" s="537"/>
      <c r="CB1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5-3'!$D$11:$Q319,CB$4,CB$5)"),"")</f>
        <v/>
      </c>
      <c r="CC153" s="537"/>
      <c r="CD1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5-3'!$D$11:$Q319,CD$4,CD$5)"),"")</f>
        <v/>
      </c>
      <c r="CE153" s="537"/>
      <c r="CF1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5-3'!$D$11:$Q319,CF$4,CF$5)"),"")</f>
        <v/>
      </c>
      <c r="CG153" s="539"/>
      <c r="CH1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5-3'!$D$11:$Q319,CH$4,CH$5)"),"")</f>
        <v/>
      </c>
      <c r="CI153" s="537"/>
      <c r="CJ153" s="537"/>
      <c r="CK153" s="537"/>
      <c r="CL153" s="537"/>
      <c r="CM1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5-3'!$D$11:$Q319,CM$4,CM$5)"),"")</f>
        <v/>
      </c>
      <c r="CN153" s="541"/>
      <c r="CO1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5-3'!$D$11:$Q319,CO$4,CO$5)"),"")</f>
        <v/>
      </c>
      <c r="CP153" s="540"/>
      <c r="CQ1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5-3'!$D$11:$Q319,CQ$4,CQ$5)"),"")</f>
        <v/>
      </c>
      <c r="CR153" s="540"/>
      <c r="CS1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5-3'!$D$11:$Q319,CS$4,CS$5)"),"")</f>
        <v/>
      </c>
      <c r="CT153" s="540"/>
      <c r="CU1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5-3'!$D$11:$Q319,CU$4,CU$5)"),"")</f>
        <v/>
      </c>
      <c r="CV153" s="545"/>
      <c r="CW1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5-3'!$D$11:$Q319,CW$4,CW$5)"),"")</f>
        <v/>
      </c>
      <c r="CX153" s="540"/>
      <c r="CY153" s="540"/>
      <c r="CZ153" s="540"/>
      <c r="DA153" s="540"/>
      <c r="DB1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5-3'!$D$11:$Q319,DB$4,DB$5)"),"")</f>
        <v/>
      </c>
      <c r="DC153" s="555"/>
      <c r="DD1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5-3'!$D$11:$Q319,DD$4,DD$5)"),"")</f>
        <v/>
      </c>
      <c r="DE153" s="554"/>
      <c r="DF1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5-3'!$D$11:$Q319,DF$4,DF$5)"),"")</f>
        <v/>
      </c>
      <c r="DG153" s="554"/>
      <c r="DH1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5-3'!$D$11:$Q319,DH$4,DH$5)"),"")</f>
        <v/>
      </c>
      <c r="DI153" s="554"/>
      <c r="DJ1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5-3'!$D$11:$Q319,DJ$4,DJ$5)"),"")</f>
        <v/>
      </c>
      <c r="DK153" s="566"/>
      <c r="DL1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5-3'!$D$11:$Q319,DL$4,DL$5)"),"")</f>
        <v/>
      </c>
      <c r="DM153" s="554"/>
      <c r="DN153" s="554"/>
      <c r="DO153" s="554"/>
      <c r="DP153" s="554"/>
      <c r="DQ1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5-3'!$D$11:$Q319,DQ$4,DQ$5)"),"")</f>
        <v/>
      </c>
      <c r="DR153" s="569"/>
      <c r="DS1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5-3'!$D$11:$Q319,DS$4,DS$5)"),"")</f>
        <v/>
      </c>
      <c r="DT153" s="568"/>
      <c r="DU1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5-3'!$D$11:$Q319,DU$4,DU$5)"),"")</f>
        <v/>
      </c>
      <c r="DV153" s="568"/>
      <c r="DW1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5-3'!$D$11:$Q319,DW$4,DW$5)"),"")</f>
        <v/>
      </c>
      <c r="DX153" s="568"/>
      <c r="DY1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5-3'!$D$11:$Q319,DY$4,DY$5)"),"")</f>
        <v/>
      </c>
      <c r="DZ153" s="578"/>
      <c r="EA1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$C153, 'S-10 Топ 5-3'!$D$11:$Q319,EA$4,EA$5)"),"")</f>
        <v/>
      </c>
      <c r="EB153" s="568"/>
      <c r="EC153" s="568"/>
      <c r="ED153" s="568"/>
      <c r="EE153" s="568"/>
    </row>
    <row r="154">
      <c r="A154" s="519" t="str">
        <f t="shared" si="1"/>
        <v/>
      </c>
      <c r="B154" s="520" t="str">
        <f>'5-0 Товары'!B154</f>
        <v/>
      </c>
      <c r="C154" s="521" t="str">
        <f>'5-1 Сбор КП Закупки'!C154</f>
        <v/>
      </c>
      <c r="D154" s="521" t="str">
        <f>'5-1 Сбор КП Закупки'!D154</f>
        <v/>
      </c>
      <c r="E154" s="521" t="str">
        <f>'5-1 Сбор КП Закупки'!E154</f>
        <v/>
      </c>
      <c r="F154" s="521" t="str">
        <f>'5-1 Сбор КП Закупки'!F154</f>
        <v/>
      </c>
      <c r="G154" s="522" t="str">
        <f>'5-1 Сбор КП Закупки'!G154</f>
        <v/>
      </c>
      <c r="H154" s="522" t="str">
        <f>'5-1 Сбор КП Закупки'!H154</f>
        <v/>
      </c>
      <c r="I154" s="522" t="str">
        <f>'5-1 Сбор КП Закупки'!I154</f>
        <v/>
      </c>
      <c r="J154" s="197"/>
      <c r="K154" s="522" t="str">
        <f>'5-1 Сбор КП Закупки'!G154</f>
        <v/>
      </c>
      <c r="L154" s="523" t="str">
        <f>IF(A154="Да",'5-1 Сбор КП Закупки'!K154,)</f>
        <v/>
      </c>
      <c r="M154" s="197"/>
      <c r="N154" s="197"/>
      <c r="O154" s="197"/>
      <c r="P154" s="525" t="str">
        <f>'5-1 Сбор КП Закупки'!P154</f>
        <v/>
      </c>
      <c r="Q154" s="197"/>
      <c r="R154" s="197"/>
      <c r="S154" s="197"/>
      <c r="T154" s="197"/>
      <c r="U154" s="197"/>
      <c r="V154" s="197"/>
      <c r="W154" s="522" t="str">
        <f>'5-1 Сбор КП Закупки'!O154</f>
        <v/>
      </c>
      <c r="X154" s="197"/>
      <c r="Y154" s="197"/>
      <c r="Z154" s="197"/>
      <c r="AA154" s="197"/>
      <c r="AB154" s="197">
        <v>0.0</v>
      </c>
      <c r="AC154" s="197"/>
      <c r="AD154" s="197"/>
      <c r="AE1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5-3'!$D$11:$Q319,AE$4,AE$5)"),"")</f>
        <v/>
      </c>
      <c r="AF154" s="528"/>
      <c r="AG1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5-3'!$D$11:$Q319,AG$4,AG$5)"),"")</f>
        <v/>
      </c>
      <c r="AH154" s="527"/>
      <c r="AI1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5-3'!$D$11:$Q319,AI$4,AI$5)"),"")</f>
        <v/>
      </c>
      <c r="AJ154" s="527"/>
      <c r="AK1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5-3'!$D$11:$Q319,AK$4,AK$5)"),"")</f>
        <v/>
      </c>
      <c r="AL154" s="527"/>
      <c r="AM1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5-3'!$D$11:$Q319,AM$4,AM$5)"),"")</f>
        <v/>
      </c>
      <c r="AN154" s="529"/>
      <c r="AO1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5-3'!$D$11:$Q319,AO$4,AO$5)"),"")</f>
        <v/>
      </c>
      <c r="AP154" s="527"/>
      <c r="AQ154" s="527"/>
      <c r="AR154" s="527"/>
      <c r="AS154" s="527"/>
      <c r="AT1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5-3'!$D$11:$Q319,AT$4,AT$5)"),"")</f>
        <v/>
      </c>
      <c r="AU154" s="531"/>
      <c r="AV1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5-3'!$D$11:$Q319,AV$4,AV$5)"),"")</f>
        <v/>
      </c>
      <c r="AW154" s="530"/>
      <c r="AX1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5-3'!$D$11:$Q319,AX$4,AX$5)"),"")</f>
        <v/>
      </c>
      <c r="AY154" s="530"/>
      <c r="AZ1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5-3'!$D$11:$Q319,AZ$4,AZ$5)"),"")</f>
        <v/>
      </c>
      <c r="BA154" s="530"/>
      <c r="BB1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5-3'!$D$11:$Q319,BB$4,BB$5)"),"")</f>
        <v/>
      </c>
      <c r="BC154" s="532"/>
      <c r="BD1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5-3'!$D$11:$Q319,BD$4,BD$5)"),"")</f>
        <v/>
      </c>
      <c r="BE154" s="530"/>
      <c r="BF154" s="530"/>
      <c r="BG154" s="530"/>
      <c r="BH154" s="530"/>
      <c r="BI1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5-3'!$D$11:$Q319,BI$4,BI$5)"),"")</f>
        <v/>
      </c>
      <c r="BJ154" s="535"/>
      <c r="BK1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5-3'!$D$11:$Q319,BK$4,BK$5)"),"")</f>
        <v/>
      </c>
      <c r="BL154" s="534"/>
      <c r="BM1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5-3'!$D$11:$Q319,BM$4,BM$5)"),"")</f>
        <v/>
      </c>
      <c r="BN154" s="534"/>
      <c r="BO1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5-3'!$D$11:$Q319,BO$4,BO$5)"),"")</f>
        <v/>
      </c>
      <c r="BP154" s="534"/>
      <c r="BQ1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5-3'!$D$11:$Q319,BQ$4,BQ$5)"),"")</f>
        <v/>
      </c>
      <c r="BR154" s="536"/>
      <c r="BS1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5-3'!$D$11:$Q319,BS$4,BS$5)"),"")</f>
        <v/>
      </c>
      <c r="BT154" s="534"/>
      <c r="BU154" s="534"/>
      <c r="BV154" s="534"/>
      <c r="BW154" s="534"/>
      <c r="BX1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5-3'!$D$11:$Q319,BX$4,BX$5)"),"")</f>
        <v/>
      </c>
      <c r="BY154" s="538"/>
      <c r="BZ1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5-3'!$D$11:$Q319,BZ$4,BZ$5)"),"")</f>
        <v/>
      </c>
      <c r="CA154" s="537"/>
      <c r="CB1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5-3'!$D$11:$Q319,CB$4,CB$5)"),"")</f>
        <v/>
      </c>
      <c r="CC154" s="537"/>
      <c r="CD1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5-3'!$D$11:$Q319,CD$4,CD$5)"),"")</f>
        <v/>
      </c>
      <c r="CE154" s="537"/>
      <c r="CF1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5-3'!$D$11:$Q319,CF$4,CF$5)"),"")</f>
        <v/>
      </c>
      <c r="CG154" s="539"/>
      <c r="CH1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5-3'!$D$11:$Q319,CH$4,CH$5)"),"")</f>
        <v/>
      </c>
      <c r="CI154" s="537"/>
      <c r="CJ154" s="537"/>
      <c r="CK154" s="537"/>
      <c r="CL154" s="537"/>
      <c r="CM1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5-3'!$D$11:$Q319,CM$4,CM$5)"),"")</f>
        <v/>
      </c>
      <c r="CN154" s="541"/>
      <c r="CO1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5-3'!$D$11:$Q319,CO$4,CO$5)"),"")</f>
        <v/>
      </c>
      <c r="CP154" s="540"/>
      <c r="CQ1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5-3'!$D$11:$Q319,CQ$4,CQ$5)"),"")</f>
        <v/>
      </c>
      <c r="CR154" s="540"/>
      <c r="CS1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5-3'!$D$11:$Q319,CS$4,CS$5)"),"")</f>
        <v/>
      </c>
      <c r="CT154" s="540"/>
      <c r="CU1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5-3'!$D$11:$Q319,CU$4,CU$5)"),"")</f>
        <v/>
      </c>
      <c r="CV154" s="545"/>
      <c r="CW1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5-3'!$D$11:$Q319,CW$4,CW$5)"),"")</f>
        <v/>
      </c>
      <c r="CX154" s="540"/>
      <c r="CY154" s="540"/>
      <c r="CZ154" s="540"/>
      <c r="DA154" s="540"/>
      <c r="DB1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5-3'!$D$11:$Q319,DB$4,DB$5)"),"")</f>
        <v/>
      </c>
      <c r="DC154" s="555"/>
      <c r="DD1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5-3'!$D$11:$Q319,DD$4,DD$5)"),"")</f>
        <v/>
      </c>
      <c r="DE154" s="554"/>
      <c r="DF1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5-3'!$D$11:$Q319,DF$4,DF$5)"),"")</f>
        <v/>
      </c>
      <c r="DG154" s="554"/>
      <c r="DH1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5-3'!$D$11:$Q319,DH$4,DH$5)"),"")</f>
        <v/>
      </c>
      <c r="DI154" s="554"/>
      <c r="DJ1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5-3'!$D$11:$Q319,DJ$4,DJ$5)"),"")</f>
        <v/>
      </c>
      <c r="DK154" s="566"/>
      <c r="DL1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5-3'!$D$11:$Q319,DL$4,DL$5)"),"")</f>
        <v/>
      </c>
      <c r="DM154" s="554"/>
      <c r="DN154" s="554"/>
      <c r="DO154" s="554"/>
      <c r="DP154" s="554"/>
      <c r="DQ1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5-3'!$D$11:$Q319,DQ$4,DQ$5)"),"")</f>
        <v/>
      </c>
      <c r="DR154" s="569"/>
      <c r="DS1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5-3'!$D$11:$Q319,DS$4,DS$5)"),"")</f>
        <v/>
      </c>
      <c r="DT154" s="568"/>
      <c r="DU1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5-3'!$D$11:$Q319,DU$4,DU$5)"),"")</f>
        <v/>
      </c>
      <c r="DV154" s="568"/>
      <c r="DW1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5-3'!$D$11:$Q319,DW$4,DW$5)"),"")</f>
        <v/>
      </c>
      <c r="DX154" s="568"/>
      <c r="DY1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5-3'!$D$11:$Q319,DY$4,DY$5)"),"")</f>
        <v/>
      </c>
      <c r="DZ154" s="578"/>
      <c r="EA1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$C154, 'S-10 Топ 5-3'!$D$11:$Q319,EA$4,EA$5)"),"")</f>
        <v/>
      </c>
      <c r="EB154" s="568"/>
      <c r="EC154" s="568"/>
      <c r="ED154" s="568"/>
      <c r="EE154" s="568"/>
    </row>
    <row r="155">
      <c r="A155" s="519" t="str">
        <f t="shared" si="1"/>
        <v/>
      </c>
      <c r="B155" s="520" t="str">
        <f>'5-0 Товары'!B155</f>
        <v/>
      </c>
      <c r="C155" s="521" t="str">
        <f>'5-1 Сбор КП Закупки'!C155</f>
        <v/>
      </c>
      <c r="D155" s="521" t="str">
        <f>'5-1 Сбор КП Закупки'!D155</f>
        <v/>
      </c>
      <c r="E155" s="521" t="str">
        <f>'5-1 Сбор КП Закупки'!E155</f>
        <v/>
      </c>
      <c r="F155" s="521" t="str">
        <f>'5-1 Сбор КП Закупки'!F155</f>
        <v/>
      </c>
      <c r="G155" s="522" t="str">
        <f>'5-1 Сбор КП Закупки'!G155</f>
        <v/>
      </c>
      <c r="H155" s="522" t="str">
        <f>'5-1 Сбор КП Закупки'!H155</f>
        <v/>
      </c>
      <c r="I155" s="522" t="str">
        <f>'5-1 Сбор КП Закупки'!I155</f>
        <v/>
      </c>
      <c r="J155" s="197"/>
      <c r="K155" s="522" t="str">
        <f>'5-1 Сбор КП Закупки'!G155</f>
        <v/>
      </c>
      <c r="L155" s="523" t="str">
        <f>IF(A155="Да",'5-1 Сбор КП Закупки'!K155,)</f>
        <v/>
      </c>
      <c r="M155" s="197"/>
      <c r="N155" s="197"/>
      <c r="O155" s="197"/>
      <c r="P155" s="525" t="str">
        <f>'5-1 Сбор КП Закупки'!P155</f>
        <v/>
      </c>
      <c r="Q155" s="197"/>
      <c r="R155" s="197"/>
      <c r="S155" s="197"/>
      <c r="T155" s="197"/>
      <c r="U155" s="197"/>
      <c r="V155" s="197"/>
      <c r="W155" s="522" t="str">
        <f>'5-1 Сбор КП Закупки'!O155</f>
        <v/>
      </c>
      <c r="X155" s="197"/>
      <c r="Y155" s="197"/>
      <c r="Z155" s="197"/>
      <c r="AA155" s="197"/>
      <c r="AB155" s="197">
        <v>0.0</v>
      </c>
      <c r="AC155" s="197"/>
      <c r="AD155" s="197"/>
      <c r="AE1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5-3'!$D$11:$Q319,AE$4,AE$5)"),"")</f>
        <v/>
      </c>
      <c r="AF155" s="528"/>
      <c r="AG1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5-3'!$D$11:$Q319,AG$4,AG$5)"),"")</f>
        <v/>
      </c>
      <c r="AH155" s="527"/>
      <c r="AI1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5-3'!$D$11:$Q319,AI$4,AI$5)"),"")</f>
        <v/>
      </c>
      <c r="AJ155" s="527"/>
      <c r="AK1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5-3'!$D$11:$Q319,AK$4,AK$5)"),"")</f>
        <v/>
      </c>
      <c r="AL155" s="527"/>
      <c r="AM1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5-3'!$D$11:$Q319,AM$4,AM$5)"),"")</f>
        <v/>
      </c>
      <c r="AN155" s="529"/>
      <c r="AO1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5-3'!$D$11:$Q319,AO$4,AO$5)"),"")</f>
        <v/>
      </c>
      <c r="AP155" s="527"/>
      <c r="AQ155" s="527"/>
      <c r="AR155" s="527"/>
      <c r="AS155" s="527"/>
      <c r="AT1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5-3'!$D$11:$Q319,AT$4,AT$5)"),"")</f>
        <v/>
      </c>
      <c r="AU155" s="531"/>
      <c r="AV1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5-3'!$D$11:$Q319,AV$4,AV$5)"),"")</f>
        <v/>
      </c>
      <c r="AW155" s="530"/>
      <c r="AX1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5-3'!$D$11:$Q319,AX$4,AX$5)"),"")</f>
        <v/>
      </c>
      <c r="AY155" s="530"/>
      <c r="AZ1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5-3'!$D$11:$Q319,AZ$4,AZ$5)"),"")</f>
        <v/>
      </c>
      <c r="BA155" s="530"/>
      <c r="BB1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5-3'!$D$11:$Q319,BB$4,BB$5)"),"")</f>
        <v/>
      </c>
      <c r="BC155" s="532"/>
      <c r="BD1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5-3'!$D$11:$Q319,BD$4,BD$5)"),"")</f>
        <v/>
      </c>
      <c r="BE155" s="530"/>
      <c r="BF155" s="530"/>
      <c r="BG155" s="530"/>
      <c r="BH155" s="530"/>
      <c r="BI1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5-3'!$D$11:$Q319,BI$4,BI$5)"),"")</f>
        <v/>
      </c>
      <c r="BJ155" s="535"/>
      <c r="BK1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5-3'!$D$11:$Q319,BK$4,BK$5)"),"")</f>
        <v/>
      </c>
      <c r="BL155" s="534"/>
      <c r="BM1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5-3'!$D$11:$Q319,BM$4,BM$5)"),"")</f>
        <v/>
      </c>
      <c r="BN155" s="534"/>
      <c r="BO1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5-3'!$D$11:$Q319,BO$4,BO$5)"),"")</f>
        <v/>
      </c>
      <c r="BP155" s="534"/>
      <c r="BQ1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5-3'!$D$11:$Q319,BQ$4,BQ$5)"),"")</f>
        <v/>
      </c>
      <c r="BR155" s="536"/>
      <c r="BS1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5-3'!$D$11:$Q319,BS$4,BS$5)"),"")</f>
        <v/>
      </c>
      <c r="BT155" s="534"/>
      <c r="BU155" s="534"/>
      <c r="BV155" s="534"/>
      <c r="BW155" s="534"/>
      <c r="BX1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5-3'!$D$11:$Q319,BX$4,BX$5)"),"")</f>
        <v/>
      </c>
      <c r="BY155" s="538"/>
      <c r="BZ1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5-3'!$D$11:$Q319,BZ$4,BZ$5)"),"")</f>
        <v/>
      </c>
      <c r="CA155" s="537"/>
      <c r="CB1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5-3'!$D$11:$Q319,CB$4,CB$5)"),"")</f>
        <v/>
      </c>
      <c r="CC155" s="537"/>
      <c r="CD1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5-3'!$D$11:$Q319,CD$4,CD$5)"),"")</f>
        <v/>
      </c>
      <c r="CE155" s="537"/>
      <c r="CF1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5-3'!$D$11:$Q319,CF$4,CF$5)"),"")</f>
        <v/>
      </c>
      <c r="CG155" s="539"/>
      <c r="CH1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5-3'!$D$11:$Q319,CH$4,CH$5)"),"")</f>
        <v/>
      </c>
      <c r="CI155" s="537"/>
      <c r="CJ155" s="537"/>
      <c r="CK155" s="537"/>
      <c r="CL155" s="537"/>
      <c r="CM1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5-3'!$D$11:$Q319,CM$4,CM$5)"),"")</f>
        <v/>
      </c>
      <c r="CN155" s="541"/>
      <c r="CO1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5-3'!$D$11:$Q319,CO$4,CO$5)"),"")</f>
        <v/>
      </c>
      <c r="CP155" s="540"/>
      <c r="CQ1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5-3'!$D$11:$Q319,CQ$4,CQ$5)"),"")</f>
        <v/>
      </c>
      <c r="CR155" s="540"/>
      <c r="CS1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5-3'!$D$11:$Q319,CS$4,CS$5)"),"")</f>
        <v/>
      </c>
      <c r="CT155" s="540"/>
      <c r="CU1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5-3'!$D$11:$Q319,CU$4,CU$5)"),"")</f>
        <v/>
      </c>
      <c r="CV155" s="545"/>
      <c r="CW1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5-3'!$D$11:$Q319,CW$4,CW$5)"),"")</f>
        <v/>
      </c>
      <c r="CX155" s="540"/>
      <c r="CY155" s="540"/>
      <c r="CZ155" s="540"/>
      <c r="DA155" s="540"/>
      <c r="DB1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5-3'!$D$11:$Q319,DB$4,DB$5)"),"")</f>
        <v/>
      </c>
      <c r="DC155" s="555"/>
      <c r="DD1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5-3'!$D$11:$Q319,DD$4,DD$5)"),"")</f>
        <v/>
      </c>
      <c r="DE155" s="554"/>
      <c r="DF1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5-3'!$D$11:$Q319,DF$4,DF$5)"),"")</f>
        <v/>
      </c>
      <c r="DG155" s="554"/>
      <c r="DH1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5-3'!$D$11:$Q319,DH$4,DH$5)"),"")</f>
        <v/>
      </c>
      <c r="DI155" s="554"/>
      <c r="DJ1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5-3'!$D$11:$Q319,DJ$4,DJ$5)"),"")</f>
        <v/>
      </c>
      <c r="DK155" s="566"/>
      <c r="DL1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5-3'!$D$11:$Q319,DL$4,DL$5)"),"")</f>
        <v/>
      </c>
      <c r="DM155" s="554"/>
      <c r="DN155" s="554"/>
      <c r="DO155" s="554"/>
      <c r="DP155" s="554"/>
      <c r="DQ1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5-3'!$D$11:$Q319,DQ$4,DQ$5)"),"")</f>
        <v/>
      </c>
      <c r="DR155" s="569"/>
      <c r="DS1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5-3'!$D$11:$Q319,DS$4,DS$5)"),"")</f>
        <v/>
      </c>
      <c r="DT155" s="568"/>
      <c r="DU1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5-3'!$D$11:$Q319,DU$4,DU$5)"),"")</f>
        <v/>
      </c>
      <c r="DV155" s="568"/>
      <c r="DW1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5-3'!$D$11:$Q319,DW$4,DW$5)"),"")</f>
        <v/>
      </c>
      <c r="DX155" s="568"/>
      <c r="DY1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5-3'!$D$11:$Q319,DY$4,DY$5)"),"")</f>
        <v/>
      </c>
      <c r="DZ155" s="578"/>
      <c r="EA1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$C155, 'S-10 Топ 5-3'!$D$11:$Q319,EA$4,EA$5)"),"")</f>
        <v/>
      </c>
      <c r="EB155" s="568"/>
      <c r="EC155" s="568"/>
      <c r="ED155" s="568"/>
      <c r="EE155" s="568"/>
    </row>
    <row r="156">
      <c r="A156" s="519" t="str">
        <f t="shared" si="1"/>
        <v/>
      </c>
      <c r="B156" s="520" t="str">
        <f>'5-0 Товары'!B156</f>
        <v/>
      </c>
      <c r="C156" s="521" t="str">
        <f>'5-1 Сбор КП Закупки'!C156</f>
        <v/>
      </c>
      <c r="D156" s="521" t="str">
        <f>'5-1 Сбор КП Закупки'!D156</f>
        <v/>
      </c>
      <c r="E156" s="521" t="str">
        <f>'5-1 Сбор КП Закупки'!E156</f>
        <v/>
      </c>
      <c r="F156" s="521" t="str">
        <f>'5-1 Сбор КП Закупки'!F156</f>
        <v/>
      </c>
      <c r="G156" s="522" t="str">
        <f>'5-1 Сбор КП Закупки'!G156</f>
        <v/>
      </c>
      <c r="H156" s="522" t="str">
        <f>'5-1 Сбор КП Закупки'!H156</f>
        <v/>
      </c>
      <c r="I156" s="522" t="str">
        <f>'5-1 Сбор КП Закупки'!I156</f>
        <v/>
      </c>
      <c r="J156" s="197"/>
      <c r="K156" s="522" t="str">
        <f>'5-1 Сбор КП Закупки'!G156</f>
        <v/>
      </c>
      <c r="L156" s="523" t="str">
        <f>IF(A156="Да",'5-1 Сбор КП Закупки'!K156,)</f>
        <v/>
      </c>
      <c r="M156" s="197"/>
      <c r="N156" s="197"/>
      <c r="O156" s="197"/>
      <c r="P156" s="525" t="str">
        <f>'5-1 Сбор КП Закупки'!P156</f>
        <v/>
      </c>
      <c r="Q156" s="197"/>
      <c r="R156" s="197"/>
      <c r="S156" s="197"/>
      <c r="T156" s="197"/>
      <c r="U156" s="197"/>
      <c r="V156" s="197"/>
      <c r="W156" s="522" t="str">
        <f>'5-1 Сбор КП Закупки'!O156</f>
        <v/>
      </c>
      <c r="X156" s="197"/>
      <c r="Y156" s="197"/>
      <c r="Z156" s="197"/>
      <c r="AA156" s="197"/>
      <c r="AB156" s="197">
        <v>0.0</v>
      </c>
      <c r="AC156" s="197"/>
      <c r="AD156" s="197"/>
      <c r="AE1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5-3'!$D$11:$Q319,AE$4,AE$5)"),"")</f>
        <v/>
      </c>
      <c r="AF156" s="528"/>
      <c r="AG1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5-3'!$D$11:$Q319,AG$4,AG$5)"),"")</f>
        <v/>
      </c>
      <c r="AH156" s="527"/>
      <c r="AI1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5-3'!$D$11:$Q319,AI$4,AI$5)"),"")</f>
        <v/>
      </c>
      <c r="AJ156" s="527"/>
      <c r="AK1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5-3'!$D$11:$Q319,AK$4,AK$5)"),"")</f>
        <v/>
      </c>
      <c r="AL156" s="527"/>
      <c r="AM1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5-3'!$D$11:$Q319,AM$4,AM$5)"),"")</f>
        <v/>
      </c>
      <c r="AN156" s="529"/>
      <c r="AO1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5-3'!$D$11:$Q319,AO$4,AO$5)"),"")</f>
        <v/>
      </c>
      <c r="AP156" s="527"/>
      <c r="AQ156" s="527"/>
      <c r="AR156" s="527"/>
      <c r="AS156" s="527"/>
      <c r="AT1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5-3'!$D$11:$Q319,AT$4,AT$5)"),"")</f>
        <v/>
      </c>
      <c r="AU156" s="531"/>
      <c r="AV1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5-3'!$D$11:$Q319,AV$4,AV$5)"),"")</f>
        <v/>
      </c>
      <c r="AW156" s="530"/>
      <c r="AX1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5-3'!$D$11:$Q319,AX$4,AX$5)"),"")</f>
        <v/>
      </c>
      <c r="AY156" s="530"/>
      <c r="AZ1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5-3'!$D$11:$Q319,AZ$4,AZ$5)"),"")</f>
        <v/>
      </c>
      <c r="BA156" s="530"/>
      <c r="BB1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5-3'!$D$11:$Q319,BB$4,BB$5)"),"")</f>
        <v/>
      </c>
      <c r="BC156" s="532"/>
      <c r="BD1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5-3'!$D$11:$Q319,BD$4,BD$5)"),"")</f>
        <v/>
      </c>
      <c r="BE156" s="530"/>
      <c r="BF156" s="530"/>
      <c r="BG156" s="530"/>
      <c r="BH156" s="530"/>
      <c r="BI1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5-3'!$D$11:$Q319,BI$4,BI$5)"),"")</f>
        <v/>
      </c>
      <c r="BJ156" s="535"/>
      <c r="BK1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5-3'!$D$11:$Q319,BK$4,BK$5)"),"")</f>
        <v/>
      </c>
      <c r="BL156" s="534"/>
      <c r="BM1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5-3'!$D$11:$Q319,BM$4,BM$5)"),"")</f>
        <v/>
      </c>
      <c r="BN156" s="534"/>
      <c r="BO1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5-3'!$D$11:$Q319,BO$4,BO$5)"),"")</f>
        <v/>
      </c>
      <c r="BP156" s="534"/>
      <c r="BQ1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5-3'!$D$11:$Q319,BQ$4,BQ$5)"),"")</f>
        <v/>
      </c>
      <c r="BR156" s="536"/>
      <c r="BS1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5-3'!$D$11:$Q319,BS$4,BS$5)"),"")</f>
        <v/>
      </c>
      <c r="BT156" s="534"/>
      <c r="BU156" s="534"/>
      <c r="BV156" s="534"/>
      <c r="BW156" s="534"/>
      <c r="BX1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5-3'!$D$11:$Q319,BX$4,BX$5)"),"")</f>
        <v/>
      </c>
      <c r="BY156" s="538"/>
      <c r="BZ1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5-3'!$D$11:$Q319,BZ$4,BZ$5)"),"")</f>
        <v/>
      </c>
      <c r="CA156" s="537"/>
      <c r="CB1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5-3'!$D$11:$Q319,CB$4,CB$5)"),"")</f>
        <v/>
      </c>
      <c r="CC156" s="537"/>
      <c r="CD1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5-3'!$D$11:$Q319,CD$4,CD$5)"),"")</f>
        <v/>
      </c>
      <c r="CE156" s="537"/>
      <c r="CF1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5-3'!$D$11:$Q319,CF$4,CF$5)"),"")</f>
        <v/>
      </c>
      <c r="CG156" s="539"/>
      <c r="CH1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5-3'!$D$11:$Q319,CH$4,CH$5)"),"")</f>
        <v/>
      </c>
      <c r="CI156" s="537"/>
      <c r="CJ156" s="537"/>
      <c r="CK156" s="537"/>
      <c r="CL156" s="537"/>
      <c r="CM1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5-3'!$D$11:$Q319,CM$4,CM$5)"),"")</f>
        <v/>
      </c>
      <c r="CN156" s="541"/>
      <c r="CO1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5-3'!$D$11:$Q319,CO$4,CO$5)"),"")</f>
        <v/>
      </c>
      <c r="CP156" s="540"/>
      <c r="CQ1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5-3'!$D$11:$Q319,CQ$4,CQ$5)"),"")</f>
        <v/>
      </c>
      <c r="CR156" s="540"/>
      <c r="CS1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5-3'!$D$11:$Q319,CS$4,CS$5)"),"")</f>
        <v/>
      </c>
      <c r="CT156" s="540"/>
      <c r="CU1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5-3'!$D$11:$Q319,CU$4,CU$5)"),"")</f>
        <v/>
      </c>
      <c r="CV156" s="545"/>
      <c r="CW1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5-3'!$D$11:$Q319,CW$4,CW$5)"),"")</f>
        <v/>
      </c>
      <c r="CX156" s="540"/>
      <c r="CY156" s="540"/>
      <c r="CZ156" s="540"/>
      <c r="DA156" s="540"/>
      <c r="DB1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5-3'!$D$11:$Q319,DB$4,DB$5)"),"")</f>
        <v/>
      </c>
      <c r="DC156" s="555"/>
      <c r="DD1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5-3'!$D$11:$Q319,DD$4,DD$5)"),"")</f>
        <v/>
      </c>
      <c r="DE156" s="554"/>
      <c r="DF1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5-3'!$D$11:$Q319,DF$4,DF$5)"),"")</f>
        <v/>
      </c>
      <c r="DG156" s="554"/>
      <c r="DH1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5-3'!$D$11:$Q319,DH$4,DH$5)"),"")</f>
        <v/>
      </c>
      <c r="DI156" s="554"/>
      <c r="DJ1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5-3'!$D$11:$Q319,DJ$4,DJ$5)"),"")</f>
        <v/>
      </c>
      <c r="DK156" s="566"/>
      <c r="DL1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5-3'!$D$11:$Q319,DL$4,DL$5)"),"")</f>
        <v/>
      </c>
      <c r="DM156" s="554"/>
      <c r="DN156" s="554"/>
      <c r="DO156" s="554"/>
      <c r="DP156" s="554"/>
      <c r="DQ1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5-3'!$D$11:$Q319,DQ$4,DQ$5)"),"")</f>
        <v/>
      </c>
      <c r="DR156" s="569"/>
      <c r="DS1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5-3'!$D$11:$Q319,DS$4,DS$5)"),"")</f>
        <v/>
      </c>
      <c r="DT156" s="568"/>
      <c r="DU1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5-3'!$D$11:$Q319,DU$4,DU$5)"),"")</f>
        <v/>
      </c>
      <c r="DV156" s="568"/>
      <c r="DW1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5-3'!$D$11:$Q319,DW$4,DW$5)"),"")</f>
        <v/>
      </c>
      <c r="DX156" s="568"/>
      <c r="DY1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5-3'!$D$11:$Q319,DY$4,DY$5)"),"")</f>
        <v/>
      </c>
      <c r="DZ156" s="578"/>
      <c r="EA1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$C156, 'S-10 Топ 5-3'!$D$11:$Q319,EA$4,EA$5)"),"")</f>
        <v/>
      </c>
      <c r="EB156" s="568"/>
      <c r="EC156" s="568"/>
      <c r="ED156" s="568"/>
      <c r="EE156" s="568"/>
    </row>
    <row r="157">
      <c r="A157" s="519" t="str">
        <f t="shared" si="1"/>
        <v/>
      </c>
      <c r="B157" s="520" t="str">
        <f>'5-0 Товары'!B157</f>
        <v/>
      </c>
      <c r="C157" s="521" t="str">
        <f>'5-1 Сбор КП Закупки'!C157</f>
        <v/>
      </c>
      <c r="D157" s="521" t="str">
        <f>'5-1 Сбор КП Закупки'!D157</f>
        <v/>
      </c>
      <c r="E157" s="521" t="str">
        <f>'5-1 Сбор КП Закупки'!E157</f>
        <v/>
      </c>
      <c r="F157" s="521" t="str">
        <f>'5-1 Сбор КП Закупки'!F157</f>
        <v/>
      </c>
      <c r="G157" s="522" t="str">
        <f>'5-1 Сбор КП Закупки'!G157</f>
        <v/>
      </c>
      <c r="H157" s="522" t="str">
        <f>'5-1 Сбор КП Закупки'!H157</f>
        <v/>
      </c>
      <c r="I157" s="522" t="str">
        <f>'5-1 Сбор КП Закупки'!I157</f>
        <v/>
      </c>
      <c r="J157" s="197"/>
      <c r="K157" s="522" t="str">
        <f>'5-1 Сбор КП Закупки'!G157</f>
        <v/>
      </c>
      <c r="L157" s="523" t="str">
        <f>IF(A157="Да",'5-1 Сбор КП Закупки'!K157,)</f>
        <v/>
      </c>
      <c r="M157" s="197"/>
      <c r="N157" s="197"/>
      <c r="O157" s="197"/>
      <c r="P157" s="525" t="str">
        <f>'5-1 Сбор КП Закупки'!P157</f>
        <v/>
      </c>
      <c r="Q157" s="197"/>
      <c r="R157" s="197"/>
      <c r="S157" s="197"/>
      <c r="T157" s="197"/>
      <c r="U157" s="197"/>
      <c r="V157" s="197"/>
      <c r="W157" s="522" t="str">
        <f>'5-1 Сбор КП Закупки'!O157</f>
        <v/>
      </c>
      <c r="X157" s="197"/>
      <c r="Y157" s="197"/>
      <c r="Z157" s="197"/>
      <c r="AA157" s="197"/>
      <c r="AB157" s="197">
        <v>0.0</v>
      </c>
      <c r="AC157" s="197"/>
      <c r="AD157" s="197"/>
      <c r="AE1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5-3'!$D$11:$Q319,AE$4,AE$5)"),"")</f>
        <v/>
      </c>
      <c r="AF157" s="528"/>
      <c r="AG1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5-3'!$D$11:$Q319,AG$4,AG$5)"),"")</f>
        <v/>
      </c>
      <c r="AH157" s="527"/>
      <c r="AI1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5-3'!$D$11:$Q319,AI$4,AI$5)"),"")</f>
        <v/>
      </c>
      <c r="AJ157" s="527"/>
      <c r="AK1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5-3'!$D$11:$Q319,AK$4,AK$5)"),"")</f>
        <v/>
      </c>
      <c r="AL157" s="527"/>
      <c r="AM1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5-3'!$D$11:$Q319,AM$4,AM$5)"),"")</f>
        <v/>
      </c>
      <c r="AN157" s="529"/>
      <c r="AO1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5-3'!$D$11:$Q319,AO$4,AO$5)"),"")</f>
        <v/>
      </c>
      <c r="AP157" s="527"/>
      <c r="AQ157" s="527"/>
      <c r="AR157" s="527"/>
      <c r="AS157" s="527"/>
      <c r="AT1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5-3'!$D$11:$Q319,AT$4,AT$5)"),"")</f>
        <v/>
      </c>
      <c r="AU157" s="531"/>
      <c r="AV1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5-3'!$D$11:$Q319,AV$4,AV$5)"),"")</f>
        <v/>
      </c>
      <c r="AW157" s="530"/>
      <c r="AX1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5-3'!$D$11:$Q319,AX$4,AX$5)"),"")</f>
        <v/>
      </c>
      <c r="AY157" s="530"/>
      <c r="AZ1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5-3'!$D$11:$Q319,AZ$4,AZ$5)"),"")</f>
        <v/>
      </c>
      <c r="BA157" s="530"/>
      <c r="BB1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5-3'!$D$11:$Q319,BB$4,BB$5)"),"")</f>
        <v/>
      </c>
      <c r="BC157" s="532"/>
      <c r="BD1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5-3'!$D$11:$Q319,BD$4,BD$5)"),"")</f>
        <v/>
      </c>
      <c r="BE157" s="530"/>
      <c r="BF157" s="530"/>
      <c r="BG157" s="530"/>
      <c r="BH157" s="530"/>
      <c r="BI1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5-3'!$D$11:$Q319,BI$4,BI$5)"),"")</f>
        <v/>
      </c>
      <c r="BJ157" s="535"/>
      <c r="BK1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5-3'!$D$11:$Q319,BK$4,BK$5)"),"")</f>
        <v/>
      </c>
      <c r="BL157" s="534"/>
      <c r="BM1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5-3'!$D$11:$Q319,BM$4,BM$5)"),"")</f>
        <v/>
      </c>
      <c r="BN157" s="534"/>
      <c r="BO1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5-3'!$D$11:$Q319,BO$4,BO$5)"),"")</f>
        <v/>
      </c>
      <c r="BP157" s="534"/>
      <c r="BQ1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5-3'!$D$11:$Q319,BQ$4,BQ$5)"),"")</f>
        <v/>
      </c>
      <c r="BR157" s="536"/>
      <c r="BS1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5-3'!$D$11:$Q319,BS$4,BS$5)"),"")</f>
        <v/>
      </c>
      <c r="BT157" s="534"/>
      <c r="BU157" s="534"/>
      <c r="BV157" s="534"/>
      <c r="BW157" s="534"/>
      <c r="BX1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5-3'!$D$11:$Q319,BX$4,BX$5)"),"")</f>
        <v/>
      </c>
      <c r="BY157" s="538"/>
      <c r="BZ1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5-3'!$D$11:$Q319,BZ$4,BZ$5)"),"")</f>
        <v/>
      </c>
      <c r="CA157" s="537"/>
      <c r="CB1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5-3'!$D$11:$Q319,CB$4,CB$5)"),"")</f>
        <v/>
      </c>
      <c r="CC157" s="537"/>
      <c r="CD1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5-3'!$D$11:$Q319,CD$4,CD$5)"),"")</f>
        <v/>
      </c>
      <c r="CE157" s="537"/>
      <c r="CF1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5-3'!$D$11:$Q319,CF$4,CF$5)"),"")</f>
        <v/>
      </c>
      <c r="CG157" s="539"/>
      <c r="CH1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5-3'!$D$11:$Q319,CH$4,CH$5)"),"")</f>
        <v/>
      </c>
      <c r="CI157" s="537"/>
      <c r="CJ157" s="537"/>
      <c r="CK157" s="537"/>
      <c r="CL157" s="537"/>
      <c r="CM1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5-3'!$D$11:$Q319,CM$4,CM$5)"),"")</f>
        <v/>
      </c>
      <c r="CN157" s="541"/>
      <c r="CO1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5-3'!$D$11:$Q319,CO$4,CO$5)"),"")</f>
        <v/>
      </c>
      <c r="CP157" s="540"/>
      <c r="CQ1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5-3'!$D$11:$Q319,CQ$4,CQ$5)"),"")</f>
        <v/>
      </c>
      <c r="CR157" s="540"/>
      <c r="CS1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5-3'!$D$11:$Q319,CS$4,CS$5)"),"")</f>
        <v/>
      </c>
      <c r="CT157" s="540"/>
      <c r="CU1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5-3'!$D$11:$Q319,CU$4,CU$5)"),"")</f>
        <v/>
      </c>
      <c r="CV157" s="545"/>
      <c r="CW1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5-3'!$D$11:$Q319,CW$4,CW$5)"),"")</f>
        <v/>
      </c>
      <c r="CX157" s="540"/>
      <c r="CY157" s="540"/>
      <c r="CZ157" s="540"/>
      <c r="DA157" s="540"/>
      <c r="DB1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5-3'!$D$11:$Q319,DB$4,DB$5)"),"")</f>
        <v/>
      </c>
      <c r="DC157" s="555"/>
      <c r="DD1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5-3'!$D$11:$Q319,DD$4,DD$5)"),"")</f>
        <v/>
      </c>
      <c r="DE157" s="554"/>
      <c r="DF1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5-3'!$D$11:$Q319,DF$4,DF$5)"),"")</f>
        <v/>
      </c>
      <c r="DG157" s="554"/>
      <c r="DH1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5-3'!$D$11:$Q319,DH$4,DH$5)"),"")</f>
        <v/>
      </c>
      <c r="DI157" s="554"/>
      <c r="DJ1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5-3'!$D$11:$Q319,DJ$4,DJ$5)"),"")</f>
        <v/>
      </c>
      <c r="DK157" s="566"/>
      <c r="DL1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5-3'!$D$11:$Q319,DL$4,DL$5)"),"")</f>
        <v/>
      </c>
      <c r="DM157" s="554"/>
      <c r="DN157" s="554"/>
      <c r="DO157" s="554"/>
      <c r="DP157" s="554"/>
      <c r="DQ1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5-3'!$D$11:$Q319,DQ$4,DQ$5)"),"")</f>
        <v/>
      </c>
      <c r="DR157" s="569"/>
      <c r="DS1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5-3'!$D$11:$Q319,DS$4,DS$5)"),"")</f>
        <v/>
      </c>
      <c r="DT157" s="568"/>
      <c r="DU1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5-3'!$D$11:$Q319,DU$4,DU$5)"),"")</f>
        <v/>
      </c>
      <c r="DV157" s="568"/>
      <c r="DW1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5-3'!$D$11:$Q319,DW$4,DW$5)"),"")</f>
        <v/>
      </c>
      <c r="DX157" s="568"/>
      <c r="DY1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5-3'!$D$11:$Q319,DY$4,DY$5)"),"")</f>
        <v/>
      </c>
      <c r="DZ157" s="578"/>
      <c r="EA1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$C157, 'S-10 Топ 5-3'!$D$11:$Q319,EA$4,EA$5)"),"")</f>
        <v/>
      </c>
      <c r="EB157" s="568"/>
      <c r="EC157" s="568"/>
      <c r="ED157" s="568"/>
      <c r="EE157" s="568"/>
    </row>
    <row r="158">
      <c r="A158" s="519" t="str">
        <f t="shared" si="1"/>
        <v/>
      </c>
      <c r="B158" s="520" t="str">
        <f>'5-0 Товары'!B158</f>
        <v/>
      </c>
      <c r="C158" s="521" t="str">
        <f>'5-1 Сбор КП Закупки'!C158</f>
        <v/>
      </c>
      <c r="D158" s="521" t="str">
        <f>'5-1 Сбор КП Закупки'!D158</f>
        <v/>
      </c>
      <c r="E158" s="521" t="str">
        <f>'5-1 Сбор КП Закупки'!E158</f>
        <v/>
      </c>
      <c r="F158" s="521" t="str">
        <f>'5-1 Сбор КП Закупки'!F158</f>
        <v/>
      </c>
      <c r="G158" s="522" t="str">
        <f>'5-1 Сбор КП Закупки'!G158</f>
        <v/>
      </c>
      <c r="H158" s="522" t="str">
        <f>'5-1 Сбор КП Закупки'!H158</f>
        <v/>
      </c>
      <c r="I158" s="522" t="str">
        <f>'5-1 Сбор КП Закупки'!I158</f>
        <v/>
      </c>
      <c r="J158" s="197"/>
      <c r="K158" s="522" t="str">
        <f>'5-1 Сбор КП Закупки'!G158</f>
        <v/>
      </c>
      <c r="L158" s="523" t="str">
        <f>IF(A158="Да",'5-1 Сбор КП Закупки'!K158,)</f>
        <v/>
      </c>
      <c r="M158" s="197"/>
      <c r="N158" s="197"/>
      <c r="O158" s="197"/>
      <c r="P158" s="525" t="str">
        <f>'5-1 Сбор КП Закупки'!P158</f>
        <v/>
      </c>
      <c r="Q158" s="197"/>
      <c r="R158" s="197"/>
      <c r="S158" s="197"/>
      <c r="T158" s="197"/>
      <c r="U158" s="197"/>
      <c r="V158" s="197"/>
      <c r="W158" s="522" t="str">
        <f>'5-1 Сбор КП Закупки'!O158</f>
        <v/>
      </c>
      <c r="X158" s="197"/>
      <c r="Y158" s="197"/>
      <c r="Z158" s="197"/>
      <c r="AA158" s="197"/>
      <c r="AB158" s="197">
        <v>0.0</v>
      </c>
      <c r="AC158" s="197"/>
      <c r="AD158" s="197"/>
      <c r="AE1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5-3'!$D$11:$Q319,AE$4,AE$5)"),"")</f>
        <v/>
      </c>
      <c r="AF158" s="528"/>
      <c r="AG1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5-3'!$D$11:$Q319,AG$4,AG$5)"),"")</f>
        <v/>
      </c>
      <c r="AH158" s="527"/>
      <c r="AI1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5-3'!$D$11:$Q319,AI$4,AI$5)"),"")</f>
        <v/>
      </c>
      <c r="AJ158" s="527"/>
      <c r="AK1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5-3'!$D$11:$Q319,AK$4,AK$5)"),"")</f>
        <v/>
      </c>
      <c r="AL158" s="527"/>
      <c r="AM1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5-3'!$D$11:$Q319,AM$4,AM$5)"),"")</f>
        <v/>
      </c>
      <c r="AN158" s="529"/>
      <c r="AO1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5-3'!$D$11:$Q319,AO$4,AO$5)"),"")</f>
        <v/>
      </c>
      <c r="AP158" s="527"/>
      <c r="AQ158" s="527"/>
      <c r="AR158" s="527"/>
      <c r="AS158" s="527"/>
      <c r="AT1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5-3'!$D$11:$Q319,AT$4,AT$5)"),"")</f>
        <v/>
      </c>
      <c r="AU158" s="531"/>
      <c r="AV1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5-3'!$D$11:$Q319,AV$4,AV$5)"),"")</f>
        <v/>
      </c>
      <c r="AW158" s="530"/>
      <c r="AX1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5-3'!$D$11:$Q319,AX$4,AX$5)"),"")</f>
        <v/>
      </c>
      <c r="AY158" s="530"/>
      <c r="AZ1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5-3'!$D$11:$Q319,AZ$4,AZ$5)"),"")</f>
        <v/>
      </c>
      <c r="BA158" s="530"/>
      <c r="BB1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5-3'!$D$11:$Q319,BB$4,BB$5)"),"")</f>
        <v/>
      </c>
      <c r="BC158" s="532"/>
      <c r="BD1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5-3'!$D$11:$Q319,BD$4,BD$5)"),"")</f>
        <v/>
      </c>
      <c r="BE158" s="530"/>
      <c r="BF158" s="530"/>
      <c r="BG158" s="530"/>
      <c r="BH158" s="530"/>
      <c r="BI1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5-3'!$D$11:$Q319,BI$4,BI$5)"),"")</f>
        <v/>
      </c>
      <c r="BJ158" s="535"/>
      <c r="BK1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5-3'!$D$11:$Q319,BK$4,BK$5)"),"")</f>
        <v/>
      </c>
      <c r="BL158" s="534"/>
      <c r="BM1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5-3'!$D$11:$Q319,BM$4,BM$5)"),"")</f>
        <v/>
      </c>
      <c r="BN158" s="534"/>
      <c r="BO1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5-3'!$D$11:$Q319,BO$4,BO$5)"),"")</f>
        <v/>
      </c>
      <c r="BP158" s="534"/>
      <c r="BQ1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5-3'!$D$11:$Q319,BQ$4,BQ$5)"),"")</f>
        <v/>
      </c>
      <c r="BR158" s="536"/>
      <c r="BS1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5-3'!$D$11:$Q319,BS$4,BS$5)"),"")</f>
        <v/>
      </c>
      <c r="BT158" s="534"/>
      <c r="BU158" s="534"/>
      <c r="BV158" s="534"/>
      <c r="BW158" s="534"/>
      <c r="BX1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5-3'!$D$11:$Q319,BX$4,BX$5)"),"")</f>
        <v/>
      </c>
      <c r="BY158" s="538"/>
      <c r="BZ1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5-3'!$D$11:$Q319,BZ$4,BZ$5)"),"")</f>
        <v/>
      </c>
      <c r="CA158" s="537"/>
      <c r="CB1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5-3'!$D$11:$Q319,CB$4,CB$5)"),"")</f>
        <v/>
      </c>
      <c r="CC158" s="537"/>
      <c r="CD1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5-3'!$D$11:$Q319,CD$4,CD$5)"),"")</f>
        <v/>
      </c>
      <c r="CE158" s="537"/>
      <c r="CF1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5-3'!$D$11:$Q319,CF$4,CF$5)"),"")</f>
        <v/>
      </c>
      <c r="CG158" s="539"/>
      <c r="CH1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5-3'!$D$11:$Q319,CH$4,CH$5)"),"")</f>
        <v/>
      </c>
      <c r="CI158" s="537"/>
      <c r="CJ158" s="537"/>
      <c r="CK158" s="537"/>
      <c r="CL158" s="537"/>
      <c r="CM1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5-3'!$D$11:$Q319,CM$4,CM$5)"),"")</f>
        <v/>
      </c>
      <c r="CN158" s="541"/>
      <c r="CO1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5-3'!$D$11:$Q319,CO$4,CO$5)"),"")</f>
        <v/>
      </c>
      <c r="CP158" s="540"/>
      <c r="CQ1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5-3'!$D$11:$Q319,CQ$4,CQ$5)"),"")</f>
        <v/>
      </c>
      <c r="CR158" s="540"/>
      <c r="CS1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5-3'!$D$11:$Q319,CS$4,CS$5)"),"")</f>
        <v/>
      </c>
      <c r="CT158" s="540"/>
      <c r="CU1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5-3'!$D$11:$Q319,CU$4,CU$5)"),"")</f>
        <v/>
      </c>
      <c r="CV158" s="545"/>
      <c r="CW1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5-3'!$D$11:$Q319,CW$4,CW$5)"),"")</f>
        <v/>
      </c>
      <c r="CX158" s="540"/>
      <c r="CY158" s="540"/>
      <c r="CZ158" s="540"/>
      <c r="DA158" s="540"/>
      <c r="DB1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5-3'!$D$11:$Q319,DB$4,DB$5)"),"")</f>
        <v/>
      </c>
      <c r="DC158" s="555"/>
      <c r="DD1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5-3'!$D$11:$Q319,DD$4,DD$5)"),"")</f>
        <v/>
      </c>
      <c r="DE158" s="554"/>
      <c r="DF1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5-3'!$D$11:$Q319,DF$4,DF$5)"),"")</f>
        <v/>
      </c>
      <c r="DG158" s="554"/>
      <c r="DH1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5-3'!$D$11:$Q319,DH$4,DH$5)"),"")</f>
        <v/>
      </c>
      <c r="DI158" s="554"/>
      <c r="DJ1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5-3'!$D$11:$Q319,DJ$4,DJ$5)"),"")</f>
        <v/>
      </c>
      <c r="DK158" s="566"/>
      <c r="DL1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5-3'!$D$11:$Q319,DL$4,DL$5)"),"")</f>
        <v/>
      </c>
      <c r="DM158" s="554"/>
      <c r="DN158" s="554"/>
      <c r="DO158" s="554"/>
      <c r="DP158" s="554"/>
      <c r="DQ1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5-3'!$D$11:$Q319,DQ$4,DQ$5)"),"")</f>
        <v/>
      </c>
      <c r="DR158" s="569"/>
      <c r="DS1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5-3'!$D$11:$Q319,DS$4,DS$5)"),"")</f>
        <v/>
      </c>
      <c r="DT158" s="568"/>
      <c r="DU1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5-3'!$D$11:$Q319,DU$4,DU$5)"),"")</f>
        <v/>
      </c>
      <c r="DV158" s="568"/>
      <c r="DW1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5-3'!$D$11:$Q319,DW$4,DW$5)"),"")</f>
        <v/>
      </c>
      <c r="DX158" s="568"/>
      <c r="DY1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5-3'!$D$11:$Q319,DY$4,DY$5)"),"")</f>
        <v/>
      </c>
      <c r="DZ158" s="578"/>
      <c r="EA1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$C158, 'S-10 Топ 5-3'!$D$11:$Q319,EA$4,EA$5)"),"")</f>
        <v/>
      </c>
      <c r="EB158" s="568"/>
      <c r="EC158" s="568"/>
      <c r="ED158" s="568"/>
      <c r="EE158" s="568"/>
    </row>
    <row r="159">
      <c r="A159" s="519" t="str">
        <f t="shared" si="1"/>
        <v/>
      </c>
      <c r="B159" s="520" t="str">
        <f>'5-0 Товары'!B159</f>
        <v/>
      </c>
      <c r="C159" s="521" t="str">
        <f>'5-1 Сбор КП Закупки'!C159</f>
        <v/>
      </c>
      <c r="D159" s="521" t="str">
        <f>'5-1 Сбор КП Закупки'!D159</f>
        <v/>
      </c>
      <c r="E159" s="521" t="str">
        <f>'5-1 Сбор КП Закупки'!E159</f>
        <v/>
      </c>
      <c r="F159" s="521" t="str">
        <f>'5-1 Сбор КП Закупки'!F159</f>
        <v/>
      </c>
      <c r="G159" s="522" t="str">
        <f>'5-1 Сбор КП Закупки'!G159</f>
        <v/>
      </c>
      <c r="H159" s="522" t="str">
        <f>'5-1 Сбор КП Закупки'!H159</f>
        <v/>
      </c>
      <c r="I159" s="522" t="str">
        <f>'5-1 Сбор КП Закупки'!I159</f>
        <v/>
      </c>
      <c r="J159" s="197"/>
      <c r="K159" s="522" t="str">
        <f>'5-1 Сбор КП Закупки'!G159</f>
        <v/>
      </c>
      <c r="L159" s="523" t="str">
        <f>IF(A159="Да",'5-1 Сбор КП Закупки'!K159,)</f>
        <v/>
      </c>
      <c r="M159" s="197"/>
      <c r="N159" s="197"/>
      <c r="O159" s="197"/>
      <c r="P159" s="525" t="str">
        <f>'5-1 Сбор КП Закупки'!P159</f>
        <v/>
      </c>
      <c r="Q159" s="197"/>
      <c r="R159" s="197"/>
      <c r="S159" s="197"/>
      <c r="T159" s="197"/>
      <c r="U159" s="197"/>
      <c r="V159" s="197"/>
      <c r="W159" s="522" t="str">
        <f>'5-1 Сбор КП Закупки'!O159</f>
        <v/>
      </c>
      <c r="X159" s="197"/>
      <c r="Y159" s="197"/>
      <c r="Z159" s="197"/>
      <c r="AA159" s="197"/>
      <c r="AB159" s="197">
        <v>0.0</v>
      </c>
      <c r="AC159" s="197"/>
      <c r="AD159" s="197"/>
      <c r="AE1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5-3'!$D$11:$Q319,AE$4,AE$5)"),"")</f>
        <v/>
      </c>
      <c r="AF159" s="528"/>
      <c r="AG1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5-3'!$D$11:$Q319,AG$4,AG$5)"),"")</f>
        <v/>
      </c>
      <c r="AH159" s="527"/>
      <c r="AI1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5-3'!$D$11:$Q319,AI$4,AI$5)"),"")</f>
        <v/>
      </c>
      <c r="AJ159" s="527"/>
      <c r="AK1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5-3'!$D$11:$Q319,AK$4,AK$5)"),"")</f>
        <v/>
      </c>
      <c r="AL159" s="527"/>
      <c r="AM1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5-3'!$D$11:$Q319,AM$4,AM$5)"),"")</f>
        <v/>
      </c>
      <c r="AN159" s="529"/>
      <c r="AO1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5-3'!$D$11:$Q319,AO$4,AO$5)"),"")</f>
        <v/>
      </c>
      <c r="AP159" s="527"/>
      <c r="AQ159" s="527"/>
      <c r="AR159" s="527"/>
      <c r="AS159" s="527"/>
      <c r="AT1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5-3'!$D$11:$Q319,AT$4,AT$5)"),"")</f>
        <v/>
      </c>
      <c r="AU159" s="531"/>
      <c r="AV1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5-3'!$D$11:$Q319,AV$4,AV$5)"),"")</f>
        <v/>
      </c>
      <c r="AW159" s="530"/>
      <c r="AX1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5-3'!$D$11:$Q319,AX$4,AX$5)"),"")</f>
        <v/>
      </c>
      <c r="AY159" s="530"/>
      <c r="AZ1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5-3'!$D$11:$Q319,AZ$4,AZ$5)"),"")</f>
        <v/>
      </c>
      <c r="BA159" s="530"/>
      <c r="BB1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5-3'!$D$11:$Q319,BB$4,BB$5)"),"")</f>
        <v/>
      </c>
      <c r="BC159" s="532"/>
      <c r="BD1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5-3'!$D$11:$Q319,BD$4,BD$5)"),"")</f>
        <v/>
      </c>
      <c r="BE159" s="530"/>
      <c r="BF159" s="530"/>
      <c r="BG159" s="530"/>
      <c r="BH159" s="530"/>
      <c r="BI1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5-3'!$D$11:$Q319,BI$4,BI$5)"),"")</f>
        <v/>
      </c>
      <c r="BJ159" s="535"/>
      <c r="BK1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5-3'!$D$11:$Q319,BK$4,BK$5)"),"")</f>
        <v/>
      </c>
      <c r="BL159" s="534"/>
      <c r="BM1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5-3'!$D$11:$Q319,BM$4,BM$5)"),"")</f>
        <v/>
      </c>
      <c r="BN159" s="534"/>
      <c r="BO1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5-3'!$D$11:$Q319,BO$4,BO$5)"),"")</f>
        <v/>
      </c>
      <c r="BP159" s="534"/>
      <c r="BQ1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5-3'!$D$11:$Q319,BQ$4,BQ$5)"),"")</f>
        <v/>
      </c>
      <c r="BR159" s="536"/>
      <c r="BS1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5-3'!$D$11:$Q319,BS$4,BS$5)"),"")</f>
        <v/>
      </c>
      <c r="BT159" s="534"/>
      <c r="BU159" s="534"/>
      <c r="BV159" s="534"/>
      <c r="BW159" s="534"/>
      <c r="BX1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5-3'!$D$11:$Q319,BX$4,BX$5)"),"")</f>
        <v/>
      </c>
      <c r="BY159" s="538"/>
      <c r="BZ1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5-3'!$D$11:$Q319,BZ$4,BZ$5)"),"")</f>
        <v/>
      </c>
      <c r="CA159" s="537"/>
      <c r="CB1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5-3'!$D$11:$Q319,CB$4,CB$5)"),"")</f>
        <v/>
      </c>
      <c r="CC159" s="537"/>
      <c r="CD1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5-3'!$D$11:$Q319,CD$4,CD$5)"),"")</f>
        <v/>
      </c>
      <c r="CE159" s="537"/>
      <c r="CF1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5-3'!$D$11:$Q319,CF$4,CF$5)"),"")</f>
        <v/>
      </c>
      <c r="CG159" s="539"/>
      <c r="CH1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5-3'!$D$11:$Q319,CH$4,CH$5)"),"")</f>
        <v/>
      </c>
      <c r="CI159" s="537"/>
      <c r="CJ159" s="537"/>
      <c r="CK159" s="537"/>
      <c r="CL159" s="537"/>
      <c r="CM1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5-3'!$D$11:$Q319,CM$4,CM$5)"),"")</f>
        <v/>
      </c>
      <c r="CN159" s="541"/>
      <c r="CO1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5-3'!$D$11:$Q319,CO$4,CO$5)"),"")</f>
        <v/>
      </c>
      <c r="CP159" s="540"/>
      <c r="CQ1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5-3'!$D$11:$Q319,CQ$4,CQ$5)"),"")</f>
        <v/>
      </c>
      <c r="CR159" s="540"/>
      <c r="CS1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5-3'!$D$11:$Q319,CS$4,CS$5)"),"")</f>
        <v/>
      </c>
      <c r="CT159" s="540"/>
      <c r="CU1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5-3'!$D$11:$Q319,CU$4,CU$5)"),"")</f>
        <v/>
      </c>
      <c r="CV159" s="545"/>
      <c r="CW1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5-3'!$D$11:$Q319,CW$4,CW$5)"),"")</f>
        <v/>
      </c>
      <c r="CX159" s="540"/>
      <c r="CY159" s="540"/>
      <c r="CZ159" s="540"/>
      <c r="DA159" s="540"/>
      <c r="DB1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5-3'!$D$11:$Q319,DB$4,DB$5)"),"")</f>
        <v/>
      </c>
      <c r="DC159" s="555"/>
      <c r="DD1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5-3'!$D$11:$Q319,DD$4,DD$5)"),"")</f>
        <v/>
      </c>
      <c r="DE159" s="554"/>
      <c r="DF1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5-3'!$D$11:$Q319,DF$4,DF$5)"),"")</f>
        <v/>
      </c>
      <c r="DG159" s="554"/>
      <c r="DH1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5-3'!$D$11:$Q319,DH$4,DH$5)"),"")</f>
        <v/>
      </c>
      <c r="DI159" s="554"/>
      <c r="DJ1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5-3'!$D$11:$Q319,DJ$4,DJ$5)"),"")</f>
        <v/>
      </c>
      <c r="DK159" s="566"/>
      <c r="DL1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5-3'!$D$11:$Q319,DL$4,DL$5)"),"")</f>
        <v/>
      </c>
      <c r="DM159" s="554"/>
      <c r="DN159" s="554"/>
      <c r="DO159" s="554"/>
      <c r="DP159" s="554"/>
      <c r="DQ1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5-3'!$D$11:$Q319,DQ$4,DQ$5)"),"")</f>
        <v/>
      </c>
      <c r="DR159" s="569"/>
      <c r="DS1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5-3'!$D$11:$Q319,DS$4,DS$5)"),"")</f>
        <v/>
      </c>
      <c r="DT159" s="568"/>
      <c r="DU1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5-3'!$D$11:$Q319,DU$4,DU$5)"),"")</f>
        <v/>
      </c>
      <c r="DV159" s="568"/>
      <c r="DW1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5-3'!$D$11:$Q319,DW$4,DW$5)"),"")</f>
        <v/>
      </c>
      <c r="DX159" s="568"/>
      <c r="DY1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5-3'!$D$11:$Q319,DY$4,DY$5)"),"")</f>
        <v/>
      </c>
      <c r="DZ159" s="578"/>
      <c r="EA1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$C159, 'S-10 Топ 5-3'!$D$11:$Q319,EA$4,EA$5)"),"")</f>
        <v/>
      </c>
      <c r="EB159" s="568"/>
      <c r="EC159" s="568"/>
      <c r="ED159" s="568"/>
      <c r="EE159" s="568"/>
    </row>
    <row r="160">
      <c r="A160" s="519" t="str">
        <f t="shared" si="1"/>
        <v/>
      </c>
      <c r="B160" s="520" t="str">
        <f>'5-0 Товары'!B160</f>
        <v/>
      </c>
      <c r="C160" s="521" t="str">
        <f>'5-1 Сбор КП Закупки'!C160</f>
        <v/>
      </c>
      <c r="D160" s="521" t="str">
        <f>'5-1 Сбор КП Закупки'!D160</f>
        <v/>
      </c>
      <c r="E160" s="521" t="str">
        <f>'5-1 Сбор КП Закупки'!E160</f>
        <v/>
      </c>
      <c r="F160" s="521" t="str">
        <f>'5-1 Сбор КП Закупки'!F160</f>
        <v/>
      </c>
      <c r="G160" s="522" t="str">
        <f>'5-1 Сбор КП Закупки'!G160</f>
        <v/>
      </c>
      <c r="H160" s="522" t="str">
        <f>'5-1 Сбор КП Закупки'!H160</f>
        <v/>
      </c>
      <c r="I160" s="522" t="str">
        <f>'5-1 Сбор КП Закупки'!I160</f>
        <v/>
      </c>
      <c r="J160" s="197"/>
      <c r="K160" s="522" t="str">
        <f>'5-1 Сбор КП Закупки'!G160</f>
        <v/>
      </c>
      <c r="L160" s="523" t="str">
        <f>IF(A160="Да",'5-1 Сбор КП Закупки'!K160,)</f>
        <v/>
      </c>
      <c r="M160" s="197"/>
      <c r="N160" s="197"/>
      <c r="O160" s="197"/>
      <c r="P160" s="525" t="str">
        <f>'5-1 Сбор КП Закупки'!P160</f>
        <v/>
      </c>
      <c r="Q160" s="197"/>
      <c r="R160" s="197"/>
      <c r="S160" s="197"/>
      <c r="T160" s="197"/>
      <c r="U160" s="197"/>
      <c r="V160" s="197"/>
      <c r="W160" s="522" t="str">
        <f>'5-1 Сбор КП Закупки'!O160</f>
        <v/>
      </c>
      <c r="X160" s="197"/>
      <c r="Y160" s="197"/>
      <c r="Z160" s="197"/>
      <c r="AA160" s="197"/>
      <c r="AB160" s="197">
        <v>0.0</v>
      </c>
      <c r="AC160" s="197"/>
      <c r="AD160" s="197"/>
      <c r="AE1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5-3'!$D$11:$Q319,AE$4,AE$5)"),"")</f>
        <v/>
      </c>
      <c r="AF160" s="528"/>
      <c r="AG1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5-3'!$D$11:$Q319,AG$4,AG$5)"),"")</f>
        <v/>
      </c>
      <c r="AH160" s="527"/>
      <c r="AI1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5-3'!$D$11:$Q319,AI$4,AI$5)"),"")</f>
        <v/>
      </c>
      <c r="AJ160" s="527"/>
      <c r="AK1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5-3'!$D$11:$Q319,AK$4,AK$5)"),"")</f>
        <v/>
      </c>
      <c r="AL160" s="527"/>
      <c r="AM1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5-3'!$D$11:$Q319,AM$4,AM$5)"),"")</f>
        <v/>
      </c>
      <c r="AN160" s="529"/>
      <c r="AO1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5-3'!$D$11:$Q319,AO$4,AO$5)"),"")</f>
        <v/>
      </c>
      <c r="AP160" s="527"/>
      <c r="AQ160" s="527"/>
      <c r="AR160" s="527"/>
      <c r="AS160" s="527"/>
      <c r="AT1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5-3'!$D$11:$Q319,AT$4,AT$5)"),"")</f>
        <v/>
      </c>
      <c r="AU160" s="531"/>
      <c r="AV1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5-3'!$D$11:$Q319,AV$4,AV$5)"),"")</f>
        <v/>
      </c>
      <c r="AW160" s="530"/>
      <c r="AX1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5-3'!$D$11:$Q319,AX$4,AX$5)"),"")</f>
        <v/>
      </c>
      <c r="AY160" s="530"/>
      <c r="AZ1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5-3'!$D$11:$Q319,AZ$4,AZ$5)"),"")</f>
        <v/>
      </c>
      <c r="BA160" s="530"/>
      <c r="BB1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5-3'!$D$11:$Q319,BB$4,BB$5)"),"")</f>
        <v/>
      </c>
      <c r="BC160" s="532"/>
      <c r="BD1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5-3'!$D$11:$Q319,BD$4,BD$5)"),"")</f>
        <v/>
      </c>
      <c r="BE160" s="530"/>
      <c r="BF160" s="530"/>
      <c r="BG160" s="530"/>
      <c r="BH160" s="530"/>
      <c r="BI1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5-3'!$D$11:$Q319,BI$4,BI$5)"),"")</f>
        <v/>
      </c>
      <c r="BJ160" s="535"/>
      <c r="BK1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5-3'!$D$11:$Q319,BK$4,BK$5)"),"")</f>
        <v/>
      </c>
      <c r="BL160" s="534"/>
      <c r="BM1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5-3'!$D$11:$Q319,BM$4,BM$5)"),"")</f>
        <v/>
      </c>
      <c r="BN160" s="534"/>
      <c r="BO1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5-3'!$D$11:$Q319,BO$4,BO$5)"),"")</f>
        <v/>
      </c>
      <c r="BP160" s="534"/>
      <c r="BQ1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5-3'!$D$11:$Q319,BQ$4,BQ$5)"),"")</f>
        <v/>
      </c>
      <c r="BR160" s="536"/>
      <c r="BS1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5-3'!$D$11:$Q319,BS$4,BS$5)"),"")</f>
        <v/>
      </c>
      <c r="BT160" s="534"/>
      <c r="BU160" s="534"/>
      <c r="BV160" s="534"/>
      <c r="BW160" s="534"/>
      <c r="BX1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5-3'!$D$11:$Q319,BX$4,BX$5)"),"")</f>
        <v/>
      </c>
      <c r="BY160" s="538"/>
      <c r="BZ1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5-3'!$D$11:$Q319,BZ$4,BZ$5)"),"")</f>
        <v/>
      </c>
      <c r="CA160" s="537"/>
      <c r="CB1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5-3'!$D$11:$Q319,CB$4,CB$5)"),"")</f>
        <v/>
      </c>
      <c r="CC160" s="537"/>
      <c r="CD1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5-3'!$D$11:$Q319,CD$4,CD$5)"),"")</f>
        <v/>
      </c>
      <c r="CE160" s="537"/>
      <c r="CF1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5-3'!$D$11:$Q319,CF$4,CF$5)"),"")</f>
        <v/>
      </c>
      <c r="CG160" s="539"/>
      <c r="CH1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5-3'!$D$11:$Q319,CH$4,CH$5)"),"")</f>
        <v/>
      </c>
      <c r="CI160" s="537"/>
      <c r="CJ160" s="537"/>
      <c r="CK160" s="537"/>
      <c r="CL160" s="537"/>
      <c r="CM1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5-3'!$D$11:$Q319,CM$4,CM$5)"),"")</f>
        <v/>
      </c>
      <c r="CN160" s="541"/>
      <c r="CO1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5-3'!$D$11:$Q319,CO$4,CO$5)"),"")</f>
        <v/>
      </c>
      <c r="CP160" s="540"/>
      <c r="CQ1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5-3'!$D$11:$Q319,CQ$4,CQ$5)"),"")</f>
        <v/>
      </c>
      <c r="CR160" s="540"/>
      <c r="CS1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5-3'!$D$11:$Q319,CS$4,CS$5)"),"")</f>
        <v/>
      </c>
      <c r="CT160" s="540"/>
      <c r="CU1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5-3'!$D$11:$Q319,CU$4,CU$5)"),"")</f>
        <v/>
      </c>
      <c r="CV160" s="545"/>
      <c r="CW1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5-3'!$D$11:$Q319,CW$4,CW$5)"),"")</f>
        <v/>
      </c>
      <c r="CX160" s="540"/>
      <c r="CY160" s="540"/>
      <c r="CZ160" s="540"/>
      <c r="DA160" s="540"/>
      <c r="DB1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5-3'!$D$11:$Q319,DB$4,DB$5)"),"")</f>
        <v/>
      </c>
      <c r="DC160" s="555"/>
      <c r="DD1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5-3'!$D$11:$Q319,DD$4,DD$5)"),"")</f>
        <v/>
      </c>
      <c r="DE160" s="554"/>
      <c r="DF1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5-3'!$D$11:$Q319,DF$4,DF$5)"),"")</f>
        <v/>
      </c>
      <c r="DG160" s="554"/>
      <c r="DH1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5-3'!$D$11:$Q319,DH$4,DH$5)"),"")</f>
        <v/>
      </c>
      <c r="DI160" s="554"/>
      <c r="DJ1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5-3'!$D$11:$Q319,DJ$4,DJ$5)"),"")</f>
        <v/>
      </c>
      <c r="DK160" s="566"/>
      <c r="DL1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5-3'!$D$11:$Q319,DL$4,DL$5)"),"")</f>
        <v/>
      </c>
      <c r="DM160" s="554"/>
      <c r="DN160" s="554"/>
      <c r="DO160" s="554"/>
      <c r="DP160" s="554"/>
      <c r="DQ1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5-3'!$D$11:$Q319,DQ$4,DQ$5)"),"")</f>
        <v/>
      </c>
      <c r="DR160" s="569"/>
      <c r="DS1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5-3'!$D$11:$Q319,DS$4,DS$5)"),"")</f>
        <v/>
      </c>
      <c r="DT160" s="568"/>
      <c r="DU1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5-3'!$D$11:$Q319,DU$4,DU$5)"),"")</f>
        <v/>
      </c>
      <c r="DV160" s="568"/>
      <c r="DW1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5-3'!$D$11:$Q319,DW$4,DW$5)"),"")</f>
        <v/>
      </c>
      <c r="DX160" s="568"/>
      <c r="DY1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5-3'!$D$11:$Q319,DY$4,DY$5)"),"")</f>
        <v/>
      </c>
      <c r="DZ160" s="578"/>
      <c r="EA1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$C160, 'S-10 Топ 5-3'!$D$11:$Q319,EA$4,EA$5)"),"")</f>
        <v/>
      </c>
      <c r="EB160" s="568"/>
      <c r="EC160" s="568"/>
      <c r="ED160" s="568"/>
      <c r="EE160" s="568"/>
    </row>
    <row r="161">
      <c r="A161" s="519" t="str">
        <f t="shared" si="1"/>
        <v/>
      </c>
      <c r="B161" s="520" t="str">
        <f>'5-0 Товары'!B161</f>
        <v/>
      </c>
      <c r="C161" s="521" t="str">
        <f>'5-1 Сбор КП Закупки'!C161</f>
        <v/>
      </c>
      <c r="D161" s="521" t="str">
        <f>'5-1 Сбор КП Закупки'!D161</f>
        <v/>
      </c>
      <c r="E161" s="521" t="str">
        <f>'5-1 Сбор КП Закупки'!E161</f>
        <v/>
      </c>
      <c r="F161" s="521" t="str">
        <f>'5-1 Сбор КП Закупки'!F161</f>
        <v/>
      </c>
      <c r="G161" s="522" t="str">
        <f>'5-1 Сбор КП Закупки'!G161</f>
        <v/>
      </c>
      <c r="H161" s="522" t="str">
        <f>'5-1 Сбор КП Закупки'!H161</f>
        <v/>
      </c>
      <c r="I161" s="522" t="str">
        <f>'5-1 Сбор КП Закупки'!I161</f>
        <v/>
      </c>
      <c r="J161" s="197"/>
      <c r="K161" s="522" t="str">
        <f>'5-1 Сбор КП Закупки'!G161</f>
        <v/>
      </c>
      <c r="L161" s="523" t="str">
        <f>IF(A161="Да",'5-1 Сбор КП Закупки'!K161,)</f>
        <v/>
      </c>
      <c r="M161" s="197"/>
      <c r="N161" s="197"/>
      <c r="O161" s="197"/>
      <c r="P161" s="525" t="str">
        <f>'5-1 Сбор КП Закупки'!P161</f>
        <v/>
      </c>
      <c r="Q161" s="197"/>
      <c r="R161" s="197"/>
      <c r="S161" s="197"/>
      <c r="T161" s="197"/>
      <c r="U161" s="197"/>
      <c r="V161" s="197"/>
      <c r="W161" s="522" t="str">
        <f>'5-1 Сбор КП Закупки'!O161</f>
        <v/>
      </c>
      <c r="X161" s="197"/>
      <c r="Y161" s="197"/>
      <c r="Z161" s="197"/>
      <c r="AA161" s="197"/>
      <c r="AB161" s="197">
        <v>0.0</v>
      </c>
      <c r="AC161" s="197"/>
      <c r="AD161" s="197"/>
      <c r="AE1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5-3'!$D$11:$Q319,AE$4,AE$5)"),"")</f>
        <v/>
      </c>
      <c r="AF161" s="528"/>
      <c r="AG1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5-3'!$D$11:$Q319,AG$4,AG$5)"),"")</f>
        <v/>
      </c>
      <c r="AH161" s="527"/>
      <c r="AI1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5-3'!$D$11:$Q319,AI$4,AI$5)"),"")</f>
        <v/>
      </c>
      <c r="AJ161" s="527"/>
      <c r="AK1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5-3'!$D$11:$Q319,AK$4,AK$5)"),"")</f>
        <v/>
      </c>
      <c r="AL161" s="527"/>
      <c r="AM1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5-3'!$D$11:$Q319,AM$4,AM$5)"),"")</f>
        <v/>
      </c>
      <c r="AN161" s="529"/>
      <c r="AO1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5-3'!$D$11:$Q319,AO$4,AO$5)"),"")</f>
        <v/>
      </c>
      <c r="AP161" s="527"/>
      <c r="AQ161" s="527"/>
      <c r="AR161" s="527"/>
      <c r="AS161" s="527"/>
      <c r="AT1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5-3'!$D$11:$Q319,AT$4,AT$5)"),"")</f>
        <v/>
      </c>
      <c r="AU161" s="531"/>
      <c r="AV1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5-3'!$D$11:$Q319,AV$4,AV$5)"),"")</f>
        <v/>
      </c>
      <c r="AW161" s="530"/>
      <c r="AX1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5-3'!$D$11:$Q319,AX$4,AX$5)"),"")</f>
        <v/>
      </c>
      <c r="AY161" s="530"/>
      <c r="AZ1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5-3'!$D$11:$Q319,AZ$4,AZ$5)"),"")</f>
        <v/>
      </c>
      <c r="BA161" s="530"/>
      <c r="BB1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5-3'!$D$11:$Q319,BB$4,BB$5)"),"")</f>
        <v/>
      </c>
      <c r="BC161" s="532"/>
      <c r="BD1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5-3'!$D$11:$Q319,BD$4,BD$5)"),"")</f>
        <v/>
      </c>
      <c r="BE161" s="530"/>
      <c r="BF161" s="530"/>
      <c r="BG161" s="530"/>
      <c r="BH161" s="530"/>
      <c r="BI1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5-3'!$D$11:$Q319,BI$4,BI$5)"),"")</f>
        <v/>
      </c>
      <c r="BJ161" s="535"/>
      <c r="BK1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5-3'!$D$11:$Q319,BK$4,BK$5)"),"")</f>
        <v/>
      </c>
      <c r="BL161" s="534"/>
      <c r="BM1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5-3'!$D$11:$Q319,BM$4,BM$5)"),"")</f>
        <v/>
      </c>
      <c r="BN161" s="534"/>
      <c r="BO1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5-3'!$D$11:$Q319,BO$4,BO$5)"),"")</f>
        <v/>
      </c>
      <c r="BP161" s="534"/>
      <c r="BQ1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5-3'!$D$11:$Q319,BQ$4,BQ$5)"),"")</f>
        <v/>
      </c>
      <c r="BR161" s="536"/>
      <c r="BS1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5-3'!$D$11:$Q319,BS$4,BS$5)"),"")</f>
        <v/>
      </c>
      <c r="BT161" s="534"/>
      <c r="BU161" s="534"/>
      <c r="BV161" s="534"/>
      <c r="BW161" s="534"/>
      <c r="BX1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5-3'!$D$11:$Q319,BX$4,BX$5)"),"")</f>
        <v/>
      </c>
      <c r="BY161" s="538"/>
      <c r="BZ1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5-3'!$D$11:$Q319,BZ$4,BZ$5)"),"")</f>
        <v/>
      </c>
      <c r="CA161" s="537"/>
      <c r="CB1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5-3'!$D$11:$Q319,CB$4,CB$5)"),"")</f>
        <v/>
      </c>
      <c r="CC161" s="537"/>
      <c r="CD1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5-3'!$D$11:$Q319,CD$4,CD$5)"),"")</f>
        <v/>
      </c>
      <c r="CE161" s="537"/>
      <c r="CF1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5-3'!$D$11:$Q319,CF$4,CF$5)"),"")</f>
        <v/>
      </c>
      <c r="CG161" s="539"/>
      <c r="CH1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5-3'!$D$11:$Q319,CH$4,CH$5)"),"")</f>
        <v/>
      </c>
      <c r="CI161" s="537"/>
      <c r="CJ161" s="537"/>
      <c r="CK161" s="537"/>
      <c r="CL161" s="537"/>
      <c r="CM1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5-3'!$D$11:$Q319,CM$4,CM$5)"),"")</f>
        <v/>
      </c>
      <c r="CN161" s="541"/>
      <c r="CO1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5-3'!$D$11:$Q319,CO$4,CO$5)"),"")</f>
        <v/>
      </c>
      <c r="CP161" s="540"/>
      <c r="CQ1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5-3'!$D$11:$Q319,CQ$4,CQ$5)"),"")</f>
        <v/>
      </c>
      <c r="CR161" s="540"/>
      <c r="CS1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5-3'!$D$11:$Q319,CS$4,CS$5)"),"")</f>
        <v/>
      </c>
      <c r="CT161" s="540"/>
      <c r="CU1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5-3'!$D$11:$Q319,CU$4,CU$5)"),"")</f>
        <v/>
      </c>
      <c r="CV161" s="545"/>
      <c r="CW1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5-3'!$D$11:$Q319,CW$4,CW$5)"),"")</f>
        <v/>
      </c>
      <c r="CX161" s="540"/>
      <c r="CY161" s="540"/>
      <c r="CZ161" s="540"/>
      <c r="DA161" s="540"/>
      <c r="DB1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5-3'!$D$11:$Q319,DB$4,DB$5)"),"")</f>
        <v/>
      </c>
      <c r="DC161" s="555"/>
      <c r="DD1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5-3'!$D$11:$Q319,DD$4,DD$5)"),"")</f>
        <v/>
      </c>
      <c r="DE161" s="554"/>
      <c r="DF1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5-3'!$D$11:$Q319,DF$4,DF$5)"),"")</f>
        <v/>
      </c>
      <c r="DG161" s="554"/>
      <c r="DH1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5-3'!$D$11:$Q319,DH$4,DH$5)"),"")</f>
        <v/>
      </c>
      <c r="DI161" s="554"/>
      <c r="DJ1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5-3'!$D$11:$Q319,DJ$4,DJ$5)"),"")</f>
        <v/>
      </c>
      <c r="DK161" s="566"/>
      <c r="DL1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5-3'!$D$11:$Q319,DL$4,DL$5)"),"")</f>
        <v/>
      </c>
      <c r="DM161" s="554"/>
      <c r="DN161" s="554"/>
      <c r="DO161" s="554"/>
      <c r="DP161" s="554"/>
      <c r="DQ1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5-3'!$D$11:$Q319,DQ$4,DQ$5)"),"")</f>
        <v/>
      </c>
      <c r="DR161" s="569"/>
      <c r="DS1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5-3'!$D$11:$Q319,DS$4,DS$5)"),"")</f>
        <v/>
      </c>
      <c r="DT161" s="568"/>
      <c r="DU1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5-3'!$D$11:$Q319,DU$4,DU$5)"),"")</f>
        <v/>
      </c>
      <c r="DV161" s="568"/>
      <c r="DW1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5-3'!$D$11:$Q319,DW$4,DW$5)"),"")</f>
        <v/>
      </c>
      <c r="DX161" s="568"/>
      <c r="DY1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5-3'!$D$11:$Q319,DY$4,DY$5)"),"")</f>
        <v/>
      </c>
      <c r="DZ161" s="578"/>
      <c r="EA1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$C161, 'S-10 Топ 5-3'!$D$11:$Q319,EA$4,EA$5)"),"")</f>
        <v/>
      </c>
      <c r="EB161" s="568"/>
      <c r="EC161" s="568"/>
      <c r="ED161" s="568"/>
      <c r="EE161" s="568"/>
    </row>
    <row r="162">
      <c r="A162" s="519" t="str">
        <f t="shared" si="1"/>
        <v/>
      </c>
      <c r="B162" s="520" t="str">
        <f>'5-0 Товары'!B162</f>
        <v/>
      </c>
      <c r="C162" s="521" t="str">
        <f>'5-1 Сбор КП Закупки'!C162</f>
        <v/>
      </c>
      <c r="D162" s="521" t="str">
        <f>'5-1 Сбор КП Закупки'!D162</f>
        <v/>
      </c>
      <c r="E162" s="521" t="str">
        <f>'5-1 Сбор КП Закупки'!E162</f>
        <v/>
      </c>
      <c r="F162" s="521" t="str">
        <f>'5-1 Сбор КП Закупки'!F162</f>
        <v/>
      </c>
      <c r="G162" s="522" t="str">
        <f>'5-1 Сбор КП Закупки'!G162</f>
        <v/>
      </c>
      <c r="H162" s="522" t="str">
        <f>'5-1 Сбор КП Закупки'!H162</f>
        <v/>
      </c>
      <c r="I162" s="522" t="str">
        <f>'5-1 Сбор КП Закупки'!I162</f>
        <v/>
      </c>
      <c r="J162" s="197"/>
      <c r="K162" s="522" t="str">
        <f>'5-1 Сбор КП Закупки'!G162</f>
        <v/>
      </c>
      <c r="L162" s="523" t="str">
        <f>IF(A162="Да",'5-1 Сбор КП Закупки'!K162,)</f>
        <v/>
      </c>
      <c r="M162" s="197"/>
      <c r="N162" s="197"/>
      <c r="O162" s="197"/>
      <c r="P162" s="525" t="str">
        <f>'5-1 Сбор КП Закупки'!P162</f>
        <v/>
      </c>
      <c r="Q162" s="197"/>
      <c r="R162" s="197"/>
      <c r="S162" s="197"/>
      <c r="T162" s="197"/>
      <c r="U162" s="197"/>
      <c r="V162" s="197"/>
      <c r="W162" s="522" t="str">
        <f>'5-1 Сбор КП Закупки'!O162</f>
        <v/>
      </c>
      <c r="X162" s="197"/>
      <c r="Y162" s="197"/>
      <c r="Z162" s="197"/>
      <c r="AA162" s="197"/>
      <c r="AB162" s="197">
        <v>0.0</v>
      </c>
      <c r="AC162" s="197"/>
      <c r="AD162" s="197"/>
      <c r="AE1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5-3'!$D$11:$Q319,AE$4,AE$5)"),"")</f>
        <v/>
      </c>
      <c r="AF162" s="528"/>
      <c r="AG1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5-3'!$D$11:$Q319,AG$4,AG$5)"),"")</f>
        <v/>
      </c>
      <c r="AH162" s="527"/>
      <c r="AI1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5-3'!$D$11:$Q319,AI$4,AI$5)"),"")</f>
        <v/>
      </c>
      <c r="AJ162" s="527"/>
      <c r="AK1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5-3'!$D$11:$Q319,AK$4,AK$5)"),"")</f>
        <v/>
      </c>
      <c r="AL162" s="527"/>
      <c r="AM1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5-3'!$D$11:$Q319,AM$4,AM$5)"),"")</f>
        <v/>
      </c>
      <c r="AN162" s="529"/>
      <c r="AO1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5-3'!$D$11:$Q319,AO$4,AO$5)"),"")</f>
        <v/>
      </c>
      <c r="AP162" s="527"/>
      <c r="AQ162" s="527"/>
      <c r="AR162" s="527"/>
      <c r="AS162" s="527"/>
      <c r="AT1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5-3'!$D$11:$Q319,AT$4,AT$5)"),"")</f>
        <v/>
      </c>
      <c r="AU162" s="531"/>
      <c r="AV1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5-3'!$D$11:$Q319,AV$4,AV$5)"),"")</f>
        <v/>
      </c>
      <c r="AW162" s="530"/>
      <c r="AX1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5-3'!$D$11:$Q319,AX$4,AX$5)"),"")</f>
        <v/>
      </c>
      <c r="AY162" s="530"/>
      <c r="AZ1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5-3'!$D$11:$Q319,AZ$4,AZ$5)"),"")</f>
        <v/>
      </c>
      <c r="BA162" s="530"/>
      <c r="BB1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5-3'!$D$11:$Q319,BB$4,BB$5)"),"")</f>
        <v/>
      </c>
      <c r="BC162" s="532"/>
      <c r="BD1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5-3'!$D$11:$Q319,BD$4,BD$5)"),"")</f>
        <v/>
      </c>
      <c r="BE162" s="530"/>
      <c r="BF162" s="530"/>
      <c r="BG162" s="530"/>
      <c r="BH162" s="530"/>
      <c r="BI1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5-3'!$D$11:$Q319,BI$4,BI$5)"),"")</f>
        <v/>
      </c>
      <c r="BJ162" s="535"/>
      <c r="BK1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5-3'!$D$11:$Q319,BK$4,BK$5)"),"")</f>
        <v/>
      </c>
      <c r="BL162" s="534"/>
      <c r="BM1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5-3'!$D$11:$Q319,BM$4,BM$5)"),"")</f>
        <v/>
      </c>
      <c r="BN162" s="534"/>
      <c r="BO1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5-3'!$D$11:$Q319,BO$4,BO$5)"),"")</f>
        <v/>
      </c>
      <c r="BP162" s="534"/>
      <c r="BQ1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5-3'!$D$11:$Q319,BQ$4,BQ$5)"),"")</f>
        <v/>
      </c>
      <c r="BR162" s="536"/>
      <c r="BS1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5-3'!$D$11:$Q319,BS$4,BS$5)"),"")</f>
        <v/>
      </c>
      <c r="BT162" s="534"/>
      <c r="BU162" s="534"/>
      <c r="BV162" s="534"/>
      <c r="BW162" s="534"/>
      <c r="BX1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5-3'!$D$11:$Q319,BX$4,BX$5)"),"")</f>
        <v/>
      </c>
      <c r="BY162" s="538"/>
      <c r="BZ1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5-3'!$D$11:$Q319,BZ$4,BZ$5)"),"")</f>
        <v/>
      </c>
      <c r="CA162" s="537"/>
      <c r="CB1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5-3'!$D$11:$Q319,CB$4,CB$5)"),"")</f>
        <v/>
      </c>
      <c r="CC162" s="537"/>
      <c r="CD1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5-3'!$D$11:$Q319,CD$4,CD$5)"),"")</f>
        <v/>
      </c>
      <c r="CE162" s="537"/>
      <c r="CF1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5-3'!$D$11:$Q319,CF$4,CF$5)"),"")</f>
        <v/>
      </c>
      <c r="CG162" s="539"/>
      <c r="CH1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5-3'!$D$11:$Q319,CH$4,CH$5)"),"")</f>
        <v/>
      </c>
      <c r="CI162" s="537"/>
      <c r="CJ162" s="537"/>
      <c r="CK162" s="537"/>
      <c r="CL162" s="537"/>
      <c r="CM1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5-3'!$D$11:$Q319,CM$4,CM$5)"),"")</f>
        <v/>
      </c>
      <c r="CN162" s="541"/>
      <c r="CO1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5-3'!$D$11:$Q319,CO$4,CO$5)"),"")</f>
        <v/>
      </c>
      <c r="CP162" s="540"/>
      <c r="CQ1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5-3'!$D$11:$Q319,CQ$4,CQ$5)"),"")</f>
        <v/>
      </c>
      <c r="CR162" s="540"/>
      <c r="CS1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5-3'!$D$11:$Q319,CS$4,CS$5)"),"")</f>
        <v/>
      </c>
      <c r="CT162" s="540"/>
      <c r="CU1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5-3'!$D$11:$Q319,CU$4,CU$5)"),"")</f>
        <v/>
      </c>
      <c r="CV162" s="545"/>
      <c r="CW1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5-3'!$D$11:$Q319,CW$4,CW$5)"),"")</f>
        <v/>
      </c>
      <c r="CX162" s="540"/>
      <c r="CY162" s="540"/>
      <c r="CZ162" s="540"/>
      <c r="DA162" s="540"/>
      <c r="DB1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5-3'!$D$11:$Q319,DB$4,DB$5)"),"")</f>
        <v/>
      </c>
      <c r="DC162" s="555"/>
      <c r="DD1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5-3'!$D$11:$Q319,DD$4,DD$5)"),"")</f>
        <v/>
      </c>
      <c r="DE162" s="554"/>
      <c r="DF1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5-3'!$D$11:$Q319,DF$4,DF$5)"),"")</f>
        <v/>
      </c>
      <c r="DG162" s="554"/>
      <c r="DH1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5-3'!$D$11:$Q319,DH$4,DH$5)"),"")</f>
        <v/>
      </c>
      <c r="DI162" s="554"/>
      <c r="DJ1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5-3'!$D$11:$Q319,DJ$4,DJ$5)"),"")</f>
        <v/>
      </c>
      <c r="DK162" s="566"/>
      <c r="DL1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5-3'!$D$11:$Q319,DL$4,DL$5)"),"")</f>
        <v/>
      </c>
      <c r="DM162" s="554"/>
      <c r="DN162" s="554"/>
      <c r="DO162" s="554"/>
      <c r="DP162" s="554"/>
      <c r="DQ1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5-3'!$D$11:$Q319,DQ$4,DQ$5)"),"")</f>
        <v/>
      </c>
      <c r="DR162" s="569"/>
      <c r="DS1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5-3'!$D$11:$Q319,DS$4,DS$5)"),"")</f>
        <v/>
      </c>
      <c r="DT162" s="568"/>
      <c r="DU1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5-3'!$D$11:$Q319,DU$4,DU$5)"),"")</f>
        <v/>
      </c>
      <c r="DV162" s="568"/>
      <c r="DW1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5-3'!$D$11:$Q319,DW$4,DW$5)"),"")</f>
        <v/>
      </c>
      <c r="DX162" s="568"/>
      <c r="DY1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5-3'!$D$11:$Q319,DY$4,DY$5)"),"")</f>
        <v/>
      </c>
      <c r="DZ162" s="578"/>
      <c r="EA1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$C162, 'S-10 Топ 5-3'!$D$11:$Q319,EA$4,EA$5)"),"")</f>
        <v/>
      </c>
      <c r="EB162" s="568"/>
      <c r="EC162" s="568"/>
      <c r="ED162" s="568"/>
      <c r="EE162" s="568"/>
    </row>
    <row r="163">
      <c r="A163" s="519" t="str">
        <f t="shared" si="1"/>
        <v/>
      </c>
      <c r="B163" s="520" t="str">
        <f>'5-0 Товары'!B163</f>
        <v/>
      </c>
      <c r="C163" s="521" t="str">
        <f>'5-1 Сбор КП Закупки'!C163</f>
        <v/>
      </c>
      <c r="D163" s="521" t="str">
        <f>'5-1 Сбор КП Закупки'!D163</f>
        <v/>
      </c>
      <c r="E163" s="521" t="str">
        <f>'5-1 Сбор КП Закупки'!E163</f>
        <v/>
      </c>
      <c r="F163" s="521" t="str">
        <f>'5-1 Сбор КП Закупки'!F163</f>
        <v/>
      </c>
      <c r="G163" s="522" t="str">
        <f>'5-1 Сбор КП Закупки'!G163</f>
        <v/>
      </c>
      <c r="H163" s="522" t="str">
        <f>'5-1 Сбор КП Закупки'!H163</f>
        <v/>
      </c>
      <c r="I163" s="522" t="str">
        <f>'5-1 Сбор КП Закупки'!I163</f>
        <v/>
      </c>
      <c r="J163" s="197"/>
      <c r="K163" s="522" t="str">
        <f>'5-1 Сбор КП Закупки'!G163</f>
        <v/>
      </c>
      <c r="L163" s="523" t="str">
        <f>IF(A163="Да",'5-1 Сбор КП Закупки'!K163,)</f>
        <v/>
      </c>
      <c r="M163" s="197"/>
      <c r="N163" s="197"/>
      <c r="O163" s="197"/>
      <c r="P163" s="525" t="str">
        <f>'5-1 Сбор КП Закупки'!P163</f>
        <v/>
      </c>
      <c r="Q163" s="197"/>
      <c r="R163" s="197"/>
      <c r="S163" s="197"/>
      <c r="T163" s="197"/>
      <c r="U163" s="197"/>
      <c r="V163" s="197"/>
      <c r="W163" s="522" t="str">
        <f>'5-1 Сбор КП Закупки'!O163</f>
        <v/>
      </c>
      <c r="X163" s="197"/>
      <c r="Y163" s="197"/>
      <c r="Z163" s="197"/>
      <c r="AA163" s="197"/>
      <c r="AB163" s="197">
        <v>0.0</v>
      </c>
      <c r="AC163" s="197"/>
      <c r="AD163" s="197"/>
      <c r="AE1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5-3'!$D$11:$Q319,AE$4,AE$5)"),"")</f>
        <v/>
      </c>
      <c r="AF163" s="528"/>
      <c r="AG1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5-3'!$D$11:$Q319,AG$4,AG$5)"),"")</f>
        <v/>
      </c>
      <c r="AH163" s="527"/>
      <c r="AI1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5-3'!$D$11:$Q319,AI$4,AI$5)"),"")</f>
        <v/>
      </c>
      <c r="AJ163" s="527"/>
      <c r="AK1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5-3'!$D$11:$Q319,AK$4,AK$5)"),"")</f>
        <v/>
      </c>
      <c r="AL163" s="527"/>
      <c r="AM1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5-3'!$D$11:$Q319,AM$4,AM$5)"),"")</f>
        <v/>
      </c>
      <c r="AN163" s="529"/>
      <c r="AO1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5-3'!$D$11:$Q319,AO$4,AO$5)"),"")</f>
        <v/>
      </c>
      <c r="AP163" s="527"/>
      <c r="AQ163" s="527"/>
      <c r="AR163" s="527"/>
      <c r="AS163" s="527"/>
      <c r="AT1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5-3'!$D$11:$Q319,AT$4,AT$5)"),"")</f>
        <v/>
      </c>
      <c r="AU163" s="531"/>
      <c r="AV1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5-3'!$D$11:$Q319,AV$4,AV$5)"),"")</f>
        <v/>
      </c>
      <c r="AW163" s="530"/>
      <c r="AX1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5-3'!$D$11:$Q319,AX$4,AX$5)"),"")</f>
        <v/>
      </c>
      <c r="AY163" s="530"/>
      <c r="AZ1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5-3'!$D$11:$Q319,AZ$4,AZ$5)"),"")</f>
        <v/>
      </c>
      <c r="BA163" s="530"/>
      <c r="BB1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5-3'!$D$11:$Q319,BB$4,BB$5)"),"")</f>
        <v/>
      </c>
      <c r="BC163" s="532"/>
      <c r="BD1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5-3'!$D$11:$Q319,BD$4,BD$5)"),"")</f>
        <v/>
      </c>
      <c r="BE163" s="530"/>
      <c r="BF163" s="530"/>
      <c r="BG163" s="530"/>
      <c r="BH163" s="530"/>
      <c r="BI1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5-3'!$D$11:$Q319,BI$4,BI$5)"),"")</f>
        <v/>
      </c>
      <c r="BJ163" s="535"/>
      <c r="BK1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5-3'!$D$11:$Q319,BK$4,BK$5)"),"")</f>
        <v/>
      </c>
      <c r="BL163" s="534"/>
      <c r="BM1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5-3'!$D$11:$Q319,BM$4,BM$5)"),"")</f>
        <v/>
      </c>
      <c r="BN163" s="534"/>
      <c r="BO1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5-3'!$D$11:$Q319,BO$4,BO$5)"),"")</f>
        <v/>
      </c>
      <c r="BP163" s="534"/>
      <c r="BQ1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5-3'!$D$11:$Q319,BQ$4,BQ$5)"),"")</f>
        <v/>
      </c>
      <c r="BR163" s="536"/>
      <c r="BS1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5-3'!$D$11:$Q319,BS$4,BS$5)"),"")</f>
        <v/>
      </c>
      <c r="BT163" s="534"/>
      <c r="BU163" s="534"/>
      <c r="BV163" s="534"/>
      <c r="BW163" s="534"/>
      <c r="BX1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5-3'!$D$11:$Q319,BX$4,BX$5)"),"")</f>
        <v/>
      </c>
      <c r="BY163" s="538"/>
      <c r="BZ1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5-3'!$D$11:$Q319,BZ$4,BZ$5)"),"")</f>
        <v/>
      </c>
      <c r="CA163" s="537"/>
      <c r="CB1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5-3'!$D$11:$Q319,CB$4,CB$5)"),"")</f>
        <v/>
      </c>
      <c r="CC163" s="537"/>
      <c r="CD1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5-3'!$D$11:$Q319,CD$4,CD$5)"),"")</f>
        <v/>
      </c>
      <c r="CE163" s="537"/>
      <c r="CF1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5-3'!$D$11:$Q319,CF$4,CF$5)"),"")</f>
        <v/>
      </c>
      <c r="CG163" s="539"/>
      <c r="CH1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5-3'!$D$11:$Q319,CH$4,CH$5)"),"")</f>
        <v/>
      </c>
      <c r="CI163" s="537"/>
      <c r="CJ163" s="537"/>
      <c r="CK163" s="537"/>
      <c r="CL163" s="537"/>
      <c r="CM1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5-3'!$D$11:$Q319,CM$4,CM$5)"),"")</f>
        <v/>
      </c>
      <c r="CN163" s="541"/>
      <c r="CO1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5-3'!$D$11:$Q319,CO$4,CO$5)"),"")</f>
        <v/>
      </c>
      <c r="CP163" s="540"/>
      <c r="CQ1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5-3'!$D$11:$Q319,CQ$4,CQ$5)"),"")</f>
        <v/>
      </c>
      <c r="CR163" s="540"/>
      <c r="CS1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5-3'!$D$11:$Q319,CS$4,CS$5)"),"")</f>
        <v/>
      </c>
      <c r="CT163" s="540"/>
      <c r="CU1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5-3'!$D$11:$Q319,CU$4,CU$5)"),"")</f>
        <v/>
      </c>
      <c r="CV163" s="545"/>
      <c r="CW1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5-3'!$D$11:$Q319,CW$4,CW$5)"),"")</f>
        <v/>
      </c>
      <c r="CX163" s="540"/>
      <c r="CY163" s="540"/>
      <c r="CZ163" s="540"/>
      <c r="DA163" s="540"/>
      <c r="DB1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5-3'!$D$11:$Q319,DB$4,DB$5)"),"")</f>
        <v/>
      </c>
      <c r="DC163" s="555"/>
      <c r="DD1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5-3'!$D$11:$Q319,DD$4,DD$5)"),"")</f>
        <v/>
      </c>
      <c r="DE163" s="554"/>
      <c r="DF1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5-3'!$D$11:$Q319,DF$4,DF$5)"),"")</f>
        <v/>
      </c>
      <c r="DG163" s="554"/>
      <c r="DH1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5-3'!$D$11:$Q319,DH$4,DH$5)"),"")</f>
        <v/>
      </c>
      <c r="DI163" s="554"/>
      <c r="DJ1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5-3'!$D$11:$Q319,DJ$4,DJ$5)"),"")</f>
        <v/>
      </c>
      <c r="DK163" s="566"/>
      <c r="DL1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5-3'!$D$11:$Q319,DL$4,DL$5)"),"")</f>
        <v/>
      </c>
      <c r="DM163" s="554"/>
      <c r="DN163" s="554"/>
      <c r="DO163" s="554"/>
      <c r="DP163" s="554"/>
      <c r="DQ1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5-3'!$D$11:$Q319,DQ$4,DQ$5)"),"")</f>
        <v/>
      </c>
      <c r="DR163" s="569"/>
      <c r="DS1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5-3'!$D$11:$Q319,DS$4,DS$5)"),"")</f>
        <v/>
      </c>
      <c r="DT163" s="568"/>
      <c r="DU1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5-3'!$D$11:$Q319,DU$4,DU$5)"),"")</f>
        <v/>
      </c>
      <c r="DV163" s="568"/>
      <c r="DW1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5-3'!$D$11:$Q319,DW$4,DW$5)"),"")</f>
        <v/>
      </c>
      <c r="DX163" s="568"/>
      <c r="DY1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5-3'!$D$11:$Q319,DY$4,DY$5)"),"")</f>
        <v/>
      </c>
      <c r="DZ163" s="578"/>
      <c r="EA1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$C163, 'S-10 Топ 5-3'!$D$11:$Q319,EA$4,EA$5)"),"")</f>
        <v/>
      </c>
      <c r="EB163" s="568"/>
      <c r="EC163" s="568"/>
      <c r="ED163" s="568"/>
      <c r="EE163" s="568"/>
    </row>
    <row r="164">
      <c r="A164" s="519" t="str">
        <f t="shared" si="1"/>
        <v/>
      </c>
      <c r="B164" s="520" t="str">
        <f>'5-0 Товары'!B164</f>
        <v/>
      </c>
      <c r="C164" s="521" t="str">
        <f>'5-1 Сбор КП Закупки'!C164</f>
        <v/>
      </c>
      <c r="D164" s="521" t="str">
        <f>'5-1 Сбор КП Закупки'!D164</f>
        <v/>
      </c>
      <c r="E164" s="521" t="str">
        <f>'5-1 Сбор КП Закупки'!E164</f>
        <v/>
      </c>
      <c r="F164" s="521" t="str">
        <f>'5-1 Сбор КП Закупки'!F164</f>
        <v/>
      </c>
      <c r="G164" s="522" t="str">
        <f>'5-1 Сбор КП Закупки'!G164</f>
        <v/>
      </c>
      <c r="H164" s="522" t="str">
        <f>'5-1 Сбор КП Закупки'!H164</f>
        <v/>
      </c>
      <c r="I164" s="522" t="str">
        <f>'5-1 Сбор КП Закупки'!I164</f>
        <v/>
      </c>
      <c r="J164" s="197"/>
      <c r="K164" s="522" t="str">
        <f>'5-1 Сбор КП Закупки'!G164</f>
        <v/>
      </c>
      <c r="L164" s="523" t="str">
        <f>IF(A164="Да",'5-1 Сбор КП Закупки'!K164,)</f>
        <v/>
      </c>
      <c r="M164" s="197"/>
      <c r="N164" s="197"/>
      <c r="O164" s="197"/>
      <c r="P164" s="525" t="str">
        <f>'5-1 Сбор КП Закупки'!P164</f>
        <v/>
      </c>
      <c r="Q164" s="197"/>
      <c r="R164" s="197"/>
      <c r="S164" s="197"/>
      <c r="T164" s="197"/>
      <c r="U164" s="197"/>
      <c r="V164" s="197"/>
      <c r="W164" s="522" t="str">
        <f>'5-1 Сбор КП Закупки'!O164</f>
        <v/>
      </c>
      <c r="X164" s="197"/>
      <c r="Y164" s="197"/>
      <c r="Z164" s="197"/>
      <c r="AA164" s="197"/>
      <c r="AB164" s="197">
        <v>0.0</v>
      </c>
      <c r="AC164" s="197"/>
      <c r="AD164" s="197"/>
      <c r="AE1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5-3'!$D$11:$Q319,AE$4,AE$5)"),"")</f>
        <v/>
      </c>
      <c r="AF164" s="528"/>
      <c r="AG1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5-3'!$D$11:$Q319,AG$4,AG$5)"),"")</f>
        <v/>
      </c>
      <c r="AH164" s="527"/>
      <c r="AI1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5-3'!$D$11:$Q319,AI$4,AI$5)"),"")</f>
        <v/>
      </c>
      <c r="AJ164" s="527"/>
      <c r="AK1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5-3'!$D$11:$Q319,AK$4,AK$5)"),"")</f>
        <v/>
      </c>
      <c r="AL164" s="527"/>
      <c r="AM1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5-3'!$D$11:$Q319,AM$4,AM$5)"),"")</f>
        <v/>
      </c>
      <c r="AN164" s="529"/>
      <c r="AO1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5-3'!$D$11:$Q319,AO$4,AO$5)"),"")</f>
        <v/>
      </c>
      <c r="AP164" s="527"/>
      <c r="AQ164" s="527"/>
      <c r="AR164" s="527"/>
      <c r="AS164" s="527"/>
      <c r="AT1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5-3'!$D$11:$Q319,AT$4,AT$5)"),"")</f>
        <v/>
      </c>
      <c r="AU164" s="531"/>
      <c r="AV1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5-3'!$D$11:$Q319,AV$4,AV$5)"),"")</f>
        <v/>
      </c>
      <c r="AW164" s="530"/>
      <c r="AX1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5-3'!$D$11:$Q319,AX$4,AX$5)"),"")</f>
        <v/>
      </c>
      <c r="AY164" s="530"/>
      <c r="AZ1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5-3'!$D$11:$Q319,AZ$4,AZ$5)"),"")</f>
        <v/>
      </c>
      <c r="BA164" s="530"/>
      <c r="BB1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5-3'!$D$11:$Q319,BB$4,BB$5)"),"")</f>
        <v/>
      </c>
      <c r="BC164" s="532"/>
      <c r="BD1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5-3'!$D$11:$Q319,BD$4,BD$5)"),"")</f>
        <v/>
      </c>
      <c r="BE164" s="530"/>
      <c r="BF164" s="530"/>
      <c r="BG164" s="530"/>
      <c r="BH164" s="530"/>
      <c r="BI1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5-3'!$D$11:$Q319,BI$4,BI$5)"),"")</f>
        <v/>
      </c>
      <c r="BJ164" s="535"/>
      <c r="BK1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5-3'!$D$11:$Q319,BK$4,BK$5)"),"")</f>
        <v/>
      </c>
      <c r="BL164" s="534"/>
      <c r="BM1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5-3'!$D$11:$Q319,BM$4,BM$5)"),"")</f>
        <v/>
      </c>
      <c r="BN164" s="534"/>
      <c r="BO1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5-3'!$D$11:$Q319,BO$4,BO$5)"),"")</f>
        <v/>
      </c>
      <c r="BP164" s="534"/>
      <c r="BQ1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5-3'!$D$11:$Q319,BQ$4,BQ$5)"),"")</f>
        <v/>
      </c>
      <c r="BR164" s="536"/>
      <c r="BS1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5-3'!$D$11:$Q319,BS$4,BS$5)"),"")</f>
        <v/>
      </c>
      <c r="BT164" s="534"/>
      <c r="BU164" s="534"/>
      <c r="BV164" s="534"/>
      <c r="BW164" s="534"/>
      <c r="BX1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5-3'!$D$11:$Q319,BX$4,BX$5)"),"")</f>
        <v/>
      </c>
      <c r="BY164" s="538"/>
      <c r="BZ1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5-3'!$D$11:$Q319,BZ$4,BZ$5)"),"")</f>
        <v/>
      </c>
      <c r="CA164" s="537"/>
      <c r="CB1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5-3'!$D$11:$Q319,CB$4,CB$5)"),"")</f>
        <v/>
      </c>
      <c r="CC164" s="537"/>
      <c r="CD1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5-3'!$D$11:$Q319,CD$4,CD$5)"),"")</f>
        <v/>
      </c>
      <c r="CE164" s="537"/>
      <c r="CF1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5-3'!$D$11:$Q319,CF$4,CF$5)"),"")</f>
        <v/>
      </c>
      <c r="CG164" s="539"/>
      <c r="CH1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5-3'!$D$11:$Q319,CH$4,CH$5)"),"")</f>
        <v/>
      </c>
      <c r="CI164" s="537"/>
      <c r="CJ164" s="537"/>
      <c r="CK164" s="537"/>
      <c r="CL164" s="537"/>
      <c r="CM1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5-3'!$D$11:$Q319,CM$4,CM$5)"),"")</f>
        <v/>
      </c>
      <c r="CN164" s="541"/>
      <c r="CO1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5-3'!$D$11:$Q319,CO$4,CO$5)"),"")</f>
        <v/>
      </c>
      <c r="CP164" s="540"/>
      <c r="CQ1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5-3'!$D$11:$Q319,CQ$4,CQ$5)"),"")</f>
        <v/>
      </c>
      <c r="CR164" s="540"/>
      <c r="CS1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5-3'!$D$11:$Q319,CS$4,CS$5)"),"")</f>
        <v/>
      </c>
      <c r="CT164" s="540"/>
      <c r="CU1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5-3'!$D$11:$Q319,CU$4,CU$5)"),"")</f>
        <v/>
      </c>
      <c r="CV164" s="545"/>
      <c r="CW1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5-3'!$D$11:$Q319,CW$4,CW$5)"),"")</f>
        <v/>
      </c>
      <c r="CX164" s="540"/>
      <c r="CY164" s="540"/>
      <c r="CZ164" s="540"/>
      <c r="DA164" s="540"/>
      <c r="DB1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5-3'!$D$11:$Q319,DB$4,DB$5)"),"")</f>
        <v/>
      </c>
      <c r="DC164" s="555"/>
      <c r="DD1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5-3'!$D$11:$Q319,DD$4,DD$5)"),"")</f>
        <v/>
      </c>
      <c r="DE164" s="554"/>
      <c r="DF1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5-3'!$D$11:$Q319,DF$4,DF$5)"),"")</f>
        <v/>
      </c>
      <c r="DG164" s="554"/>
      <c r="DH1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5-3'!$D$11:$Q319,DH$4,DH$5)"),"")</f>
        <v/>
      </c>
      <c r="DI164" s="554"/>
      <c r="DJ1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5-3'!$D$11:$Q319,DJ$4,DJ$5)"),"")</f>
        <v/>
      </c>
      <c r="DK164" s="566"/>
      <c r="DL1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5-3'!$D$11:$Q319,DL$4,DL$5)"),"")</f>
        <v/>
      </c>
      <c r="DM164" s="554"/>
      <c r="DN164" s="554"/>
      <c r="DO164" s="554"/>
      <c r="DP164" s="554"/>
      <c r="DQ1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5-3'!$D$11:$Q319,DQ$4,DQ$5)"),"")</f>
        <v/>
      </c>
      <c r="DR164" s="569"/>
      <c r="DS1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5-3'!$D$11:$Q319,DS$4,DS$5)"),"")</f>
        <v/>
      </c>
      <c r="DT164" s="568"/>
      <c r="DU1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5-3'!$D$11:$Q319,DU$4,DU$5)"),"")</f>
        <v/>
      </c>
      <c r="DV164" s="568"/>
      <c r="DW1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5-3'!$D$11:$Q319,DW$4,DW$5)"),"")</f>
        <v/>
      </c>
      <c r="DX164" s="568"/>
      <c r="DY1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5-3'!$D$11:$Q319,DY$4,DY$5)"),"")</f>
        <v/>
      </c>
      <c r="DZ164" s="578"/>
      <c r="EA1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$C164, 'S-10 Топ 5-3'!$D$11:$Q319,EA$4,EA$5)"),"")</f>
        <v/>
      </c>
      <c r="EB164" s="568"/>
      <c r="EC164" s="568"/>
      <c r="ED164" s="568"/>
      <c r="EE164" s="568"/>
    </row>
    <row r="165">
      <c r="A165" s="519" t="str">
        <f t="shared" si="1"/>
        <v/>
      </c>
      <c r="B165" s="520" t="str">
        <f>'5-0 Товары'!B165</f>
        <v/>
      </c>
      <c r="C165" s="521" t="str">
        <f>'5-1 Сбор КП Закупки'!C165</f>
        <v/>
      </c>
      <c r="D165" s="521" t="str">
        <f>'5-1 Сбор КП Закупки'!D165</f>
        <v/>
      </c>
      <c r="E165" s="521" t="str">
        <f>'5-1 Сбор КП Закупки'!E165</f>
        <v/>
      </c>
      <c r="F165" s="521" t="str">
        <f>'5-1 Сбор КП Закупки'!F165</f>
        <v/>
      </c>
      <c r="G165" s="522" t="str">
        <f>'5-1 Сбор КП Закупки'!G165</f>
        <v/>
      </c>
      <c r="H165" s="522" t="str">
        <f>'5-1 Сбор КП Закупки'!H165</f>
        <v/>
      </c>
      <c r="I165" s="522" t="str">
        <f>'5-1 Сбор КП Закупки'!I165</f>
        <v/>
      </c>
      <c r="J165" s="197"/>
      <c r="K165" s="522" t="str">
        <f>'5-1 Сбор КП Закупки'!G165</f>
        <v/>
      </c>
      <c r="L165" s="523" t="str">
        <f>IF(A165="Да",'5-1 Сбор КП Закупки'!K165,)</f>
        <v/>
      </c>
      <c r="M165" s="197"/>
      <c r="N165" s="197"/>
      <c r="O165" s="197"/>
      <c r="P165" s="525" t="str">
        <f>'5-1 Сбор КП Закупки'!P165</f>
        <v/>
      </c>
      <c r="Q165" s="197"/>
      <c r="R165" s="197"/>
      <c r="S165" s="197"/>
      <c r="T165" s="197"/>
      <c r="U165" s="197"/>
      <c r="V165" s="197"/>
      <c r="W165" s="522" t="str">
        <f>'5-1 Сбор КП Закупки'!O165</f>
        <v/>
      </c>
      <c r="X165" s="197"/>
      <c r="Y165" s="197"/>
      <c r="Z165" s="197"/>
      <c r="AA165" s="197"/>
      <c r="AB165" s="197">
        <v>0.0</v>
      </c>
      <c r="AC165" s="197"/>
      <c r="AD165" s="197"/>
      <c r="AE1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5-3'!$D$11:$Q319,AE$4,AE$5)"),"")</f>
        <v/>
      </c>
      <c r="AF165" s="528"/>
      <c r="AG1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5-3'!$D$11:$Q319,AG$4,AG$5)"),"")</f>
        <v/>
      </c>
      <c r="AH165" s="527"/>
      <c r="AI1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5-3'!$D$11:$Q319,AI$4,AI$5)"),"")</f>
        <v/>
      </c>
      <c r="AJ165" s="527"/>
      <c r="AK1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5-3'!$D$11:$Q319,AK$4,AK$5)"),"")</f>
        <v/>
      </c>
      <c r="AL165" s="527"/>
      <c r="AM1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5-3'!$D$11:$Q319,AM$4,AM$5)"),"")</f>
        <v/>
      </c>
      <c r="AN165" s="529"/>
      <c r="AO1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5-3'!$D$11:$Q319,AO$4,AO$5)"),"")</f>
        <v/>
      </c>
      <c r="AP165" s="527"/>
      <c r="AQ165" s="527"/>
      <c r="AR165" s="527"/>
      <c r="AS165" s="527"/>
      <c r="AT1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5-3'!$D$11:$Q319,AT$4,AT$5)"),"")</f>
        <v/>
      </c>
      <c r="AU165" s="531"/>
      <c r="AV1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5-3'!$D$11:$Q319,AV$4,AV$5)"),"")</f>
        <v/>
      </c>
      <c r="AW165" s="530"/>
      <c r="AX1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5-3'!$D$11:$Q319,AX$4,AX$5)"),"")</f>
        <v/>
      </c>
      <c r="AY165" s="530"/>
      <c r="AZ1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5-3'!$D$11:$Q319,AZ$4,AZ$5)"),"")</f>
        <v/>
      </c>
      <c r="BA165" s="530"/>
      <c r="BB1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5-3'!$D$11:$Q319,BB$4,BB$5)"),"")</f>
        <v/>
      </c>
      <c r="BC165" s="532"/>
      <c r="BD1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5-3'!$D$11:$Q319,BD$4,BD$5)"),"")</f>
        <v/>
      </c>
      <c r="BE165" s="530"/>
      <c r="BF165" s="530"/>
      <c r="BG165" s="530"/>
      <c r="BH165" s="530"/>
      <c r="BI1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5-3'!$D$11:$Q319,BI$4,BI$5)"),"")</f>
        <v/>
      </c>
      <c r="BJ165" s="535"/>
      <c r="BK1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5-3'!$D$11:$Q319,BK$4,BK$5)"),"")</f>
        <v/>
      </c>
      <c r="BL165" s="534"/>
      <c r="BM1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5-3'!$D$11:$Q319,BM$4,BM$5)"),"")</f>
        <v/>
      </c>
      <c r="BN165" s="534"/>
      <c r="BO1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5-3'!$D$11:$Q319,BO$4,BO$5)"),"")</f>
        <v/>
      </c>
      <c r="BP165" s="534"/>
      <c r="BQ1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5-3'!$D$11:$Q319,BQ$4,BQ$5)"),"")</f>
        <v/>
      </c>
      <c r="BR165" s="536"/>
      <c r="BS1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5-3'!$D$11:$Q319,BS$4,BS$5)"),"")</f>
        <v/>
      </c>
      <c r="BT165" s="534"/>
      <c r="BU165" s="534"/>
      <c r="BV165" s="534"/>
      <c r="BW165" s="534"/>
      <c r="BX1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5-3'!$D$11:$Q319,BX$4,BX$5)"),"")</f>
        <v/>
      </c>
      <c r="BY165" s="538"/>
      <c r="BZ1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5-3'!$D$11:$Q319,BZ$4,BZ$5)"),"")</f>
        <v/>
      </c>
      <c r="CA165" s="537"/>
      <c r="CB1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5-3'!$D$11:$Q319,CB$4,CB$5)"),"")</f>
        <v/>
      </c>
      <c r="CC165" s="537"/>
      <c r="CD1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5-3'!$D$11:$Q319,CD$4,CD$5)"),"")</f>
        <v/>
      </c>
      <c r="CE165" s="537"/>
      <c r="CF1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5-3'!$D$11:$Q319,CF$4,CF$5)"),"")</f>
        <v/>
      </c>
      <c r="CG165" s="539"/>
      <c r="CH1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5-3'!$D$11:$Q319,CH$4,CH$5)"),"")</f>
        <v/>
      </c>
      <c r="CI165" s="537"/>
      <c r="CJ165" s="537"/>
      <c r="CK165" s="537"/>
      <c r="CL165" s="537"/>
      <c r="CM1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5-3'!$D$11:$Q319,CM$4,CM$5)"),"")</f>
        <v/>
      </c>
      <c r="CN165" s="541"/>
      <c r="CO1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5-3'!$D$11:$Q319,CO$4,CO$5)"),"")</f>
        <v/>
      </c>
      <c r="CP165" s="540"/>
      <c r="CQ1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5-3'!$D$11:$Q319,CQ$4,CQ$5)"),"")</f>
        <v/>
      </c>
      <c r="CR165" s="540"/>
      <c r="CS1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5-3'!$D$11:$Q319,CS$4,CS$5)"),"")</f>
        <v/>
      </c>
      <c r="CT165" s="540"/>
      <c r="CU1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5-3'!$D$11:$Q319,CU$4,CU$5)"),"")</f>
        <v/>
      </c>
      <c r="CV165" s="545"/>
      <c r="CW1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5-3'!$D$11:$Q319,CW$4,CW$5)"),"")</f>
        <v/>
      </c>
      <c r="CX165" s="540"/>
      <c r="CY165" s="540"/>
      <c r="CZ165" s="540"/>
      <c r="DA165" s="540"/>
      <c r="DB1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5-3'!$D$11:$Q319,DB$4,DB$5)"),"")</f>
        <v/>
      </c>
      <c r="DC165" s="555"/>
      <c r="DD1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5-3'!$D$11:$Q319,DD$4,DD$5)"),"")</f>
        <v/>
      </c>
      <c r="DE165" s="554"/>
      <c r="DF1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5-3'!$D$11:$Q319,DF$4,DF$5)"),"")</f>
        <v/>
      </c>
      <c r="DG165" s="554"/>
      <c r="DH1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5-3'!$D$11:$Q319,DH$4,DH$5)"),"")</f>
        <v/>
      </c>
      <c r="DI165" s="554"/>
      <c r="DJ1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5-3'!$D$11:$Q319,DJ$4,DJ$5)"),"")</f>
        <v/>
      </c>
      <c r="DK165" s="566"/>
      <c r="DL1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5-3'!$D$11:$Q319,DL$4,DL$5)"),"")</f>
        <v/>
      </c>
      <c r="DM165" s="554"/>
      <c r="DN165" s="554"/>
      <c r="DO165" s="554"/>
      <c r="DP165" s="554"/>
      <c r="DQ1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5-3'!$D$11:$Q319,DQ$4,DQ$5)"),"")</f>
        <v/>
      </c>
      <c r="DR165" s="569"/>
      <c r="DS1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5-3'!$D$11:$Q319,DS$4,DS$5)"),"")</f>
        <v/>
      </c>
      <c r="DT165" s="568"/>
      <c r="DU1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5-3'!$D$11:$Q319,DU$4,DU$5)"),"")</f>
        <v/>
      </c>
      <c r="DV165" s="568"/>
      <c r="DW1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5-3'!$D$11:$Q319,DW$4,DW$5)"),"")</f>
        <v/>
      </c>
      <c r="DX165" s="568"/>
      <c r="DY1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5-3'!$D$11:$Q319,DY$4,DY$5)"),"")</f>
        <v/>
      </c>
      <c r="DZ165" s="578"/>
      <c r="EA1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$C165, 'S-10 Топ 5-3'!$D$11:$Q319,EA$4,EA$5)"),"")</f>
        <v/>
      </c>
      <c r="EB165" s="568"/>
      <c r="EC165" s="568"/>
      <c r="ED165" s="568"/>
      <c r="EE165" s="568"/>
    </row>
    <row r="166">
      <c r="A166" s="519" t="str">
        <f t="shared" si="1"/>
        <v/>
      </c>
      <c r="B166" s="520" t="str">
        <f>'5-0 Товары'!B166</f>
        <v/>
      </c>
      <c r="C166" s="521" t="str">
        <f>'5-1 Сбор КП Закупки'!C166</f>
        <v/>
      </c>
      <c r="D166" s="521" t="str">
        <f>'5-1 Сбор КП Закупки'!D166</f>
        <v/>
      </c>
      <c r="E166" s="521" t="str">
        <f>'5-1 Сбор КП Закупки'!E166</f>
        <v/>
      </c>
      <c r="F166" s="521" t="str">
        <f>'5-1 Сбор КП Закупки'!F166</f>
        <v/>
      </c>
      <c r="G166" s="522" t="str">
        <f>'5-1 Сбор КП Закупки'!G166</f>
        <v/>
      </c>
      <c r="H166" s="522" t="str">
        <f>'5-1 Сбор КП Закупки'!H166</f>
        <v/>
      </c>
      <c r="I166" s="522" t="str">
        <f>'5-1 Сбор КП Закупки'!I166</f>
        <v/>
      </c>
      <c r="J166" s="197"/>
      <c r="K166" s="522" t="str">
        <f>'5-1 Сбор КП Закупки'!G166</f>
        <v/>
      </c>
      <c r="L166" s="523" t="str">
        <f>IF(A166="Да",'5-1 Сбор КП Закупки'!K166,)</f>
        <v/>
      </c>
      <c r="M166" s="197"/>
      <c r="N166" s="197"/>
      <c r="O166" s="197"/>
      <c r="P166" s="525" t="str">
        <f>'5-1 Сбор КП Закупки'!P166</f>
        <v/>
      </c>
      <c r="Q166" s="197"/>
      <c r="R166" s="197"/>
      <c r="S166" s="197"/>
      <c r="T166" s="197"/>
      <c r="U166" s="197"/>
      <c r="V166" s="197"/>
      <c r="W166" s="522" t="str">
        <f>'5-1 Сбор КП Закупки'!O166</f>
        <v/>
      </c>
      <c r="X166" s="197"/>
      <c r="Y166" s="197"/>
      <c r="Z166" s="197"/>
      <c r="AA166" s="197"/>
      <c r="AB166" s="197">
        <v>0.0</v>
      </c>
      <c r="AC166" s="197"/>
      <c r="AD166" s="197"/>
      <c r="AE1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5-3'!$D$11:$Q319,AE$4,AE$5)"),"")</f>
        <v/>
      </c>
      <c r="AF166" s="528"/>
      <c r="AG1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5-3'!$D$11:$Q319,AG$4,AG$5)"),"")</f>
        <v/>
      </c>
      <c r="AH166" s="527"/>
      <c r="AI1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5-3'!$D$11:$Q319,AI$4,AI$5)"),"")</f>
        <v/>
      </c>
      <c r="AJ166" s="527"/>
      <c r="AK1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5-3'!$D$11:$Q319,AK$4,AK$5)"),"")</f>
        <v/>
      </c>
      <c r="AL166" s="527"/>
      <c r="AM1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5-3'!$D$11:$Q319,AM$4,AM$5)"),"")</f>
        <v/>
      </c>
      <c r="AN166" s="529"/>
      <c r="AO1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5-3'!$D$11:$Q319,AO$4,AO$5)"),"")</f>
        <v/>
      </c>
      <c r="AP166" s="527"/>
      <c r="AQ166" s="527"/>
      <c r="AR166" s="527"/>
      <c r="AS166" s="527"/>
      <c r="AT1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5-3'!$D$11:$Q319,AT$4,AT$5)"),"")</f>
        <v/>
      </c>
      <c r="AU166" s="531"/>
      <c r="AV1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5-3'!$D$11:$Q319,AV$4,AV$5)"),"")</f>
        <v/>
      </c>
      <c r="AW166" s="530"/>
      <c r="AX1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5-3'!$D$11:$Q319,AX$4,AX$5)"),"")</f>
        <v/>
      </c>
      <c r="AY166" s="530"/>
      <c r="AZ1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5-3'!$D$11:$Q319,AZ$4,AZ$5)"),"")</f>
        <v/>
      </c>
      <c r="BA166" s="530"/>
      <c r="BB1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5-3'!$D$11:$Q319,BB$4,BB$5)"),"")</f>
        <v/>
      </c>
      <c r="BC166" s="532"/>
      <c r="BD1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5-3'!$D$11:$Q319,BD$4,BD$5)"),"")</f>
        <v/>
      </c>
      <c r="BE166" s="530"/>
      <c r="BF166" s="530"/>
      <c r="BG166" s="530"/>
      <c r="BH166" s="530"/>
      <c r="BI1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5-3'!$D$11:$Q319,BI$4,BI$5)"),"")</f>
        <v/>
      </c>
      <c r="BJ166" s="535"/>
      <c r="BK1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5-3'!$D$11:$Q319,BK$4,BK$5)"),"")</f>
        <v/>
      </c>
      <c r="BL166" s="534"/>
      <c r="BM1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5-3'!$D$11:$Q319,BM$4,BM$5)"),"")</f>
        <v/>
      </c>
      <c r="BN166" s="534"/>
      <c r="BO1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5-3'!$D$11:$Q319,BO$4,BO$5)"),"")</f>
        <v/>
      </c>
      <c r="BP166" s="534"/>
      <c r="BQ1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5-3'!$D$11:$Q319,BQ$4,BQ$5)"),"")</f>
        <v/>
      </c>
      <c r="BR166" s="536"/>
      <c r="BS1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5-3'!$D$11:$Q319,BS$4,BS$5)"),"")</f>
        <v/>
      </c>
      <c r="BT166" s="534"/>
      <c r="BU166" s="534"/>
      <c r="BV166" s="534"/>
      <c r="BW166" s="534"/>
      <c r="BX1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5-3'!$D$11:$Q319,BX$4,BX$5)"),"")</f>
        <v/>
      </c>
      <c r="BY166" s="538"/>
      <c r="BZ1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5-3'!$D$11:$Q319,BZ$4,BZ$5)"),"")</f>
        <v/>
      </c>
      <c r="CA166" s="537"/>
      <c r="CB1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5-3'!$D$11:$Q319,CB$4,CB$5)"),"")</f>
        <v/>
      </c>
      <c r="CC166" s="537"/>
      <c r="CD1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5-3'!$D$11:$Q319,CD$4,CD$5)"),"")</f>
        <v/>
      </c>
      <c r="CE166" s="537"/>
      <c r="CF1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5-3'!$D$11:$Q319,CF$4,CF$5)"),"")</f>
        <v/>
      </c>
      <c r="CG166" s="539"/>
      <c r="CH1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5-3'!$D$11:$Q319,CH$4,CH$5)"),"")</f>
        <v/>
      </c>
      <c r="CI166" s="537"/>
      <c r="CJ166" s="537"/>
      <c r="CK166" s="537"/>
      <c r="CL166" s="537"/>
      <c r="CM1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5-3'!$D$11:$Q319,CM$4,CM$5)"),"")</f>
        <v/>
      </c>
      <c r="CN166" s="541"/>
      <c r="CO1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5-3'!$D$11:$Q319,CO$4,CO$5)"),"")</f>
        <v/>
      </c>
      <c r="CP166" s="540"/>
      <c r="CQ1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5-3'!$D$11:$Q319,CQ$4,CQ$5)"),"")</f>
        <v/>
      </c>
      <c r="CR166" s="540"/>
      <c r="CS1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5-3'!$D$11:$Q319,CS$4,CS$5)"),"")</f>
        <v/>
      </c>
      <c r="CT166" s="540"/>
      <c r="CU1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5-3'!$D$11:$Q319,CU$4,CU$5)"),"")</f>
        <v/>
      </c>
      <c r="CV166" s="545"/>
      <c r="CW1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5-3'!$D$11:$Q319,CW$4,CW$5)"),"")</f>
        <v/>
      </c>
      <c r="CX166" s="540"/>
      <c r="CY166" s="540"/>
      <c r="CZ166" s="540"/>
      <c r="DA166" s="540"/>
      <c r="DB1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5-3'!$D$11:$Q319,DB$4,DB$5)"),"")</f>
        <v/>
      </c>
      <c r="DC166" s="555"/>
      <c r="DD1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5-3'!$D$11:$Q319,DD$4,DD$5)"),"")</f>
        <v/>
      </c>
      <c r="DE166" s="554"/>
      <c r="DF1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5-3'!$D$11:$Q319,DF$4,DF$5)"),"")</f>
        <v/>
      </c>
      <c r="DG166" s="554"/>
      <c r="DH1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5-3'!$D$11:$Q319,DH$4,DH$5)"),"")</f>
        <v/>
      </c>
      <c r="DI166" s="554"/>
      <c r="DJ1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5-3'!$D$11:$Q319,DJ$4,DJ$5)"),"")</f>
        <v/>
      </c>
      <c r="DK166" s="566"/>
      <c r="DL1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5-3'!$D$11:$Q319,DL$4,DL$5)"),"")</f>
        <v/>
      </c>
      <c r="DM166" s="554"/>
      <c r="DN166" s="554"/>
      <c r="DO166" s="554"/>
      <c r="DP166" s="554"/>
      <c r="DQ1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5-3'!$D$11:$Q319,DQ$4,DQ$5)"),"")</f>
        <v/>
      </c>
      <c r="DR166" s="569"/>
      <c r="DS1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5-3'!$D$11:$Q319,DS$4,DS$5)"),"")</f>
        <v/>
      </c>
      <c r="DT166" s="568"/>
      <c r="DU1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5-3'!$D$11:$Q319,DU$4,DU$5)"),"")</f>
        <v/>
      </c>
      <c r="DV166" s="568"/>
      <c r="DW1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5-3'!$D$11:$Q319,DW$4,DW$5)"),"")</f>
        <v/>
      </c>
      <c r="DX166" s="568"/>
      <c r="DY1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5-3'!$D$11:$Q319,DY$4,DY$5)"),"")</f>
        <v/>
      </c>
      <c r="DZ166" s="578"/>
      <c r="EA1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$C166, 'S-10 Топ 5-3'!$D$11:$Q319,EA$4,EA$5)"),"")</f>
        <v/>
      </c>
      <c r="EB166" s="568"/>
      <c r="EC166" s="568"/>
      <c r="ED166" s="568"/>
      <c r="EE166" s="568"/>
    </row>
    <row r="167">
      <c r="A167" s="519" t="str">
        <f t="shared" si="1"/>
        <v/>
      </c>
      <c r="B167" s="520" t="str">
        <f>'5-0 Товары'!B167</f>
        <v/>
      </c>
      <c r="C167" s="521" t="str">
        <f>'5-1 Сбор КП Закупки'!C167</f>
        <v/>
      </c>
      <c r="D167" s="521" t="str">
        <f>'5-1 Сбор КП Закупки'!D167</f>
        <v/>
      </c>
      <c r="E167" s="521" t="str">
        <f>'5-1 Сбор КП Закупки'!E167</f>
        <v/>
      </c>
      <c r="F167" s="521" t="str">
        <f>'5-1 Сбор КП Закупки'!F167</f>
        <v/>
      </c>
      <c r="G167" s="522" t="str">
        <f>'5-1 Сбор КП Закупки'!G167</f>
        <v/>
      </c>
      <c r="H167" s="522" t="str">
        <f>'5-1 Сбор КП Закупки'!H167</f>
        <v/>
      </c>
      <c r="I167" s="522" t="str">
        <f>'5-1 Сбор КП Закупки'!I167</f>
        <v/>
      </c>
      <c r="J167" s="197"/>
      <c r="K167" s="522" t="str">
        <f>'5-1 Сбор КП Закупки'!G167</f>
        <v/>
      </c>
      <c r="L167" s="523" t="str">
        <f>IF(A167="Да",'5-1 Сбор КП Закупки'!K167,)</f>
        <v/>
      </c>
      <c r="M167" s="197"/>
      <c r="N167" s="197"/>
      <c r="O167" s="197"/>
      <c r="P167" s="525" t="str">
        <f>'5-1 Сбор КП Закупки'!P167</f>
        <v/>
      </c>
      <c r="Q167" s="197"/>
      <c r="R167" s="197"/>
      <c r="S167" s="197"/>
      <c r="T167" s="197"/>
      <c r="U167" s="197"/>
      <c r="V167" s="197"/>
      <c r="W167" s="522" t="str">
        <f>'5-1 Сбор КП Закупки'!O167</f>
        <v/>
      </c>
      <c r="X167" s="197"/>
      <c r="Y167" s="197"/>
      <c r="Z167" s="197"/>
      <c r="AA167" s="197"/>
      <c r="AB167" s="197">
        <v>0.0</v>
      </c>
      <c r="AC167" s="197"/>
      <c r="AD167" s="197"/>
      <c r="AE1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5-3'!$D$11:$Q319,AE$4,AE$5)"),"")</f>
        <v/>
      </c>
      <c r="AF167" s="528"/>
      <c r="AG1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5-3'!$D$11:$Q319,AG$4,AG$5)"),"")</f>
        <v/>
      </c>
      <c r="AH167" s="527"/>
      <c r="AI1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5-3'!$D$11:$Q319,AI$4,AI$5)"),"")</f>
        <v/>
      </c>
      <c r="AJ167" s="527"/>
      <c r="AK1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5-3'!$D$11:$Q319,AK$4,AK$5)"),"")</f>
        <v/>
      </c>
      <c r="AL167" s="527"/>
      <c r="AM1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5-3'!$D$11:$Q319,AM$4,AM$5)"),"")</f>
        <v/>
      </c>
      <c r="AN167" s="529"/>
      <c r="AO1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5-3'!$D$11:$Q319,AO$4,AO$5)"),"")</f>
        <v/>
      </c>
      <c r="AP167" s="527"/>
      <c r="AQ167" s="527"/>
      <c r="AR167" s="527"/>
      <c r="AS167" s="527"/>
      <c r="AT1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5-3'!$D$11:$Q319,AT$4,AT$5)"),"")</f>
        <v/>
      </c>
      <c r="AU167" s="531"/>
      <c r="AV1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5-3'!$D$11:$Q319,AV$4,AV$5)"),"")</f>
        <v/>
      </c>
      <c r="AW167" s="530"/>
      <c r="AX1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5-3'!$D$11:$Q319,AX$4,AX$5)"),"")</f>
        <v/>
      </c>
      <c r="AY167" s="530"/>
      <c r="AZ1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5-3'!$D$11:$Q319,AZ$4,AZ$5)"),"")</f>
        <v/>
      </c>
      <c r="BA167" s="530"/>
      <c r="BB1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5-3'!$D$11:$Q319,BB$4,BB$5)"),"")</f>
        <v/>
      </c>
      <c r="BC167" s="532"/>
      <c r="BD1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5-3'!$D$11:$Q319,BD$4,BD$5)"),"")</f>
        <v/>
      </c>
      <c r="BE167" s="530"/>
      <c r="BF167" s="530"/>
      <c r="BG167" s="530"/>
      <c r="BH167" s="530"/>
      <c r="BI1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5-3'!$D$11:$Q319,BI$4,BI$5)"),"")</f>
        <v/>
      </c>
      <c r="BJ167" s="535"/>
      <c r="BK1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5-3'!$D$11:$Q319,BK$4,BK$5)"),"")</f>
        <v/>
      </c>
      <c r="BL167" s="534"/>
      <c r="BM1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5-3'!$D$11:$Q319,BM$4,BM$5)"),"")</f>
        <v/>
      </c>
      <c r="BN167" s="534"/>
      <c r="BO1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5-3'!$D$11:$Q319,BO$4,BO$5)"),"")</f>
        <v/>
      </c>
      <c r="BP167" s="534"/>
      <c r="BQ1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5-3'!$D$11:$Q319,BQ$4,BQ$5)"),"")</f>
        <v/>
      </c>
      <c r="BR167" s="536"/>
      <c r="BS1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5-3'!$D$11:$Q319,BS$4,BS$5)"),"")</f>
        <v/>
      </c>
      <c r="BT167" s="534"/>
      <c r="BU167" s="534"/>
      <c r="BV167" s="534"/>
      <c r="BW167" s="534"/>
      <c r="BX1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5-3'!$D$11:$Q319,BX$4,BX$5)"),"")</f>
        <v/>
      </c>
      <c r="BY167" s="538"/>
      <c r="BZ1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5-3'!$D$11:$Q319,BZ$4,BZ$5)"),"")</f>
        <v/>
      </c>
      <c r="CA167" s="537"/>
      <c r="CB1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5-3'!$D$11:$Q319,CB$4,CB$5)"),"")</f>
        <v/>
      </c>
      <c r="CC167" s="537"/>
      <c r="CD1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5-3'!$D$11:$Q319,CD$4,CD$5)"),"")</f>
        <v/>
      </c>
      <c r="CE167" s="537"/>
      <c r="CF1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5-3'!$D$11:$Q319,CF$4,CF$5)"),"")</f>
        <v/>
      </c>
      <c r="CG167" s="539"/>
      <c r="CH1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5-3'!$D$11:$Q319,CH$4,CH$5)"),"")</f>
        <v/>
      </c>
      <c r="CI167" s="537"/>
      <c r="CJ167" s="537"/>
      <c r="CK167" s="537"/>
      <c r="CL167" s="537"/>
      <c r="CM1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5-3'!$D$11:$Q319,CM$4,CM$5)"),"")</f>
        <v/>
      </c>
      <c r="CN167" s="541"/>
      <c r="CO1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5-3'!$D$11:$Q319,CO$4,CO$5)"),"")</f>
        <v/>
      </c>
      <c r="CP167" s="540"/>
      <c r="CQ1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5-3'!$D$11:$Q319,CQ$4,CQ$5)"),"")</f>
        <v/>
      </c>
      <c r="CR167" s="540"/>
      <c r="CS1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5-3'!$D$11:$Q319,CS$4,CS$5)"),"")</f>
        <v/>
      </c>
      <c r="CT167" s="540"/>
      <c r="CU1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5-3'!$D$11:$Q319,CU$4,CU$5)"),"")</f>
        <v/>
      </c>
      <c r="CV167" s="545"/>
      <c r="CW1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5-3'!$D$11:$Q319,CW$4,CW$5)"),"")</f>
        <v/>
      </c>
      <c r="CX167" s="540"/>
      <c r="CY167" s="540"/>
      <c r="CZ167" s="540"/>
      <c r="DA167" s="540"/>
      <c r="DB1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5-3'!$D$11:$Q319,DB$4,DB$5)"),"")</f>
        <v/>
      </c>
      <c r="DC167" s="555"/>
      <c r="DD1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5-3'!$D$11:$Q319,DD$4,DD$5)"),"")</f>
        <v/>
      </c>
      <c r="DE167" s="554"/>
      <c r="DF1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5-3'!$D$11:$Q319,DF$4,DF$5)"),"")</f>
        <v/>
      </c>
      <c r="DG167" s="554"/>
      <c r="DH1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5-3'!$D$11:$Q319,DH$4,DH$5)"),"")</f>
        <v/>
      </c>
      <c r="DI167" s="554"/>
      <c r="DJ1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5-3'!$D$11:$Q319,DJ$4,DJ$5)"),"")</f>
        <v/>
      </c>
      <c r="DK167" s="566"/>
      <c r="DL1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5-3'!$D$11:$Q319,DL$4,DL$5)"),"")</f>
        <v/>
      </c>
      <c r="DM167" s="554"/>
      <c r="DN167" s="554"/>
      <c r="DO167" s="554"/>
      <c r="DP167" s="554"/>
      <c r="DQ1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5-3'!$D$11:$Q319,DQ$4,DQ$5)"),"")</f>
        <v/>
      </c>
      <c r="DR167" s="569"/>
      <c r="DS1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5-3'!$D$11:$Q319,DS$4,DS$5)"),"")</f>
        <v/>
      </c>
      <c r="DT167" s="568"/>
      <c r="DU1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5-3'!$D$11:$Q319,DU$4,DU$5)"),"")</f>
        <v/>
      </c>
      <c r="DV167" s="568"/>
      <c r="DW1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5-3'!$D$11:$Q319,DW$4,DW$5)"),"")</f>
        <v/>
      </c>
      <c r="DX167" s="568"/>
      <c r="DY1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5-3'!$D$11:$Q319,DY$4,DY$5)"),"")</f>
        <v/>
      </c>
      <c r="DZ167" s="578"/>
      <c r="EA1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$C167, 'S-10 Топ 5-3'!$D$11:$Q319,EA$4,EA$5)"),"")</f>
        <v/>
      </c>
      <c r="EB167" s="568"/>
      <c r="EC167" s="568"/>
      <c r="ED167" s="568"/>
      <c r="EE167" s="568"/>
    </row>
    <row r="168">
      <c r="A168" s="519" t="str">
        <f t="shared" si="1"/>
        <v/>
      </c>
      <c r="B168" s="520" t="str">
        <f>'5-0 Товары'!B168</f>
        <v/>
      </c>
      <c r="C168" s="521" t="str">
        <f>'5-1 Сбор КП Закупки'!C168</f>
        <v/>
      </c>
      <c r="D168" s="521" t="str">
        <f>'5-1 Сбор КП Закупки'!D168</f>
        <v/>
      </c>
      <c r="E168" s="521" t="str">
        <f>'5-1 Сбор КП Закупки'!E168</f>
        <v/>
      </c>
      <c r="F168" s="521" t="str">
        <f>'5-1 Сбор КП Закупки'!F168</f>
        <v/>
      </c>
      <c r="G168" s="522" t="str">
        <f>'5-1 Сбор КП Закупки'!G168</f>
        <v/>
      </c>
      <c r="H168" s="522" t="str">
        <f>'5-1 Сбор КП Закупки'!H168</f>
        <v/>
      </c>
      <c r="I168" s="522" t="str">
        <f>'5-1 Сбор КП Закупки'!I168</f>
        <v/>
      </c>
      <c r="J168" s="197"/>
      <c r="K168" s="522" t="str">
        <f>'5-1 Сбор КП Закупки'!G168</f>
        <v/>
      </c>
      <c r="L168" s="523" t="str">
        <f>IF(A168="Да",'5-1 Сбор КП Закупки'!K168,)</f>
        <v/>
      </c>
      <c r="M168" s="197"/>
      <c r="N168" s="197"/>
      <c r="O168" s="197"/>
      <c r="P168" s="525" t="str">
        <f>'5-1 Сбор КП Закупки'!P168</f>
        <v/>
      </c>
      <c r="Q168" s="197"/>
      <c r="R168" s="197"/>
      <c r="S168" s="197"/>
      <c r="T168" s="197"/>
      <c r="U168" s="197"/>
      <c r="V168" s="197"/>
      <c r="W168" s="522" t="str">
        <f>'5-1 Сбор КП Закупки'!O168</f>
        <v/>
      </c>
      <c r="X168" s="197"/>
      <c r="Y168" s="197"/>
      <c r="Z168" s="197"/>
      <c r="AA168" s="197"/>
      <c r="AB168" s="197">
        <v>0.0</v>
      </c>
      <c r="AC168" s="197"/>
      <c r="AD168" s="197"/>
      <c r="AE1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5-3'!$D$11:$Q319,AE$4,AE$5)"),"")</f>
        <v/>
      </c>
      <c r="AF168" s="528"/>
      <c r="AG1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5-3'!$D$11:$Q319,AG$4,AG$5)"),"")</f>
        <v/>
      </c>
      <c r="AH168" s="527"/>
      <c r="AI1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5-3'!$D$11:$Q319,AI$4,AI$5)"),"")</f>
        <v/>
      </c>
      <c r="AJ168" s="527"/>
      <c r="AK1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5-3'!$D$11:$Q319,AK$4,AK$5)"),"")</f>
        <v/>
      </c>
      <c r="AL168" s="527"/>
      <c r="AM1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5-3'!$D$11:$Q319,AM$4,AM$5)"),"")</f>
        <v/>
      </c>
      <c r="AN168" s="529"/>
      <c r="AO1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5-3'!$D$11:$Q319,AO$4,AO$5)"),"")</f>
        <v/>
      </c>
      <c r="AP168" s="527"/>
      <c r="AQ168" s="527"/>
      <c r="AR168" s="527"/>
      <c r="AS168" s="527"/>
      <c r="AT1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5-3'!$D$11:$Q319,AT$4,AT$5)"),"")</f>
        <v/>
      </c>
      <c r="AU168" s="531"/>
      <c r="AV1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5-3'!$D$11:$Q319,AV$4,AV$5)"),"")</f>
        <v/>
      </c>
      <c r="AW168" s="530"/>
      <c r="AX1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5-3'!$D$11:$Q319,AX$4,AX$5)"),"")</f>
        <v/>
      </c>
      <c r="AY168" s="530"/>
      <c r="AZ1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5-3'!$D$11:$Q319,AZ$4,AZ$5)"),"")</f>
        <v/>
      </c>
      <c r="BA168" s="530"/>
      <c r="BB1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5-3'!$D$11:$Q319,BB$4,BB$5)"),"")</f>
        <v/>
      </c>
      <c r="BC168" s="532"/>
      <c r="BD1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5-3'!$D$11:$Q319,BD$4,BD$5)"),"")</f>
        <v/>
      </c>
      <c r="BE168" s="530"/>
      <c r="BF168" s="530"/>
      <c r="BG168" s="530"/>
      <c r="BH168" s="530"/>
      <c r="BI1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5-3'!$D$11:$Q319,BI$4,BI$5)"),"")</f>
        <v/>
      </c>
      <c r="BJ168" s="535"/>
      <c r="BK1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5-3'!$D$11:$Q319,BK$4,BK$5)"),"")</f>
        <v/>
      </c>
      <c r="BL168" s="534"/>
      <c r="BM1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5-3'!$D$11:$Q319,BM$4,BM$5)"),"")</f>
        <v/>
      </c>
      <c r="BN168" s="534"/>
      <c r="BO1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5-3'!$D$11:$Q319,BO$4,BO$5)"),"")</f>
        <v/>
      </c>
      <c r="BP168" s="534"/>
      <c r="BQ1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5-3'!$D$11:$Q319,BQ$4,BQ$5)"),"")</f>
        <v/>
      </c>
      <c r="BR168" s="536"/>
      <c r="BS1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5-3'!$D$11:$Q319,BS$4,BS$5)"),"")</f>
        <v/>
      </c>
      <c r="BT168" s="534"/>
      <c r="BU168" s="534"/>
      <c r="BV168" s="534"/>
      <c r="BW168" s="534"/>
      <c r="BX1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5-3'!$D$11:$Q319,BX$4,BX$5)"),"")</f>
        <v/>
      </c>
      <c r="BY168" s="538"/>
      <c r="BZ1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5-3'!$D$11:$Q319,BZ$4,BZ$5)"),"")</f>
        <v/>
      </c>
      <c r="CA168" s="537"/>
      <c r="CB1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5-3'!$D$11:$Q319,CB$4,CB$5)"),"")</f>
        <v/>
      </c>
      <c r="CC168" s="537"/>
      <c r="CD1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5-3'!$D$11:$Q319,CD$4,CD$5)"),"")</f>
        <v/>
      </c>
      <c r="CE168" s="537"/>
      <c r="CF1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5-3'!$D$11:$Q319,CF$4,CF$5)"),"")</f>
        <v/>
      </c>
      <c r="CG168" s="539"/>
      <c r="CH1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5-3'!$D$11:$Q319,CH$4,CH$5)"),"")</f>
        <v/>
      </c>
      <c r="CI168" s="537"/>
      <c r="CJ168" s="537"/>
      <c r="CK168" s="537"/>
      <c r="CL168" s="537"/>
      <c r="CM1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5-3'!$D$11:$Q319,CM$4,CM$5)"),"")</f>
        <v/>
      </c>
      <c r="CN168" s="541"/>
      <c r="CO1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5-3'!$D$11:$Q319,CO$4,CO$5)"),"")</f>
        <v/>
      </c>
      <c r="CP168" s="540"/>
      <c r="CQ1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5-3'!$D$11:$Q319,CQ$4,CQ$5)"),"")</f>
        <v/>
      </c>
      <c r="CR168" s="540"/>
      <c r="CS1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5-3'!$D$11:$Q319,CS$4,CS$5)"),"")</f>
        <v/>
      </c>
      <c r="CT168" s="540"/>
      <c r="CU1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5-3'!$D$11:$Q319,CU$4,CU$5)"),"")</f>
        <v/>
      </c>
      <c r="CV168" s="545"/>
      <c r="CW1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5-3'!$D$11:$Q319,CW$4,CW$5)"),"")</f>
        <v/>
      </c>
      <c r="CX168" s="540"/>
      <c r="CY168" s="540"/>
      <c r="CZ168" s="540"/>
      <c r="DA168" s="540"/>
      <c r="DB1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5-3'!$D$11:$Q319,DB$4,DB$5)"),"")</f>
        <v/>
      </c>
      <c r="DC168" s="555"/>
      <c r="DD1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5-3'!$D$11:$Q319,DD$4,DD$5)"),"")</f>
        <v/>
      </c>
      <c r="DE168" s="554"/>
      <c r="DF1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5-3'!$D$11:$Q319,DF$4,DF$5)"),"")</f>
        <v/>
      </c>
      <c r="DG168" s="554"/>
      <c r="DH1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5-3'!$D$11:$Q319,DH$4,DH$5)"),"")</f>
        <v/>
      </c>
      <c r="DI168" s="554"/>
      <c r="DJ1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5-3'!$D$11:$Q319,DJ$4,DJ$5)"),"")</f>
        <v/>
      </c>
      <c r="DK168" s="566"/>
      <c r="DL1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5-3'!$D$11:$Q319,DL$4,DL$5)"),"")</f>
        <v/>
      </c>
      <c r="DM168" s="554"/>
      <c r="DN168" s="554"/>
      <c r="DO168" s="554"/>
      <c r="DP168" s="554"/>
      <c r="DQ1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5-3'!$D$11:$Q319,DQ$4,DQ$5)"),"")</f>
        <v/>
      </c>
      <c r="DR168" s="569"/>
      <c r="DS1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5-3'!$D$11:$Q319,DS$4,DS$5)"),"")</f>
        <v/>
      </c>
      <c r="DT168" s="568"/>
      <c r="DU1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5-3'!$D$11:$Q319,DU$4,DU$5)"),"")</f>
        <v/>
      </c>
      <c r="DV168" s="568"/>
      <c r="DW1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5-3'!$D$11:$Q319,DW$4,DW$5)"),"")</f>
        <v/>
      </c>
      <c r="DX168" s="568"/>
      <c r="DY1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5-3'!$D$11:$Q319,DY$4,DY$5)"),"")</f>
        <v/>
      </c>
      <c r="DZ168" s="578"/>
      <c r="EA1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$C168, 'S-10 Топ 5-3'!$D$11:$Q319,EA$4,EA$5)"),"")</f>
        <v/>
      </c>
      <c r="EB168" s="568"/>
      <c r="EC168" s="568"/>
      <c r="ED168" s="568"/>
      <c r="EE168" s="568"/>
    </row>
    <row r="169">
      <c r="A169" s="519" t="str">
        <f t="shared" si="1"/>
        <v/>
      </c>
      <c r="B169" s="520" t="str">
        <f>'5-0 Товары'!B169</f>
        <v/>
      </c>
      <c r="C169" s="521" t="str">
        <f>'5-1 Сбор КП Закупки'!C169</f>
        <v/>
      </c>
      <c r="D169" s="521" t="str">
        <f>'5-1 Сбор КП Закупки'!D169</f>
        <v/>
      </c>
      <c r="E169" s="521" t="str">
        <f>'5-1 Сбор КП Закупки'!E169</f>
        <v/>
      </c>
      <c r="F169" s="521" t="str">
        <f>'5-1 Сбор КП Закупки'!F169</f>
        <v/>
      </c>
      <c r="G169" s="522" t="str">
        <f>'5-1 Сбор КП Закупки'!G169</f>
        <v/>
      </c>
      <c r="H169" s="522" t="str">
        <f>'5-1 Сбор КП Закупки'!H169</f>
        <v/>
      </c>
      <c r="I169" s="522" t="str">
        <f>'5-1 Сбор КП Закупки'!I169</f>
        <v/>
      </c>
      <c r="J169" s="197"/>
      <c r="K169" s="522" t="str">
        <f>'5-1 Сбор КП Закупки'!G169</f>
        <v/>
      </c>
      <c r="L169" s="523" t="str">
        <f>IF(A169="Да",'5-1 Сбор КП Закупки'!K169,)</f>
        <v/>
      </c>
      <c r="M169" s="197"/>
      <c r="N169" s="197"/>
      <c r="O169" s="197"/>
      <c r="P169" s="525" t="str">
        <f>'5-1 Сбор КП Закупки'!P169</f>
        <v/>
      </c>
      <c r="Q169" s="197"/>
      <c r="R169" s="197"/>
      <c r="S169" s="197"/>
      <c r="T169" s="197"/>
      <c r="U169" s="197"/>
      <c r="V169" s="197"/>
      <c r="W169" s="522" t="str">
        <f>'5-1 Сбор КП Закупки'!O169</f>
        <v/>
      </c>
      <c r="X169" s="197"/>
      <c r="Y169" s="197"/>
      <c r="Z169" s="197"/>
      <c r="AA169" s="197"/>
      <c r="AB169" s="197">
        <v>0.0</v>
      </c>
      <c r="AC169" s="197"/>
      <c r="AD169" s="197"/>
      <c r="AE1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5-3'!$D$11:$Q319,AE$4,AE$5)"),"")</f>
        <v/>
      </c>
      <c r="AF169" s="528"/>
      <c r="AG1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5-3'!$D$11:$Q319,AG$4,AG$5)"),"")</f>
        <v/>
      </c>
      <c r="AH169" s="527"/>
      <c r="AI1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5-3'!$D$11:$Q319,AI$4,AI$5)"),"")</f>
        <v/>
      </c>
      <c r="AJ169" s="527"/>
      <c r="AK1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5-3'!$D$11:$Q319,AK$4,AK$5)"),"")</f>
        <v/>
      </c>
      <c r="AL169" s="527"/>
      <c r="AM1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5-3'!$D$11:$Q319,AM$4,AM$5)"),"")</f>
        <v/>
      </c>
      <c r="AN169" s="529"/>
      <c r="AO1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5-3'!$D$11:$Q319,AO$4,AO$5)"),"")</f>
        <v/>
      </c>
      <c r="AP169" s="527"/>
      <c r="AQ169" s="527"/>
      <c r="AR169" s="527"/>
      <c r="AS169" s="527"/>
      <c r="AT1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5-3'!$D$11:$Q319,AT$4,AT$5)"),"")</f>
        <v/>
      </c>
      <c r="AU169" s="531"/>
      <c r="AV1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5-3'!$D$11:$Q319,AV$4,AV$5)"),"")</f>
        <v/>
      </c>
      <c r="AW169" s="530"/>
      <c r="AX1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5-3'!$D$11:$Q319,AX$4,AX$5)"),"")</f>
        <v/>
      </c>
      <c r="AY169" s="530"/>
      <c r="AZ1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5-3'!$D$11:$Q319,AZ$4,AZ$5)"),"")</f>
        <v/>
      </c>
      <c r="BA169" s="530"/>
      <c r="BB1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5-3'!$D$11:$Q319,BB$4,BB$5)"),"")</f>
        <v/>
      </c>
      <c r="BC169" s="532"/>
      <c r="BD1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5-3'!$D$11:$Q319,BD$4,BD$5)"),"")</f>
        <v/>
      </c>
      <c r="BE169" s="530"/>
      <c r="BF169" s="530"/>
      <c r="BG169" s="530"/>
      <c r="BH169" s="530"/>
      <c r="BI1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5-3'!$D$11:$Q319,BI$4,BI$5)"),"")</f>
        <v/>
      </c>
      <c r="BJ169" s="535"/>
      <c r="BK1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5-3'!$D$11:$Q319,BK$4,BK$5)"),"")</f>
        <v/>
      </c>
      <c r="BL169" s="534"/>
      <c r="BM1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5-3'!$D$11:$Q319,BM$4,BM$5)"),"")</f>
        <v/>
      </c>
      <c r="BN169" s="534"/>
      <c r="BO1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5-3'!$D$11:$Q319,BO$4,BO$5)"),"")</f>
        <v/>
      </c>
      <c r="BP169" s="534"/>
      <c r="BQ1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5-3'!$D$11:$Q319,BQ$4,BQ$5)"),"")</f>
        <v/>
      </c>
      <c r="BR169" s="536"/>
      <c r="BS1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5-3'!$D$11:$Q319,BS$4,BS$5)"),"")</f>
        <v/>
      </c>
      <c r="BT169" s="534"/>
      <c r="BU169" s="534"/>
      <c r="BV169" s="534"/>
      <c r="BW169" s="534"/>
      <c r="BX1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5-3'!$D$11:$Q319,BX$4,BX$5)"),"")</f>
        <v/>
      </c>
      <c r="BY169" s="538"/>
      <c r="BZ1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5-3'!$D$11:$Q319,BZ$4,BZ$5)"),"")</f>
        <v/>
      </c>
      <c r="CA169" s="537"/>
      <c r="CB1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5-3'!$D$11:$Q319,CB$4,CB$5)"),"")</f>
        <v/>
      </c>
      <c r="CC169" s="537"/>
      <c r="CD1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5-3'!$D$11:$Q319,CD$4,CD$5)"),"")</f>
        <v/>
      </c>
      <c r="CE169" s="537"/>
      <c r="CF1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5-3'!$D$11:$Q319,CF$4,CF$5)"),"")</f>
        <v/>
      </c>
      <c r="CG169" s="539"/>
      <c r="CH1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5-3'!$D$11:$Q319,CH$4,CH$5)"),"")</f>
        <v/>
      </c>
      <c r="CI169" s="537"/>
      <c r="CJ169" s="537"/>
      <c r="CK169" s="537"/>
      <c r="CL169" s="537"/>
      <c r="CM1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5-3'!$D$11:$Q319,CM$4,CM$5)"),"")</f>
        <v/>
      </c>
      <c r="CN169" s="541"/>
      <c r="CO1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5-3'!$D$11:$Q319,CO$4,CO$5)"),"")</f>
        <v/>
      </c>
      <c r="CP169" s="540"/>
      <c r="CQ1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5-3'!$D$11:$Q319,CQ$4,CQ$5)"),"")</f>
        <v/>
      </c>
      <c r="CR169" s="540"/>
      <c r="CS1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5-3'!$D$11:$Q319,CS$4,CS$5)"),"")</f>
        <v/>
      </c>
      <c r="CT169" s="540"/>
      <c r="CU1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5-3'!$D$11:$Q319,CU$4,CU$5)"),"")</f>
        <v/>
      </c>
      <c r="CV169" s="545"/>
      <c r="CW1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5-3'!$D$11:$Q319,CW$4,CW$5)"),"")</f>
        <v/>
      </c>
      <c r="CX169" s="540"/>
      <c r="CY169" s="540"/>
      <c r="CZ169" s="540"/>
      <c r="DA169" s="540"/>
      <c r="DB1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5-3'!$D$11:$Q319,DB$4,DB$5)"),"")</f>
        <v/>
      </c>
      <c r="DC169" s="555"/>
      <c r="DD1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5-3'!$D$11:$Q319,DD$4,DD$5)"),"")</f>
        <v/>
      </c>
      <c r="DE169" s="554"/>
      <c r="DF1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5-3'!$D$11:$Q319,DF$4,DF$5)"),"")</f>
        <v/>
      </c>
      <c r="DG169" s="554"/>
      <c r="DH1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5-3'!$D$11:$Q319,DH$4,DH$5)"),"")</f>
        <v/>
      </c>
      <c r="DI169" s="554"/>
      <c r="DJ1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5-3'!$D$11:$Q319,DJ$4,DJ$5)"),"")</f>
        <v/>
      </c>
      <c r="DK169" s="566"/>
      <c r="DL1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5-3'!$D$11:$Q319,DL$4,DL$5)"),"")</f>
        <v/>
      </c>
      <c r="DM169" s="554"/>
      <c r="DN169" s="554"/>
      <c r="DO169" s="554"/>
      <c r="DP169" s="554"/>
      <c r="DQ1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5-3'!$D$11:$Q319,DQ$4,DQ$5)"),"")</f>
        <v/>
      </c>
      <c r="DR169" s="569"/>
      <c r="DS1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5-3'!$D$11:$Q319,DS$4,DS$5)"),"")</f>
        <v/>
      </c>
      <c r="DT169" s="568"/>
      <c r="DU1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5-3'!$D$11:$Q319,DU$4,DU$5)"),"")</f>
        <v/>
      </c>
      <c r="DV169" s="568"/>
      <c r="DW1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5-3'!$D$11:$Q319,DW$4,DW$5)"),"")</f>
        <v/>
      </c>
      <c r="DX169" s="568"/>
      <c r="DY1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5-3'!$D$11:$Q319,DY$4,DY$5)"),"")</f>
        <v/>
      </c>
      <c r="DZ169" s="578"/>
      <c r="EA1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$C169, 'S-10 Топ 5-3'!$D$11:$Q319,EA$4,EA$5)"),"")</f>
        <v/>
      </c>
      <c r="EB169" s="568"/>
      <c r="EC169" s="568"/>
      <c r="ED169" s="568"/>
      <c r="EE169" s="568"/>
    </row>
    <row r="170">
      <c r="A170" s="519" t="str">
        <f t="shared" si="1"/>
        <v/>
      </c>
      <c r="B170" s="520" t="str">
        <f>'5-0 Товары'!B170</f>
        <v/>
      </c>
      <c r="C170" s="521" t="str">
        <f>'5-1 Сбор КП Закупки'!C170</f>
        <v/>
      </c>
      <c r="D170" s="521" t="str">
        <f>'5-1 Сбор КП Закупки'!D170</f>
        <v/>
      </c>
      <c r="E170" s="521" t="str">
        <f>'5-1 Сбор КП Закупки'!E170</f>
        <v/>
      </c>
      <c r="F170" s="521" t="str">
        <f>'5-1 Сбор КП Закупки'!F170</f>
        <v/>
      </c>
      <c r="G170" s="522" t="str">
        <f>'5-1 Сбор КП Закупки'!G170</f>
        <v/>
      </c>
      <c r="H170" s="522" t="str">
        <f>'5-1 Сбор КП Закупки'!H170</f>
        <v/>
      </c>
      <c r="I170" s="522" t="str">
        <f>'5-1 Сбор КП Закупки'!I170</f>
        <v/>
      </c>
      <c r="J170" s="197"/>
      <c r="K170" s="522" t="str">
        <f>'5-1 Сбор КП Закупки'!G170</f>
        <v/>
      </c>
      <c r="L170" s="523" t="str">
        <f>IF(A170="Да",'5-1 Сбор КП Закупки'!K170,)</f>
        <v/>
      </c>
      <c r="M170" s="197"/>
      <c r="N170" s="197"/>
      <c r="O170" s="197"/>
      <c r="P170" s="525" t="str">
        <f>'5-1 Сбор КП Закупки'!P170</f>
        <v/>
      </c>
      <c r="Q170" s="197"/>
      <c r="R170" s="197"/>
      <c r="S170" s="197"/>
      <c r="T170" s="197"/>
      <c r="U170" s="197"/>
      <c r="V170" s="197"/>
      <c r="W170" s="522" t="str">
        <f>'5-1 Сбор КП Закупки'!O170</f>
        <v/>
      </c>
      <c r="X170" s="197"/>
      <c r="Y170" s="197"/>
      <c r="Z170" s="197"/>
      <c r="AA170" s="197"/>
      <c r="AB170" s="197">
        <v>0.0</v>
      </c>
      <c r="AC170" s="197"/>
      <c r="AD170" s="197"/>
      <c r="AE1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5-3'!$D$11:$Q319,AE$4,AE$5)"),"")</f>
        <v/>
      </c>
      <c r="AF170" s="528"/>
      <c r="AG1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5-3'!$D$11:$Q319,AG$4,AG$5)"),"")</f>
        <v/>
      </c>
      <c r="AH170" s="527"/>
      <c r="AI1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5-3'!$D$11:$Q319,AI$4,AI$5)"),"")</f>
        <v/>
      </c>
      <c r="AJ170" s="527"/>
      <c r="AK1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5-3'!$D$11:$Q319,AK$4,AK$5)"),"")</f>
        <v/>
      </c>
      <c r="AL170" s="527"/>
      <c r="AM1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5-3'!$D$11:$Q319,AM$4,AM$5)"),"")</f>
        <v/>
      </c>
      <c r="AN170" s="529"/>
      <c r="AO1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5-3'!$D$11:$Q319,AO$4,AO$5)"),"")</f>
        <v/>
      </c>
      <c r="AP170" s="527"/>
      <c r="AQ170" s="527"/>
      <c r="AR170" s="527"/>
      <c r="AS170" s="527"/>
      <c r="AT1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5-3'!$D$11:$Q319,AT$4,AT$5)"),"")</f>
        <v/>
      </c>
      <c r="AU170" s="531"/>
      <c r="AV1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5-3'!$D$11:$Q319,AV$4,AV$5)"),"")</f>
        <v/>
      </c>
      <c r="AW170" s="530"/>
      <c r="AX1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5-3'!$D$11:$Q319,AX$4,AX$5)"),"")</f>
        <v/>
      </c>
      <c r="AY170" s="530"/>
      <c r="AZ1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5-3'!$D$11:$Q319,AZ$4,AZ$5)"),"")</f>
        <v/>
      </c>
      <c r="BA170" s="530"/>
      <c r="BB1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5-3'!$D$11:$Q319,BB$4,BB$5)"),"")</f>
        <v/>
      </c>
      <c r="BC170" s="532"/>
      <c r="BD1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5-3'!$D$11:$Q319,BD$4,BD$5)"),"")</f>
        <v/>
      </c>
      <c r="BE170" s="530"/>
      <c r="BF170" s="530"/>
      <c r="BG170" s="530"/>
      <c r="BH170" s="530"/>
      <c r="BI1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5-3'!$D$11:$Q319,BI$4,BI$5)"),"")</f>
        <v/>
      </c>
      <c r="BJ170" s="535"/>
      <c r="BK1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5-3'!$D$11:$Q319,BK$4,BK$5)"),"")</f>
        <v/>
      </c>
      <c r="BL170" s="534"/>
      <c r="BM1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5-3'!$D$11:$Q319,BM$4,BM$5)"),"")</f>
        <v/>
      </c>
      <c r="BN170" s="534"/>
      <c r="BO1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5-3'!$D$11:$Q319,BO$4,BO$5)"),"")</f>
        <v/>
      </c>
      <c r="BP170" s="534"/>
      <c r="BQ1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5-3'!$D$11:$Q319,BQ$4,BQ$5)"),"")</f>
        <v/>
      </c>
      <c r="BR170" s="536"/>
      <c r="BS1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5-3'!$D$11:$Q319,BS$4,BS$5)"),"")</f>
        <v/>
      </c>
      <c r="BT170" s="534"/>
      <c r="BU170" s="534"/>
      <c r="BV170" s="534"/>
      <c r="BW170" s="534"/>
      <c r="BX1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5-3'!$D$11:$Q319,BX$4,BX$5)"),"")</f>
        <v/>
      </c>
      <c r="BY170" s="538"/>
      <c r="BZ1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5-3'!$D$11:$Q319,BZ$4,BZ$5)"),"")</f>
        <v/>
      </c>
      <c r="CA170" s="537"/>
      <c r="CB1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5-3'!$D$11:$Q319,CB$4,CB$5)"),"")</f>
        <v/>
      </c>
      <c r="CC170" s="537"/>
      <c r="CD1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5-3'!$D$11:$Q319,CD$4,CD$5)"),"")</f>
        <v/>
      </c>
      <c r="CE170" s="537"/>
      <c r="CF1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5-3'!$D$11:$Q319,CF$4,CF$5)"),"")</f>
        <v/>
      </c>
      <c r="CG170" s="539"/>
      <c r="CH1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5-3'!$D$11:$Q319,CH$4,CH$5)"),"")</f>
        <v/>
      </c>
      <c r="CI170" s="537"/>
      <c r="CJ170" s="537"/>
      <c r="CK170" s="537"/>
      <c r="CL170" s="537"/>
      <c r="CM1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5-3'!$D$11:$Q319,CM$4,CM$5)"),"")</f>
        <v/>
      </c>
      <c r="CN170" s="541"/>
      <c r="CO1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5-3'!$D$11:$Q319,CO$4,CO$5)"),"")</f>
        <v/>
      </c>
      <c r="CP170" s="540"/>
      <c r="CQ1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5-3'!$D$11:$Q319,CQ$4,CQ$5)"),"")</f>
        <v/>
      </c>
      <c r="CR170" s="540"/>
      <c r="CS1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5-3'!$D$11:$Q319,CS$4,CS$5)"),"")</f>
        <v/>
      </c>
      <c r="CT170" s="540"/>
      <c r="CU1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5-3'!$D$11:$Q319,CU$4,CU$5)"),"")</f>
        <v/>
      </c>
      <c r="CV170" s="545"/>
      <c r="CW1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5-3'!$D$11:$Q319,CW$4,CW$5)"),"")</f>
        <v/>
      </c>
      <c r="CX170" s="540"/>
      <c r="CY170" s="540"/>
      <c r="CZ170" s="540"/>
      <c r="DA170" s="540"/>
      <c r="DB1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5-3'!$D$11:$Q319,DB$4,DB$5)"),"")</f>
        <v/>
      </c>
      <c r="DC170" s="555"/>
      <c r="DD1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5-3'!$D$11:$Q319,DD$4,DD$5)"),"")</f>
        <v/>
      </c>
      <c r="DE170" s="554"/>
      <c r="DF1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5-3'!$D$11:$Q319,DF$4,DF$5)"),"")</f>
        <v/>
      </c>
      <c r="DG170" s="554"/>
      <c r="DH1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5-3'!$D$11:$Q319,DH$4,DH$5)"),"")</f>
        <v/>
      </c>
      <c r="DI170" s="554"/>
      <c r="DJ1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5-3'!$D$11:$Q319,DJ$4,DJ$5)"),"")</f>
        <v/>
      </c>
      <c r="DK170" s="566"/>
      <c r="DL1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5-3'!$D$11:$Q319,DL$4,DL$5)"),"")</f>
        <v/>
      </c>
      <c r="DM170" s="554"/>
      <c r="DN170" s="554"/>
      <c r="DO170" s="554"/>
      <c r="DP170" s="554"/>
      <c r="DQ1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5-3'!$D$11:$Q319,DQ$4,DQ$5)"),"")</f>
        <v/>
      </c>
      <c r="DR170" s="569"/>
      <c r="DS1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5-3'!$D$11:$Q319,DS$4,DS$5)"),"")</f>
        <v/>
      </c>
      <c r="DT170" s="568"/>
      <c r="DU1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5-3'!$D$11:$Q319,DU$4,DU$5)"),"")</f>
        <v/>
      </c>
      <c r="DV170" s="568"/>
      <c r="DW1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5-3'!$D$11:$Q319,DW$4,DW$5)"),"")</f>
        <v/>
      </c>
      <c r="DX170" s="568"/>
      <c r="DY1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5-3'!$D$11:$Q319,DY$4,DY$5)"),"")</f>
        <v/>
      </c>
      <c r="DZ170" s="578"/>
      <c r="EA1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$C170, 'S-10 Топ 5-3'!$D$11:$Q319,EA$4,EA$5)"),"")</f>
        <v/>
      </c>
      <c r="EB170" s="568"/>
      <c r="EC170" s="568"/>
      <c r="ED170" s="568"/>
      <c r="EE170" s="568"/>
    </row>
    <row r="171">
      <c r="A171" s="519" t="str">
        <f t="shared" si="1"/>
        <v/>
      </c>
      <c r="B171" s="520" t="str">
        <f>'5-0 Товары'!B171</f>
        <v/>
      </c>
      <c r="C171" s="521" t="str">
        <f>'5-1 Сбор КП Закупки'!C171</f>
        <v/>
      </c>
      <c r="D171" s="521" t="str">
        <f>'5-1 Сбор КП Закупки'!D171</f>
        <v/>
      </c>
      <c r="E171" s="521" t="str">
        <f>'5-1 Сбор КП Закупки'!E171</f>
        <v/>
      </c>
      <c r="F171" s="521" t="str">
        <f>'5-1 Сбор КП Закупки'!F171</f>
        <v/>
      </c>
      <c r="G171" s="522" t="str">
        <f>'5-1 Сбор КП Закупки'!G171</f>
        <v/>
      </c>
      <c r="H171" s="522" t="str">
        <f>'5-1 Сбор КП Закупки'!H171</f>
        <v/>
      </c>
      <c r="I171" s="522" t="str">
        <f>'5-1 Сбор КП Закупки'!I171</f>
        <v/>
      </c>
      <c r="J171" s="197"/>
      <c r="K171" s="522" t="str">
        <f>'5-1 Сбор КП Закупки'!G171</f>
        <v/>
      </c>
      <c r="L171" s="523" t="str">
        <f>IF(A171="Да",'5-1 Сбор КП Закупки'!K171,)</f>
        <v/>
      </c>
      <c r="M171" s="197"/>
      <c r="N171" s="197"/>
      <c r="O171" s="197"/>
      <c r="P171" s="525" t="str">
        <f>'5-1 Сбор КП Закупки'!P171</f>
        <v/>
      </c>
      <c r="Q171" s="197"/>
      <c r="R171" s="197"/>
      <c r="S171" s="197"/>
      <c r="T171" s="197"/>
      <c r="U171" s="197"/>
      <c r="V171" s="197"/>
      <c r="W171" s="522" t="str">
        <f>'5-1 Сбор КП Закупки'!O171</f>
        <v/>
      </c>
      <c r="X171" s="197"/>
      <c r="Y171" s="197"/>
      <c r="Z171" s="197"/>
      <c r="AA171" s="197"/>
      <c r="AB171" s="197">
        <v>0.0</v>
      </c>
      <c r="AC171" s="197"/>
      <c r="AD171" s="197"/>
      <c r="AE1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5-3'!$D$11:$Q319,AE$4,AE$5)"),"")</f>
        <v/>
      </c>
      <c r="AF171" s="528"/>
      <c r="AG1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5-3'!$D$11:$Q319,AG$4,AG$5)"),"")</f>
        <v/>
      </c>
      <c r="AH171" s="527"/>
      <c r="AI1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5-3'!$D$11:$Q319,AI$4,AI$5)"),"")</f>
        <v/>
      </c>
      <c r="AJ171" s="527"/>
      <c r="AK1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5-3'!$D$11:$Q319,AK$4,AK$5)"),"")</f>
        <v/>
      </c>
      <c r="AL171" s="527"/>
      <c r="AM1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5-3'!$D$11:$Q319,AM$4,AM$5)"),"")</f>
        <v/>
      </c>
      <c r="AN171" s="529"/>
      <c r="AO1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5-3'!$D$11:$Q319,AO$4,AO$5)"),"")</f>
        <v/>
      </c>
      <c r="AP171" s="527"/>
      <c r="AQ171" s="527"/>
      <c r="AR171" s="527"/>
      <c r="AS171" s="527"/>
      <c r="AT1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5-3'!$D$11:$Q319,AT$4,AT$5)"),"")</f>
        <v/>
      </c>
      <c r="AU171" s="531"/>
      <c r="AV1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5-3'!$D$11:$Q319,AV$4,AV$5)"),"")</f>
        <v/>
      </c>
      <c r="AW171" s="530"/>
      <c r="AX1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5-3'!$D$11:$Q319,AX$4,AX$5)"),"")</f>
        <v/>
      </c>
      <c r="AY171" s="530"/>
      <c r="AZ1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5-3'!$D$11:$Q319,AZ$4,AZ$5)"),"")</f>
        <v/>
      </c>
      <c r="BA171" s="530"/>
      <c r="BB1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5-3'!$D$11:$Q319,BB$4,BB$5)"),"")</f>
        <v/>
      </c>
      <c r="BC171" s="532"/>
      <c r="BD1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5-3'!$D$11:$Q319,BD$4,BD$5)"),"")</f>
        <v/>
      </c>
      <c r="BE171" s="530"/>
      <c r="BF171" s="530"/>
      <c r="BG171" s="530"/>
      <c r="BH171" s="530"/>
      <c r="BI1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5-3'!$D$11:$Q319,BI$4,BI$5)"),"")</f>
        <v/>
      </c>
      <c r="BJ171" s="535"/>
      <c r="BK1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5-3'!$D$11:$Q319,BK$4,BK$5)"),"")</f>
        <v/>
      </c>
      <c r="BL171" s="534"/>
      <c r="BM1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5-3'!$D$11:$Q319,BM$4,BM$5)"),"")</f>
        <v/>
      </c>
      <c r="BN171" s="534"/>
      <c r="BO1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5-3'!$D$11:$Q319,BO$4,BO$5)"),"")</f>
        <v/>
      </c>
      <c r="BP171" s="534"/>
      <c r="BQ1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5-3'!$D$11:$Q319,BQ$4,BQ$5)"),"")</f>
        <v/>
      </c>
      <c r="BR171" s="536"/>
      <c r="BS1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5-3'!$D$11:$Q319,BS$4,BS$5)"),"")</f>
        <v/>
      </c>
      <c r="BT171" s="534"/>
      <c r="BU171" s="534"/>
      <c r="BV171" s="534"/>
      <c r="BW171" s="534"/>
      <c r="BX1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5-3'!$D$11:$Q319,BX$4,BX$5)"),"")</f>
        <v/>
      </c>
      <c r="BY171" s="538"/>
      <c r="BZ1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5-3'!$D$11:$Q319,BZ$4,BZ$5)"),"")</f>
        <v/>
      </c>
      <c r="CA171" s="537"/>
      <c r="CB1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5-3'!$D$11:$Q319,CB$4,CB$5)"),"")</f>
        <v/>
      </c>
      <c r="CC171" s="537"/>
      <c r="CD1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5-3'!$D$11:$Q319,CD$4,CD$5)"),"")</f>
        <v/>
      </c>
      <c r="CE171" s="537"/>
      <c r="CF1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5-3'!$D$11:$Q319,CF$4,CF$5)"),"")</f>
        <v/>
      </c>
      <c r="CG171" s="539"/>
      <c r="CH1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5-3'!$D$11:$Q319,CH$4,CH$5)"),"")</f>
        <v/>
      </c>
      <c r="CI171" s="537"/>
      <c r="CJ171" s="537"/>
      <c r="CK171" s="537"/>
      <c r="CL171" s="537"/>
      <c r="CM1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5-3'!$D$11:$Q319,CM$4,CM$5)"),"")</f>
        <v/>
      </c>
      <c r="CN171" s="541"/>
      <c r="CO1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5-3'!$D$11:$Q319,CO$4,CO$5)"),"")</f>
        <v/>
      </c>
      <c r="CP171" s="540"/>
      <c r="CQ1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5-3'!$D$11:$Q319,CQ$4,CQ$5)"),"")</f>
        <v/>
      </c>
      <c r="CR171" s="540"/>
      <c r="CS1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5-3'!$D$11:$Q319,CS$4,CS$5)"),"")</f>
        <v/>
      </c>
      <c r="CT171" s="540"/>
      <c r="CU1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5-3'!$D$11:$Q319,CU$4,CU$5)"),"")</f>
        <v/>
      </c>
      <c r="CV171" s="545"/>
      <c r="CW1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5-3'!$D$11:$Q319,CW$4,CW$5)"),"")</f>
        <v/>
      </c>
      <c r="CX171" s="540"/>
      <c r="CY171" s="540"/>
      <c r="CZ171" s="540"/>
      <c r="DA171" s="540"/>
      <c r="DB1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5-3'!$D$11:$Q319,DB$4,DB$5)"),"")</f>
        <v/>
      </c>
      <c r="DC171" s="555"/>
      <c r="DD1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5-3'!$D$11:$Q319,DD$4,DD$5)"),"")</f>
        <v/>
      </c>
      <c r="DE171" s="554"/>
      <c r="DF1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5-3'!$D$11:$Q319,DF$4,DF$5)"),"")</f>
        <v/>
      </c>
      <c r="DG171" s="554"/>
      <c r="DH1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5-3'!$D$11:$Q319,DH$4,DH$5)"),"")</f>
        <v/>
      </c>
      <c r="DI171" s="554"/>
      <c r="DJ1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5-3'!$D$11:$Q319,DJ$4,DJ$5)"),"")</f>
        <v/>
      </c>
      <c r="DK171" s="566"/>
      <c r="DL1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5-3'!$D$11:$Q319,DL$4,DL$5)"),"")</f>
        <v/>
      </c>
      <c r="DM171" s="554"/>
      <c r="DN171" s="554"/>
      <c r="DO171" s="554"/>
      <c r="DP171" s="554"/>
      <c r="DQ1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5-3'!$D$11:$Q319,DQ$4,DQ$5)"),"")</f>
        <v/>
      </c>
      <c r="DR171" s="569"/>
      <c r="DS1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5-3'!$D$11:$Q319,DS$4,DS$5)"),"")</f>
        <v/>
      </c>
      <c r="DT171" s="568"/>
      <c r="DU1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5-3'!$D$11:$Q319,DU$4,DU$5)"),"")</f>
        <v/>
      </c>
      <c r="DV171" s="568"/>
      <c r="DW1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5-3'!$D$11:$Q319,DW$4,DW$5)"),"")</f>
        <v/>
      </c>
      <c r="DX171" s="568"/>
      <c r="DY1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5-3'!$D$11:$Q319,DY$4,DY$5)"),"")</f>
        <v/>
      </c>
      <c r="DZ171" s="578"/>
      <c r="EA1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$C171, 'S-10 Топ 5-3'!$D$11:$Q319,EA$4,EA$5)"),"")</f>
        <v/>
      </c>
      <c r="EB171" s="568"/>
      <c r="EC171" s="568"/>
      <c r="ED171" s="568"/>
      <c r="EE171" s="568"/>
    </row>
    <row r="172">
      <c r="A172" s="519" t="str">
        <f t="shared" si="1"/>
        <v/>
      </c>
      <c r="B172" s="520" t="str">
        <f>'5-0 Товары'!B172</f>
        <v/>
      </c>
      <c r="C172" s="521" t="str">
        <f>'5-1 Сбор КП Закупки'!C172</f>
        <v/>
      </c>
      <c r="D172" s="521" t="str">
        <f>'5-1 Сбор КП Закупки'!D172</f>
        <v/>
      </c>
      <c r="E172" s="521" t="str">
        <f>'5-1 Сбор КП Закупки'!E172</f>
        <v/>
      </c>
      <c r="F172" s="521" t="str">
        <f>'5-1 Сбор КП Закупки'!F172</f>
        <v/>
      </c>
      <c r="G172" s="522" t="str">
        <f>'5-1 Сбор КП Закупки'!G172</f>
        <v/>
      </c>
      <c r="H172" s="522" t="str">
        <f>'5-1 Сбор КП Закупки'!H172</f>
        <v/>
      </c>
      <c r="I172" s="522" t="str">
        <f>'5-1 Сбор КП Закупки'!I172</f>
        <v/>
      </c>
      <c r="J172" s="197"/>
      <c r="K172" s="522" t="str">
        <f>'5-1 Сбор КП Закупки'!G172</f>
        <v/>
      </c>
      <c r="L172" s="523" t="str">
        <f>IF(A172="Да",'5-1 Сбор КП Закупки'!K172,)</f>
        <v/>
      </c>
      <c r="M172" s="197"/>
      <c r="N172" s="197"/>
      <c r="O172" s="197"/>
      <c r="P172" s="525" t="str">
        <f>'5-1 Сбор КП Закупки'!P172</f>
        <v/>
      </c>
      <c r="Q172" s="197"/>
      <c r="R172" s="197"/>
      <c r="S172" s="197"/>
      <c r="T172" s="197"/>
      <c r="U172" s="197"/>
      <c r="V172" s="197"/>
      <c r="W172" s="522" t="str">
        <f>'5-1 Сбор КП Закупки'!O172</f>
        <v/>
      </c>
      <c r="X172" s="197"/>
      <c r="Y172" s="197"/>
      <c r="Z172" s="197"/>
      <c r="AA172" s="197"/>
      <c r="AB172" s="197">
        <v>0.0</v>
      </c>
      <c r="AC172" s="197"/>
      <c r="AD172" s="197"/>
      <c r="AE1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5-3'!$D$11:$Q319,AE$4,AE$5)"),"")</f>
        <v/>
      </c>
      <c r="AF172" s="528"/>
      <c r="AG1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5-3'!$D$11:$Q319,AG$4,AG$5)"),"")</f>
        <v/>
      </c>
      <c r="AH172" s="527"/>
      <c r="AI1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5-3'!$D$11:$Q319,AI$4,AI$5)"),"")</f>
        <v/>
      </c>
      <c r="AJ172" s="527"/>
      <c r="AK1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5-3'!$D$11:$Q319,AK$4,AK$5)"),"")</f>
        <v/>
      </c>
      <c r="AL172" s="527"/>
      <c r="AM1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5-3'!$D$11:$Q319,AM$4,AM$5)"),"")</f>
        <v/>
      </c>
      <c r="AN172" s="529"/>
      <c r="AO1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5-3'!$D$11:$Q319,AO$4,AO$5)"),"")</f>
        <v/>
      </c>
      <c r="AP172" s="527"/>
      <c r="AQ172" s="527"/>
      <c r="AR172" s="527"/>
      <c r="AS172" s="527"/>
      <c r="AT1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5-3'!$D$11:$Q319,AT$4,AT$5)"),"")</f>
        <v/>
      </c>
      <c r="AU172" s="531"/>
      <c r="AV1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5-3'!$D$11:$Q319,AV$4,AV$5)"),"")</f>
        <v/>
      </c>
      <c r="AW172" s="530"/>
      <c r="AX1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5-3'!$D$11:$Q319,AX$4,AX$5)"),"")</f>
        <v/>
      </c>
      <c r="AY172" s="530"/>
      <c r="AZ1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5-3'!$D$11:$Q319,AZ$4,AZ$5)"),"")</f>
        <v/>
      </c>
      <c r="BA172" s="530"/>
      <c r="BB1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5-3'!$D$11:$Q319,BB$4,BB$5)"),"")</f>
        <v/>
      </c>
      <c r="BC172" s="532"/>
      <c r="BD1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5-3'!$D$11:$Q319,BD$4,BD$5)"),"")</f>
        <v/>
      </c>
      <c r="BE172" s="530"/>
      <c r="BF172" s="530"/>
      <c r="BG172" s="530"/>
      <c r="BH172" s="530"/>
      <c r="BI1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5-3'!$D$11:$Q319,BI$4,BI$5)"),"")</f>
        <v/>
      </c>
      <c r="BJ172" s="535"/>
      <c r="BK1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5-3'!$D$11:$Q319,BK$4,BK$5)"),"")</f>
        <v/>
      </c>
      <c r="BL172" s="534"/>
      <c r="BM1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5-3'!$D$11:$Q319,BM$4,BM$5)"),"")</f>
        <v/>
      </c>
      <c r="BN172" s="534"/>
      <c r="BO1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5-3'!$D$11:$Q319,BO$4,BO$5)"),"")</f>
        <v/>
      </c>
      <c r="BP172" s="534"/>
      <c r="BQ1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5-3'!$D$11:$Q319,BQ$4,BQ$5)"),"")</f>
        <v/>
      </c>
      <c r="BR172" s="536"/>
      <c r="BS1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5-3'!$D$11:$Q319,BS$4,BS$5)"),"")</f>
        <v/>
      </c>
      <c r="BT172" s="534"/>
      <c r="BU172" s="534"/>
      <c r="BV172" s="534"/>
      <c r="BW172" s="534"/>
      <c r="BX1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5-3'!$D$11:$Q319,BX$4,BX$5)"),"")</f>
        <v/>
      </c>
      <c r="BY172" s="538"/>
      <c r="BZ1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5-3'!$D$11:$Q319,BZ$4,BZ$5)"),"")</f>
        <v/>
      </c>
      <c r="CA172" s="537"/>
      <c r="CB1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5-3'!$D$11:$Q319,CB$4,CB$5)"),"")</f>
        <v/>
      </c>
      <c r="CC172" s="537"/>
      <c r="CD1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5-3'!$D$11:$Q319,CD$4,CD$5)"),"")</f>
        <v/>
      </c>
      <c r="CE172" s="537"/>
      <c r="CF1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5-3'!$D$11:$Q319,CF$4,CF$5)"),"")</f>
        <v/>
      </c>
      <c r="CG172" s="539"/>
      <c r="CH1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5-3'!$D$11:$Q319,CH$4,CH$5)"),"")</f>
        <v/>
      </c>
      <c r="CI172" s="537"/>
      <c r="CJ172" s="537"/>
      <c r="CK172" s="537"/>
      <c r="CL172" s="537"/>
      <c r="CM1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5-3'!$D$11:$Q319,CM$4,CM$5)"),"")</f>
        <v/>
      </c>
      <c r="CN172" s="541"/>
      <c r="CO1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5-3'!$D$11:$Q319,CO$4,CO$5)"),"")</f>
        <v/>
      </c>
      <c r="CP172" s="540"/>
      <c r="CQ1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5-3'!$D$11:$Q319,CQ$4,CQ$5)"),"")</f>
        <v/>
      </c>
      <c r="CR172" s="540"/>
      <c r="CS1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5-3'!$D$11:$Q319,CS$4,CS$5)"),"")</f>
        <v/>
      </c>
      <c r="CT172" s="540"/>
      <c r="CU1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5-3'!$D$11:$Q319,CU$4,CU$5)"),"")</f>
        <v/>
      </c>
      <c r="CV172" s="545"/>
      <c r="CW1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5-3'!$D$11:$Q319,CW$4,CW$5)"),"")</f>
        <v/>
      </c>
      <c r="CX172" s="540"/>
      <c r="CY172" s="540"/>
      <c r="CZ172" s="540"/>
      <c r="DA172" s="540"/>
      <c r="DB1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5-3'!$D$11:$Q319,DB$4,DB$5)"),"")</f>
        <v/>
      </c>
      <c r="DC172" s="555"/>
      <c r="DD1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5-3'!$D$11:$Q319,DD$4,DD$5)"),"")</f>
        <v/>
      </c>
      <c r="DE172" s="554"/>
      <c r="DF1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5-3'!$D$11:$Q319,DF$4,DF$5)"),"")</f>
        <v/>
      </c>
      <c r="DG172" s="554"/>
      <c r="DH1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5-3'!$D$11:$Q319,DH$4,DH$5)"),"")</f>
        <v/>
      </c>
      <c r="DI172" s="554"/>
      <c r="DJ1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5-3'!$D$11:$Q319,DJ$4,DJ$5)"),"")</f>
        <v/>
      </c>
      <c r="DK172" s="566"/>
      <c r="DL1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5-3'!$D$11:$Q319,DL$4,DL$5)"),"")</f>
        <v/>
      </c>
      <c r="DM172" s="554"/>
      <c r="DN172" s="554"/>
      <c r="DO172" s="554"/>
      <c r="DP172" s="554"/>
      <c r="DQ1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5-3'!$D$11:$Q319,DQ$4,DQ$5)"),"")</f>
        <v/>
      </c>
      <c r="DR172" s="569"/>
      <c r="DS1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5-3'!$D$11:$Q319,DS$4,DS$5)"),"")</f>
        <v/>
      </c>
      <c r="DT172" s="568"/>
      <c r="DU1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5-3'!$D$11:$Q319,DU$4,DU$5)"),"")</f>
        <v/>
      </c>
      <c r="DV172" s="568"/>
      <c r="DW1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5-3'!$D$11:$Q319,DW$4,DW$5)"),"")</f>
        <v/>
      </c>
      <c r="DX172" s="568"/>
      <c r="DY1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5-3'!$D$11:$Q319,DY$4,DY$5)"),"")</f>
        <v/>
      </c>
      <c r="DZ172" s="578"/>
      <c r="EA1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$C172, 'S-10 Топ 5-3'!$D$11:$Q319,EA$4,EA$5)"),"")</f>
        <v/>
      </c>
      <c r="EB172" s="568"/>
      <c r="EC172" s="568"/>
      <c r="ED172" s="568"/>
      <c r="EE172" s="568"/>
    </row>
    <row r="173">
      <c r="A173" s="519" t="str">
        <f t="shared" si="1"/>
        <v/>
      </c>
      <c r="B173" s="520" t="str">
        <f>'5-0 Товары'!B173</f>
        <v/>
      </c>
      <c r="C173" s="521" t="str">
        <f>'5-1 Сбор КП Закупки'!C173</f>
        <v/>
      </c>
      <c r="D173" s="521" t="str">
        <f>'5-1 Сбор КП Закупки'!D173</f>
        <v/>
      </c>
      <c r="E173" s="521" t="str">
        <f>'5-1 Сбор КП Закупки'!E173</f>
        <v/>
      </c>
      <c r="F173" s="521" t="str">
        <f>'5-1 Сбор КП Закупки'!F173</f>
        <v/>
      </c>
      <c r="G173" s="522" t="str">
        <f>'5-1 Сбор КП Закупки'!G173</f>
        <v/>
      </c>
      <c r="H173" s="522" t="str">
        <f>'5-1 Сбор КП Закупки'!H173</f>
        <v/>
      </c>
      <c r="I173" s="522" t="str">
        <f>'5-1 Сбор КП Закупки'!I173</f>
        <v/>
      </c>
      <c r="J173" s="197"/>
      <c r="K173" s="522" t="str">
        <f>'5-1 Сбор КП Закупки'!G173</f>
        <v/>
      </c>
      <c r="L173" s="523" t="str">
        <f>IF(A173="Да",'5-1 Сбор КП Закупки'!K173,)</f>
        <v/>
      </c>
      <c r="M173" s="197"/>
      <c r="N173" s="197"/>
      <c r="O173" s="197"/>
      <c r="P173" s="525" t="str">
        <f>'5-1 Сбор КП Закупки'!P173</f>
        <v/>
      </c>
      <c r="Q173" s="197"/>
      <c r="R173" s="197"/>
      <c r="S173" s="197"/>
      <c r="T173" s="197"/>
      <c r="U173" s="197"/>
      <c r="V173" s="197"/>
      <c r="W173" s="522" t="str">
        <f>'5-1 Сбор КП Закупки'!O173</f>
        <v/>
      </c>
      <c r="X173" s="197"/>
      <c r="Y173" s="197"/>
      <c r="Z173" s="197"/>
      <c r="AA173" s="197"/>
      <c r="AB173" s="197">
        <v>0.0</v>
      </c>
      <c r="AC173" s="197"/>
      <c r="AD173" s="197"/>
      <c r="AE1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5-3'!$D$11:$Q319,AE$4,AE$5)"),"")</f>
        <v/>
      </c>
      <c r="AF173" s="528"/>
      <c r="AG1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5-3'!$D$11:$Q319,AG$4,AG$5)"),"")</f>
        <v/>
      </c>
      <c r="AH173" s="527"/>
      <c r="AI1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5-3'!$D$11:$Q319,AI$4,AI$5)"),"")</f>
        <v/>
      </c>
      <c r="AJ173" s="527"/>
      <c r="AK1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5-3'!$D$11:$Q319,AK$4,AK$5)"),"")</f>
        <v/>
      </c>
      <c r="AL173" s="527"/>
      <c r="AM1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5-3'!$D$11:$Q319,AM$4,AM$5)"),"")</f>
        <v/>
      </c>
      <c r="AN173" s="529"/>
      <c r="AO1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5-3'!$D$11:$Q319,AO$4,AO$5)"),"")</f>
        <v/>
      </c>
      <c r="AP173" s="527"/>
      <c r="AQ173" s="527"/>
      <c r="AR173" s="527"/>
      <c r="AS173" s="527"/>
      <c r="AT1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5-3'!$D$11:$Q319,AT$4,AT$5)"),"")</f>
        <v/>
      </c>
      <c r="AU173" s="531"/>
      <c r="AV1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5-3'!$D$11:$Q319,AV$4,AV$5)"),"")</f>
        <v/>
      </c>
      <c r="AW173" s="530"/>
      <c r="AX1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5-3'!$D$11:$Q319,AX$4,AX$5)"),"")</f>
        <v/>
      </c>
      <c r="AY173" s="530"/>
      <c r="AZ1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5-3'!$D$11:$Q319,AZ$4,AZ$5)"),"")</f>
        <v/>
      </c>
      <c r="BA173" s="530"/>
      <c r="BB1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5-3'!$D$11:$Q319,BB$4,BB$5)"),"")</f>
        <v/>
      </c>
      <c r="BC173" s="532"/>
      <c r="BD1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5-3'!$D$11:$Q319,BD$4,BD$5)"),"")</f>
        <v/>
      </c>
      <c r="BE173" s="530"/>
      <c r="BF173" s="530"/>
      <c r="BG173" s="530"/>
      <c r="BH173" s="530"/>
      <c r="BI1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5-3'!$D$11:$Q319,BI$4,BI$5)"),"")</f>
        <v/>
      </c>
      <c r="BJ173" s="535"/>
      <c r="BK1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5-3'!$D$11:$Q319,BK$4,BK$5)"),"")</f>
        <v/>
      </c>
      <c r="BL173" s="534"/>
      <c r="BM1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5-3'!$D$11:$Q319,BM$4,BM$5)"),"")</f>
        <v/>
      </c>
      <c r="BN173" s="534"/>
      <c r="BO1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5-3'!$D$11:$Q319,BO$4,BO$5)"),"")</f>
        <v/>
      </c>
      <c r="BP173" s="534"/>
      <c r="BQ1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5-3'!$D$11:$Q319,BQ$4,BQ$5)"),"")</f>
        <v/>
      </c>
      <c r="BR173" s="536"/>
      <c r="BS1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5-3'!$D$11:$Q319,BS$4,BS$5)"),"")</f>
        <v/>
      </c>
      <c r="BT173" s="534"/>
      <c r="BU173" s="534"/>
      <c r="BV173" s="534"/>
      <c r="BW173" s="534"/>
      <c r="BX1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5-3'!$D$11:$Q319,BX$4,BX$5)"),"")</f>
        <v/>
      </c>
      <c r="BY173" s="538"/>
      <c r="BZ1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5-3'!$D$11:$Q319,BZ$4,BZ$5)"),"")</f>
        <v/>
      </c>
      <c r="CA173" s="537"/>
      <c r="CB1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5-3'!$D$11:$Q319,CB$4,CB$5)"),"")</f>
        <v/>
      </c>
      <c r="CC173" s="537"/>
      <c r="CD1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5-3'!$D$11:$Q319,CD$4,CD$5)"),"")</f>
        <v/>
      </c>
      <c r="CE173" s="537"/>
      <c r="CF1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5-3'!$D$11:$Q319,CF$4,CF$5)"),"")</f>
        <v/>
      </c>
      <c r="CG173" s="539"/>
      <c r="CH1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5-3'!$D$11:$Q319,CH$4,CH$5)"),"")</f>
        <v/>
      </c>
      <c r="CI173" s="537"/>
      <c r="CJ173" s="537"/>
      <c r="CK173" s="537"/>
      <c r="CL173" s="537"/>
      <c r="CM1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5-3'!$D$11:$Q319,CM$4,CM$5)"),"")</f>
        <v/>
      </c>
      <c r="CN173" s="541"/>
      <c r="CO1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5-3'!$D$11:$Q319,CO$4,CO$5)"),"")</f>
        <v/>
      </c>
      <c r="CP173" s="540"/>
      <c r="CQ1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5-3'!$D$11:$Q319,CQ$4,CQ$5)"),"")</f>
        <v/>
      </c>
      <c r="CR173" s="540"/>
      <c r="CS1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5-3'!$D$11:$Q319,CS$4,CS$5)"),"")</f>
        <v/>
      </c>
      <c r="CT173" s="540"/>
      <c r="CU1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5-3'!$D$11:$Q319,CU$4,CU$5)"),"")</f>
        <v/>
      </c>
      <c r="CV173" s="545"/>
      <c r="CW1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5-3'!$D$11:$Q319,CW$4,CW$5)"),"")</f>
        <v/>
      </c>
      <c r="CX173" s="540"/>
      <c r="CY173" s="540"/>
      <c r="CZ173" s="540"/>
      <c r="DA173" s="540"/>
      <c r="DB1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5-3'!$D$11:$Q319,DB$4,DB$5)"),"")</f>
        <v/>
      </c>
      <c r="DC173" s="555"/>
      <c r="DD1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5-3'!$D$11:$Q319,DD$4,DD$5)"),"")</f>
        <v/>
      </c>
      <c r="DE173" s="554"/>
      <c r="DF1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5-3'!$D$11:$Q319,DF$4,DF$5)"),"")</f>
        <v/>
      </c>
      <c r="DG173" s="554"/>
      <c r="DH1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5-3'!$D$11:$Q319,DH$4,DH$5)"),"")</f>
        <v/>
      </c>
      <c r="DI173" s="554"/>
      <c r="DJ1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5-3'!$D$11:$Q319,DJ$4,DJ$5)"),"")</f>
        <v/>
      </c>
      <c r="DK173" s="566"/>
      <c r="DL1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5-3'!$D$11:$Q319,DL$4,DL$5)"),"")</f>
        <v/>
      </c>
      <c r="DM173" s="554"/>
      <c r="DN173" s="554"/>
      <c r="DO173" s="554"/>
      <c r="DP173" s="554"/>
      <c r="DQ1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5-3'!$D$11:$Q319,DQ$4,DQ$5)"),"")</f>
        <v/>
      </c>
      <c r="DR173" s="569"/>
      <c r="DS1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5-3'!$D$11:$Q319,DS$4,DS$5)"),"")</f>
        <v/>
      </c>
      <c r="DT173" s="568"/>
      <c r="DU1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5-3'!$D$11:$Q319,DU$4,DU$5)"),"")</f>
        <v/>
      </c>
      <c r="DV173" s="568"/>
      <c r="DW1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5-3'!$D$11:$Q319,DW$4,DW$5)"),"")</f>
        <v/>
      </c>
      <c r="DX173" s="568"/>
      <c r="DY1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5-3'!$D$11:$Q319,DY$4,DY$5)"),"")</f>
        <v/>
      </c>
      <c r="DZ173" s="578"/>
      <c r="EA1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$C173, 'S-10 Топ 5-3'!$D$11:$Q319,EA$4,EA$5)"),"")</f>
        <v/>
      </c>
      <c r="EB173" s="568"/>
      <c r="EC173" s="568"/>
      <c r="ED173" s="568"/>
      <c r="EE173" s="568"/>
    </row>
    <row r="174">
      <c r="A174" s="519" t="str">
        <f t="shared" si="1"/>
        <v/>
      </c>
      <c r="B174" s="520" t="str">
        <f>'5-0 Товары'!B174</f>
        <v/>
      </c>
      <c r="C174" s="521" t="str">
        <f>'5-1 Сбор КП Закупки'!C174</f>
        <v/>
      </c>
      <c r="D174" s="521" t="str">
        <f>'5-1 Сбор КП Закупки'!D174</f>
        <v/>
      </c>
      <c r="E174" s="521" t="str">
        <f>'5-1 Сбор КП Закупки'!E174</f>
        <v/>
      </c>
      <c r="F174" s="521" t="str">
        <f>'5-1 Сбор КП Закупки'!F174</f>
        <v/>
      </c>
      <c r="G174" s="522" t="str">
        <f>'5-1 Сбор КП Закупки'!G174</f>
        <v/>
      </c>
      <c r="H174" s="522" t="str">
        <f>'5-1 Сбор КП Закупки'!H174</f>
        <v/>
      </c>
      <c r="I174" s="522" t="str">
        <f>'5-1 Сбор КП Закупки'!I174</f>
        <v/>
      </c>
      <c r="J174" s="197"/>
      <c r="K174" s="522" t="str">
        <f>'5-1 Сбор КП Закупки'!G174</f>
        <v/>
      </c>
      <c r="L174" s="523" t="str">
        <f>IF(A174="Да",'5-1 Сбор КП Закупки'!K174,)</f>
        <v/>
      </c>
      <c r="M174" s="197"/>
      <c r="N174" s="197"/>
      <c r="O174" s="197"/>
      <c r="P174" s="525" t="str">
        <f>'5-1 Сбор КП Закупки'!P174</f>
        <v/>
      </c>
      <c r="Q174" s="197"/>
      <c r="R174" s="197"/>
      <c r="S174" s="197"/>
      <c r="T174" s="197"/>
      <c r="U174" s="197"/>
      <c r="V174" s="197"/>
      <c r="W174" s="522" t="str">
        <f>'5-1 Сбор КП Закупки'!O174</f>
        <v/>
      </c>
      <c r="X174" s="197"/>
      <c r="Y174" s="197"/>
      <c r="Z174" s="197"/>
      <c r="AA174" s="197"/>
      <c r="AB174" s="197">
        <v>0.0</v>
      </c>
      <c r="AC174" s="197"/>
      <c r="AD174" s="197"/>
      <c r="AE1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5-3'!$D$11:$Q319,AE$4,AE$5)"),"")</f>
        <v/>
      </c>
      <c r="AF174" s="528"/>
      <c r="AG1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5-3'!$D$11:$Q319,AG$4,AG$5)"),"")</f>
        <v/>
      </c>
      <c r="AH174" s="527"/>
      <c r="AI1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5-3'!$D$11:$Q319,AI$4,AI$5)"),"")</f>
        <v/>
      </c>
      <c r="AJ174" s="527"/>
      <c r="AK1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5-3'!$D$11:$Q319,AK$4,AK$5)"),"")</f>
        <v/>
      </c>
      <c r="AL174" s="527"/>
      <c r="AM1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5-3'!$D$11:$Q319,AM$4,AM$5)"),"")</f>
        <v/>
      </c>
      <c r="AN174" s="529"/>
      <c r="AO1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5-3'!$D$11:$Q319,AO$4,AO$5)"),"")</f>
        <v/>
      </c>
      <c r="AP174" s="527"/>
      <c r="AQ174" s="527"/>
      <c r="AR174" s="527"/>
      <c r="AS174" s="527"/>
      <c r="AT1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5-3'!$D$11:$Q319,AT$4,AT$5)"),"")</f>
        <v/>
      </c>
      <c r="AU174" s="531"/>
      <c r="AV1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5-3'!$D$11:$Q319,AV$4,AV$5)"),"")</f>
        <v/>
      </c>
      <c r="AW174" s="530"/>
      <c r="AX1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5-3'!$D$11:$Q319,AX$4,AX$5)"),"")</f>
        <v/>
      </c>
      <c r="AY174" s="530"/>
      <c r="AZ1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5-3'!$D$11:$Q319,AZ$4,AZ$5)"),"")</f>
        <v/>
      </c>
      <c r="BA174" s="530"/>
      <c r="BB1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5-3'!$D$11:$Q319,BB$4,BB$5)"),"")</f>
        <v/>
      </c>
      <c r="BC174" s="532"/>
      <c r="BD1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5-3'!$D$11:$Q319,BD$4,BD$5)"),"")</f>
        <v/>
      </c>
      <c r="BE174" s="530"/>
      <c r="BF174" s="530"/>
      <c r="BG174" s="530"/>
      <c r="BH174" s="530"/>
      <c r="BI1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5-3'!$D$11:$Q319,BI$4,BI$5)"),"")</f>
        <v/>
      </c>
      <c r="BJ174" s="535"/>
      <c r="BK1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5-3'!$D$11:$Q319,BK$4,BK$5)"),"")</f>
        <v/>
      </c>
      <c r="BL174" s="534"/>
      <c r="BM1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5-3'!$D$11:$Q319,BM$4,BM$5)"),"")</f>
        <v/>
      </c>
      <c r="BN174" s="534"/>
      <c r="BO1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5-3'!$D$11:$Q319,BO$4,BO$5)"),"")</f>
        <v/>
      </c>
      <c r="BP174" s="534"/>
      <c r="BQ1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5-3'!$D$11:$Q319,BQ$4,BQ$5)"),"")</f>
        <v/>
      </c>
      <c r="BR174" s="536"/>
      <c r="BS1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5-3'!$D$11:$Q319,BS$4,BS$5)"),"")</f>
        <v/>
      </c>
      <c r="BT174" s="534"/>
      <c r="BU174" s="534"/>
      <c r="BV174" s="534"/>
      <c r="BW174" s="534"/>
      <c r="BX1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5-3'!$D$11:$Q319,BX$4,BX$5)"),"")</f>
        <v/>
      </c>
      <c r="BY174" s="538"/>
      <c r="BZ1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5-3'!$D$11:$Q319,BZ$4,BZ$5)"),"")</f>
        <v/>
      </c>
      <c r="CA174" s="537"/>
      <c r="CB1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5-3'!$D$11:$Q319,CB$4,CB$5)"),"")</f>
        <v/>
      </c>
      <c r="CC174" s="537"/>
      <c r="CD1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5-3'!$D$11:$Q319,CD$4,CD$5)"),"")</f>
        <v/>
      </c>
      <c r="CE174" s="537"/>
      <c r="CF1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5-3'!$D$11:$Q319,CF$4,CF$5)"),"")</f>
        <v/>
      </c>
      <c r="CG174" s="539"/>
      <c r="CH1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5-3'!$D$11:$Q319,CH$4,CH$5)"),"")</f>
        <v/>
      </c>
      <c r="CI174" s="537"/>
      <c r="CJ174" s="537"/>
      <c r="CK174" s="537"/>
      <c r="CL174" s="537"/>
      <c r="CM1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5-3'!$D$11:$Q319,CM$4,CM$5)"),"")</f>
        <v/>
      </c>
      <c r="CN174" s="541"/>
      <c r="CO1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5-3'!$D$11:$Q319,CO$4,CO$5)"),"")</f>
        <v/>
      </c>
      <c r="CP174" s="540"/>
      <c r="CQ1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5-3'!$D$11:$Q319,CQ$4,CQ$5)"),"")</f>
        <v/>
      </c>
      <c r="CR174" s="540"/>
      <c r="CS1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5-3'!$D$11:$Q319,CS$4,CS$5)"),"")</f>
        <v/>
      </c>
      <c r="CT174" s="540"/>
      <c r="CU1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5-3'!$D$11:$Q319,CU$4,CU$5)"),"")</f>
        <v/>
      </c>
      <c r="CV174" s="545"/>
      <c r="CW1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5-3'!$D$11:$Q319,CW$4,CW$5)"),"")</f>
        <v/>
      </c>
      <c r="CX174" s="540"/>
      <c r="CY174" s="540"/>
      <c r="CZ174" s="540"/>
      <c r="DA174" s="540"/>
      <c r="DB1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5-3'!$D$11:$Q319,DB$4,DB$5)"),"")</f>
        <v/>
      </c>
      <c r="DC174" s="555"/>
      <c r="DD1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5-3'!$D$11:$Q319,DD$4,DD$5)"),"")</f>
        <v/>
      </c>
      <c r="DE174" s="554"/>
      <c r="DF1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5-3'!$D$11:$Q319,DF$4,DF$5)"),"")</f>
        <v/>
      </c>
      <c r="DG174" s="554"/>
      <c r="DH1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5-3'!$D$11:$Q319,DH$4,DH$5)"),"")</f>
        <v/>
      </c>
      <c r="DI174" s="554"/>
      <c r="DJ1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5-3'!$D$11:$Q319,DJ$4,DJ$5)"),"")</f>
        <v/>
      </c>
      <c r="DK174" s="566"/>
      <c r="DL1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5-3'!$D$11:$Q319,DL$4,DL$5)"),"")</f>
        <v/>
      </c>
      <c r="DM174" s="554"/>
      <c r="DN174" s="554"/>
      <c r="DO174" s="554"/>
      <c r="DP174" s="554"/>
      <c r="DQ1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5-3'!$D$11:$Q319,DQ$4,DQ$5)"),"")</f>
        <v/>
      </c>
      <c r="DR174" s="569"/>
      <c r="DS1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5-3'!$D$11:$Q319,DS$4,DS$5)"),"")</f>
        <v/>
      </c>
      <c r="DT174" s="568"/>
      <c r="DU1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5-3'!$D$11:$Q319,DU$4,DU$5)"),"")</f>
        <v/>
      </c>
      <c r="DV174" s="568"/>
      <c r="DW1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5-3'!$D$11:$Q319,DW$4,DW$5)"),"")</f>
        <v/>
      </c>
      <c r="DX174" s="568"/>
      <c r="DY1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5-3'!$D$11:$Q319,DY$4,DY$5)"),"")</f>
        <v/>
      </c>
      <c r="DZ174" s="578"/>
      <c r="EA1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$C174, 'S-10 Топ 5-3'!$D$11:$Q319,EA$4,EA$5)"),"")</f>
        <v/>
      </c>
      <c r="EB174" s="568"/>
      <c r="EC174" s="568"/>
      <c r="ED174" s="568"/>
      <c r="EE174" s="568"/>
    </row>
    <row r="175">
      <c r="A175" s="519" t="str">
        <f t="shared" si="1"/>
        <v/>
      </c>
      <c r="B175" s="520" t="str">
        <f>'5-0 Товары'!B175</f>
        <v/>
      </c>
      <c r="C175" s="521" t="str">
        <f>'5-1 Сбор КП Закупки'!C175</f>
        <v/>
      </c>
      <c r="D175" s="521" t="str">
        <f>'5-1 Сбор КП Закупки'!D175</f>
        <v/>
      </c>
      <c r="E175" s="521" t="str">
        <f>'5-1 Сбор КП Закупки'!E175</f>
        <v/>
      </c>
      <c r="F175" s="521" t="str">
        <f>'5-1 Сбор КП Закупки'!F175</f>
        <v/>
      </c>
      <c r="G175" s="522" t="str">
        <f>'5-1 Сбор КП Закупки'!G175</f>
        <v/>
      </c>
      <c r="H175" s="522" t="str">
        <f>'5-1 Сбор КП Закупки'!H175</f>
        <v/>
      </c>
      <c r="I175" s="522" t="str">
        <f>'5-1 Сбор КП Закупки'!I175</f>
        <v/>
      </c>
      <c r="J175" s="197"/>
      <c r="K175" s="522" t="str">
        <f>'5-1 Сбор КП Закупки'!G175</f>
        <v/>
      </c>
      <c r="L175" s="523" t="str">
        <f>IF(A175="Да",'5-1 Сбор КП Закупки'!K175,)</f>
        <v/>
      </c>
      <c r="M175" s="197"/>
      <c r="N175" s="197"/>
      <c r="O175" s="197"/>
      <c r="P175" s="525" t="str">
        <f>'5-1 Сбор КП Закупки'!P175</f>
        <v/>
      </c>
      <c r="Q175" s="197"/>
      <c r="R175" s="197"/>
      <c r="S175" s="197"/>
      <c r="T175" s="197"/>
      <c r="U175" s="197"/>
      <c r="V175" s="197"/>
      <c r="W175" s="522" t="str">
        <f>'5-1 Сбор КП Закупки'!O175</f>
        <v/>
      </c>
      <c r="X175" s="197"/>
      <c r="Y175" s="197"/>
      <c r="Z175" s="197"/>
      <c r="AA175" s="197"/>
      <c r="AB175" s="197">
        <v>0.0</v>
      </c>
      <c r="AC175" s="197"/>
      <c r="AD175" s="197"/>
      <c r="AE1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5-3'!$D$11:$Q319,AE$4,AE$5)"),"")</f>
        <v/>
      </c>
      <c r="AF175" s="528"/>
      <c r="AG1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5-3'!$D$11:$Q319,AG$4,AG$5)"),"")</f>
        <v/>
      </c>
      <c r="AH175" s="527"/>
      <c r="AI1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5-3'!$D$11:$Q319,AI$4,AI$5)"),"")</f>
        <v/>
      </c>
      <c r="AJ175" s="527"/>
      <c r="AK1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5-3'!$D$11:$Q319,AK$4,AK$5)"),"")</f>
        <v/>
      </c>
      <c r="AL175" s="527"/>
      <c r="AM1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5-3'!$D$11:$Q319,AM$4,AM$5)"),"")</f>
        <v/>
      </c>
      <c r="AN175" s="529"/>
      <c r="AO1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5-3'!$D$11:$Q319,AO$4,AO$5)"),"")</f>
        <v/>
      </c>
      <c r="AP175" s="527"/>
      <c r="AQ175" s="527"/>
      <c r="AR175" s="527"/>
      <c r="AS175" s="527"/>
      <c r="AT1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5-3'!$D$11:$Q319,AT$4,AT$5)"),"")</f>
        <v/>
      </c>
      <c r="AU175" s="531"/>
      <c r="AV1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5-3'!$D$11:$Q319,AV$4,AV$5)"),"")</f>
        <v/>
      </c>
      <c r="AW175" s="530"/>
      <c r="AX1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5-3'!$D$11:$Q319,AX$4,AX$5)"),"")</f>
        <v/>
      </c>
      <c r="AY175" s="530"/>
      <c r="AZ1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5-3'!$D$11:$Q319,AZ$4,AZ$5)"),"")</f>
        <v/>
      </c>
      <c r="BA175" s="530"/>
      <c r="BB1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5-3'!$D$11:$Q319,BB$4,BB$5)"),"")</f>
        <v/>
      </c>
      <c r="BC175" s="532"/>
      <c r="BD1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5-3'!$D$11:$Q319,BD$4,BD$5)"),"")</f>
        <v/>
      </c>
      <c r="BE175" s="530"/>
      <c r="BF175" s="530"/>
      <c r="BG175" s="530"/>
      <c r="BH175" s="530"/>
      <c r="BI1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5-3'!$D$11:$Q319,BI$4,BI$5)"),"")</f>
        <v/>
      </c>
      <c r="BJ175" s="535"/>
      <c r="BK1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5-3'!$D$11:$Q319,BK$4,BK$5)"),"")</f>
        <v/>
      </c>
      <c r="BL175" s="534"/>
      <c r="BM1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5-3'!$D$11:$Q319,BM$4,BM$5)"),"")</f>
        <v/>
      </c>
      <c r="BN175" s="534"/>
      <c r="BO1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5-3'!$D$11:$Q319,BO$4,BO$5)"),"")</f>
        <v/>
      </c>
      <c r="BP175" s="534"/>
      <c r="BQ1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5-3'!$D$11:$Q319,BQ$4,BQ$5)"),"")</f>
        <v/>
      </c>
      <c r="BR175" s="536"/>
      <c r="BS1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5-3'!$D$11:$Q319,BS$4,BS$5)"),"")</f>
        <v/>
      </c>
      <c r="BT175" s="534"/>
      <c r="BU175" s="534"/>
      <c r="BV175" s="534"/>
      <c r="BW175" s="534"/>
      <c r="BX1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5-3'!$D$11:$Q319,BX$4,BX$5)"),"")</f>
        <v/>
      </c>
      <c r="BY175" s="538"/>
      <c r="BZ1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5-3'!$D$11:$Q319,BZ$4,BZ$5)"),"")</f>
        <v/>
      </c>
      <c r="CA175" s="537"/>
      <c r="CB1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5-3'!$D$11:$Q319,CB$4,CB$5)"),"")</f>
        <v/>
      </c>
      <c r="CC175" s="537"/>
      <c r="CD1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5-3'!$D$11:$Q319,CD$4,CD$5)"),"")</f>
        <v/>
      </c>
      <c r="CE175" s="537"/>
      <c r="CF1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5-3'!$D$11:$Q319,CF$4,CF$5)"),"")</f>
        <v/>
      </c>
      <c r="CG175" s="539"/>
      <c r="CH1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5-3'!$D$11:$Q319,CH$4,CH$5)"),"")</f>
        <v/>
      </c>
      <c r="CI175" s="537"/>
      <c r="CJ175" s="537"/>
      <c r="CK175" s="537"/>
      <c r="CL175" s="537"/>
      <c r="CM1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5-3'!$D$11:$Q319,CM$4,CM$5)"),"")</f>
        <v/>
      </c>
      <c r="CN175" s="541"/>
      <c r="CO1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5-3'!$D$11:$Q319,CO$4,CO$5)"),"")</f>
        <v/>
      </c>
      <c r="CP175" s="540"/>
      <c r="CQ1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5-3'!$D$11:$Q319,CQ$4,CQ$5)"),"")</f>
        <v/>
      </c>
      <c r="CR175" s="540"/>
      <c r="CS1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5-3'!$D$11:$Q319,CS$4,CS$5)"),"")</f>
        <v/>
      </c>
      <c r="CT175" s="540"/>
      <c r="CU1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5-3'!$D$11:$Q319,CU$4,CU$5)"),"")</f>
        <v/>
      </c>
      <c r="CV175" s="545"/>
      <c r="CW1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5-3'!$D$11:$Q319,CW$4,CW$5)"),"")</f>
        <v/>
      </c>
      <c r="CX175" s="540"/>
      <c r="CY175" s="540"/>
      <c r="CZ175" s="540"/>
      <c r="DA175" s="540"/>
      <c r="DB1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5-3'!$D$11:$Q319,DB$4,DB$5)"),"")</f>
        <v/>
      </c>
      <c r="DC175" s="555"/>
      <c r="DD1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5-3'!$D$11:$Q319,DD$4,DD$5)"),"")</f>
        <v/>
      </c>
      <c r="DE175" s="554"/>
      <c r="DF1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5-3'!$D$11:$Q319,DF$4,DF$5)"),"")</f>
        <v/>
      </c>
      <c r="DG175" s="554"/>
      <c r="DH1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5-3'!$D$11:$Q319,DH$4,DH$5)"),"")</f>
        <v/>
      </c>
      <c r="DI175" s="554"/>
      <c r="DJ1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5-3'!$D$11:$Q319,DJ$4,DJ$5)"),"")</f>
        <v/>
      </c>
      <c r="DK175" s="566"/>
      <c r="DL1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5-3'!$D$11:$Q319,DL$4,DL$5)"),"")</f>
        <v/>
      </c>
      <c r="DM175" s="554"/>
      <c r="DN175" s="554"/>
      <c r="DO175" s="554"/>
      <c r="DP175" s="554"/>
      <c r="DQ1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5-3'!$D$11:$Q319,DQ$4,DQ$5)"),"")</f>
        <v/>
      </c>
      <c r="DR175" s="569"/>
      <c r="DS1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5-3'!$D$11:$Q319,DS$4,DS$5)"),"")</f>
        <v/>
      </c>
      <c r="DT175" s="568"/>
      <c r="DU1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5-3'!$D$11:$Q319,DU$4,DU$5)"),"")</f>
        <v/>
      </c>
      <c r="DV175" s="568"/>
      <c r="DW1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5-3'!$D$11:$Q319,DW$4,DW$5)"),"")</f>
        <v/>
      </c>
      <c r="DX175" s="568"/>
      <c r="DY1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5-3'!$D$11:$Q319,DY$4,DY$5)"),"")</f>
        <v/>
      </c>
      <c r="DZ175" s="578"/>
      <c r="EA1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$C175, 'S-10 Топ 5-3'!$D$11:$Q319,EA$4,EA$5)"),"")</f>
        <v/>
      </c>
      <c r="EB175" s="568"/>
      <c r="EC175" s="568"/>
      <c r="ED175" s="568"/>
      <c r="EE175" s="568"/>
    </row>
    <row r="176">
      <c r="A176" s="519" t="str">
        <f t="shared" si="1"/>
        <v/>
      </c>
      <c r="B176" s="520" t="str">
        <f>'5-0 Товары'!B176</f>
        <v/>
      </c>
      <c r="C176" s="521" t="str">
        <f>'5-1 Сбор КП Закупки'!C176</f>
        <v/>
      </c>
      <c r="D176" s="521" t="str">
        <f>'5-1 Сбор КП Закупки'!D176</f>
        <v/>
      </c>
      <c r="E176" s="521" t="str">
        <f>'5-1 Сбор КП Закупки'!E176</f>
        <v/>
      </c>
      <c r="F176" s="521" t="str">
        <f>'5-1 Сбор КП Закупки'!F176</f>
        <v/>
      </c>
      <c r="G176" s="522" t="str">
        <f>'5-1 Сбор КП Закупки'!G176</f>
        <v/>
      </c>
      <c r="H176" s="522" t="str">
        <f>'5-1 Сбор КП Закупки'!H176</f>
        <v/>
      </c>
      <c r="I176" s="522" t="str">
        <f>'5-1 Сбор КП Закупки'!I176</f>
        <v/>
      </c>
      <c r="J176" s="197"/>
      <c r="K176" s="522" t="str">
        <f>'5-1 Сбор КП Закупки'!G176</f>
        <v/>
      </c>
      <c r="L176" s="523" t="str">
        <f>IF(A176="Да",'5-1 Сбор КП Закупки'!K176,)</f>
        <v/>
      </c>
      <c r="M176" s="197"/>
      <c r="N176" s="197"/>
      <c r="O176" s="197"/>
      <c r="P176" s="525" t="str">
        <f>'5-1 Сбор КП Закупки'!P176</f>
        <v/>
      </c>
      <c r="Q176" s="197"/>
      <c r="R176" s="197"/>
      <c r="S176" s="197"/>
      <c r="T176" s="197"/>
      <c r="U176" s="197"/>
      <c r="V176" s="197"/>
      <c r="W176" s="522" t="str">
        <f>'5-1 Сбор КП Закупки'!O176</f>
        <v/>
      </c>
      <c r="X176" s="197"/>
      <c r="Y176" s="197"/>
      <c r="Z176" s="197"/>
      <c r="AA176" s="197"/>
      <c r="AB176" s="197">
        <v>0.0</v>
      </c>
      <c r="AC176" s="197"/>
      <c r="AD176" s="197"/>
      <c r="AE1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5-3'!$D$11:$Q319,AE$4,AE$5)"),"")</f>
        <v/>
      </c>
      <c r="AF176" s="528"/>
      <c r="AG1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5-3'!$D$11:$Q319,AG$4,AG$5)"),"")</f>
        <v/>
      </c>
      <c r="AH176" s="527"/>
      <c r="AI1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5-3'!$D$11:$Q319,AI$4,AI$5)"),"")</f>
        <v/>
      </c>
      <c r="AJ176" s="527"/>
      <c r="AK1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5-3'!$D$11:$Q319,AK$4,AK$5)"),"")</f>
        <v/>
      </c>
      <c r="AL176" s="527"/>
      <c r="AM1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5-3'!$D$11:$Q319,AM$4,AM$5)"),"")</f>
        <v/>
      </c>
      <c r="AN176" s="529"/>
      <c r="AO1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5-3'!$D$11:$Q319,AO$4,AO$5)"),"")</f>
        <v/>
      </c>
      <c r="AP176" s="527"/>
      <c r="AQ176" s="527"/>
      <c r="AR176" s="527"/>
      <c r="AS176" s="527"/>
      <c r="AT1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5-3'!$D$11:$Q319,AT$4,AT$5)"),"")</f>
        <v/>
      </c>
      <c r="AU176" s="531"/>
      <c r="AV1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5-3'!$D$11:$Q319,AV$4,AV$5)"),"")</f>
        <v/>
      </c>
      <c r="AW176" s="530"/>
      <c r="AX1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5-3'!$D$11:$Q319,AX$4,AX$5)"),"")</f>
        <v/>
      </c>
      <c r="AY176" s="530"/>
      <c r="AZ1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5-3'!$D$11:$Q319,AZ$4,AZ$5)"),"")</f>
        <v/>
      </c>
      <c r="BA176" s="530"/>
      <c r="BB1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5-3'!$D$11:$Q319,BB$4,BB$5)"),"")</f>
        <v/>
      </c>
      <c r="BC176" s="532"/>
      <c r="BD1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5-3'!$D$11:$Q319,BD$4,BD$5)"),"")</f>
        <v/>
      </c>
      <c r="BE176" s="530"/>
      <c r="BF176" s="530"/>
      <c r="BG176" s="530"/>
      <c r="BH176" s="530"/>
      <c r="BI1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5-3'!$D$11:$Q319,BI$4,BI$5)"),"")</f>
        <v/>
      </c>
      <c r="BJ176" s="535"/>
      <c r="BK1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5-3'!$D$11:$Q319,BK$4,BK$5)"),"")</f>
        <v/>
      </c>
      <c r="BL176" s="534"/>
      <c r="BM1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5-3'!$D$11:$Q319,BM$4,BM$5)"),"")</f>
        <v/>
      </c>
      <c r="BN176" s="534"/>
      <c r="BO1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5-3'!$D$11:$Q319,BO$4,BO$5)"),"")</f>
        <v/>
      </c>
      <c r="BP176" s="534"/>
      <c r="BQ1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5-3'!$D$11:$Q319,BQ$4,BQ$5)"),"")</f>
        <v/>
      </c>
      <c r="BR176" s="536"/>
      <c r="BS1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5-3'!$D$11:$Q319,BS$4,BS$5)"),"")</f>
        <v/>
      </c>
      <c r="BT176" s="534"/>
      <c r="BU176" s="534"/>
      <c r="BV176" s="534"/>
      <c r="BW176" s="534"/>
      <c r="BX1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5-3'!$D$11:$Q319,BX$4,BX$5)"),"")</f>
        <v/>
      </c>
      <c r="BY176" s="538"/>
      <c r="BZ1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5-3'!$D$11:$Q319,BZ$4,BZ$5)"),"")</f>
        <v/>
      </c>
      <c r="CA176" s="537"/>
      <c r="CB1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5-3'!$D$11:$Q319,CB$4,CB$5)"),"")</f>
        <v/>
      </c>
      <c r="CC176" s="537"/>
      <c r="CD1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5-3'!$D$11:$Q319,CD$4,CD$5)"),"")</f>
        <v/>
      </c>
      <c r="CE176" s="537"/>
      <c r="CF1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5-3'!$D$11:$Q319,CF$4,CF$5)"),"")</f>
        <v/>
      </c>
      <c r="CG176" s="539"/>
      <c r="CH1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5-3'!$D$11:$Q319,CH$4,CH$5)"),"")</f>
        <v/>
      </c>
      <c r="CI176" s="537"/>
      <c r="CJ176" s="537"/>
      <c r="CK176" s="537"/>
      <c r="CL176" s="537"/>
      <c r="CM1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5-3'!$D$11:$Q319,CM$4,CM$5)"),"")</f>
        <v/>
      </c>
      <c r="CN176" s="541"/>
      <c r="CO1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5-3'!$D$11:$Q319,CO$4,CO$5)"),"")</f>
        <v/>
      </c>
      <c r="CP176" s="540"/>
      <c r="CQ1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5-3'!$D$11:$Q319,CQ$4,CQ$5)"),"")</f>
        <v/>
      </c>
      <c r="CR176" s="540"/>
      <c r="CS1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5-3'!$D$11:$Q319,CS$4,CS$5)"),"")</f>
        <v/>
      </c>
      <c r="CT176" s="540"/>
      <c r="CU1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5-3'!$D$11:$Q319,CU$4,CU$5)"),"")</f>
        <v/>
      </c>
      <c r="CV176" s="545"/>
      <c r="CW1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5-3'!$D$11:$Q319,CW$4,CW$5)"),"")</f>
        <v/>
      </c>
      <c r="CX176" s="540"/>
      <c r="CY176" s="540"/>
      <c r="CZ176" s="540"/>
      <c r="DA176" s="540"/>
      <c r="DB1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5-3'!$D$11:$Q319,DB$4,DB$5)"),"")</f>
        <v/>
      </c>
      <c r="DC176" s="555"/>
      <c r="DD1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5-3'!$D$11:$Q319,DD$4,DD$5)"),"")</f>
        <v/>
      </c>
      <c r="DE176" s="554"/>
      <c r="DF1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5-3'!$D$11:$Q319,DF$4,DF$5)"),"")</f>
        <v/>
      </c>
      <c r="DG176" s="554"/>
      <c r="DH1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5-3'!$D$11:$Q319,DH$4,DH$5)"),"")</f>
        <v/>
      </c>
      <c r="DI176" s="554"/>
      <c r="DJ1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5-3'!$D$11:$Q319,DJ$4,DJ$5)"),"")</f>
        <v/>
      </c>
      <c r="DK176" s="566"/>
      <c r="DL1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5-3'!$D$11:$Q319,DL$4,DL$5)"),"")</f>
        <v/>
      </c>
      <c r="DM176" s="554"/>
      <c r="DN176" s="554"/>
      <c r="DO176" s="554"/>
      <c r="DP176" s="554"/>
      <c r="DQ1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5-3'!$D$11:$Q319,DQ$4,DQ$5)"),"")</f>
        <v/>
      </c>
      <c r="DR176" s="569"/>
      <c r="DS1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5-3'!$D$11:$Q319,DS$4,DS$5)"),"")</f>
        <v/>
      </c>
      <c r="DT176" s="568"/>
      <c r="DU1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5-3'!$D$11:$Q319,DU$4,DU$5)"),"")</f>
        <v/>
      </c>
      <c r="DV176" s="568"/>
      <c r="DW1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5-3'!$D$11:$Q319,DW$4,DW$5)"),"")</f>
        <v/>
      </c>
      <c r="DX176" s="568"/>
      <c r="DY1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5-3'!$D$11:$Q319,DY$4,DY$5)"),"")</f>
        <v/>
      </c>
      <c r="DZ176" s="578"/>
      <c r="EA1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$C176, 'S-10 Топ 5-3'!$D$11:$Q319,EA$4,EA$5)"),"")</f>
        <v/>
      </c>
      <c r="EB176" s="568"/>
      <c r="EC176" s="568"/>
      <c r="ED176" s="568"/>
      <c r="EE176" s="568"/>
    </row>
    <row r="177">
      <c r="A177" s="519" t="str">
        <f t="shared" si="1"/>
        <v/>
      </c>
      <c r="B177" s="520" t="str">
        <f>'5-0 Товары'!B177</f>
        <v/>
      </c>
      <c r="C177" s="521" t="str">
        <f>'5-1 Сбор КП Закупки'!C177</f>
        <v/>
      </c>
      <c r="D177" s="521" t="str">
        <f>'5-1 Сбор КП Закупки'!D177</f>
        <v/>
      </c>
      <c r="E177" s="521" t="str">
        <f>'5-1 Сбор КП Закупки'!E177</f>
        <v/>
      </c>
      <c r="F177" s="521" t="str">
        <f>'5-1 Сбор КП Закупки'!F177</f>
        <v/>
      </c>
      <c r="G177" s="522" t="str">
        <f>'5-1 Сбор КП Закупки'!G177</f>
        <v/>
      </c>
      <c r="H177" s="522" t="str">
        <f>'5-1 Сбор КП Закупки'!H177</f>
        <v/>
      </c>
      <c r="I177" s="522" t="str">
        <f>'5-1 Сбор КП Закупки'!I177</f>
        <v/>
      </c>
      <c r="J177" s="197"/>
      <c r="K177" s="522" t="str">
        <f>'5-1 Сбор КП Закупки'!G177</f>
        <v/>
      </c>
      <c r="L177" s="523" t="str">
        <f>IF(A177="Да",'5-1 Сбор КП Закупки'!K177,)</f>
        <v/>
      </c>
      <c r="M177" s="197"/>
      <c r="N177" s="197"/>
      <c r="O177" s="197"/>
      <c r="P177" s="525" t="str">
        <f>'5-1 Сбор КП Закупки'!P177</f>
        <v/>
      </c>
      <c r="Q177" s="197"/>
      <c r="R177" s="197"/>
      <c r="S177" s="197"/>
      <c r="T177" s="197"/>
      <c r="U177" s="197"/>
      <c r="V177" s="197"/>
      <c r="W177" s="522" t="str">
        <f>'5-1 Сбор КП Закупки'!O177</f>
        <v/>
      </c>
      <c r="X177" s="197"/>
      <c r="Y177" s="197"/>
      <c r="Z177" s="197"/>
      <c r="AA177" s="197"/>
      <c r="AB177" s="197">
        <v>0.0</v>
      </c>
      <c r="AC177" s="197"/>
      <c r="AD177" s="197"/>
      <c r="AE1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5-3'!$D$11:$Q319,AE$4,AE$5)"),"")</f>
        <v/>
      </c>
      <c r="AF177" s="528"/>
      <c r="AG1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5-3'!$D$11:$Q319,AG$4,AG$5)"),"")</f>
        <v/>
      </c>
      <c r="AH177" s="527"/>
      <c r="AI1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5-3'!$D$11:$Q319,AI$4,AI$5)"),"")</f>
        <v/>
      </c>
      <c r="AJ177" s="527"/>
      <c r="AK1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5-3'!$D$11:$Q319,AK$4,AK$5)"),"")</f>
        <v/>
      </c>
      <c r="AL177" s="527"/>
      <c r="AM1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5-3'!$D$11:$Q319,AM$4,AM$5)"),"")</f>
        <v/>
      </c>
      <c r="AN177" s="529"/>
      <c r="AO1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5-3'!$D$11:$Q319,AO$4,AO$5)"),"")</f>
        <v/>
      </c>
      <c r="AP177" s="527"/>
      <c r="AQ177" s="527"/>
      <c r="AR177" s="527"/>
      <c r="AS177" s="527"/>
      <c r="AT1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5-3'!$D$11:$Q319,AT$4,AT$5)"),"")</f>
        <v/>
      </c>
      <c r="AU177" s="531"/>
      <c r="AV1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5-3'!$D$11:$Q319,AV$4,AV$5)"),"")</f>
        <v/>
      </c>
      <c r="AW177" s="530"/>
      <c r="AX1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5-3'!$D$11:$Q319,AX$4,AX$5)"),"")</f>
        <v/>
      </c>
      <c r="AY177" s="530"/>
      <c r="AZ1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5-3'!$D$11:$Q319,AZ$4,AZ$5)"),"")</f>
        <v/>
      </c>
      <c r="BA177" s="530"/>
      <c r="BB1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5-3'!$D$11:$Q319,BB$4,BB$5)"),"")</f>
        <v/>
      </c>
      <c r="BC177" s="532"/>
      <c r="BD1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5-3'!$D$11:$Q319,BD$4,BD$5)"),"")</f>
        <v/>
      </c>
      <c r="BE177" s="530"/>
      <c r="BF177" s="530"/>
      <c r="BG177" s="530"/>
      <c r="BH177" s="530"/>
      <c r="BI1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5-3'!$D$11:$Q319,BI$4,BI$5)"),"")</f>
        <v/>
      </c>
      <c r="BJ177" s="535"/>
      <c r="BK1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5-3'!$D$11:$Q319,BK$4,BK$5)"),"")</f>
        <v/>
      </c>
      <c r="BL177" s="534"/>
      <c r="BM1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5-3'!$D$11:$Q319,BM$4,BM$5)"),"")</f>
        <v/>
      </c>
      <c r="BN177" s="534"/>
      <c r="BO1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5-3'!$D$11:$Q319,BO$4,BO$5)"),"")</f>
        <v/>
      </c>
      <c r="BP177" s="534"/>
      <c r="BQ1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5-3'!$D$11:$Q319,BQ$4,BQ$5)"),"")</f>
        <v/>
      </c>
      <c r="BR177" s="536"/>
      <c r="BS1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5-3'!$D$11:$Q319,BS$4,BS$5)"),"")</f>
        <v/>
      </c>
      <c r="BT177" s="534"/>
      <c r="BU177" s="534"/>
      <c r="BV177" s="534"/>
      <c r="BW177" s="534"/>
      <c r="BX1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5-3'!$D$11:$Q319,BX$4,BX$5)"),"")</f>
        <v/>
      </c>
      <c r="BY177" s="538"/>
      <c r="BZ1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5-3'!$D$11:$Q319,BZ$4,BZ$5)"),"")</f>
        <v/>
      </c>
      <c r="CA177" s="537"/>
      <c r="CB1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5-3'!$D$11:$Q319,CB$4,CB$5)"),"")</f>
        <v/>
      </c>
      <c r="CC177" s="537"/>
      <c r="CD1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5-3'!$D$11:$Q319,CD$4,CD$5)"),"")</f>
        <v/>
      </c>
      <c r="CE177" s="537"/>
      <c r="CF1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5-3'!$D$11:$Q319,CF$4,CF$5)"),"")</f>
        <v/>
      </c>
      <c r="CG177" s="539"/>
      <c r="CH1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5-3'!$D$11:$Q319,CH$4,CH$5)"),"")</f>
        <v/>
      </c>
      <c r="CI177" s="537"/>
      <c r="CJ177" s="537"/>
      <c r="CK177" s="537"/>
      <c r="CL177" s="537"/>
      <c r="CM1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5-3'!$D$11:$Q319,CM$4,CM$5)"),"")</f>
        <v/>
      </c>
      <c r="CN177" s="541"/>
      <c r="CO1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5-3'!$D$11:$Q319,CO$4,CO$5)"),"")</f>
        <v/>
      </c>
      <c r="CP177" s="540"/>
      <c r="CQ1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5-3'!$D$11:$Q319,CQ$4,CQ$5)"),"")</f>
        <v/>
      </c>
      <c r="CR177" s="540"/>
      <c r="CS1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5-3'!$D$11:$Q319,CS$4,CS$5)"),"")</f>
        <v/>
      </c>
      <c r="CT177" s="540"/>
      <c r="CU1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5-3'!$D$11:$Q319,CU$4,CU$5)"),"")</f>
        <v/>
      </c>
      <c r="CV177" s="545"/>
      <c r="CW1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5-3'!$D$11:$Q319,CW$4,CW$5)"),"")</f>
        <v/>
      </c>
      <c r="CX177" s="540"/>
      <c r="CY177" s="540"/>
      <c r="CZ177" s="540"/>
      <c r="DA177" s="540"/>
      <c r="DB1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5-3'!$D$11:$Q319,DB$4,DB$5)"),"")</f>
        <v/>
      </c>
      <c r="DC177" s="555"/>
      <c r="DD1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5-3'!$D$11:$Q319,DD$4,DD$5)"),"")</f>
        <v/>
      </c>
      <c r="DE177" s="554"/>
      <c r="DF1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5-3'!$D$11:$Q319,DF$4,DF$5)"),"")</f>
        <v/>
      </c>
      <c r="DG177" s="554"/>
      <c r="DH1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5-3'!$D$11:$Q319,DH$4,DH$5)"),"")</f>
        <v/>
      </c>
      <c r="DI177" s="554"/>
      <c r="DJ1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5-3'!$D$11:$Q319,DJ$4,DJ$5)"),"")</f>
        <v/>
      </c>
      <c r="DK177" s="566"/>
      <c r="DL1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5-3'!$D$11:$Q319,DL$4,DL$5)"),"")</f>
        <v/>
      </c>
      <c r="DM177" s="554"/>
      <c r="DN177" s="554"/>
      <c r="DO177" s="554"/>
      <c r="DP177" s="554"/>
      <c r="DQ1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5-3'!$D$11:$Q319,DQ$4,DQ$5)"),"")</f>
        <v/>
      </c>
      <c r="DR177" s="569"/>
      <c r="DS1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5-3'!$D$11:$Q319,DS$4,DS$5)"),"")</f>
        <v/>
      </c>
      <c r="DT177" s="568"/>
      <c r="DU1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5-3'!$D$11:$Q319,DU$4,DU$5)"),"")</f>
        <v/>
      </c>
      <c r="DV177" s="568"/>
      <c r="DW1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5-3'!$D$11:$Q319,DW$4,DW$5)"),"")</f>
        <v/>
      </c>
      <c r="DX177" s="568"/>
      <c r="DY1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5-3'!$D$11:$Q319,DY$4,DY$5)"),"")</f>
        <v/>
      </c>
      <c r="DZ177" s="578"/>
      <c r="EA1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$C177, 'S-10 Топ 5-3'!$D$11:$Q319,EA$4,EA$5)"),"")</f>
        <v/>
      </c>
      <c r="EB177" s="568"/>
      <c r="EC177" s="568"/>
      <c r="ED177" s="568"/>
      <c r="EE177" s="568"/>
    </row>
    <row r="178">
      <c r="A178" s="519" t="str">
        <f t="shared" si="1"/>
        <v/>
      </c>
      <c r="B178" s="520" t="str">
        <f>'5-0 Товары'!B178</f>
        <v/>
      </c>
      <c r="C178" s="521" t="str">
        <f>'5-1 Сбор КП Закупки'!C178</f>
        <v/>
      </c>
      <c r="D178" s="521" t="str">
        <f>'5-1 Сбор КП Закупки'!D178</f>
        <v/>
      </c>
      <c r="E178" s="521" t="str">
        <f>'5-1 Сбор КП Закупки'!E178</f>
        <v/>
      </c>
      <c r="F178" s="521" t="str">
        <f>'5-1 Сбор КП Закупки'!F178</f>
        <v/>
      </c>
      <c r="G178" s="522" t="str">
        <f>'5-1 Сбор КП Закупки'!G178</f>
        <v/>
      </c>
      <c r="H178" s="522" t="str">
        <f>'5-1 Сбор КП Закупки'!H178</f>
        <v/>
      </c>
      <c r="I178" s="522" t="str">
        <f>'5-1 Сбор КП Закупки'!I178</f>
        <v/>
      </c>
      <c r="J178" s="197"/>
      <c r="K178" s="522" t="str">
        <f>'5-1 Сбор КП Закупки'!G178</f>
        <v/>
      </c>
      <c r="L178" s="523" t="str">
        <f>IF(A178="Да",'5-1 Сбор КП Закупки'!K178,)</f>
        <v/>
      </c>
      <c r="M178" s="197"/>
      <c r="N178" s="197"/>
      <c r="O178" s="197"/>
      <c r="P178" s="525" t="str">
        <f>'5-1 Сбор КП Закупки'!P178</f>
        <v/>
      </c>
      <c r="Q178" s="197"/>
      <c r="R178" s="197"/>
      <c r="S178" s="197"/>
      <c r="T178" s="197"/>
      <c r="U178" s="197"/>
      <c r="V178" s="197"/>
      <c r="W178" s="522" t="str">
        <f>'5-1 Сбор КП Закупки'!O178</f>
        <v/>
      </c>
      <c r="X178" s="197"/>
      <c r="Y178" s="197"/>
      <c r="Z178" s="197"/>
      <c r="AA178" s="197"/>
      <c r="AB178" s="197">
        <v>0.0</v>
      </c>
      <c r="AC178" s="197"/>
      <c r="AD178" s="197"/>
      <c r="AE1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5-3'!$D$11:$Q319,AE$4,AE$5)"),"")</f>
        <v/>
      </c>
      <c r="AF178" s="528"/>
      <c r="AG1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5-3'!$D$11:$Q319,AG$4,AG$5)"),"")</f>
        <v/>
      </c>
      <c r="AH178" s="527"/>
      <c r="AI1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5-3'!$D$11:$Q319,AI$4,AI$5)"),"")</f>
        <v/>
      </c>
      <c r="AJ178" s="527"/>
      <c r="AK1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5-3'!$D$11:$Q319,AK$4,AK$5)"),"")</f>
        <v/>
      </c>
      <c r="AL178" s="527"/>
      <c r="AM1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5-3'!$D$11:$Q319,AM$4,AM$5)"),"")</f>
        <v/>
      </c>
      <c r="AN178" s="529"/>
      <c r="AO1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5-3'!$D$11:$Q319,AO$4,AO$5)"),"")</f>
        <v/>
      </c>
      <c r="AP178" s="527"/>
      <c r="AQ178" s="527"/>
      <c r="AR178" s="527"/>
      <c r="AS178" s="527"/>
      <c r="AT1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5-3'!$D$11:$Q319,AT$4,AT$5)"),"")</f>
        <v/>
      </c>
      <c r="AU178" s="531"/>
      <c r="AV1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5-3'!$D$11:$Q319,AV$4,AV$5)"),"")</f>
        <v/>
      </c>
      <c r="AW178" s="530"/>
      <c r="AX1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5-3'!$D$11:$Q319,AX$4,AX$5)"),"")</f>
        <v/>
      </c>
      <c r="AY178" s="530"/>
      <c r="AZ1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5-3'!$D$11:$Q319,AZ$4,AZ$5)"),"")</f>
        <v/>
      </c>
      <c r="BA178" s="530"/>
      <c r="BB1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5-3'!$D$11:$Q319,BB$4,BB$5)"),"")</f>
        <v/>
      </c>
      <c r="BC178" s="532"/>
      <c r="BD1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5-3'!$D$11:$Q319,BD$4,BD$5)"),"")</f>
        <v/>
      </c>
      <c r="BE178" s="530"/>
      <c r="BF178" s="530"/>
      <c r="BG178" s="530"/>
      <c r="BH178" s="530"/>
      <c r="BI1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5-3'!$D$11:$Q319,BI$4,BI$5)"),"")</f>
        <v/>
      </c>
      <c r="BJ178" s="535"/>
      <c r="BK1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5-3'!$D$11:$Q319,BK$4,BK$5)"),"")</f>
        <v/>
      </c>
      <c r="BL178" s="534"/>
      <c r="BM1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5-3'!$D$11:$Q319,BM$4,BM$5)"),"")</f>
        <v/>
      </c>
      <c r="BN178" s="534"/>
      <c r="BO1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5-3'!$D$11:$Q319,BO$4,BO$5)"),"")</f>
        <v/>
      </c>
      <c r="BP178" s="534"/>
      <c r="BQ1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5-3'!$D$11:$Q319,BQ$4,BQ$5)"),"")</f>
        <v/>
      </c>
      <c r="BR178" s="536"/>
      <c r="BS1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5-3'!$D$11:$Q319,BS$4,BS$5)"),"")</f>
        <v/>
      </c>
      <c r="BT178" s="534"/>
      <c r="BU178" s="534"/>
      <c r="BV178" s="534"/>
      <c r="BW178" s="534"/>
      <c r="BX1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5-3'!$D$11:$Q319,BX$4,BX$5)"),"")</f>
        <v/>
      </c>
      <c r="BY178" s="538"/>
      <c r="BZ1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5-3'!$D$11:$Q319,BZ$4,BZ$5)"),"")</f>
        <v/>
      </c>
      <c r="CA178" s="537"/>
      <c r="CB1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5-3'!$D$11:$Q319,CB$4,CB$5)"),"")</f>
        <v/>
      </c>
      <c r="CC178" s="537"/>
      <c r="CD1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5-3'!$D$11:$Q319,CD$4,CD$5)"),"")</f>
        <v/>
      </c>
      <c r="CE178" s="537"/>
      <c r="CF1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5-3'!$D$11:$Q319,CF$4,CF$5)"),"")</f>
        <v/>
      </c>
      <c r="CG178" s="539"/>
      <c r="CH1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5-3'!$D$11:$Q319,CH$4,CH$5)"),"")</f>
        <v/>
      </c>
      <c r="CI178" s="537"/>
      <c r="CJ178" s="537"/>
      <c r="CK178" s="537"/>
      <c r="CL178" s="537"/>
      <c r="CM1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5-3'!$D$11:$Q319,CM$4,CM$5)"),"")</f>
        <v/>
      </c>
      <c r="CN178" s="541"/>
      <c r="CO1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5-3'!$D$11:$Q319,CO$4,CO$5)"),"")</f>
        <v/>
      </c>
      <c r="CP178" s="540"/>
      <c r="CQ1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5-3'!$D$11:$Q319,CQ$4,CQ$5)"),"")</f>
        <v/>
      </c>
      <c r="CR178" s="540"/>
      <c r="CS1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5-3'!$D$11:$Q319,CS$4,CS$5)"),"")</f>
        <v/>
      </c>
      <c r="CT178" s="540"/>
      <c r="CU1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5-3'!$D$11:$Q319,CU$4,CU$5)"),"")</f>
        <v/>
      </c>
      <c r="CV178" s="545"/>
      <c r="CW1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5-3'!$D$11:$Q319,CW$4,CW$5)"),"")</f>
        <v/>
      </c>
      <c r="CX178" s="540"/>
      <c r="CY178" s="540"/>
      <c r="CZ178" s="540"/>
      <c r="DA178" s="540"/>
      <c r="DB1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5-3'!$D$11:$Q319,DB$4,DB$5)"),"")</f>
        <v/>
      </c>
      <c r="DC178" s="555"/>
      <c r="DD1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5-3'!$D$11:$Q319,DD$4,DD$5)"),"")</f>
        <v/>
      </c>
      <c r="DE178" s="554"/>
      <c r="DF1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5-3'!$D$11:$Q319,DF$4,DF$5)"),"")</f>
        <v/>
      </c>
      <c r="DG178" s="554"/>
      <c r="DH1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5-3'!$D$11:$Q319,DH$4,DH$5)"),"")</f>
        <v/>
      </c>
      <c r="DI178" s="554"/>
      <c r="DJ1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5-3'!$D$11:$Q319,DJ$4,DJ$5)"),"")</f>
        <v/>
      </c>
      <c r="DK178" s="566"/>
      <c r="DL1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5-3'!$D$11:$Q319,DL$4,DL$5)"),"")</f>
        <v/>
      </c>
      <c r="DM178" s="554"/>
      <c r="DN178" s="554"/>
      <c r="DO178" s="554"/>
      <c r="DP178" s="554"/>
      <c r="DQ1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5-3'!$D$11:$Q319,DQ$4,DQ$5)"),"")</f>
        <v/>
      </c>
      <c r="DR178" s="569"/>
      <c r="DS1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5-3'!$D$11:$Q319,DS$4,DS$5)"),"")</f>
        <v/>
      </c>
      <c r="DT178" s="568"/>
      <c r="DU1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5-3'!$D$11:$Q319,DU$4,DU$5)"),"")</f>
        <v/>
      </c>
      <c r="DV178" s="568"/>
      <c r="DW1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5-3'!$D$11:$Q319,DW$4,DW$5)"),"")</f>
        <v/>
      </c>
      <c r="DX178" s="568"/>
      <c r="DY1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5-3'!$D$11:$Q319,DY$4,DY$5)"),"")</f>
        <v/>
      </c>
      <c r="DZ178" s="578"/>
      <c r="EA1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$C178, 'S-10 Топ 5-3'!$D$11:$Q319,EA$4,EA$5)"),"")</f>
        <v/>
      </c>
      <c r="EB178" s="568"/>
      <c r="EC178" s="568"/>
      <c r="ED178" s="568"/>
      <c r="EE178" s="568"/>
    </row>
    <row r="179">
      <c r="A179" s="519" t="str">
        <f t="shared" si="1"/>
        <v/>
      </c>
      <c r="B179" s="520" t="str">
        <f>'5-0 Товары'!B179</f>
        <v/>
      </c>
      <c r="C179" s="521" t="str">
        <f>'5-1 Сбор КП Закупки'!C179</f>
        <v/>
      </c>
      <c r="D179" s="521" t="str">
        <f>'5-1 Сбор КП Закупки'!D179</f>
        <v/>
      </c>
      <c r="E179" s="521" t="str">
        <f>'5-1 Сбор КП Закупки'!E179</f>
        <v/>
      </c>
      <c r="F179" s="521" t="str">
        <f>'5-1 Сбор КП Закупки'!F179</f>
        <v/>
      </c>
      <c r="G179" s="522" t="str">
        <f>'5-1 Сбор КП Закупки'!G179</f>
        <v/>
      </c>
      <c r="H179" s="522" t="str">
        <f>'5-1 Сбор КП Закупки'!H179</f>
        <v/>
      </c>
      <c r="I179" s="522" t="str">
        <f>'5-1 Сбор КП Закупки'!I179</f>
        <v/>
      </c>
      <c r="J179" s="197"/>
      <c r="K179" s="522" t="str">
        <f>'5-1 Сбор КП Закупки'!G179</f>
        <v/>
      </c>
      <c r="L179" s="523" t="str">
        <f>IF(A179="Да",'5-1 Сбор КП Закупки'!K179,)</f>
        <v/>
      </c>
      <c r="M179" s="197"/>
      <c r="N179" s="197"/>
      <c r="O179" s="197"/>
      <c r="P179" s="525" t="str">
        <f>'5-1 Сбор КП Закупки'!P179</f>
        <v/>
      </c>
      <c r="Q179" s="197"/>
      <c r="R179" s="197"/>
      <c r="S179" s="197"/>
      <c r="T179" s="197"/>
      <c r="U179" s="197"/>
      <c r="V179" s="197"/>
      <c r="W179" s="522" t="str">
        <f>'5-1 Сбор КП Закупки'!O179</f>
        <v/>
      </c>
      <c r="X179" s="197"/>
      <c r="Y179" s="197"/>
      <c r="Z179" s="197"/>
      <c r="AA179" s="197"/>
      <c r="AB179" s="197">
        <v>0.0</v>
      </c>
      <c r="AC179" s="197"/>
      <c r="AD179" s="197"/>
      <c r="AE1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5-3'!$D$11:$Q319,AE$4,AE$5)"),"")</f>
        <v/>
      </c>
      <c r="AF179" s="528"/>
      <c r="AG1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5-3'!$D$11:$Q319,AG$4,AG$5)"),"")</f>
        <v/>
      </c>
      <c r="AH179" s="527"/>
      <c r="AI1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5-3'!$D$11:$Q319,AI$4,AI$5)"),"")</f>
        <v/>
      </c>
      <c r="AJ179" s="527"/>
      <c r="AK1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5-3'!$D$11:$Q319,AK$4,AK$5)"),"")</f>
        <v/>
      </c>
      <c r="AL179" s="527"/>
      <c r="AM1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5-3'!$D$11:$Q319,AM$4,AM$5)"),"")</f>
        <v/>
      </c>
      <c r="AN179" s="529"/>
      <c r="AO1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5-3'!$D$11:$Q319,AO$4,AO$5)"),"")</f>
        <v/>
      </c>
      <c r="AP179" s="527"/>
      <c r="AQ179" s="527"/>
      <c r="AR179" s="527"/>
      <c r="AS179" s="527"/>
      <c r="AT1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5-3'!$D$11:$Q319,AT$4,AT$5)"),"")</f>
        <v/>
      </c>
      <c r="AU179" s="531"/>
      <c r="AV1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5-3'!$D$11:$Q319,AV$4,AV$5)"),"")</f>
        <v/>
      </c>
      <c r="AW179" s="530"/>
      <c r="AX1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5-3'!$D$11:$Q319,AX$4,AX$5)"),"")</f>
        <v/>
      </c>
      <c r="AY179" s="530"/>
      <c r="AZ1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5-3'!$D$11:$Q319,AZ$4,AZ$5)"),"")</f>
        <v/>
      </c>
      <c r="BA179" s="530"/>
      <c r="BB1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5-3'!$D$11:$Q319,BB$4,BB$5)"),"")</f>
        <v/>
      </c>
      <c r="BC179" s="532"/>
      <c r="BD1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5-3'!$D$11:$Q319,BD$4,BD$5)"),"")</f>
        <v/>
      </c>
      <c r="BE179" s="530"/>
      <c r="BF179" s="530"/>
      <c r="BG179" s="530"/>
      <c r="BH179" s="530"/>
      <c r="BI1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5-3'!$D$11:$Q319,BI$4,BI$5)"),"")</f>
        <v/>
      </c>
      <c r="BJ179" s="535"/>
      <c r="BK1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5-3'!$D$11:$Q319,BK$4,BK$5)"),"")</f>
        <v/>
      </c>
      <c r="BL179" s="534"/>
      <c r="BM1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5-3'!$D$11:$Q319,BM$4,BM$5)"),"")</f>
        <v/>
      </c>
      <c r="BN179" s="534"/>
      <c r="BO1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5-3'!$D$11:$Q319,BO$4,BO$5)"),"")</f>
        <v/>
      </c>
      <c r="BP179" s="534"/>
      <c r="BQ1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5-3'!$D$11:$Q319,BQ$4,BQ$5)"),"")</f>
        <v/>
      </c>
      <c r="BR179" s="536"/>
      <c r="BS1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5-3'!$D$11:$Q319,BS$4,BS$5)"),"")</f>
        <v/>
      </c>
      <c r="BT179" s="534"/>
      <c r="BU179" s="534"/>
      <c r="BV179" s="534"/>
      <c r="BW179" s="534"/>
      <c r="BX1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5-3'!$D$11:$Q319,BX$4,BX$5)"),"")</f>
        <v/>
      </c>
      <c r="BY179" s="538"/>
      <c r="BZ1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5-3'!$D$11:$Q319,BZ$4,BZ$5)"),"")</f>
        <v/>
      </c>
      <c r="CA179" s="537"/>
      <c r="CB1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5-3'!$D$11:$Q319,CB$4,CB$5)"),"")</f>
        <v/>
      </c>
      <c r="CC179" s="537"/>
      <c r="CD1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5-3'!$D$11:$Q319,CD$4,CD$5)"),"")</f>
        <v/>
      </c>
      <c r="CE179" s="537"/>
      <c r="CF1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5-3'!$D$11:$Q319,CF$4,CF$5)"),"")</f>
        <v/>
      </c>
      <c r="CG179" s="539"/>
      <c r="CH1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5-3'!$D$11:$Q319,CH$4,CH$5)"),"")</f>
        <v/>
      </c>
      <c r="CI179" s="537"/>
      <c r="CJ179" s="537"/>
      <c r="CK179" s="537"/>
      <c r="CL179" s="537"/>
      <c r="CM1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5-3'!$D$11:$Q319,CM$4,CM$5)"),"")</f>
        <v/>
      </c>
      <c r="CN179" s="541"/>
      <c r="CO1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5-3'!$D$11:$Q319,CO$4,CO$5)"),"")</f>
        <v/>
      </c>
      <c r="CP179" s="540"/>
      <c r="CQ1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5-3'!$D$11:$Q319,CQ$4,CQ$5)"),"")</f>
        <v/>
      </c>
      <c r="CR179" s="540"/>
      <c r="CS1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5-3'!$D$11:$Q319,CS$4,CS$5)"),"")</f>
        <v/>
      </c>
      <c r="CT179" s="540"/>
      <c r="CU1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5-3'!$D$11:$Q319,CU$4,CU$5)"),"")</f>
        <v/>
      </c>
      <c r="CV179" s="545"/>
      <c r="CW1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5-3'!$D$11:$Q319,CW$4,CW$5)"),"")</f>
        <v/>
      </c>
      <c r="CX179" s="540"/>
      <c r="CY179" s="540"/>
      <c r="CZ179" s="540"/>
      <c r="DA179" s="540"/>
      <c r="DB1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5-3'!$D$11:$Q319,DB$4,DB$5)"),"")</f>
        <v/>
      </c>
      <c r="DC179" s="555"/>
      <c r="DD1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5-3'!$D$11:$Q319,DD$4,DD$5)"),"")</f>
        <v/>
      </c>
      <c r="DE179" s="554"/>
      <c r="DF1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5-3'!$D$11:$Q319,DF$4,DF$5)"),"")</f>
        <v/>
      </c>
      <c r="DG179" s="554"/>
      <c r="DH1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5-3'!$D$11:$Q319,DH$4,DH$5)"),"")</f>
        <v/>
      </c>
      <c r="DI179" s="554"/>
      <c r="DJ1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5-3'!$D$11:$Q319,DJ$4,DJ$5)"),"")</f>
        <v/>
      </c>
      <c r="DK179" s="566"/>
      <c r="DL1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5-3'!$D$11:$Q319,DL$4,DL$5)"),"")</f>
        <v/>
      </c>
      <c r="DM179" s="554"/>
      <c r="DN179" s="554"/>
      <c r="DO179" s="554"/>
      <c r="DP179" s="554"/>
      <c r="DQ1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5-3'!$D$11:$Q319,DQ$4,DQ$5)"),"")</f>
        <v/>
      </c>
      <c r="DR179" s="569"/>
      <c r="DS1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5-3'!$D$11:$Q319,DS$4,DS$5)"),"")</f>
        <v/>
      </c>
      <c r="DT179" s="568"/>
      <c r="DU1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5-3'!$D$11:$Q319,DU$4,DU$5)"),"")</f>
        <v/>
      </c>
      <c r="DV179" s="568"/>
      <c r="DW1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5-3'!$D$11:$Q319,DW$4,DW$5)"),"")</f>
        <v/>
      </c>
      <c r="DX179" s="568"/>
      <c r="DY1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5-3'!$D$11:$Q319,DY$4,DY$5)"),"")</f>
        <v/>
      </c>
      <c r="DZ179" s="578"/>
      <c r="EA1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$C179, 'S-10 Топ 5-3'!$D$11:$Q319,EA$4,EA$5)"),"")</f>
        <v/>
      </c>
      <c r="EB179" s="568"/>
      <c r="EC179" s="568"/>
      <c r="ED179" s="568"/>
      <c r="EE179" s="568"/>
    </row>
    <row r="180">
      <c r="A180" s="519" t="str">
        <f t="shared" si="1"/>
        <v/>
      </c>
      <c r="B180" s="520" t="str">
        <f>'5-0 Товары'!B180</f>
        <v/>
      </c>
      <c r="C180" s="521" t="str">
        <f>'5-1 Сбор КП Закупки'!C180</f>
        <v/>
      </c>
      <c r="D180" s="521" t="str">
        <f>'5-1 Сбор КП Закупки'!D180</f>
        <v/>
      </c>
      <c r="E180" s="521" t="str">
        <f>'5-1 Сбор КП Закупки'!E180</f>
        <v/>
      </c>
      <c r="F180" s="521" t="str">
        <f>'5-1 Сбор КП Закупки'!F180</f>
        <v/>
      </c>
      <c r="G180" s="522" t="str">
        <f>'5-1 Сбор КП Закупки'!G180</f>
        <v/>
      </c>
      <c r="H180" s="522" t="str">
        <f>'5-1 Сбор КП Закупки'!H180</f>
        <v/>
      </c>
      <c r="I180" s="522" t="str">
        <f>'5-1 Сбор КП Закупки'!I180</f>
        <v/>
      </c>
      <c r="J180" s="197"/>
      <c r="K180" s="522" t="str">
        <f>'5-1 Сбор КП Закупки'!G180</f>
        <v/>
      </c>
      <c r="L180" s="523" t="str">
        <f>IF(A180="Да",'5-1 Сбор КП Закупки'!K180,)</f>
        <v/>
      </c>
      <c r="M180" s="197"/>
      <c r="N180" s="197"/>
      <c r="O180" s="197"/>
      <c r="P180" s="525" t="str">
        <f>'5-1 Сбор КП Закупки'!P180</f>
        <v/>
      </c>
      <c r="Q180" s="197"/>
      <c r="R180" s="197"/>
      <c r="S180" s="197"/>
      <c r="T180" s="197"/>
      <c r="U180" s="197"/>
      <c r="V180" s="197"/>
      <c r="W180" s="522" t="str">
        <f>'5-1 Сбор КП Закупки'!O180</f>
        <v/>
      </c>
      <c r="X180" s="197"/>
      <c r="Y180" s="197"/>
      <c r="Z180" s="197"/>
      <c r="AA180" s="197"/>
      <c r="AB180" s="197">
        <v>0.0</v>
      </c>
      <c r="AC180" s="197"/>
      <c r="AD180" s="197"/>
      <c r="AE1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5-3'!$D$11:$Q319,AE$4,AE$5)"),"")</f>
        <v/>
      </c>
      <c r="AF180" s="528"/>
      <c r="AG1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5-3'!$D$11:$Q319,AG$4,AG$5)"),"")</f>
        <v/>
      </c>
      <c r="AH180" s="527"/>
      <c r="AI1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5-3'!$D$11:$Q319,AI$4,AI$5)"),"")</f>
        <v/>
      </c>
      <c r="AJ180" s="527"/>
      <c r="AK1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5-3'!$D$11:$Q319,AK$4,AK$5)"),"")</f>
        <v/>
      </c>
      <c r="AL180" s="527"/>
      <c r="AM1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5-3'!$D$11:$Q319,AM$4,AM$5)"),"")</f>
        <v/>
      </c>
      <c r="AN180" s="529"/>
      <c r="AO1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5-3'!$D$11:$Q319,AO$4,AO$5)"),"")</f>
        <v/>
      </c>
      <c r="AP180" s="527"/>
      <c r="AQ180" s="527"/>
      <c r="AR180" s="527"/>
      <c r="AS180" s="527"/>
      <c r="AT1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5-3'!$D$11:$Q319,AT$4,AT$5)"),"")</f>
        <v/>
      </c>
      <c r="AU180" s="531"/>
      <c r="AV1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5-3'!$D$11:$Q319,AV$4,AV$5)"),"")</f>
        <v/>
      </c>
      <c r="AW180" s="530"/>
      <c r="AX1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5-3'!$D$11:$Q319,AX$4,AX$5)"),"")</f>
        <v/>
      </c>
      <c r="AY180" s="530"/>
      <c r="AZ1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5-3'!$D$11:$Q319,AZ$4,AZ$5)"),"")</f>
        <v/>
      </c>
      <c r="BA180" s="530"/>
      <c r="BB1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5-3'!$D$11:$Q319,BB$4,BB$5)"),"")</f>
        <v/>
      </c>
      <c r="BC180" s="532"/>
      <c r="BD1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5-3'!$D$11:$Q319,BD$4,BD$5)"),"")</f>
        <v/>
      </c>
      <c r="BE180" s="530"/>
      <c r="BF180" s="530"/>
      <c r="BG180" s="530"/>
      <c r="BH180" s="530"/>
      <c r="BI1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5-3'!$D$11:$Q319,BI$4,BI$5)"),"")</f>
        <v/>
      </c>
      <c r="BJ180" s="535"/>
      <c r="BK1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5-3'!$D$11:$Q319,BK$4,BK$5)"),"")</f>
        <v/>
      </c>
      <c r="BL180" s="534"/>
      <c r="BM1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5-3'!$D$11:$Q319,BM$4,BM$5)"),"")</f>
        <v/>
      </c>
      <c r="BN180" s="534"/>
      <c r="BO1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5-3'!$D$11:$Q319,BO$4,BO$5)"),"")</f>
        <v/>
      </c>
      <c r="BP180" s="534"/>
      <c r="BQ1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5-3'!$D$11:$Q319,BQ$4,BQ$5)"),"")</f>
        <v/>
      </c>
      <c r="BR180" s="536"/>
      <c r="BS1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5-3'!$D$11:$Q319,BS$4,BS$5)"),"")</f>
        <v/>
      </c>
      <c r="BT180" s="534"/>
      <c r="BU180" s="534"/>
      <c r="BV180" s="534"/>
      <c r="BW180" s="534"/>
      <c r="BX1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5-3'!$D$11:$Q319,BX$4,BX$5)"),"")</f>
        <v/>
      </c>
      <c r="BY180" s="538"/>
      <c r="BZ1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5-3'!$D$11:$Q319,BZ$4,BZ$5)"),"")</f>
        <v/>
      </c>
      <c r="CA180" s="537"/>
      <c r="CB1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5-3'!$D$11:$Q319,CB$4,CB$5)"),"")</f>
        <v/>
      </c>
      <c r="CC180" s="537"/>
      <c r="CD1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5-3'!$D$11:$Q319,CD$4,CD$5)"),"")</f>
        <v/>
      </c>
      <c r="CE180" s="537"/>
      <c r="CF1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5-3'!$D$11:$Q319,CF$4,CF$5)"),"")</f>
        <v/>
      </c>
      <c r="CG180" s="539"/>
      <c r="CH1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5-3'!$D$11:$Q319,CH$4,CH$5)"),"")</f>
        <v/>
      </c>
      <c r="CI180" s="537"/>
      <c r="CJ180" s="537"/>
      <c r="CK180" s="537"/>
      <c r="CL180" s="537"/>
      <c r="CM1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5-3'!$D$11:$Q319,CM$4,CM$5)"),"")</f>
        <v/>
      </c>
      <c r="CN180" s="541"/>
      <c r="CO1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5-3'!$D$11:$Q319,CO$4,CO$5)"),"")</f>
        <v/>
      </c>
      <c r="CP180" s="540"/>
      <c r="CQ1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5-3'!$D$11:$Q319,CQ$4,CQ$5)"),"")</f>
        <v/>
      </c>
      <c r="CR180" s="540"/>
      <c r="CS1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5-3'!$D$11:$Q319,CS$4,CS$5)"),"")</f>
        <v/>
      </c>
      <c r="CT180" s="540"/>
      <c r="CU1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5-3'!$D$11:$Q319,CU$4,CU$5)"),"")</f>
        <v/>
      </c>
      <c r="CV180" s="545"/>
      <c r="CW1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5-3'!$D$11:$Q319,CW$4,CW$5)"),"")</f>
        <v/>
      </c>
      <c r="CX180" s="540"/>
      <c r="CY180" s="540"/>
      <c r="CZ180" s="540"/>
      <c r="DA180" s="540"/>
      <c r="DB1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5-3'!$D$11:$Q319,DB$4,DB$5)"),"")</f>
        <v/>
      </c>
      <c r="DC180" s="555"/>
      <c r="DD1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5-3'!$D$11:$Q319,DD$4,DD$5)"),"")</f>
        <v/>
      </c>
      <c r="DE180" s="554"/>
      <c r="DF1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5-3'!$D$11:$Q319,DF$4,DF$5)"),"")</f>
        <v/>
      </c>
      <c r="DG180" s="554"/>
      <c r="DH1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5-3'!$D$11:$Q319,DH$4,DH$5)"),"")</f>
        <v/>
      </c>
      <c r="DI180" s="554"/>
      <c r="DJ1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5-3'!$D$11:$Q319,DJ$4,DJ$5)"),"")</f>
        <v/>
      </c>
      <c r="DK180" s="566"/>
      <c r="DL1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5-3'!$D$11:$Q319,DL$4,DL$5)"),"")</f>
        <v/>
      </c>
      <c r="DM180" s="554"/>
      <c r="DN180" s="554"/>
      <c r="DO180" s="554"/>
      <c r="DP180" s="554"/>
      <c r="DQ1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5-3'!$D$11:$Q319,DQ$4,DQ$5)"),"")</f>
        <v/>
      </c>
      <c r="DR180" s="569"/>
      <c r="DS1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5-3'!$D$11:$Q319,DS$4,DS$5)"),"")</f>
        <v/>
      </c>
      <c r="DT180" s="568"/>
      <c r="DU1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5-3'!$D$11:$Q319,DU$4,DU$5)"),"")</f>
        <v/>
      </c>
      <c r="DV180" s="568"/>
      <c r="DW1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5-3'!$D$11:$Q319,DW$4,DW$5)"),"")</f>
        <v/>
      </c>
      <c r="DX180" s="568"/>
      <c r="DY1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5-3'!$D$11:$Q319,DY$4,DY$5)"),"")</f>
        <v/>
      </c>
      <c r="DZ180" s="578"/>
      <c r="EA1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$C180, 'S-10 Топ 5-3'!$D$11:$Q319,EA$4,EA$5)"),"")</f>
        <v/>
      </c>
      <c r="EB180" s="568"/>
      <c r="EC180" s="568"/>
      <c r="ED180" s="568"/>
      <c r="EE180" s="568"/>
    </row>
    <row r="181">
      <c r="A181" s="519" t="str">
        <f t="shared" si="1"/>
        <v/>
      </c>
      <c r="B181" s="520" t="str">
        <f>'5-0 Товары'!B181</f>
        <v/>
      </c>
      <c r="C181" s="521" t="str">
        <f>'5-1 Сбор КП Закупки'!C181</f>
        <v/>
      </c>
      <c r="D181" s="521" t="str">
        <f>'5-1 Сбор КП Закупки'!D181</f>
        <v/>
      </c>
      <c r="E181" s="521" t="str">
        <f>'5-1 Сбор КП Закупки'!E181</f>
        <v/>
      </c>
      <c r="F181" s="521" t="str">
        <f>'5-1 Сбор КП Закупки'!F181</f>
        <v/>
      </c>
      <c r="G181" s="522" t="str">
        <f>'5-1 Сбор КП Закупки'!G181</f>
        <v/>
      </c>
      <c r="H181" s="522" t="str">
        <f>'5-1 Сбор КП Закупки'!H181</f>
        <v/>
      </c>
      <c r="I181" s="522" t="str">
        <f>'5-1 Сбор КП Закупки'!I181</f>
        <v/>
      </c>
      <c r="J181" s="197"/>
      <c r="K181" s="522" t="str">
        <f>'5-1 Сбор КП Закупки'!G181</f>
        <v/>
      </c>
      <c r="L181" s="523" t="str">
        <f>IF(A181="Да",'5-1 Сбор КП Закупки'!K181,)</f>
        <v/>
      </c>
      <c r="M181" s="197"/>
      <c r="N181" s="197"/>
      <c r="O181" s="197"/>
      <c r="P181" s="525" t="str">
        <f>'5-1 Сбор КП Закупки'!P181</f>
        <v/>
      </c>
      <c r="Q181" s="197"/>
      <c r="R181" s="197"/>
      <c r="S181" s="197"/>
      <c r="T181" s="197"/>
      <c r="U181" s="197"/>
      <c r="V181" s="197"/>
      <c r="W181" s="522" t="str">
        <f>'5-1 Сбор КП Закупки'!O181</f>
        <v/>
      </c>
      <c r="X181" s="197"/>
      <c r="Y181" s="197"/>
      <c r="Z181" s="197"/>
      <c r="AA181" s="197"/>
      <c r="AB181" s="197">
        <v>0.0</v>
      </c>
      <c r="AC181" s="197"/>
      <c r="AD181" s="197"/>
      <c r="AE1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5-3'!$D$11:$Q319,AE$4,AE$5)"),"")</f>
        <v/>
      </c>
      <c r="AF181" s="528"/>
      <c r="AG1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5-3'!$D$11:$Q319,AG$4,AG$5)"),"")</f>
        <v/>
      </c>
      <c r="AH181" s="527"/>
      <c r="AI1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5-3'!$D$11:$Q319,AI$4,AI$5)"),"")</f>
        <v/>
      </c>
      <c r="AJ181" s="527"/>
      <c r="AK1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5-3'!$D$11:$Q319,AK$4,AK$5)"),"")</f>
        <v/>
      </c>
      <c r="AL181" s="527"/>
      <c r="AM1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5-3'!$D$11:$Q319,AM$4,AM$5)"),"")</f>
        <v/>
      </c>
      <c r="AN181" s="529"/>
      <c r="AO1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5-3'!$D$11:$Q319,AO$4,AO$5)"),"")</f>
        <v/>
      </c>
      <c r="AP181" s="527"/>
      <c r="AQ181" s="527"/>
      <c r="AR181" s="527"/>
      <c r="AS181" s="527"/>
      <c r="AT1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5-3'!$D$11:$Q319,AT$4,AT$5)"),"")</f>
        <v/>
      </c>
      <c r="AU181" s="531"/>
      <c r="AV1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5-3'!$D$11:$Q319,AV$4,AV$5)"),"")</f>
        <v/>
      </c>
      <c r="AW181" s="530"/>
      <c r="AX1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5-3'!$D$11:$Q319,AX$4,AX$5)"),"")</f>
        <v/>
      </c>
      <c r="AY181" s="530"/>
      <c r="AZ1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5-3'!$D$11:$Q319,AZ$4,AZ$5)"),"")</f>
        <v/>
      </c>
      <c r="BA181" s="530"/>
      <c r="BB1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5-3'!$D$11:$Q319,BB$4,BB$5)"),"")</f>
        <v/>
      </c>
      <c r="BC181" s="532"/>
      <c r="BD1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5-3'!$D$11:$Q319,BD$4,BD$5)"),"")</f>
        <v/>
      </c>
      <c r="BE181" s="530"/>
      <c r="BF181" s="530"/>
      <c r="BG181" s="530"/>
      <c r="BH181" s="530"/>
      <c r="BI1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5-3'!$D$11:$Q319,BI$4,BI$5)"),"")</f>
        <v/>
      </c>
      <c r="BJ181" s="535"/>
      <c r="BK1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5-3'!$D$11:$Q319,BK$4,BK$5)"),"")</f>
        <v/>
      </c>
      <c r="BL181" s="534"/>
      <c r="BM1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5-3'!$D$11:$Q319,BM$4,BM$5)"),"")</f>
        <v/>
      </c>
      <c r="BN181" s="534"/>
      <c r="BO1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5-3'!$D$11:$Q319,BO$4,BO$5)"),"")</f>
        <v/>
      </c>
      <c r="BP181" s="534"/>
      <c r="BQ1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5-3'!$D$11:$Q319,BQ$4,BQ$5)"),"")</f>
        <v/>
      </c>
      <c r="BR181" s="536"/>
      <c r="BS1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5-3'!$D$11:$Q319,BS$4,BS$5)"),"")</f>
        <v/>
      </c>
      <c r="BT181" s="534"/>
      <c r="BU181" s="534"/>
      <c r="BV181" s="534"/>
      <c r="BW181" s="534"/>
      <c r="BX1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5-3'!$D$11:$Q319,BX$4,BX$5)"),"")</f>
        <v/>
      </c>
      <c r="BY181" s="538"/>
      <c r="BZ1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5-3'!$D$11:$Q319,BZ$4,BZ$5)"),"")</f>
        <v/>
      </c>
      <c r="CA181" s="537"/>
      <c r="CB1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5-3'!$D$11:$Q319,CB$4,CB$5)"),"")</f>
        <v/>
      </c>
      <c r="CC181" s="537"/>
      <c r="CD1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5-3'!$D$11:$Q319,CD$4,CD$5)"),"")</f>
        <v/>
      </c>
      <c r="CE181" s="537"/>
      <c r="CF1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5-3'!$D$11:$Q319,CF$4,CF$5)"),"")</f>
        <v/>
      </c>
      <c r="CG181" s="539"/>
      <c r="CH1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5-3'!$D$11:$Q319,CH$4,CH$5)"),"")</f>
        <v/>
      </c>
      <c r="CI181" s="537"/>
      <c r="CJ181" s="537"/>
      <c r="CK181" s="537"/>
      <c r="CL181" s="537"/>
      <c r="CM1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5-3'!$D$11:$Q319,CM$4,CM$5)"),"")</f>
        <v/>
      </c>
      <c r="CN181" s="541"/>
      <c r="CO1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5-3'!$D$11:$Q319,CO$4,CO$5)"),"")</f>
        <v/>
      </c>
      <c r="CP181" s="540"/>
      <c r="CQ1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5-3'!$D$11:$Q319,CQ$4,CQ$5)"),"")</f>
        <v/>
      </c>
      <c r="CR181" s="540"/>
      <c r="CS1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5-3'!$D$11:$Q319,CS$4,CS$5)"),"")</f>
        <v/>
      </c>
      <c r="CT181" s="540"/>
      <c r="CU1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5-3'!$D$11:$Q319,CU$4,CU$5)"),"")</f>
        <v/>
      </c>
      <c r="CV181" s="545"/>
      <c r="CW1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5-3'!$D$11:$Q319,CW$4,CW$5)"),"")</f>
        <v/>
      </c>
      <c r="CX181" s="540"/>
      <c r="CY181" s="540"/>
      <c r="CZ181" s="540"/>
      <c r="DA181" s="540"/>
      <c r="DB1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5-3'!$D$11:$Q319,DB$4,DB$5)"),"")</f>
        <v/>
      </c>
      <c r="DC181" s="555"/>
      <c r="DD1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5-3'!$D$11:$Q319,DD$4,DD$5)"),"")</f>
        <v/>
      </c>
      <c r="DE181" s="554"/>
      <c r="DF1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5-3'!$D$11:$Q319,DF$4,DF$5)"),"")</f>
        <v/>
      </c>
      <c r="DG181" s="554"/>
      <c r="DH1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5-3'!$D$11:$Q319,DH$4,DH$5)"),"")</f>
        <v/>
      </c>
      <c r="DI181" s="554"/>
      <c r="DJ1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5-3'!$D$11:$Q319,DJ$4,DJ$5)"),"")</f>
        <v/>
      </c>
      <c r="DK181" s="566"/>
      <c r="DL1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5-3'!$D$11:$Q319,DL$4,DL$5)"),"")</f>
        <v/>
      </c>
      <c r="DM181" s="554"/>
      <c r="DN181" s="554"/>
      <c r="DO181" s="554"/>
      <c r="DP181" s="554"/>
      <c r="DQ1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5-3'!$D$11:$Q319,DQ$4,DQ$5)"),"")</f>
        <v/>
      </c>
      <c r="DR181" s="569"/>
      <c r="DS1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5-3'!$D$11:$Q319,DS$4,DS$5)"),"")</f>
        <v/>
      </c>
      <c r="DT181" s="568"/>
      <c r="DU1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5-3'!$D$11:$Q319,DU$4,DU$5)"),"")</f>
        <v/>
      </c>
      <c r="DV181" s="568"/>
      <c r="DW1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5-3'!$D$11:$Q319,DW$4,DW$5)"),"")</f>
        <v/>
      </c>
      <c r="DX181" s="568"/>
      <c r="DY1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5-3'!$D$11:$Q319,DY$4,DY$5)"),"")</f>
        <v/>
      </c>
      <c r="DZ181" s="578"/>
      <c r="EA1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$C181, 'S-10 Топ 5-3'!$D$11:$Q319,EA$4,EA$5)"),"")</f>
        <v/>
      </c>
      <c r="EB181" s="568"/>
      <c r="EC181" s="568"/>
      <c r="ED181" s="568"/>
      <c r="EE181" s="568"/>
    </row>
    <row r="182">
      <c r="A182" s="519" t="str">
        <f t="shared" si="1"/>
        <v/>
      </c>
      <c r="B182" s="520" t="str">
        <f>'5-0 Товары'!B182</f>
        <v/>
      </c>
      <c r="C182" s="521" t="str">
        <f>'5-1 Сбор КП Закупки'!C182</f>
        <v/>
      </c>
      <c r="D182" s="521" t="str">
        <f>'5-1 Сбор КП Закупки'!D182</f>
        <v/>
      </c>
      <c r="E182" s="521" t="str">
        <f>'5-1 Сбор КП Закупки'!E182</f>
        <v/>
      </c>
      <c r="F182" s="521" t="str">
        <f>'5-1 Сбор КП Закупки'!F182</f>
        <v/>
      </c>
      <c r="G182" s="522" t="str">
        <f>'5-1 Сбор КП Закупки'!G182</f>
        <v/>
      </c>
      <c r="H182" s="522" t="str">
        <f>'5-1 Сбор КП Закупки'!H182</f>
        <v/>
      </c>
      <c r="I182" s="522" t="str">
        <f>'5-1 Сбор КП Закупки'!I182</f>
        <v/>
      </c>
      <c r="J182" s="197"/>
      <c r="K182" s="522" t="str">
        <f>'5-1 Сбор КП Закупки'!G182</f>
        <v/>
      </c>
      <c r="L182" s="523" t="str">
        <f>IF(A182="Да",'5-1 Сбор КП Закупки'!K182,)</f>
        <v/>
      </c>
      <c r="M182" s="197"/>
      <c r="N182" s="197"/>
      <c r="O182" s="197"/>
      <c r="P182" s="525" t="str">
        <f>'5-1 Сбор КП Закупки'!P182</f>
        <v/>
      </c>
      <c r="Q182" s="197"/>
      <c r="R182" s="197"/>
      <c r="S182" s="197"/>
      <c r="T182" s="197"/>
      <c r="U182" s="197"/>
      <c r="V182" s="197"/>
      <c r="W182" s="522" t="str">
        <f>'5-1 Сбор КП Закупки'!O182</f>
        <v/>
      </c>
      <c r="X182" s="197"/>
      <c r="Y182" s="197"/>
      <c r="Z182" s="197"/>
      <c r="AA182" s="197"/>
      <c r="AB182" s="197">
        <v>0.0</v>
      </c>
      <c r="AC182" s="197"/>
      <c r="AD182" s="197"/>
      <c r="AE1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5-3'!$D$11:$Q319,AE$4,AE$5)"),"")</f>
        <v/>
      </c>
      <c r="AF182" s="528"/>
      <c r="AG1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5-3'!$D$11:$Q319,AG$4,AG$5)"),"")</f>
        <v/>
      </c>
      <c r="AH182" s="527"/>
      <c r="AI1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5-3'!$D$11:$Q319,AI$4,AI$5)"),"")</f>
        <v/>
      </c>
      <c r="AJ182" s="527"/>
      <c r="AK1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5-3'!$D$11:$Q319,AK$4,AK$5)"),"")</f>
        <v/>
      </c>
      <c r="AL182" s="527"/>
      <c r="AM1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5-3'!$D$11:$Q319,AM$4,AM$5)"),"")</f>
        <v/>
      </c>
      <c r="AN182" s="529"/>
      <c r="AO1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5-3'!$D$11:$Q319,AO$4,AO$5)"),"")</f>
        <v/>
      </c>
      <c r="AP182" s="527"/>
      <c r="AQ182" s="527"/>
      <c r="AR182" s="527"/>
      <c r="AS182" s="527"/>
      <c r="AT1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5-3'!$D$11:$Q319,AT$4,AT$5)"),"")</f>
        <v/>
      </c>
      <c r="AU182" s="531"/>
      <c r="AV1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5-3'!$D$11:$Q319,AV$4,AV$5)"),"")</f>
        <v/>
      </c>
      <c r="AW182" s="530"/>
      <c r="AX1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5-3'!$D$11:$Q319,AX$4,AX$5)"),"")</f>
        <v/>
      </c>
      <c r="AY182" s="530"/>
      <c r="AZ1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5-3'!$D$11:$Q319,AZ$4,AZ$5)"),"")</f>
        <v/>
      </c>
      <c r="BA182" s="530"/>
      <c r="BB1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5-3'!$D$11:$Q319,BB$4,BB$5)"),"")</f>
        <v/>
      </c>
      <c r="BC182" s="532"/>
      <c r="BD1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5-3'!$D$11:$Q319,BD$4,BD$5)"),"")</f>
        <v/>
      </c>
      <c r="BE182" s="530"/>
      <c r="BF182" s="530"/>
      <c r="BG182" s="530"/>
      <c r="BH182" s="530"/>
      <c r="BI1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5-3'!$D$11:$Q319,BI$4,BI$5)"),"")</f>
        <v/>
      </c>
      <c r="BJ182" s="535"/>
      <c r="BK1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5-3'!$D$11:$Q319,BK$4,BK$5)"),"")</f>
        <v/>
      </c>
      <c r="BL182" s="534"/>
      <c r="BM1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5-3'!$D$11:$Q319,BM$4,BM$5)"),"")</f>
        <v/>
      </c>
      <c r="BN182" s="534"/>
      <c r="BO1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5-3'!$D$11:$Q319,BO$4,BO$5)"),"")</f>
        <v/>
      </c>
      <c r="BP182" s="534"/>
      <c r="BQ1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5-3'!$D$11:$Q319,BQ$4,BQ$5)"),"")</f>
        <v/>
      </c>
      <c r="BR182" s="536"/>
      <c r="BS1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5-3'!$D$11:$Q319,BS$4,BS$5)"),"")</f>
        <v/>
      </c>
      <c r="BT182" s="534"/>
      <c r="BU182" s="534"/>
      <c r="BV182" s="534"/>
      <c r="BW182" s="534"/>
      <c r="BX1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5-3'!$D$11:$Q319,BX$4,BX$5)"),"")</f>
        <v/>
      </c>
      <c r="BY182" s="538"/>
      <c r="BZ1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5-3'!$D$11:$Q319,BZ$4,BZ$5)"),"")</f>
        <v/>
      </c>
      <c r="CA182" s="537"/>
      <c r="CB1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5-3'!$D$11:$Q319,CB$4,CB$5)"),"")</f>
        <v/>
      </c>
      <c r="CC182" s="537"/>
      <c r="CD1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5-3'!$D$11:$Q319,CD$4,CD$5)"),"")</f>
        <v/>
      </c>
      <c r="CE182" s="537"/>
      <c r="CF1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5-3'!$D$11:$Q319,CF$4,CF$5)"),"")</f>
        <v/>
      </c>
      <c r="CG182" s="539"/>
      <c r="CH1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5-3'!$D$11:$Q319,CH$4,CH$5)"),"")</f>
        <v/>
      </c>
      <c r="CI182" s="537"/>
      <c r="CJ182" s="537"/>
      <c r="CK182" s="537"/>
      <c r="CL182" s="537"/>
      <c r="CM1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5-3'!$D$11:$Q319,CM$4,CM$5)"),"")</f>
        <v/>
      </c>
      <c r="CN182" s="541"/>
      <c r="CO1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5-3'!$D$11:$Q319,CO$4,CO$5)"),"")</f>
        <v/>
      </c>
      <c r="CP182" s="540"/>
      <c r="CQ1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5-3'!$D$11:$Q319,CQ$4,CQ$5)"),"")</f>
        <v/>
      </c>
      <c r="CR182" s="540"/>
      <c r="CS1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5-3'!$D$11:$Q319,CS$4,CS$5)"),"")</f>
        <v/>
      </c>
      <c r="CT182" s="540"/>
      <c r="CU1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5-3'!$D$11:$Q319,CU$4,CU$5)"),"")</f>
        <v/>
      </c>
      <c r="CV182" s="545"/>
      <c r="CW1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5-3'!$D$11:$Q319,CW$4,CW$5)"),"")</f>
        <v/>
      </c>
      <c r="CX182" s="540"/>
      <c r="CY182" s="540"/>
      <c r="CZ182" s="540"/>
      <c r="DA182" s="540"/>
      <c r="DB1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5-3'!$D$11:$Q319,DB$4,DB$5)"),"")</f>
        <v/>
      </c>
      <c r="DC182" s="555"/>
      <c r="DD1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5-3'!$D$11:$Q319,DD$4,DD$5)"),"")</f>
        <v/>
      </c>
      <c r="DE182" s="554"/>
      <c r="DF1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5-3'!$D$11:$Q319,DF$4,DF$5)"),"")</f>
        <v/>
      </c>
      <c r="DG182" s="554"/>
      <c r="DH1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5-3'!$D$11:$Q319,DH$4,DH$5)"),"")</f>
        <v/>
      </c>
      <c r="DI182" s="554"/>
      <c r="DJ1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5-3'!$D$11:$Q319,DJ$4,DJ$5)"),"")</f>
        <v/>
      </c>
      <c r="DK182" s="566"/>
      <c r="DL1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5-3'!$D$11:$Q319,DL$4,DL$5)"),"")</f>
        <v/>
      </c>
      <c r="DM182" s="554"/>
      <c r="DN182" s="554"/>
      <c r="DO182" s="554"/>
      <c r="DP182" s="554"/>
      <c r="DQ1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5-3'!$D$11:$Q319,DQ$4,DQ$5)"),"")</f>
        <v/>
      </c>
      <c r="DR182" s="569"/>
      <c r="DS1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5-3'!$D$11:$Q319,DS$4,DS$5)"),"")</f>
        <v/>
      </c>
      <c r="DT182" s="568"/>
      <c r="DU1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5-3'!$D$11:$Q319,DU$4,DU$5)"),"")</f>
        <v/>
      </c>
      <c r="DV182" s="568"/>
      <c r="DW1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5-3'!$D$11:$Q319,DW$4,DW$5)"),"")</f>
        <v/>
      </c>
      <c r="DX182" s="568"/>
      <c r="DY1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5-3'!$D$11:$Q319,DY$4,DY$5)"),"")</f>
        <v/>
      </c>
      <c r="DZ182" s="578"/>
      <c r="EA1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$C182, 'S-10 Топ 5-3'!$D$11:$Q319,EA$4,EA$5)"),"")</f>
        <v/>
      </c>
      <c r="EB182" s="568"/>
      <c r="EC182" s="568"/>
      <c r="ED182" s="568"/>
      <c r="EE182" s="568"/>
    </row>
    <row r="183">
      <c r="A183" s="519" t="str">
        <f t="shared" si="1"/>
        <v/>
      </c>
      <c r="B183" s="520" t="str">
        <f>'5-0 Товары'!B183</f>
        <v/>
      </c>
      <c r="C183" s="521" t="str">
        <f>'5-1 Сбор КП Закупки'!C183</f>
        <v/>
      </c>
      <c r="D183" s="521" t="str">
        <f>'5-1 Сбор КП Закупки'!D183</f>
        <v/>
      </c>
      <c r="E183" s="521" t="str">
        <f>'5-1 Сбор КП Закупки'!E183</f>
        <v/>
      </c>
      <c r="F183" s="521" t="str">
        <f>'5-1 Сбор КП Закупки'!F183</f>
        <v/>
      </c>
      <c r="G183" s="522" t="str">
        <f>'5-1 Сбор КП Закупки'!G183</f>
        <v/>
      </c>
      <c r="H183" s="522" t="str">
        <f>'5-1 Сбор КП Закупки'!H183</f>
        <v/>
      </c>
      <c r="I183" s="522" t="str">
        <f>'5-1 Сбор КП Закупки'!I183</f>
        <v/>
      </c>
      <c r="J183" s="197"/>
      <c r="K183" s="522" t="str">
        <f>'5-1 Сбор КП Закупки'!G183</f>
        <v/>
      </c>
      <c r="L183" s="523" t="str">
        <f>IF(A183="Да",'5-1 Сбор КП Закупки'!K183,)</f>
        <v/>
      </c>
      <c r="M183" s="197"/>
      <c r="N183" s="197"/>
      <c r="O183" s="197"/>
      <c r="P183" s="525" t="str">
        <f>'5-1 Сбор КП Закупки'!P183</f>
        <v/>
      </c>
      <c r="Q183" s="197"/>
      <c r="R183" s="197"/>
      <c r="S183" s="197"/>
      <c r="T183" s="197"/>
      <c r="U183" s="197"/>
      <c r="V183" s="197"/>
      <c r="W183" s="522" t="str">
        <f>'5-1 Сбор КП Закупки'!O183</f>
        <v/>
      </c>
      <c r="X183" s="197"/>
      <c r="Y183" s="197"/>
      <c r="Z183" s="197"/>
      <c r="AA183" s="197"/>
      <c r="AB183" s="197">
        <v>0.0</v>
      </c>
      <c r="AC183" s="197"/>
      <c r="AD183" s="197"/>
      <c r="AE1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5-3'!$D$11:$Q319,AE$4,AE$5)"),"")</f>
        <v/>
      </c>
      <c r="AF183" s="528"/>
      <c r="AG1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5-3'!$D$11:$Q319,AG$4,AG$5)"),"")</f>
        <v/>
      </c>
      <c r="AH183" s="527"/>
      <c r="AI1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5-3'!$D$11:$Q319,AI$4,AI$5)"),"")</f>
        <v/>
      </c>
      <c r="AJ183" s="527"/>
      <c r="AK1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5-3'!$D$11:$Q319,AK$4,AK$5)"),"")</f>
        <v/>
      </c>
      <c r="AL183" s="527"/>
      <c r="AM1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5-3'!$D$11:$Q319,AM$4,AM$5)"),"")</f>
        <v/>
      </c>
      <c r="AN183" s="529"/>
      <c r="AO1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5-3'!$D$11:$Q319,AO$4,AO$5)"),"")</f>
        <v/>
      </c>
      <c r="AP183" s="527"/>
      <c r="AQ183" s="527"/>
      <c r="AR183" s="527"/>
      <c r="AS183" s="527"/>
      <c r="AT1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5-3'!$D$11:$Q319,AT$4,AT$5)"),"")</f>
        <v/>
      </c>
      <c r="AU183" s="531"/>
      <c r="AV1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5-3'!$D$11:$Q319,AV$4,AV$5)"),"")</f>
        <v/>
      </c>
      <c r="AW183" s="530"/>
      <c r="AX1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5-3'!$D$11:$Q319,AX$4,AX$5)"),"")</f>
        <v/>
      </c>
      <c r="AY183" s="530"/>
      <c r="AZ1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5-3'!$D$11:$Q319,AZ$4,AZ$5)"),"")</f>
        <v/>
      </c>
      <c r="BA183" s="530"/>
      <c r="BB1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5-3'!$D$11:$Q319,BB$4,BB$5)"),"")</f>
        <v/>
      </c>
      <c r="BC183" s="532"/>
      <c r="BD1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5-3'!$D$11:$Q319,BD$4,BD$5)"),"")</f>
        <v/>
      </c>
      <c r="BE183" s="530"/>
      <c r="BF183" s="530"/>
      <c r="BG183" s="530"/>
      <c r="BH183" s="530"/>
      <c r="BI1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5-3'!$D$11:$Q319,BI$4,BI$5)"),"")</f>
        <v/>
      </c>
      <c r="BJ183" s="535"/>
      <c r="BK1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5-3'!$D$11:$Q319,BK$4,BK$5)"),"")</f>
        <v/>
      </c>
      <c r="BL183" s="534"/>
      <c r="BM1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5-3'!$D$11:$Q319,BM$4,BM$5)"),"")</f>
        <v/>
      </c>
      <c r="BN183" s="534"/>
      <c r="BO1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5-3'!$D$11:$Q319,BO$4,BO$5)"),"")</f>
        <v/>
      </c>
      <c r="BP183" s="534"/>
      <c r="BQ1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5-3'!$D$11:$Q319,BQ$4,BQ$5)"),"")</f>
        <v/>
      </c>
      <c r="BR183" s="536"/>
      <c r="BS1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5-3'!$D$11:$Q319,BS$4,BS$5)"),"")</f>
        <v/>
      </c>
      <c r="BT183" s="534"/>
      <c r="BU183" s="534"/>
      <c r="BV183" s="534"/>
      <c r="BW183" s="534"/>
      <c r="BX1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5-3'!$D$11:$Q319,BX$4,BX$5)"),"")</f>
        <v/>
      </c>
      <c r="BY183" s="538"/>
      <c r="BZ1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5-3'!$D$11:$Q319,BZ$4,BZ$5)"),"")</f>
        <v/>
      </c>
      <c r="CA183" s="537"/>
      <c r="CB1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5-3'!$D$11:$Q319,CB$4,CB$5)"),"")</f>
        <v/>
      </c>
      <c r="CC183" s="537"/>
      <c r="CD1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5-3'!$D$11:$Q319,CD$4,CD$5)"),"")</f>
        <v/>
      </c>
      <c r="CE183" s="537"/>
      <c r="CF1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5-3'!$D$11:$Q319,CF$4,CF$5)"),"")</f>
        <v/>
      </c>
      <c r="CG183" s="539"/>
      <c r="CH1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5-3'!$D$11:$Q319,CH$4,CH$5)"),"")</f>
        <v/>
      </c>
      <c r="CI183" s="537"/>
      <c r="CJ183" s="537"/>
      <c r="CK183" s="537"/>
      <c r="CL183" s="537"/>
      <c r="CM1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5-3'!$D$11:$Q319,CM$4,CM$5)"),"")</f>
        <v/>
      </c>
      <c r="CN183" s="541"/>
      <c r="CO1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5-3'!$D$11:$Q319,CO$4,CO$5)"),"")</f>
        <v/>
      </c>
      <c r="CP183" s="540"/>
      <c r="CQ1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5-3'!$D$11:$Q319,CQ$4,CQ$5)"),"")</f>
        <v/>
      </c>
      <c r="CR183" s="540"/>
      <c r="CS1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5-3'!$D$11:$Q319,CS$4,CS$5)"),"")</f>
        <v/>
      </c>
      <c r="CT183" s="540"/>
      <c r="CU1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5-3'!$D$11:$Q319,CU$4,CU$5)"),"")</f>
        <v/>
      </c>
      <c r="CV183" s="545"/>
      <c r="CW1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5-3'!$D$11:$Q319,CW$4,CW$5)"),"")</f>
        <v/>
      </c>
      <c r="CX183" s="540"/>
      <c r="CY183" s="540"/>
      <c r="CZ183" s="540"/>
      <c r="DA183" s="540"/>
      <c r="DB1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5-3'!$D$11:$Q319,DB$4,DB$5)"),"")</f>
        <v/>
      </c>
      <c r="DC183" s="555"/>
      <c r="DD1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5-3'!$D$11:$Q319,DD$4,DD$5)"),"")</f>
        <v/>
      </c>
      <c r="DE183" s="554"/>
      <c r="DF1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5-3'!$D$11:$Q319,DF$4,DF$5)"),"")</f>
        <v/>
      </c>
      <c r="DG183" s="554"/>
      <c r="DH1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5-3'!$D$11:$Q319,DH$4,DH$5)"),"")</f>
        <v/>
      </c>
      <c r="DI183" s="554"/>
      <c r="DJ1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5-3'!$D$11:$Q319,DJ$4,DJ$5)"),"")</f>
        <v/>
      </c>
      <c r="DK183" s="566"/>
      <c r="DL1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5-3'!$D$11:$Q319,DL$4,DL$5)"),"")</f>
        <v/>
      </c>
      <c r="DM183" s="554"/>
      <c r="DN183" s="554"/>
      <c r="DO183" s="554"/>
      <c r="DP183" s="554"/>
      <c r="DQ1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5-3'!$D$11:$Q319,DQ$4,DQ$5)"),"")</f>
        <v/>
      </c>
      <c r="DR183" s="569"/>
      <c r="DS1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5-3'!$D$11:$Q319,DS$4,DS$5)"),"")</f>
        <v/>
      </c>
      <c r="DT183" s="568"/>
      <c r="DU1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5-3'!$D$11:$Q319,DU$4,DU$5)"),"")</f>
        <v/>
      </c>
      <c r="DV183" s="568"/>
      <c r="DW1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5-3'!$D$11:$Q319,DW$4,DW$5)"),"")</f>
        <v/>
      </c>
      <c r="DX183" s="568"/>
      <c r="DY1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5-3'!$D$11:$Q319,DY$4,DY$5)"),"")</f>
        <v/>
      </c>
      <c r="DZ183" s="578"/>
      <c r="EA1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$C183, 'S-10 Топ 5-3'!$D$11:$Q319,EA$4,EA$5)"),"")</f>
        <v/>
      </c>
      <c r="EB183" s="568"/>
      <c r="EC183" s="568"/>
      <c r="ED183" s="568"/>
      <c r="EE183" s="568"/>
    </row>
    <row r="184">
      <c r="A184" s="519" t="str">
        <f t="shared" si="1"/>
        <v/>
      </c>
      <c r="B184" s="520" t="str">
        <f>'5-0 Товары'!B184</f>
        <v/>
      </c>
      <c r="C184" s="521" t="str">
        <f>'5-1 Сбор КП Закупки'!C184</f>
        <v/>
      </c>
      <c r="D184" s="521" t="str">
        <f>'5-1 Сбор КП Закупки'!D184</f>
        <v/>
      </c>
      <c r="E184" s="521" t="str">
        <f>'5-1 Сбор КП Закупки'!E184</f>
        <v/>
      </c>
      <c r="F184" s="521" t="str">
        <f>'5-1 Сбор КП Закупки'!F184</f>
        <v/>
      </c>
      <c r="G184" s="522" t="str">
        <f>'5-1 Сбор КП Закупки'!G184</f>
        <v/>
      </c>
      <c r="H184" s="522" t="str">
        <f>'5-1 Сбор КП Закупки'!H184</f>
        <v/>
      </c>
      <c r="I184" s="522" t="str">
        <f>'5-1 Сбор КП Закупки'!I184</f>
        <v/>
      </c>
      <c r="J184" s="197"/>
      <c r="K184" s="522" t="str">
        <f>'5-1 Сбор КП Закупки'!G184</f>
        <v/>
      </c>
      <c r="L184" s="523" t="str">
        <f>IF(A184="Да",'5-1 Сбор КП Закупки'!K184,)</f>
        <v/>
      </c>
      <c r="M184" s="197"/>
      <c r="N184" s="197"/>
      <c r="O184" s="197"/>
      <c r="P184" s="525" t="str">
        <f>'5-1 Сбор КП Закупки'!P184</f>
        <v/>
      </c>
      <c r="Q184" s="197"/>
      <c r="R184" s="197"/>
      <c r="S184" s="197"/>
      <c r="T184" s="197"/>
      <c r="U184" s="197"/>
      <c r="V184" s="197"/>
      <c r="W184" s="522" t="str">
        <f>'5-1 Сбор КП Закупки'!O184</f>
        <v/>
      </c>
      <c r="X184" s="197"/>
      <c r="Y184" s="197"/>
      <c r="Z184" s="197"/>
      <c r="AA184" s="197"/>
      <c r="AB184" s="197">
        <v>0.0</v>
      </c>
      <c r="AC184" s="197"/>
      <c r="AD184" s="197"/>
      <c r="AE1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5-3'!$D$11:$Q319,AE$4,AE$5)"),"")</f>
        <v/>
      </c>
      <c r="AF184" s="528"/>
      <c r="AG1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5-3'!$D$11:$Q319,AG$4,AG$5)"),"")</f>
        <v/>
      </c>
      <c r="AH184" s="527"/>
      <c r="AI1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5-3'!$D$11:$Q319,AI$4,AI$5)"),"")</f>
        <v/>
      </c>
      <c r="AJ184" s="527"/>
      <c r="AK1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5-3'!$D$11:$Q319,AK$4,AK$5)"),"")</f>
        <v/>
      </c>
      <c r="AL184" s="527"/>
      <c r="AM1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5-3'!$D$11:$Q319,AM$4,AM$5)"),"")</f>
        <v/>
      </c>
      <c r="AN184" s="529"/>
      <c r="AO1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5-3'!$D$11:$Q319,AO$4,AO$5)"),"")</f>
        <v/>
      </c>
      <c r="AP184" s="527"/>
      <c r="AQ184" s="527"/>
      <c r="AR184" s="527"/>
      <c r="AS184" s="527"/>
      <c r="AT1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5-3'!$D$11:$Q319,AT$4,AT$5)"),"")</f>
        <v/>
      </c>
      <c r="AU184" s="531"/>
      <c r="AV1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5-3'!$D$11:$Q319,AV$4,AV$5)"),"")</f>
        <v/>
      </c>
      <c r="AW184" s="530"/>
      <c r="AX1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5-3'!$D$11:$Q319,AX$4,AX$5)"),"")</f>
        <v/>
      </c>
      <c r="AY184" s="530"/>
      <c r="AZ1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5-3'!$D$11:$Q319,AZ$4,AZ$5)"),"")</f>
        <v/>
      </c>
      <c r="BA184" s="530"/>
      <c r="BB1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5-3'!$D$11:$Q319,BB$4,BB$5)"),"")</f>
        <v/>
      </c>
      <c r="BC184" s="532"/>
      <c r="BD1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5-3'!$D$11:$Q319,BD$4,BD$5)"),"")</f>
        <v/>
      </c>
      <c r="BE184" s="530"/>
      <c r="BF184" s="530"/>
      <c r="BG184" s="530"/>
      <c r="BH184" s="530"/>
      <c r="BI1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5-3'!$D$11:$Q319,BI$4,BI$5)"),"")</f>
        <v/>
      </c>
      <c r="BJ184" s="535"/>
      <c r="BK1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5-3'!$D$11:$Q319,BK$4,BK$5)"),"")</f>
        <v/>
      </c>
      <c r="BL184" s="534"/>
      <c r="BM1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5-3'!$D$11:$Q319,BM$4,BM$5)"),"")</f>
        <v/>
      </c>
      <c r="BN184" s="534"/>
      <c r="BO1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5-3'!$D$11:$Q319,BO$4,BO$5)"),"")</f>
        <v/>
      </c>
      <c r="BP184" s="534"/>
      <c r="BQ1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5-3'!$D$11:$Q319,BQ$4,BQ$5)"),"")</f>
        <v/>
      </c>
      <c r="BR184" s="536"/>
      <c r="BS1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5-3'!$D$11:$Q319,BS$4,BS$5)"),"")</f>
        <v/>
      </c>
      <c r="BT184" s="534"/>
      <c r="BU184" s="534"/>
      <c r="BV184" s="534"/>
      <c r="BW184" s="534"/>
      <c r="BX1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5-3'!$D$11:$Q319,BX$4,BX$5)"),"")</f>
        <v/>
      </c>
      <c r="BY184" s="538"/>
      <c r="BZ1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5-3'!$D$11:$Q319,BZ$4,BZ$5)"),"")</f>
        <v/>
      </c>
      <c r="CA184" s="537"/>
      <c r="CB1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5-3'!$D$11:$Q319,CB$4,CB$5)"),"")</f>
        <v/>
      </c>
      <c r="CC184" s="537"/>
      <c r="CD1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5-3'!$D$11:$Q319,CD$4,CD$5)"),"")</f>
        <v/>
      </c>
      <c r="CE184" s="537"/>
      <c r="CF1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5-3'!$D$11:$Q319,CF$4,CF$5)"),"")</f>
        <v/>
      </c>
      <c r="CG184" s="539"/>
      <c r="CH1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5-3'!$D$11:$Q319,CH$4,CH$5)"),"")</f>
        <v/>
      </c>
      <c r="CI184" s="537"/>
      <c r="CJ184" s="537"/>
      <c r="CK184" s="537"/>
      <c r="CL184" s="537"/>
      <c r="CM1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5-3'!$D$11:$Q319,CM$4,CM$5)"),"")</f>
        <v/>
      </c>
      <c r="CN184" s="541"/>
      <c r="CO1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5-3'!$D$11:$Q319,CO$4,CO$5)"),"")</f>
        <v/>
      </c>
      <c r="CP184" s="540"/>
      <c r="CQ1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5-3'!$D$11:$Q319,CQ$4,CQ$5)"),"")</f>
        <v/>
      </c>
      <c r="CR184" s="540"/>
      <c r="CS1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5-3'!$D$11:$Q319,CS$4,CS$5)"),"")</f>
        <v/>
      </c>
      <c r="CT184" s="540"/>
      <c r="CU1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5-3'!$D$11:$Q319,CU$4,CU$5)"),"")</f>
        <v/>
      </c>
      <c r="CV184" s="545"/>
      <c r="CW1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5-3'!$D$11:$Q319,CW$4,CW$5)"),"")</f>
        <v/>
      </c>
      <c r="CX184" s="540"/>
      <c r="CY184" s="540"/>
      <c r="CZ184" s="540"/>
      <c r="DA184" s="540"/>
      <c r="DB1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5-3'!$D$11:$Q319,DB$4,DB$5)"),"")</f>
        <v/>
      </c>
      <c r="DC184" s="555"/>
      <c r="DD1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5-3'!$D$11:$Q319,DD$4,DD$5)"),"")</f>
        <v/>
      </c>
      <c r="DE184" s="554"/>
      <c r="DF1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5-3'!$D$11:$Q319,DF$4,DF$5)"),"")</f>
        <v/>
      </c>
      <c r="DG184" s="554"/>
      <c r="DH1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5-3'!$D$11:$Q319,DH$4,DH$5)"),"")</f>
        <v/>
      </c>
      <c r="DI184" s="554"/>
      <c r="DJ1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5-3'!$D$11:$Q319,DJ$4,DJ$5)"),"")</f>
        <v/>
      </c>
      <c r="DK184" s="566"/>
      <c r="DL1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5-3'!$D$11:$Q319,DL$4,DL$5)"),"")</f>
        <v/>
      </c>
      <c r="DM184" s="554"/>
      <c r="DN184" s="554"/>
      <c r="DO184" s="554"/>
      <c r="DP184" s="554"/>
      <c r="DQ1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5-3'!$D$11:$Q319,DQ$4,DQ$5)"),"")</f>
        <v/>
      </c>
      <c r="DR184" s="569"/>
      <c r="DS1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5-3'!$D$11:$Q319,DS$4,DS$5)"),"")</f>
        <v/>
      </c>
      <c r="DT184" s="568"/>
      <c r="DU1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5-3'!$D$11:$Q319,DU$4,DU$5)"),"")</f>
        <v/>
      </c>
      <c r="DV184" s="568"/>
      <c r="DW1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5-3'!$D$11:$Q319,DW$4,DW$5)"),"")</f>
        <v/>
      </c>
      <c r="DX184" s="568"/>
      <c r="DY1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5-3'!$D$11:$Q319,DY$4,DY$5)"),"")</f>
        <v/>
      </c>
      <c r="DZ184" s="578"/>
      <c r="EA1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$C184, 'S-10 Топ 5-3'!$D$11:$Q319,EA$4,EA$5)"),"")</f>
        <v/>
      </c>
      <c r="EB184" s="568"/>
      <c r="EC184" s="568"/>
      <c r="ED184" s="568"/>
      <c r="EE184" s="568"/>
    </row>
    <row r="185">
      <c r="A185" s="519" t="str">
        <f t="shared" si="1"/>
        <v/>
      </c>
      <c r="B185" s="520" t="str">
        <f>'5-0 Товары'!B185</f>
        <v/>
      </c>
      <c r="C185" s="521" t="str">
        <f>'5-1 Сбор КП Закупки'!C185</f>
        <v/>
      </c>
      <c r="D185" s="521" t="str">
        <f>'5-1 Сбор КП Закупки'!D185</f>
        <v/>
      </c>
      <c r="E185" s="521" t="str">
        <f>'5-1 Сбор КП Закупки'!E185</f>
        <v/>
      </c>
      <c r="F185" s="521" t="str">
        <f>'5-1 Сбор КП Закупки'!F185</f>
        <v/>
      </c>
      <c r="G185" s="522" t="str">
        <f>'5-1 Сбор КП Закупки'!G185</f>
        <v/>
      </c>
      <c r="H185" s="522" t="str">
        <f>'5-1 Сбор КП Закупки'!H185</f>
        <v/>
      </c>
      <c r="I185" s="522" t="str">
        <f>'5-1 Сбор КП Закупки'!I185</f>
        <v/>
      </c>
      <c r="J185" s="197"/>
      <c r="K185" s="522" t="str">
        <f>'5-1 Сбор КП Закупки'!G185</f>
        <v/>
      </c>
      <c r="L185" s="523" t="str">
        <f>IF(A185="Да",'5-1 Сбор КП Закупки'!K185,)</f>
        <v/>
      </c>
      <c r="M185" s="197"/>
      <c r="N185" s="197"/>
      <c r="O185" s="197"/>
      <c r="P185" s="525" t="str">
        <f>'5-1 Сбор КП Закупки'!P185</f>
        <v/>
      </c>
      <c r="Q185" s="197"/>
      <c r="R185" s="197"/>
      <c r="S185" s="197"/>
      <c r="T185" s="197"/>
      <c r="U185" s="197"/>
      <c r="V185" s="197"/>
      <c r="W185" s="522" t="str">
        <f>'5-1 Сбор КП Закупки'!O185</f>
        <v/>
      </c>
      <c r="X185" s="197"/>
      <c r="Y185" s="197"/>
      <c r="Z185" s="197"/>
      <c r="AA185" s="197"/>
      <c r="AB185" s="197">
        <v>0.0</v>
      </c>
      <c r="AC185" s="197"/>
      <c r="AD185" s="197"/>
      <c r="AE1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5-3'!$D$11:$Q319,AE$4,AE$5)"),"")</f>
        <v/>
      </c>
      <c r="AF185" s="528"/>
      <c r="AG1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5-3'!$D$11:$Q319,AG$4,AG$5)"),"")</f>
        <v/>
      </c>
      <c r="AH185" s="527"/>
      <c r="AI1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5-3'!$D$11:$Q319,AI$4,AI$5)"),"")</f>
        <v/>
      </c>
      <c r="AJ185" s="527"/>
      <c r="AK1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5-3'!$D$11:$Q319,AK$4,AK$5)"),"")</f>
        <v/>
      </c>
      <c r="AL185" s="527"/>
      <c r="AM1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5-3'!$D$11:$Q319,AM$4,AM$5)"),"")</f>
        <v/>
      </c>
      <c r="AN185" s="529"/>
      <c r="AO1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5-3'!$D$11:$Q319,AO$4,AO$5)"),"")</f>
        <v/>
      </c>
      <c r="AP185" s="527"/>
      <c r="AQ185" s="527"/>
      <c r="AR185" s="527"/>
      <c r="AS185" s="527"/>
      <c r="AT1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5-3'!$D$11:$Q319,AT$4,AT$5)"),"")</f>
        <v/>
      </c>
      <c r="AU185" s="531"/>
      <c r="AV1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5-3'!$D$11:$Q319,AV$4,AV$5)"),"")</f>
        <v/>
      </c>
      <c r="AW185" s="530"/>
      <c r="AX1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5-3'!$D$11:$Q319,AX$4,AX$5)"),"")</f>
        <v/>
      </c>
      <c r="AY185" s="530"/>
      <c r="AZ1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5-3'!$D$11:$Q319,AZ$4,AZ$5)"),"")</f>
        <v/>
      </c>
      <c r="BA185" s="530"/>
      <c r="BB1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5-3'!$D$11:$Q319,BB$4,BB$5)"),"")</f>
        <v/>
      </c>
      <c r="BC185" s="532"/>
      <c r="BD1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5-3'!$D$11:$Q319,BD$4,BD$5)"),"")</f>
        <v/>
      </c>
      <c r="BE185" s="530"/>
      <c r="BF185" s="530"/>
      <c r="BG185" s="530"/>
      <c r="BH185" s="530"/>
      <c r="BI1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5-3'!$D$11:$Q319,BI$4,BI$5)"),"")</f>
        <v/>
      </c>
      <c r="BJ185" s="535"/>
      <c r="BK1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5-3'!$D$11:$Q319,BK$4,BK$5)"),"")</f>
        <v/>
      </c>
      <c r="BL185" s="534"/>
      <c r="BM1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5-3'!$D$11:$Q319,BM$4,BM$5)"),"")</f>
        <v/>
      </c>
      <c r="BN185" s="534"/>
      <c r="BO1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5-3'!$D$11:$Q319,BO$4,BO$5)"),"")</f>
        <v/>
      </c>
      <c r="BP185" s="534"/>
      <c r="BQ1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5-3'!$D$11:$Q319,BQ$4,BQ$5)"),"")</f>
        <v/>
      </c>
      <c r="BR185" s="536"/>
      <c r="BS1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5-3'!$D$11:$Q319,BS$4,BS$5)"),"")</f>
        <v/>
      </c>
      <c r="BT185" s="534"/>
      <c r="BU185" s="534"/>
      <c r="BV185" s="534"/>
      <c r="BW185" s="534"/>
      <c r="BX1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5-3'!$D$11:$Q319,BX$4,BX$5)"),"")</f>
        <v/>
      </c>
      <c r="BY185" s="538"/>
      <c r="BZ1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5-3'!$D$11:$Q319,BZ$4,BZ$5)"),"")</f>
        <v/>
      </c>
      <c r="CA185" s="537"/>
      <c r="CB1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5-3'!$D$11:$Q319,CB$4,CB$5)"),"")</f>
        <v/>
      </c>
      <c r="CC185" s="537"/>
      <c r="CD1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5-3'!$D$11:$Q319,CD$4,CD$5)"),"")</f>
        <v/>
      </c>
      <c r="CE185" s="537"/>
      <c r="CF1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5-3'!$D$11:$Q319,CF$4,CF$5)"),"")</f>
        <v/>
      </c>
      <c r="CG185" s="539"/>
      <c r="CH1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5-3'!$D$11:$Q319,CH$4,CH$5)"),"")</f>
        <v/>
      </c>
      <c r="CI185" s="537"/>
      <c r="CJ185" s="537"/>
      <c r="CK185" s="537"/>
      <c r="CL185" s="537"/>
      <c r="CM1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5-3'!$D$11:$Q319,CM$4,CM$5)"),"")</f>
        <v/>
      </c>
      <c r="CN185" s="541"/>
      <c r="CO1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5-3'!$D$11:$Q319,CO$4,CO$5)"),"")</f>
        <v/>
      </c>
      <c r="CP185" s="540"/>
      <c r="CQ1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5-3'!$D$11:$Q319,CQ$4,CQ$5)"),"")</f>
        <v/>
      </c>
      <c r="CR185" s="540"/>
      <c r="CS1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5-3'!$D$11:$Q319,CS$4,CS$5)"),"")</f>
        <v/>
      </c>
      <c r="CT185" s="540"/>
      <c r="CU1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5-3'!$D$11:$Q319,CU$4,CU$5)"),"")</f>
        <v/>
      </c>
      <c r="CV185" s="545"/>
      <c r="CW1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5-3'!$D$11:$Q319,CW$4,CW$5)"),"")</f>
        <v/>
      </c>
      <c r="CX185" s="540"/>
      <c r="CY185" s="540"/>
      <c r="CZ185" s="540"/>
      <c r="DA185" s="540"/>
      <c r="DB1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5-3'!$D$11:$Q319,DB$4,DB$5)"),"")</f>
        <v/>
      </c>
      <c r="DC185" s="555"/>
      <c r="DD1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5-3'!$D$11:$Q319,DD$4,DD$5)"),"")</f>
        <v/>
      </c>
      <c r="DE185" s="554"/>
      <c r="DF1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5-3'!$D$11:$Q319,DF$4,DF$5)"),"")</f>
        <v/>
      </c>
      <c r="DG185" s="554"/>
      <c r="DH1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5-3'!$D$11:$Q319,DH$4,DH$5)"),"")</f>
        <v/>
      </c>
      <c r="DI185" s="554"/>
      <c r="DJ1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5-3'!$D$11:$Q319,DJ$4,DJ$5)"),"")</f>
        <v/>
      </c>
      <c r="DK185" s="566"/>
      <c r="DL1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5-3'!$D$11:$Q319,DL$4,DL$5)"),"")</f>
        <v/>
      </c>
      <c r="DM185" s="554"/>
      <c r="DN185" s="554"/>
      <c r="DO185" s="554"/>
      <c r="DP185" s="554"/>
      <c r="DQ1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5-3'!$D$11:$Q319,DQ$4,DQ$5)"),"")</f>
        <v/>
      </c>
      <c r="DR185" s="569"/>
      <c r="DS1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5-3'!$D$11:$Q319,DS$4,DS$5)"),"")</f>
        <v/>
      </c>
      <c r="DT185" s="568"/>
      <c r="DU1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5-3'!$D$11:$Q319,DU$4,DU$5)"),"")</f>
        <v/>
      </c>
      <c r="DV185" s="568"/>
      <c r="DW1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5-3'!$D$11:$Q319,DW$4,DW$5)"),"")</f>
        <v/>
      </c>
      <c r="DX185" s="568"/>
      <c r="DY1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5-3'!$D$11:$Q319,DY$4,DY$5)"),"")</f>
        <v/>
      </c>
      <c r="DZ185" s="578"/>
      <c r="EA1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$C185, 'S-10 Топ 5-3'!$D$11:$Q319,EA$4,EA$5)"),"")</f>
        <v/>
      </c>
      <c r="EB185" s="568"/>
      <c r="EC185" s="568"/>
      <c r="ED185" s="568"/>
      <c r="EE185" s="568"/>
    </row>
    <row r="186">
      <c r="A186" s="519" t="str">
        <f t="shared" si="1"/>
        <v/>
      </c>
      <c r="B186" s="520" t="str">
        <f>'5-0 Товары'!B186</f>
        <v/>
      </c>
      <c r="C186" s="521" t="str">
        <f>'5-1 Сбор КП Закупки'!C186</f>
        <v/>
      </c>
      <c r="D186" s="521" t="str">
        <f>'5-1 Сбор КП Закупки'!D186</f>
        <v/>
      </c>
      <c r="E186" s="521" t="str">
        <f>'5-1 Сбор КП Закупки'!E186</f>
        <v/>
      </c>
      <c r="F186" s="521" t="str">
        <f>'5-1 Сбор КП Закупки'!F186</f>
        <v/>
      </c>
      <c r="G186" s="522" t="str">
        <f>'5-1 Сбор КП Закупки'!G186</f>
        <v/>
      </c>
      <c r="H186" s="522" t="str">
        <f>'5-1 Сбор КП Закупки'!H186</f>
        <v/>
      </c>
      <c r="I186" s="522" t="str">
        <f>'5-1 Сбор КП Закупки'!I186</f>
        <v/>
      </c>
      <c r="J186" s="197"/>
      <c r="K186" s="522" t="str">
        <f>'5-1 Сбор КП Закупки'!G186</f>
        <v/>
      </c>
      <c r="L186" s="523" t="str">
        <f>IF(A186="Да",'5-1 Сбор КП Закупки'!K186,)</f>
        <v/>
      </c>
      <c r="M186" s="197"/>
      <c r="N186" s="197"/>
      <c r="O186" s="197"/>
      <c r="P186" s="525" t="str">
        <f>'5-1 Сбор КП Закупки'!P186</f>
        <v/>
      </c>
      <c r="Q186" s="197"/>
      <c r="R186" s="197"/>
      <c r="S186" s="197"/>
      <c r="T186" s="197"/>
      <c r="U186" s="197"/>
      <c r="V186" s="197"/>
      <c r="W186" s="522" t="str">
        <f>'5-1 Сбор КП Закупки'!O186</f>
        <v/>
      </c>
      <c r="X186" s="197"/>
      <c r="Y186" s="197"/>
      <c r="Z186" s="197"/>
      <c r="AA186" s="197"/>
      <c r="AB186" s="197">
        <v>0.0</v>
      </c>
      <c r="AC186" s="197"/>
      <c r="AD186" s="197"/>
      <c r="AE1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5-3'!$D$11:$Q319,AE$4,AE$5)"),"")</f>
        <v/>
      </c>
      <c r="AF186" s="528"/>
      <c r="AG1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5-3'!$D$11:$Q319,AG$4,AG$5)"),"")</f>
        <v/>
      </c>
      <c r="AH186" s="527"/>
      <c r="AI1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5-3'!$D$11:$Q319,AI$4,AI$5)"),"")</f>
        <v/>
      </c>
      <c r="AJ186" s="527"/>
      <c r="AK1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5-3'!$D$11:$Q319,AK$4,AK$5)"),"")</f>
        <v/>
      </c>
      <c r="AL186" s="527"/>
      <c r="AM1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5-3'!$D$11:$Q319,AM$4,AM$5)"),"")</f>
        <v/>
      </c>
      <c r="AN186" s="529"/>
      <c r="AO1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5-3'!$D$11:$Q319,AO$4,AO$5)"),"")</f>
        <v/>
      </c>
      <c r="AP186" s="527"/>
      <c r="AQ186" s="527"/>
      <c r="AR186" s="527"/>
      <c r="AS186" s="527"/>
      <c r="AT1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5-3'!$D$11:$Q319,AT$4,AT$5)"),"")</f>
        <v/>
      </c>
      <c r="AU186" s="531"/>
      <c r="AV1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5-3'!$D$11:$Q319,AV$4,AV$5)"),"")</f>
        <v/>
      </c>
      <c r="AW186" s="530"/>
      <c r="AX1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5-3'!$D$11:$Q319,AX$4,AX$5)"),"")</f>
        <v/>
      </c>
      <c r="AY186" s="530"/>
      <c r="AZ1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5-3'!$D$11:$Q319,AZ$4,AZ$5)"),"")</f>
        <v/>
      </c>
      <c r="BA186" s="530"/>
      <c r="BB1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5-3'!$D$11:$Q319,BB$4,BB$5)"),"")</f>
        <v/>
      </c>
      <c r="BC186" s="532"/>
      <c r="BD1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5-3'!$D$11:$Q319,BD$4,BD$5)"),"")</f>
        <v/>
      </c>
      <c r="BE186" s="530"/>
      <c r="BF186" s="530"/>
      <c r="BG186" s="530"/>
      <c r="BH186" s="530"/>
      <c r="BI1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5-3'!$D$11:$Q319,BI$4,BI$5)"),"")</f>
        <v/>
      </c>
      <c r="BJ186" s="535"/>
      <c r="BK1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5-3'!$D$11:$Q319,BK$4,BK$5)"),"")</f>
        <v/>
      </c>
      <c r="BL186" s="534"/>
      <c r="BM1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5-3'!$D$11:$Q319,BM$4,BM$5)"),"")</f>
        <v/>
      </c>
      <c r="BN186" s="534"/>
      <c r="BO1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5-3'!$D$11:$Q319,BO$4,BO$5)"),"")</f>
        <v/>
      </c>
      <c r="BP186" s="534"/>
      <c r="BQ1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5-3'!$D$11:$Q319,BQ$4,BQ$5)"),"")</f>
        <v/>
      </c>
      <c r="BR186" s="536"/>
      <c r="BS1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5-3'!$D$11:$Q319,BS$4,BS$5)"),"")</f>
        <v/>
      </c>
      <c r="BT186" s="534"/>
      <c r="BU186" s="534"/>
      <c r="BV186" s="534"/>
      <c r="BW186" s="534"/>
      <c r="BX1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5-3'!$D$11:$Q319,BX$4,BX$5)"),"")</f>
        <v/>
      </c>
      <c r="BY186" s="538"/>
      <c r="BZ1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5-3'!$D$11:$Q319,BZ$4,BZ$5)"),"")</f>
        <v/>
      </c>
      <c r="CA186" s="537"/>
      <c r="CB1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5-3'!$D$11:$Q319,CB$4,CB$5)"),"")</f>
        <v/>
      </c>
      <c r="CC186" s="537"/>
      <c r="CD1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5-3'!$D$11:$Q319,CD$4,CD$5)"),"")</f>
        <v/>
      </c>
      <c r="CE186" s="537"/>
      <c r="CF1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5-3'!$D$11:$Q319,CF$4,CF$5)"),"")</f>
        <v/>
      </c>
      <c r="CG186" s="539"/>
      <c r="CH1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5-3'!$D$11:$Q319,CH$4,CH$5)"),"")</f>
        <v/>
      </c>
      <c r="CI186" s="537"/>
      <c r="CJ186" s="537"/>
      <c r="CK186" s="537"/>
      <c r="CL186" s="537"/>
      <c r="CM1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5-3'!$D$11:$Q319,CM$4,CM$5)"),"")</f>
        <v/>
      </c>
      <c r="CN186" s="541"/>
      <c r="CO1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5-3'!$D$11:$Q319,CO$4,CO$5)"),"")</f>
        <v/>
      </c>
      <c r="CP186" s="540"/>
      <c r="CQ1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5-3'!$D$11:$Q319,CQ$4,CQ$5)"),"")</f>
        <v/>
      </c>
      <c r="CR186" s="540"/>
      <c r="CS1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5-3'!$D$11:$Q319,CS$4,CS$5)"),"")</f>
        <v/>
      </c>
      <c r="CT186" s="540"/>
      <c r="CU1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5-3'!$D$11:$Q319,CU$4,CU$5)"),"")</f>
        <v/>
      </c>
      <c r="CV186" s="545"/>
      <c r="CW1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5-3'!$D$11:$Q319,CW$4,CW$5)"),"")</f>
        <v/>
      </c>
      <c r="CX186" s="540"/>
      <c r="CY186" s="540"/>
      <c r="CZ186" s="540"/>
      <c r="DA186" s="540"/>
      <c r="DB1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5-3'!$D$11:$Q319,DB$4,DB$5)"),"")</f>
        <v/>
      </c>
      <c r="DC186" s="555"/>
      <c r="DD1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5-3'!$D$11:$Q319,DD$4,DD$5)"),"")</f>
        <v/>
      </c>
      <c r="DE186" s="554"/>
      <c r="DF1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5-3'!$D$11:$Q319,DF$4,DF$5)"),"")</f>
        <v/>
      </c>
      <c r="DG186" s="554"/>
      <c r="DH1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5-3'!$D$11:$Q319,DH$4,DH$5)"),"")</f>
        <v/>
      </c>
      <c r="DI186" s="554"/>
      <c r="DJ1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5-3'!$D$11:$Q319,DJ$4,DJ$5)"),"")</f>
        <v/>
      </c>
      <c r="DK186" s="566"/>
      <c r="DL1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5-3'!$D$11:$Q319,DL$4,DL$5)"),"")</f>
        <v/>
      </c>
      <c r="DM186" s="554"/>
      <c r="DN186" s="554"/>
      <c r="DO186" s="554"/>
      <c r="DP186" s="554"/>
      <c r="DQ1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5-3'!$D$11:$Q319,DQ$4,DQ$5)"),"")</f>
        <v/>
      </c>
      <c r="DR186" s="569"/>
      <c r="DS1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5-3'!$D$11:$Q319,DS$4,DS$5)"),"")</f>
        <v/>
      </c>
      <c r="DT186" s="568"/>
      <c r="DU1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5-3'!$D$11:$Q319,DU$4,DU$5)"),"")</f>
        <v/>
      </c>
      <c r="DV186" s="568"/>
      <c r="DW1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5-3'!$D$11:$Q319,DW$4,DW$5)"),"")</f>
        <v/>
      </c>
      <c r="DX186" s="568"/>
      <c r="DY1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5-3'!$D$11:$Q319,DY$4,DY$5)"),"")</f>
        <v/>
      </c>
      <c r="DZ186" s="578"/>
      <c r="EA1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$C186, 'S-10 Топ 5-3'!$D$11:$Q319,EA$4,EA$5)"),"")</f>
        <v/>
      </c>
      <c r="EB186" s="568"/>
      <c r="EC186" s="568"/>
      <c r="ED186" s="568"/>
      <c r="EE186" s="568"/>
    </row>
    <row r="187">
      <c r="A187" s="519" t="str">
        <f t="shared" si="1"/>
        <v/>
      </c>
      <c r="B187" s="520" t="str">
        <f>'5-0 Товары'!B187</f>
        <v/>
      </c>
      <c r="C187" s="521" t="str">
        <f>'5-1 Сбор КП Закупки'!C187</f>
        <v/>
      </c>
      <c r="D187" s="521" t="str">
        <f>'5-1 Сбор КП Закупки'!D187</f>
        <v/>
      </c>
      <c r="E187" s="521" t="str">
        <f>'5-1 Сбор КП Закупки'!E187</f>
        <v/>
      </c>
      <c r="F187" s="521" t="str">
        <f>'5-1 Сбор КП Закупки'!F187</f>
        <v/>
      </c>
      <c r="G187" s="522" t="str">
        <f>'5-1 Сбор КП Закупки'!G187</f>
        <v/>
      </c>
      <c r="H187" s="522" t="str">
        <f>'5-1 Сбор КП Закупки'!H187</f>
        <v/>
      </c>
      <c r="I187" s="522" t="str">
        <f>'5-1 Сбор КП Закупки'!I187</f>
        <v/>
      </c>
      <c r="J187" s="197"/>
      <c r="K187" s="522" t="str">
        <f>'5-1 Сбор КП Закупки'!G187</f>
        <v/>
      </c>
      <c r="L187" s="523" t="str">
        <f>IF(A187="Да",'5-1 Сбор КП Закупки'!K187,)</f>
        <v/>
      </c>
      <c r="M187" s="197"/>
      <c r="N187" s="197"/>
      <c r="O187" s="197"/>
      <c r="P187" s="525" t="str">
        <f>'5-1 Сбор КП Закупки'!P187</f>
        <v/>
      </c>
      <c r="Q187" s="197"/>
      <c r="R187" s="197"/>
      <c r="S187" s="197"/>
      <c r="T187" s="197"/>
      <c r="U187" s="197"/>
      <c r="V187" s="197"/>
      <c r="W187" s="522" t="str">
        <f>'5-1 Сбор КП Закупки'!O187</f>
        <v/>
      </c>
      <c r="X187" s="197"/>
      <c r="Y187" s="197"/>
      <c r="Z187" s="197"/>
      <c r="AA187" s="197"/>
      <c r="AB187" s="197">
        <v>0.0</v>
      </c>
      <c r="AC187" s="197"/>
      <c r="AD187" s="197"/>
      <c r="AE1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5-3'!$D$11:$Q319,AE$4,AE$5)"),"")</f>
        <v/>
      </c>
      <c r="AF187" s="528"/>
      <c r="AG1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5-3'!$D$11:$Q319,AG$4,AG$5)"),"")</f>
        <v/>
      </c>
      <c r="AH187" s="527"/>
      <c r="AI1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5-3'!$D$11:$Q319,AI$4,AI$5)"),"")</f>
        <v/>
      </c>
      <c r="AJ187" s="527"/>
      <c r="AK1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5-3'!$D$11:$Q319,AK$4,AK$5)"),"")</f>
        <v/>
      </c>
      <c r="AL187" s="527"/>
      <c r="AM1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5-3'!$D$11:$Q319,AM$4,AM$5)"),"")</f>
        <v/>
      </c>
      <c r="AN187" s="529"/>
      <c r="AO1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5-3'!$D$11:$Q319,AO$4,AO$5)"),"")</f>
        <v/>
      </c>
      <c r="AP187" s="527"/>
      <c r="AQ187" s="527"/>
      <c r="AR187" s="527"/>
      <c r="AS187" s="527"/>
      <c r="AT1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5-3'!$D$11:$Q319,AT$4,AT$5)"),"")</f>
        <v/>
      </c>
      <c r="AU187" s="531"/>
      <c r="AV1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5-3'!$D$11:$Q319,AV$4,AV$5)"),"")</f>
        <v/>
      </c>
      <c r="AW187" s="530"/>
      <c r="AX1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5-3'!$D$11:$Q319,AX$4,AX$5)"),"")</f>
        <v/>
      </c>
      <c r="AY187" s="530"/>
      <c r="AZ1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5-3'!$D$11:$Q319,AZ$4,AZ$5)"),"")</f>
        <v/>
      </c>
      <c r="BA187" s="530"/>
      <c r="BB1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5-3'!$D$11:$Q319,BB$4,BB$5)"),"")</f>
        <v/>
      </c>
      <c r="BC187" s="532"/>
      <c r="BD1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5-3'!$D$11:$Q319,BD$4,BD$5)"),"")</f>
        <v/>
      </c>
      <c r="BE187" s="530"/>
      <c r="BF187" s="530"/>
      <c r="BG187" s="530"/>
      <c r="BH187" s="530"/>
      <c r="BI1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5-3'!$D$11:$Q319,BI$4,BI$5)"),"")</f>
        <v/>
      </c>
      <c r="BJ187" s="535"/>
      <c r="BK1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5-3'!$D$11:$Q319,BK$4,BK$5)"),"")</f>
        <v/>
      </c>
      <c r="BL187" s="534"/>
      <c r="BM1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5-3'!$D$11:$Q319,BM$4,BM$5)"),"")</f>
        <v/>
      </c>
      <c r="BN187" s="534"/>
      <c r="BO1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5-3'!$D$11:$Q319,BO$4,BO$5)"),"")</f>
        <v/>
      </c>
      <c r="BP187" s="534"/>
      <c r="BQ1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5-3'!$D$11:$Q319,BQ$4,BQ$5)"),"")</f>
        <v/>
      </c>
      <c r="BR187" s="536"/>
      <c r="BS1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5-3'!$D$11:$Q319,BS$4,BS$5)"),"")</f>
        <v/>
      </c>
      <c r="BT187" s="534"/>
      <c r="BU187" s="534"/>
      <c r="BV187" s="534"/>
      <c r="BW187" s="534"/>
      <c r="BX1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5-3'!$D$11:$Q319,BX$4,BX$5)"),"")</f>
        <v/>
      </c>
      <c r="BY187" s="538"/>
      <c r="BZ1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5-3'!$D$11:$Q319,BZ$4,BZ$5)"),"")</f>
        <v/>
      </c>
      <c r="CA187" s="537"/>
      <c r="CB1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5-3'!$D$11:$Q319,CB$4,CB$5)"),"")</f>
        <v/>
      </c>
      <c r="CC187" s="537"/>
      <c r="CD1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5-3'!$D$11:$Q319,CD$4,CD$5)"),"")</f>
        <v/>
      </c>
      <c r="CE187" s="537"/>
      <c r="CF1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5-3'!$D$11:$Q319,CF$4,CF$5)"),"")</f>
        <v/>
      </c>
      <c r="CG187" s="539"/>
      <c r="CH1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5-3'!$D$11:$Q319,CH$4,CH$5)"),"")</f>
        <v/>
      </c>
      <c r="CI187" s="537"/>
      <c r="CJ187" s="537"/>
      <c r="CK187" s="537"/>
      <c r="CL187" s="537"/>
      <c r="CM1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5-3'!$D$11:$Q319,CM$4,CM$5)"),"")</f>
        <v/>
      </c>
      <c r="CN187" s="541"/>
      <c r="CO1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5-3'!$D$11:$Q319,CO$4,CO$5)"),"")</f>
        <v/>
      </c>
      <c r="CP187" s="540"/>
      <c r="CQ1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5-3'!$D$11:$Q319,CQ$4,CQ$5)"),"")</f>
        <v/>
      </c>
      <c r="CR187" s="540"/>
      <c r="CS1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5-3'!$D$11:$Q319,CS$4,CS$5)"),"")</f>
        <v/>
      </c>
      <c r="CT187" s="540"/>
      <c r="CU1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5-3'!$D$11:$Q319,CU$4,CU$5)"),"")</f>
        <v/>
      </c>
      <c r="CV187" s="545"/>
      <c r="CW1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5-3'!$D$11:$Q319,CW$4,CW$5)"),"")</f>
        <v/>
      </c>
      <c r="CX187" s="540"/>
      <c r="CY187" s="540"/>
      <c r="CZ187" s="540"/>
      <c r="DA187" s="540"/>
      <c r="DB1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5-3'!$D$11:$Q319,DB$4,DB$5)"),"")</f>
        <v/>
      </c>
      <c r="DC187" s="555"/>
      <c r="DD1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5-3'!$D$11:$Q319,DD$4,DD$5)"),"")</f>
        <v/>
      </c>
      <c r="DE187" s="554"/>
      <c r="DF1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5-3'!$D$11:$Q319,DF$4,DF$5)"),"")</f>
        <v/>
      </c>
      <c r="DG187" s="554"/>
      <c r="DH1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5-3'!$D$11:$Q319,DH$4,DH$5)"),"")</f>
        <v/>
      </c>
      <c r="DI187" s="554"/>
      <c r="DJ1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5-3'!$D$11:$Q319,DJ$4,DJ$5)"),"")</f>
        <v/>
      </c>
      <c r="DK187" s="566"/>
      <c r="DL1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5-3'!$D$11:$Q319,DL$4,DL$5)"),"")</f>
        <v/>
      </c>
      <c r="DM187" s="554"/>
      <c r="DN187" s="554"/>
      <c r="DO187" s="554"/>
      <c r="DP187" s="554"/>
      <c r="DQ1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5-3'!$D$11:$Q319,DQ$4,DQ$5)"),"")</f>
        <v/>
      </c>
      <c r="DR187" s="569"/>
      <c r="DS1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5-3'!$D$11:$Q319,DS$4,DS$5)"),"")</f>
        <v/>
      </c>
      <c r="DT187" s="568"/>
      <c r="DU1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5-3'!$D$11:$Q319,DU$4,DU$5)"),"")</f>
        <v/>
      </c>
      <c r="DV187" s="568"/>
      <c r="DW1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5-3'!$D$11:$Q319,DW$4,DW$5)"),"")</f>
        <v/>
      </c>
      <c r="DX187" s="568"/>
      <c r="DY1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5-3'!$D$11:$Q319,DY$4,DY$5)"),"")</f>
        <v/>
      </c>
      <c r="DZ187" s="578"/>
      <c r="EA1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$C187, 'S-10 Топ 5-3'!$D$11:$Q319,EA$4,EA$5)"),"")</f>
        <v/>
      </c>
      <c r="EB187" s="568"/>
      <c r="EC187" s="568"/>
      <c r="ED187" s="568"/>
      <c r="EE187" s="568"/>
    </row>
    <row r="188">
      <c r="A188" s="519" t="str">
        <f t="shared" si="1"/>
        <v/>
      </c>
      <c r="B188" s="520" t="str">
        <f>'5-0 Товары'!B188</f>
        <v/>
      </c>
      <c r="C188" s="521" t="str">
        <f>'5-1 Сбор КП Закупки'!C188</f>
        <v/>
      </c>
      <c r="D188" s="521" t="str">
        <f>'5-1 Сбор КП Закупки'!D188</f>
        <v/>
      </c>
      <c r="E188" s="521" t="str">
        <f>'5-1 Сбор КП Закупки'!E188</f>
        <v/>
      </c>
      <c r="F188" s="521" t="str">
        <f>'5-1 Сбор КП Закупки'!F188</f>
        <v/>
      </c>
      <c r="G188" s="522" t="str">
        <f>'5-1 Сбор КП Закупки'!G188</f>
        <v/>
      </c>
      <c r="H188" s="522" t="str">
        <f>'5-1 Сбор КП Закупки'!H188</f>
        <v/>
      </c>
      <c r="I188" s="522" t="str">
        <f>'5-1 Сбор КП Закупки'!I188</f>
        <v/>
      </c>
      <c r="J188" s="197"/>
      <c r="K188" s="522" t="str">
        <f>'5-1 Сбор КП Закупки'!G188</f>
        <v/>
      </c>
      <c r="L188" s="523" t="str">
        <f>IF(A188="Да",'5-1 Сбор КП Закупки'!K188,)</f>
        <v/>
      </c>
      <c r="M188" s="197"/>
      <c r="N188" s="197"/>
      <c r="O188" s="197"/>
      <c r="P188" s="525" t="str">
        <f>'5-1 Сбор КП Закупки'!P188</f>
        <v/>
      </c>
      <c r="Q188" s="197"/>
      <c r="R188" s="197"/>
      <c r="S188" s="197"/>
      <c r="T188" s="197"/>
      <c r="U188" s="197"/>
      <c r="V188" s="197"/>
      <c r="W188" s="522" t="str">
        <f>'5-1 Сбор КП Закупки'!O188</f>
        <v/>
      </c>
      <c r="X188" s="197"/>
      <c r="Y188" s="197"/>
      <c r="Z188" s="197"/>
      <c r="AA188" s="197"/>
      <c r="AB188" s="197">
        <v>0.0</v>
      </c>
      <c r="AC188" s="197"/>
      <c r="AD188" s="197"/>
      <c r="AE1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5-3'!$D$11:$Q319,AE$4,AE$5)"),"")</f>
        <v/>
      </c>
      <c r="AF188" s="528"/>
      <c r="AG1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5-3'!$D$11:$Q319,AG$4,AG$5)"),"")</f>
        <v/>
      </c>
      <c r="AH188" s="527"/>
      <c r="AI1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5-3'!$D$11:$Q319,AI$4,AI$5)"),"")</f>
        <v/>
      </c>
      <c r="AJ188" s="527"/>
      <c r="AK1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5-3'!$D$11:$Q319,AK$4,AK$5)"),"")</f>
        <v/>
      </c>
      <c r="AL188" s="527"/>
      <c r="AM1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5-3'!$D$11:$Q319,AM$4,AM$5)"),"")</f>
        <v/>
      </c>
      <c r="AN188" s="529"/>
      <c r="AO1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5-3'!$D$11:$Q319,AO$4,AO$5)"),"")</f>
        <v/>
      </c>
      <c r="AP188" s="527"/>
      <c r="AQ188" s="527"/>
      <c r="AR188" s="527"/>
      <c r="AS188" s="527"/>
      <c r="AT1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5-3'!$D$11:$Q319,AT$4,AT$5)"),"")</f>
        <v/>
      </c>
      <c r="AU188" s="531"/>
      <c r="AV1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5-3'!$D$11:$Q319,AV$4,AV$5)"),"")</f>
        <v/>
      </c>
      <c r="AW188" s="530"/>
      <c r="AX1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5-3'!$D$11:$Q319,AX$4,AX$5)"),"")</f>
        <v/>
      </c>
      <c r="AY188" s="530"/>
      <c r="AZ1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5-3'!$D$11:$Q319,AZ$4,AZ$5)"),"")</f>
        <v/>
      </c>
      <c r="BA188" s="530"/>
      <c r="BB1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5-3'!$D$11:$Q319,BB$4,BB$5)"),"")</f>
        <v/>
      </c>
      <c r="BC188" s="532"/>
      <c r="BD1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5-3'!$D$11:$Q319,BD$4,BD$5)"),"")</f>
        <v/>
      </c>
      <c r="BE188" s="530"/>
      <c r="BF188" s="530"/>
      <c r="BG188" s="530"/>
      <c r="BH188" s="530"/>
      <c r="BI1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5-3'!$D$11:$Q319,BI$4,BI$5)"),"")</f>
        <v/>
      </c>
      <c r="BJ188" s="535"/>
      <c r="BK1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5-3'!$D$11:$Q319,BK$4,BK$5)"),"")</f>
        <v/>
      </c>
      <c r="BL188" s="534"/>
      <c r="BM1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5-3'!$D$11:$Q319,BM$4,BM$5)"),"")</f>
        <v/>
      </c>
      <c r="BN188" s="534"/>
      <c r="BO1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5-3'!$D$11:$Q319,BO$4,BO$5)"),"")</f>
        <v/>
      </c>
      <c r="BP188" s="534"/>
      <c r="BQ1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5-3'!$D$11:$Q319,BQ$4,BQ$5)"),"")</f>
        <v/>
      </c>
      <c r="BR188" s="536"/>
      <c r="BS1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5-3'!$D$11:$Q319,BS$4,BS$5)"),"")</f>
        <v/>
      </c>
      <c r="BT188" s="534"/>
      <c r="BU188" s="534"/>
      <c r="BV188" s="534"/>
      <c r="BW188" s="534"/>
      <c r="BX1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5-3'!$D$11:$Q319,BX$4,BX$5)"),"")</f>
        <v/>
      </c>
      <c r="BY188" s="538"/>
      <c r="BZ1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5-3'!$D$11:$Q319,BZ$4,BZ$5)"),"")</f>
        <v/>
      </c>
      <c r="CA188" s="537"/>
      <c r="CB1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5-3'!$D$11:$Q319,CB$4,CB$5)"),"")</f>
        <v/>
      </c>
      <c r="CC188" s="537"/>
      <c r="CD1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5-3'!$D$11:$Q319,CD$4,CD$5)"),"")</f>
        <v/>
      </c>
      <c r="CE188" s="537"/>
      <c r="CF1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5-3'!$D$11:$Q319,CF$4,CF$5)"),"")</f>
        <v/>
      </c>
      <c r="CG188" s="539"/>
      <c r="CH1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5-3'!$D$11:$Q319,CH$4,CH$5)"),"")</f>
        <v/>
      </c>
      <c r="CI188" s="537"/>
      <c r="CJ188" s="537"/>
      <c r="CK188" s="537"/>
      <c r="CL188" s="537"/>
      <c r="CM1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5-3'!$D$11:$Q319,CM$4,CM$5)"),"")</f>
        <v/>
      </c>
      <c r="CN188" s="541"/>
      <c r="CO1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5-3'!$D$11:$Q319,CO$4,CO$5)"),"")</f>
        <v/>
      </c>
      <c r="CP188" s="540"/>
      <c r="CQ1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5-3'!$D$11:$Q319,CQ$4,CQ$5)"),"")</f>
        <v/>
      </c>
      <c r="CR188" s="540"/>
      <c r="CS1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5-3'!$D$11:$Q319,CS$4,CS$5)"),"")</f>
        <v/>
      </c>
      <c r="CT188" s="540"/>
      <c r="CU1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5-3'!$D$11:$Q319,CU$4,CU$5)"),"")</f>
        <v/>
      </c>
      <c r="CV188" s="545"/>
      <c r="CW1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5-3'!$D$11:$Q319,CW$4,CW$5)"),"")</f>
        <v/>
      </c>
      <c r="CX188" s="540"/>
      <c r="CY188" s="540"/>
      <c r="CZ188" s="540"/>
      <c r="DA188" s="540"/>
      <c r="DB1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5-3'!$D$11:$Q319,DB$4,DB$5)"),"")</f>
        <v/>
      </c>
      <c r="DC188" s="555"/>
      <c r="DD1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5-3'!$D$11:$Q319,DD$4,DD$5)"),"")</f>
        <v/>
      </c>
      <c r="DE188" s="554"/>
      <c r="DF1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5-3'!$D$11:$Q319,DF$4,DF$5)"),"")</f>
        <v/>
      </c>
      <c r="DG188" s="554"/>
      <c r="DH1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5-3'!$D$11:$Q319,DH$4,DH$5)"),"")</f>
        <v/>
      </c>
      <c r="DI188" s="554"/>
      <c r="DJ1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5-3'!$D$11:$Q319,DJ$4,DJ$5)"),"")</f>
        <v/>
      </c>
      <c r="DK188" s="566"/>
      <c r="DL1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5-3'!$D$11:$Q319,DL$4,DL$5)"),"")</f>
        <v/>
      </c>
      <c r="DM188" s="554"/>
      <c r="DN188" s="554"/>
      <c r="DO188" s="554"/>
      <c r="DP188" s="554"/>
      <c r="DQ1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5-3'!$D$11:$Q319,DQ$4,DQ$5)"),"")</f>
        <v/>
      </c>
      <c r="DR188" s="569"/>
      <c r="DS1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5-3'!$D$11:$Q319,DS$4,DS$5)"),"")</f>
        <v/>
      </c>
      <c r="DT188" s="568"/>
      <c r="DU1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5-3'!$D$11:$Q319,DU$4,DU$5)"),"")</f>
        <v/>
      </c>
      <c r="DV188" s="568"/>
      <c r="DW1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5-3'!$D$11:$Q319,DW$4,DW$5)"),"")</f>
        <v/>
      </c>
      <c r="DX188" s="568"/>
      <c r="DY1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5-3'!$D$11:$Q319,DY$4,DY$5)"),"")</f>
        <v/>
      </c>
      <c r="DZ188" s="578"/>
      <c r="EA1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$C188, 'S-10 Топ 5-3'!$D$11:$Q319,EA$4,EA$5)"),"")</f>
        <v/>
      </c>
      <c r="EB188" s="568"/>
      <c r="EC188" s="568"/>
      <c r="ED188" s="568"/>
      <c r="EE188" s="568"/>
    </row>
    <row r="189">
      <c r="A189" s="519" t="str">
        <f t="shared" si="1"/>
        <v/>
      </c>
      <c r="B189" s="520" t="str">
        <f>'5-0 Товары'!B189</f>
        <v/>
      </c>
      <c r="C189" s="521" t="str">
        <f>'5-1 Сбор КП Закупки'!C189</f>
        <v/>
      </c>
      <c r="D189" s="521" t="str">
        <f>'5-1 Сбор КП Закупки'!D189</f>
        <v/>
      </c>
      <c r="E189" s="521" t="str">
        <f>'5-1 Сбор КП Закупки'!E189</f>
        <v/>
      </c>
      <c r="F189" s="521" t="str">
        <f>'5-1 Сбор КП Закупки'!F189</f>
        <v/>
      </c>
      <c r="G189" s="522" t="str">
        <f>'5-1 Сбор КП Закупки'!G189</f>
        <v/>
      </c>
      <c r="H189" s="522" t="str">
        <f>'5-1 Сбор КП Закупки'!H189</f>
        <v/>
      </c>
      <c r="I189" s="522" t="str">
        <f>'5-1 Сбор КП Закупки'!I189</f>
        <v/>
      </c>
      <c r="J189" s="197"/>
      <c r="K189" s="522" t="str">
        <f>'5-1 Сбор КП Закупки'!G189</f>
        <v/>
      </c>
      <c r="L189" s="523" t="str">
        <f>IF(A189="Да",'5-1 Сбор КП Закупки'!K189,)</f>
        <v/>
      </c>
      <c r="M189" s="197"/>
      <c r="N189" s="197"/>
      <c r="O189" s="197"/>
      <c r="P189" s="525" t="str">
        <f>'5-1 Сбор КП Закупки'!P189</f>
        <v/>
      </c>
      <c r="Q189" s="197"/>
      <c r="R189" s="197"/>
      <c r="S189" s="197"/>
      <c r="T189" s="197"/>
      <c r="U189" s="197"/>
      <c r="V189" s="197"/>
      <c r="W189" s="522" t="str">
        <f>'5-1 Сбор КП Закупки'!O189</f>
        <v/>
      </c>
      <c r="X189" s="197"/>
      <c r="Y189" s="197"/>
      <c r="Z189" s="197"/>
      <c r="AA189" s="197"/>
      <c r="AB189" s="197">
        <v>0.0</v>
      </c>
      <c r="AC189" s="197"/>
      <c r="AD189" s="197"/>
      <c r="AE1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5-3'!$D$11:$Q319,AE$4,AE$5)"),"")</f>
        <v/>
      </c>
      <c r="AF189" s="528"/>
      <c r="AG1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5-3'!$D$11:$Q319,AG$4,AG$5)"),"")</f>
        <v/>
      </c>
      <c r="AH189" s="527"/>
      <c r="AI1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5-3'!$D$11:$Q319,AI$4,AI$5)"),"")</f>
        <v/>
      </c>
      <c r="AJ189" s="527"/>
      <c r="AK1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5-3'!$D$11:$Q319,AK$4,AK$5)"),"")</f>
        <v/>
      </c>
      <c r="AL189" s="527"/>
      <c r="AM1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5-3'!$D$11:$Q319,AM$4,AM$5)"),"")</f>
        <v/>
      </c>
      <c r="AN189" s="529"/>
      <c r="AO1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5-3'!$D$11:$Q319,AO$4,AO$5)"),"")</f>
        <v/>
      </c>
      <c r="AP189" s="527"/>
      <c r="AQ189" s="527"/>
      <c r="AR189" s="527"/>
      <c r="AS189" s="527"/>
      <c r="AT1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5-3'!$D$11:$Q319,AT$4,AT$5)"),"")</f>
        <v/>
      </c>
      <c r="AU189" s="531"/>
      <c r="AV1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5-3'!$D$11:$Q319,AV$4,AV$5)"),"")</f>
        <v/>
      </c>
      <c r="AW189" s="530"/>
      <c r="AX1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5-3'!$D$11:$Q319,AX$4,AX$5)"),"")</f>
        <v/>
      </c>
      <c r="AY189" s="530"/>
      <c r="AZ1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5-3'!$D$11:$Q319,AZ$4,AZ$5)"),"")</f>
        <v/>
      </c>
      <c r="BA189" s="530"/>
      <c r="BB1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5-3'!$D$11:$Q319,BB$4,BB$5)"),"")</f>
        <v/>
      </c>
      <c r="BC189" s="532"/>
      <c r="BD1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5-3'!$D$11:$Q319,BD$4,BD$5)"),"")</f>
        <v/>
      </c>
      <c r="BE189" s="530"/>
      <c r="BF189" s="530"/>
      <c r="BG189" s="530"/>
      <c r="BH189" s="530"/>
      <c r="BI1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5-3'!$D$11:$Q319,BI$4,BI$5)"),"")</f>
        <v/>
      </c>
      <c r="BJ189" s="535"/>
      <c r="BK1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5-3'!$D$11:$Q319,BK$4,BK$5)"),"")</f>
        <v/>
      </c>
      <c r="BL189" s="534"/>
      <c r="BM1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5-3'!$D$11:$Q319,BM$4,BM$5)"),"")</f>
        <v/>
      </c>
      <c r="BN189" s="534"/>
      <c r="BO1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5-3'!$D$11:$Q319,BO$4,BO$5)"),"")</f>
        <v/>
      </c>
      <c r="BP189" s="534"/>
      <c r="BQ1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5-3'!$D$11:$Q319,BQ$4,BQ$5)"),"")</f>
        <v/>
      </c>
      <c r="BR189" s="536"/>
      <c r="BS1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5-3'!$D$11:$Q319,BS$4,BS$5)"),"")</f>
        <v/>
      </c>
      <c r="BT189" s="534"/>
      <c r="BU189" s="534"/>
      <c r="BV189" s="534"/>
      <c r="BW189" s="534"/>
      <c r="BX1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5-3'!$D$11:$Q319,BX$4,BX$5)"),"")</f>
        <v/>
      </c>
      <c r="BY189" s="538"/>
      <c r="BZ1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5-3'!$D$11:$Q319,BZ$4,BZ$5)"),"")</f>
        <v/>
      </c>
      <c r="CA189" s="537"/>
      <c r="CB1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5-3'!$D$11:$Q319,CB$4,CB$5)"),"")</f>
        <v/>
      </c>
      <c r="CC189" s="537"/>
      <c r="CD1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5-3'!$D$11:$Q319,CD$4,CD$5)"),"")</f>
        <v/>
      </c>
      <c r="CE189" s="537"/>
      <c r="CF1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5-3'!$D$11:$Q319,CF$4,CF$5)"),"")</f>
        <v/>
      </c>
      <c r="CG189" s="539"/>
      <c r="CH1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5-3'!$D$11:$Q319,CH$4,CH$5)"),"")</f>
        <v/>
      </c>
      <c r="CI189" s="537"/>
      <c r="CJ189" s="537"/>
      <c r="CK189" s="537"/>
      <c r="CL189" s="537"/>
      <c r="CM1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5-3'!$D$11:$Q319,CM$4,CM$5)"),"")</f>
        <v/>
      </c>
      <c r="CN189" s="541"/>
      <c r="CO1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5-3'!$D$11:$Q319,CO$4,CO$5)"),"")</f>
        <v/>
      </c>
      <c r="CP189" s="540"/>
      <c r="CQ1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5-3'!$D$11:$Q319,CQ$4,CQ$5)"),"")</f>
        <v/>
      </c>
      <c r="CR189" s="540"/>
      <c r="CS1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5-3'!$D$11:$Q319,CS$4,CS$5)"),"")</f>
        <v/>
      </c>
      <c r="CT189" s="540"/>
      <c r="CU1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5-3'!$D$11:$Q319,CU$4,CU$5)"),"")</f>
        <v/>
      </c>
      <c r="CV189" s="545"/>
      <c r="CW1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5-3'!$D$11:$Q319,CW$4,CW$5)"),"")</f>
        <v/>
      </c>
      <c r="CX189" s="540"/>
      <c r="CY189" s="540"/>
      <c r="CZ189" s="540"/>
      <c r="DA189" s="540"/>
      <c r="DB1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5-3'!$D$11:$Q319,DB$4,DB$5)"),"")</f>
        <v/>
      </c>
      <c r="DC189" s="555"/>
      <c r="DD1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5-3'!$D$11:$Q319,DD$4,DD$5)"),"")</f>
        <v/>
      </c>
      <c r="DE189" s="554"/>
      <c r="DF1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5-3'!$D$11:$Q319,DF$4,DF$5)"),"")</f>
        <v/>
      </c>
      <c r="DG189" s="554"/>
      <c r="DH1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5-3'!$D$11:$Q319,DH$4,DH$5)"),"")</f>
        <v/>
      </c>
      <c r="DI189" s="554"/>
      <c r="DJ1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5-3'!$D$11:$Q319,DJ$4,DJ$5)"),"")</f>
        <v/>
      </c>
      <c r="DK189" s="566"/>
      <c r="DL1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5-3'!$D$11:$Q319,DL$4,DL$5)"),"")</f>
        <v/>
      </c>
      <c r="DM189" s="554"/>
      <c r="DN189" s="554"/>
      <c r="DO189" s="554"/>
      <c r="DP189" s="554"/>
      <c r="DQ1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5-3'!$D$11:$Q319,DQ$4,DQ$5)"),"")</f>
        <v/>
      </c>
      <c r="DR189" s="569"/>
      <c r="DS1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5-3'!$D$11:$Q319,DS$4,DS$5)"),"")</f>
        <v/>
      </c>
      <c r="DT189" s="568"/>
      <c r="DU1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5-3'!$D$11:$Q319,DU$4,DU$5)"),"")</f>
        <v/>
      </c>
      <c r="DV189" s="568"/>
      <c r="DW1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5-3'!$D$11:$Q319,DW$4,DW$5)"),"")</f>
        <v/>
      </c>
      <c r="DX189" s="568"/>
      <c r="DY1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5-3'!$D$11:$Q319,DY$4,DY$5)"),"")</f>
        <v/>
      </c>
      <c r="DZ189" s="578"/>
      <c r="EA1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$C189, 'S-10 Топ 5-3'!$D$11:$Q319,EA$4,EA$5)"),"")</f>
        <v/>
      </c>
      <c r="EB189" s="568"/>
      <c r="EC189" s="568"/>
      <c r="ED189" s="568"/>
      <c r="EE189" s="568"/>
    </row>
    <row r="190">
      <c r="A190" s="519" t="str">
        <f t="shared" si="1"/>
        <v/>
      </c>
      <c r="B190" s="520" t="str">
        <f>'5-0 Товары'!B190</f>
        <v/>
      </c>
      <c r="C190" s="521" t="str">
        <f>'5-1 Сбор КП Закупки'!C190</f>
        <v/>
      </c>
      <c r="D190" s="521" t="str">
        <f>'5-1 Сбор КП Закупки'!D190</f>
        <v/>
      </c>
      <c r="E190" s="521" t="str">
        <f>'5-1 Сбор КП Закупки'!E190</f>
        <v/>
      </c>
      <c r="F190" s="521" t="str">
        <f>'5-1 Сбор КП Закупки'!F190</f>
        <v/>
      </c>
      <c r="G190" s="522" t="str">
        <f>'5-1 Сбор КП Закупки'!G190</f>
        <v/>
      </c>
      <c r="H190" s="522" t="str">
        <f>'5-1 Сбор КП Закупки'!H190</f>
        <v/>
      </c>
      <c r="I190" s="522" t="str">
        <f>'5-1 Сбор КП Закупки'!I190</f>
        <v/>
      </c>
      <c r="J190" s="197"/>
      <c r="K190" s="522" t="str">
        <f>'5-1 Сбор КП Закупки'!G190</f>
        <v/>
      </c>
      <c r="L190" s="523" t="str">
        <f>IF(A190="Да",'5-1 Сбор КП Закупки'!K190,)</f>
        <v/>
      </c>
      <c r="M190" s="197"/>
      <c r="N190" s="197"/>
      <c r="O190" s="197"/>
      <c r="P190" s="525" t="str">
        <f>'5-1 Сбор КП Закупки'!P190</f>
        <v/>
      </c>
      <c r="Q190" s="197"/>
      <c r="R190" s="197"/>
      <c r="S190" s="197"/>
      <c r="T190" s="197"/>
      <c r="U190" s="197"/>
      <c r="V190" s="197"/>
      <c r="W190" s="522" t="str">
        <f>'5-1 Сбор КП Закупки'!O190</f>
        <v/>
      </c>
      <c r="X190" s="197"/>
      <c r="Y190" s="197"/>
      <c r="Z190" s="197"/>
      <c r="AA190" s="197"/>
      <c r="AB190" s="197">
        <v>0.0</v>
      </c>
      <c r="AC190" s="197"/>
      <c r="AD190" s="197"/>
      <c r="AE1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5-3'!$D$11:$Q319,AE$4,AE$5)"),"")</f>
        <v/>
      </c>
      <c r="AF190" s="528"/>
      <c r="AG1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5-3'!$D$11:$Q319,AG$4,AG$5)"),"")</f>
        <v/>
      </c>
      <c r="AH190" s="527"/>
      <c r="AI1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5-3'!$D$11:$Q319,AI$4,AI$5)"),"")</f>
        <v/>
      </c>
      <c r="AJ190" s="527"/>
      <c r="AK1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5-3'!$D$11:$Q319,AK$4,AK$5)"),"")</f>
        <v/>
      </c>
      <c r="AL190" s="527"/>
      <c r="AM1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5-3'!$D$11:$Q319,AM$4,AM$5)"),"")</f>
        <v/>
      </c>
      <c r="AN190" s="529"/>
      <c r="AO1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5-3'!$D$11:$Q319,AO$4,AO$5)"),"")</f>
        <v/>
      </c>
      <c r="AP190" s="527"/>
      <c r="AQ190" s="527"/>
      <c r="AR190" s="527"/>
      <c r="AS190" s="527"/>
      <c r="AT1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5-3'!$D$11:$Q319,AT$4,AT$5)"),"")</f>
        <v/>
      </c>
      <c r="AU190" s="531"/>
      <c r="AV1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5-3'!$D$11:$Q319,AV$4,AV$5)"),"")</f>
        <v/>
      </c>
      <c r="AW190" s="530"/>
      <c r="AX1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5-3'!$D$11:$Q319,AX$4,AX$5)"),"")</f>
        <v/>
      </c>
      <c r="AY190" s="530"/>
      <c r="AZ1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5-3'!$D$11:$Q319,AZ$4,AZ$5)"),"")</f>
        <v/>
      </c>
      <c r="BA190" s="530"/>
      <c r="BB1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5-3'!$D$11:$Q319,BB$4,BB$5)"),"")</f>
        <v/>
      </c>
      <c r="BC190" s="532"/>
      <c r="BD1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5-3'!$D$11:$Q319,BD$4,BD$5)"),"")</f>
        <v/>
      </c>
      <c r="BE190" s="530"/>
      <c r="BF190" s="530"/>
      <c r="BG190" s="530"/>
      <c r="BH190" s="530"/>
      <c r="BI1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5-3'!$D$11:$Q319,BI$4,BI$5)"),"")</f>
        <v/>
      </c>
      <c r="BJ190" s="535"/>
      <c r="BK1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5-3'!$D$11:$Q319,BK$4,BK$5)"),"")</f>
        <v/>
      </c>
      <c r="BL190" s="534"/>
      <c r="BM1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5-3'!$D$11:$Q319,BM$4,BM$5)"),"")</f>
        <v/>
      </c>
      <c r="BN190" s="534"/>
      <c r="BO1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5-3'!$D$11:$Q319,BO$4,BO$5)"),"")</f>
        <v/>
      </c>
      <c r="BP190" s="534"/>
      <c r="BQ1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5-3'!$D$11:$Q319,BQ$4,BQ$5)"),"")</f>
        <v/>
      </c>
      <c r="BR190" s="536"/>
      <c r="BS1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5-3'!$D$11:$Q319,BS$4,BS$5)"),"")</f>
        <v/>
      </c>
      <c r="BT190" s="534"/>
      <c r="BU190" s="534"/>
      <c r="BV190" s="534"/>
      <c r="BW190" s="534"/>
      <c r="BX1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5-3'!$D$11:$Q319,BX$4,BX$5)"),"")</f>
        <v/>
      </c>
      <c r="BY190" s="538"/>
      <c r="BZ1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5-3'!$D$11:$Q319,BZ$4,BZ$5)"),"")</f>
        <v/>
      </c>
      <c r="CA190" s="537"/>
      <c r="CB1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5-3'!$D$11:$Q319,CB$4,CB$5)"),"")</f>
        <v/>
      </c>
      <c r="CC190" s="537"/>
      <c r="CD1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5-3'!$D$11:$Q319,CD$4,CD$5)"),"")</f>
        <v/>
      </c>
      <c r="CE190" s="537"/>
      <c r="CF1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5-3'!$D$11:$Q319,CF$4,CF$5)"),"")</f>
        <v/>
      </c>
      <c r="CG190" s="539"/>
      <c r="CH1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5-3'!$D$11:$Q319,CH$4,CH$5)"),"")</f>
        <v/>
      </c>
      <c r="CI190" s="537"/>
      <c r="CJ190" s="537"/>
      <c r="CK190" s="537"/>
      <c r="CL190" s="537"/>
      <c r="CM1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5-3'!$D$11:$Q319,CM$4,CM$5)"),"")</f>
        <v/>
      </c>
      <c r="CN190" s="541"/>
      <c r="CO1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5-3'!$D$11:$Q319,CO$4,CO$5)"),"")</f>
        <v/>
      </c>
      <c r="CP190" s="540"/>
      <c r="CQ1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5-3'!$D$11:$Q319,CQ$4,CQ$5)"),"")</f>
        <v/>
      </c>
      <c r="CR190" s="540"/>
      <c r="CS1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5-3'!$D$11:$Q319,CS$4,CS$5)"),"")</f>
        <v/>
      </c>
      <c r="CT190" s="540"/>
      <c r="CU1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5-3'!$D$11:$Q319,CU$4,CU$5)"),"")</f>
        <v/>
      </c>
      <c r="CV190" s="545"/>
      <c r="CW1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5-3'!$D$11:$Q319,CW$4,CW$5)"),"")</f>
        <v/>
      </c>
      <c r="CX190" s="540"/>
      <c r="CY190" s="540"/>
      <c r="CZ190" s="540"/>
      <c r="DA190" s="540"/>
      <c r="DB1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5-3'!$D$11:$Q319,DB$4,DB$5)"),"")</f>
        <v/>
      </c>
      <c r="DC190" s="555"/>
      <c r="DD1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5-3'!$D$11:$Q319,DD$4,DD$5)"),"")</f>
        <v/>
      </c>
      <c r="DE190" s="554"/>
      <c r="DF1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5-3'!$D$11:$Q319,DF$4,DF$5)"),"")</f>
        <v/>
      </c>
      <c r="DG190" s="554"/>
      <c r="DH1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5-3'!$D$11:$Q319,DH$4,DH$5)"),"")</f>
        <v/>
      </c>
      <c r="DI190" s="554"/>
      <c r="DJ1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5-3'!$D$11:$Q319,DJ$4,DJ$5)"),"")</f>
        <v/>
      </c>
      <c r="DK190" s="566"/>
      <c r="DL1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5-3'!$D$11:$Q319,DL$4,DL$5)"),"")</f>
        <v/>
      </c>
      <c r="DM190" s="554"/>
      <c r="DN190" s="554"/>
      <c r="DO190" s="554"/>
      <c r="DP190" s="554"/>
      <c r="DQ1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5-3'!$D$11:$Q319,DQ$4,DQ$5)"),"")</f>
        <v/>
      </c>
      <c r="DR190" s="569"/>
      <c r="DS1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5-3'!$D$11:$Q319,DS$4,DS$5)"),"")</f>
        <v/>
      </c>
      <c r="DT190" s="568"/>
      <c r="DU1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5-3'!$D$11:$Q319,DU$4,DU$5)"),"")</f>
        <v/>
      </c>
      <c r="DV190" s="568"/>
      <c r="DW1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5-3'!$D$11:$Q319,DW$4,DW$5)"),"")</f>
        <v/>
      </c>
      <c r="DX190" s="568"/>
      <c r="DY1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5-3'!$D$11:$Q319,DY$4,DY$5)"),"")</f>
        <v/>
      </c>
      <c r="DZ190" s="578"/>
      <c r="EA1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$C190, 'S-10 Топ 5-3'!$D$11:$Q319,EA$4,EA$5)"),"")</f>
        <v/>
      </c>
      <c r="EB190" s="568"/>
      <c r="EC190" s="568"/>
      <c r="ED190" s="568"/>
      <c r="EE190" s="568"/>
    </row>
    <row r="191">
      <c r="A191" s="519" t="str">
        <f t="shared" si="1"/>
        <v/>
      </c>
      <c r="B191" s="520" t="str">
        <f>'5-0 Товары'!B191</f>
        <v/>
      </c>
      <c r="C191" s="521" t="str">
        <f>'5-1 Сбор КП Закупки'!C191</f>
        <v/>
      </c>
      <c r="D191" s="521" t="str">
        <f>'5-1 Сбор КП Закупки'!D191</f>
        <v/>
      </c>
      <c r="E191" s="521" t="str">
        <f>'5-1 Сбор КП Закупки'!E191</f>
        <v/>
      </c>
      <c r="F191" s="521" t="str">
        <f>'5-1 Сбор КП Закупки'!F191</f>
        <v/>
      </c>
      <c r="G191" s="522" t="str">
        <f>'5-1 Сбор КП Закупки'!G191</f>
        <v/>
      </c>
      <c r="H191" s="522" t="str">
        <f>'5-1 Сбор КП Закупки'!H191</f>
        <v/>
      </c>
      <c r="I191" s="522" t="str">
        <f>'5-1 Сбор КП Закупки'!I191</f>
        <v/>
      </c>
      <c r="J191" s="197"/>
      <c r="K191" s="522" t="str">
        <f>'5-1 Сбор КП Закупки'!G191</f>
        <v/>
      </c>
      <c r="L191" s="523" t="str">
        <f>IF(A191="Да",'5-1 Сбор КП Закупки'!K191,)</f>
        <v/>
      </c>
      <c r="M191" s="197"/>
      <c r="N191" s="197"/>
      <c r="O191" s="197"/>
      <c r="P191" s="525" t="str">
        <f>'5-1 Сбор КП Закупки'!P191</f>
        <v/>
      </c>
      <c r="Q191" s="197"/>
      <c r="R191" s="197"/>
      <c r="S191" s="197"/>
      <c r="T191" s="197"/>
      <c r="U191" s="197"/>
      <c r="V191" s="197"/>
      <c r="W191" s="522" t="str">
        <f>'5-1 Сбор КП Закупки'!O191</f>
        <v/>
      </c>
      <c r="X191" s="197"/>
      <c r="Y191" s="197"/>
      <c r="Z191" s="197"/>
      <c r="AA191" s="197"/>
      <c r="AB191" s="197">
        <v>0.0</v>
      </c>
      <c r="AC191" s="197"/>
      <c r="AD191" s="197"/>
      <c r="AE1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5-3'!$D$11:$Q319,AE$4,AE$5)"),"")</f>
        <v/>
      </c>
      <c r="AF191" s="528"/>
      <c r="AG1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5-3'!$D$11:$Q319,AG$4,AG$5)"),"")</f>
        <v/>
      </c>
      <c r="AH191" s="527"/>
      <c r="AI1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5-3'!$D$11:$Q319,AI$4,AI$5)"),"")</f>
        <v/>
      </c>
      <c r="AJ191" s="527"/>
      <c r="AK1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5-3'!$D$11:$Q319,AK$4,AK$5)"),"")</f>
        <v/>
      </c>
      <c r="AL191" s="527"/>
      <c r="AM1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5-3'!$D$11:$Q319,AM$4,AM$5)"),"")</f>
        <v/>
      </c>
      <c r="AN191" s="529"/>
      <c r="AO1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5-3'!$D$11:$Q319,AO$4,AO$5)"),"")</f>
        <v/>
      </c>
      <c r="AP191" s="527"/>
      <c r="AQ191" s="527"/>
      <c r="AR191" s="527"/>
      <c r="AS191" s="527"/>
      <c r="AT1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5-3'!$D$11:$Q319,AT$4,AT$5)"),"")</f>
        <v/>
      </c>
      <c r="AU191" s="531"/>
      <c r="AV1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5-3'!$D$11:$Q319,AV$4,AV$5)"),"")</f>
        <v/>
      </c>
      <c r="AW191" s="530"/>
      <c r="AX1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5-3'!$D$11:$Q319,AX$4,AX$5)"),"")</f>
        <v/>
      </c>
      <c r="AY191" s="530"/>
      <c r="AZ1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5-3'!$D$11:$Q319,AZ$4,AZ$5)"),"")</f>
        <v/>
      </c>
      <c r="BA191" s="530"/>
      <c r="BB1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5-3'!$D$11:$Q319,BB$4,BB$5)"),"")</f>
        <v/>
      </c>
      <c r="BC191" s="532"/>
      <c r="BD1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5-3'!$D$11:$Q319,BD$4,BD$5)"),"")</f>
        <v/>
      </c>
      <c r="BE191" s="530"/>
      <c r="BF191" s="530"/>
      <c r="BG191" s="530"/>
      <c r="BH191" s="530"/>
      <c r="BI1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5-3'!$D$11:$Q319,BI$4,BI$5)"),"")</f>
        <v/>
      </c>
      <c r="BJ191" s="535"/>
      <c r="BK1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5-3'!$D$11:$Q319,BK$4,BK$5)"),"")</f>
        <v/>
      </c>
      <c r="BL191" s="534"/>
      <c r="BM1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5-3'!$D$11:$Q319,BM$4,BM$5)"),"")</f>
        <v/>
      </c>
      <c r="BN191" s="534"/>
      <c r="BO1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5-3'!$D$11:$Q319,BO$4,BO$5)"),"")</f>
        <v/>
      </c>
      <c r="BP191" s="534"/>
      <c r="BQ1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5-3'!$D$11:$Q319,BQ$4,BQ$5)"),"")</f>
        <v/>
      </c>
      <c r="BR191" s="536"/>
      <c r="BS1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5-3'!$D$11:$Q319,BS$4,BS$5)"),"")</f>
        <v/>
      </c>
      <c r="BT191" s="534"/>
      <c r="BU191" s="534"/>
      <c r="BV191" s="534"/>
      <c r="BW191" s="534"/>
      <c r="BX1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5-3'!$D$11:$Q319,BX$4,BX$5)"),"")</f>
        <v/>
      </c>
      <c r="BY191" s="538"/>
      <c r="BZ1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5-3'!$D$11:$Q319,BZ$4,BZ$5)"),"")</f>
        <v/>
      </c>
      <c r="CA191" s="537"/>
      <c r="CB1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5-3'!$D$11:$Q319,CB$4,CB$5)"),"")</f>
        <v/>
      </c>
      <c r="CC191" s="537"/>
      <c r="CD1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5-3'!$D$11:$Q319,CD$4,CD$5)"),"")</f>
        <v/>
      </c>
      <c r="CE191" s="537"/>
      <c r="CF1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5-3'!$D$11:$Q319,CF$4,CF$5)"),"")</f>
        <v/>
      </c>
      <c r="CG191" s="539"/>
      <c r="CH1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5-3'!$D$11:$Q319,CH$4,CH$5)"),"")</f>
        <v/>
      </c>
      <c r="CI191" s="537"/>
      <c r="CJ191" s="537"/>
      <c r="CK191" s="537"/>
      <c r="CL191" s="537"/>
      <c r="CM1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5-3'!$D$11:$Q319,CM$4,CM$5)"),"")</f>
        <v/>
      </c>
      <c r="CN191" s="541"/>
      <c r="CO1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5-3'!$D$11:$Q319,CO$4,CO$5)"),"")</f>
        <v/>
      </c>
      <c r="CP191" s="540"/>
      <c r="CQ1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5-3'!$D$11:$Q319,CQ$4,CQ$5)"),"")</f>
        <v/>
      </c>
      <c r="CR191" s="540"/>
      <c r="CS1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5-3'!$D$11:$Q319,CS$4,CS$5)"),"")</f>
        <v/>
      </c>
      <c r="CT191" s="540"/>
      <c r="CU1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5-3'!$D$11:$Q319,CU$4,CU$5)"),"")</f>
        <v/>
      </c>
      <c r="CV191" s="545"/>
      <c r="CW1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5-3'!$D$11:$Q319,CW$4,CW$5)"),"")</f>
        <v/>
      </c>
      <c r="CX191" s="540"/>
      <c r="CY191" s="540"/>
      <c r="CZ191" s="540"/>
      <c r="DA191" s="540"/>
      <c r="DB1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5-3'!$D$11:$Q319,DB$4,DB$5)"),"")</f>
        <v/>
      </c>
      <c r="DC191" s="555"/>
      <c r="DD1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5-3'!$D$11:$Q319,DD$4,DD$5)"),"")</f>
        <v/>
      </c>
      <c r="DE191" s="554"/>
      <c r="DF1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5-3'!$D$11:$Q319,DF$4,DF$5)"),"")</f>
        <v/>
      </c>
      <c r="DG191" s="554"/>
      <c r="DH1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5-3'!$D$11:$Q319,DH$4,DH$5)"),"")</f>
        <v/>
      </c>
      <c r="DI191" s="554"/>
      <c r="DJ1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5-3'!$D$11:$Q319,DJ$4,DJ$5)"),"")</f>
        <v/>
      </c>
      <c r="DK191" s="566"/>
      <c r="DL1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5-3'!$D$11:$Q319,DL$4,DL$5)"),"")</f>
        <v/>
      </c>
      <c r="DM191" s="554"/>
      <c r="DN191" s="554"/>
      <c r="DO191" s="554"/>
      <c r="DP191" s="554"/>
      <c r="DQ1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5-3'!$D$11:$Q319,DQ$4,DQ$5)"),"")</f>
        <v/>
      </c>
      <c r="DR191" s="569"/>
      <c r="DS1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5-3'!$D$11:$Q319,DS$4,DS$5)"),"")</f>
        <v/>
      </c>
      <c r="DT191" s="568"/>
      <c r="DU1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5-3'!$D$11:$Q319,DU$4,DU$5)"),"")</f>
        <v/>
      </c>
      <c r="DV191" s="568"/>
      <c r="DW1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5-3'!$D$11:$Q319,DW$4,DW$5)"),"")</f>
        <v/>
      </c>
      <c r="DX191" s="568"/>
      <c r="DY1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5-3'!$D$11:$Q319,DY$4,DY$5)"),"")</f>
        <v/>
      </c>
      <c r="DZ191" s="578"/>
      <c r="EA1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$C191, 'S-10 Топ 5-3'!$D$11:$Q319,EA$4,EA$5)"),"")</f>
        <v/>
      </c>
      <c r="EB191" s="568"/>
      <c r="EC191" s="568"/>
      <c r="ED191" s="568"/>
      <c r="EE191" s="568"/>
    </row>
    <row r="192">
      <c r="A192" s="519" t="str">
        <f t="shared" si="1"/>
        <v/>
      </c>
      <c r="B192" s="520" t="str">
        <f>'5-0 Товары'!B192</f>
        <v/>
      </c>
      <c r="C192" s="521" t="str">
        <f>'5-1 Сбор КП Закупки'!C192</f>
        <v/>
      </c>
      <c r="D192" s="521" t="str">
        <f>'5-1 Сбор КП Закупки'!D192</f>
        <v/>
      </c>
      <c r="E192" s="521" t="str">
        <f>'5-1 Сбор КП Закупки'!E192</f>
        <v/>
      </c>
      <c r="F192" s="521" t="str">
        <f>'5-1 Сбор КП Закупки'!F192</f>
        <v/>
      </c>
      <c r="G192" s="522" t="str">
        <f>'5-1 Сбор КП Закупки'!G192</f>
        <v/>
      </c>
      <c r="H192" s="522" t="str">
        <f>'5-1 Сбор КП Закупки'!H192</f>
        <v/>
      </c>
      <c r="I192" s="522" t="str">
        <f>'5-1 Сбор КП Закупки'!I192</f>
        <v/>
      </c>
      <c r="J192" s="197"/>
      <c r="K192" s="522" t="str">
        <f>'5-1 Сбор КП Закупки'!G192</f>
        <v/>
      </c>
      <c r="L192" s="523" t="str">
        <f>IF(A192="Да",'5-1 Сбор КП Закупки'!K192,)</f>
        <v/>
      </c>
      <c r="M192" s="197"/>
      <c r="N192" s="197"/>
      <c r="O192" s="197"/>
      <c r="P192" s="525" t="str">
        <f>'5-1 Сбор КП Закупки'!P192</f>
        <v/>
      </c>
      <c r="Q192" s="197"/>
      <c r="R192" s="197"/>
      <c r="S192" s="197"/>
      <c r="T192" s="197"/>
      <c r="U192" s="197"/>
      <c r="V192" s="197"/>
      <c r="W192" s="522" t="str">
        <f>'5-1 Сбор КП Закупки'!O192</f>
        <v/>
      </c>
      <c r="X192" s="197"/>
      <c r="Y192" s="197"/>
      <c r="Z192" s="197"/>
      <c r="AA192" s="197"/>
      <c r="AB192" s="197">
        <v>0.0</v>
      </c>
      <c r="AC192" s="197"/>
      <c r="AD192" s="197"/>
      <c r="AE1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5-3'!$D$11:$Q319,AE$4,AE$5)"),"")</f>
        <v/>
      </c>
      <c r="AF192" s="528"/>
      <c r="AG1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5-3'!$D$11:$Q319,AG$4,AG$5)"),"")</f>
        <v/>
      </c>
      <c r="AH192" s="527"/>
      <c r="AI1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5-3'!$D$11:$Q319,AI$4,AI$5)"),"")</f>
        <v/>
      </c>
      <c r="AJ192" s="527"/>
      <c r="AK1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5-3'!$D$11:$Q319,AK$4,AK$5)"),"")</f>
        <v/>
      </c>
      <c r="AL192" s="527"/>
      <c r="AM1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5-3'!$D$11:$Q319,AM$4,AM$5)"),"")</f>
        <v/>
      </c>
      <c r="AN192" s="529"/>
      <c r="AO1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5-3'!$D$11:$Q319,AO$4,AO$5)"),"")</f>
        <v/>
      </c>
      <c r="AP192" s="527"/>
      <c r="AQ192" s="527"/>
      <c r="AR192" s="527"/>
      <c r="AS192" s="527"/>
      <c r="AT1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5-3'!$D$11:$Q319,AT$4,AT$5)"),"")</f>
        <v/>
      </c>
      <c r="AU192" s="531"/>
      <c r="AV1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5-3'!$D$11:$Q319,AV$4,AV$5)"),"")</f>
        <v/>
      </c>
      <c r="AW192" s="530"/>
      <c r="AX1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5-3'!$D$11:$Q319,AX$4,AX$5)"),"")</f>
        <v/>
      </c>
      <c r="AY192" s="530"/>
      <c r="AZ1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5-3'!$D$11:$Q319,AZ$4,AZ$5)"),"")</f>
        <v/>
      </c>
      <c r="BA192" s="530"/>
      <c r="BB1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5-3'!$D$11:$Q319,BB$4,BB$5)"),"")</f>
        <v/>
      </c>
      <c r="BC192" s="532"/>
      <c r="BD1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5-3'!$D$11:$Q319,BD$4,BD$5)"),"")</f>
        <v/>
      </c>
      <c r="BE192" s="530"/>
      <c r="BF192" s="530"/>
      <c r="BG192" s="530"/>
      <c r="BH192" s="530"/>
      <c r="BI1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5-3'!$D$11:$Q319,BI$4,BI$5)"),"")</f>
        <v/>
      </c>
      <c r="BJ192" s="535"/>
      <c r="BK1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5-3'!$D$11:$Q319,BK$4,BK$5)"),"")</f>
        <v/>
      </c>
      <c r="BL192" s="534"/>
      <c r="BM1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5-3'!$D$11:$Q319,BM$4,BM$5)"),"")</f>
        <v/>
      </c>
      <c r="BN192" s="534"/>
      <c r="BO1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5-3'!$D$11:$Q319,BO$4,BO$5)"),"")</f>
        <v/>
      </c>
      <c r="BP192" s="534"/>
      <c r="BQ1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5-3'!$D$11:$Q319,BQ$4,BQ$5)"),"")</f>
        <v/>
      </c>
      <c r="BR192" s="536"/>
      <c r="BS1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5-3'!$D$11:$Q319,BS$4,BS$5)"),"")</f>
        <v/>
      </c>
      <c r="BT192" s="534"/>
      <c r="BU192" s="534"/>
      <c r="BV192" s="534"/>
      <c r="BW192" s="534"/>
      <c r="BX1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5-3'!$D$11:$Q319,BX$4,BX$5)"),"")</f>
        <v/>
      </c>
      <c r="BY192" s="538"/>
      <c r="BZ1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5-3'!$D$11:$Q319,BZ$4,BZ$5)"),"")</f>
        <v/>
      </c>
      <c r="CA192" s="537"/>
      <c r="CB1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5-3'!$D$11:$Q319,CB$4,CB$5)"),"")</f>
        <v/>
      </c>
      <c r="CC192" s="537"/>
      <c r="CD1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5-3'!$D$11:$Q319,CD$4,CD$5)"),"")</f>
        <v/>
      </c>
      <c r="CE192" s="537"/>
      <c r="CF1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5-3'!$D$11:$Q319,CF$4,CF$5)"),"")</f>
        <v/>
      </c>
      <c r="CG192" s="539"/>
      <c r="CH1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5-3'!$D$11:$Q319,CH$4,CH$5)"),"")</f>
        <v/>
      </c>
      <c r="CI192" s="537"/>
      <c r="CJ192" s="537"/>
      <c r="CK192" s="537"/>
      <c r="CL192" s="537"/>
      <c r="CM1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5-3'!$D$11:$Q319,CM$4,CM$5)"),"")</f>
        <v/>
      </c>
      <c r="CN192" s="541"/>
      <c r="CO1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5-3'!$D$11:$Q319,CO$4,CO$5)"),"")</f>
        <v/>
      </c>
      <c r="CP192" s="540"/>
      <c r="CQ1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5-3'!$D$11:$Q319,CQ$4,CQ$5)"),"")</f>
        <v/>
      </c>
      <c r="CR192" s="540"/>
      <c r="CS1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5-3'!$D$11:$Q319,CS$4,CS$5)"),"")</f>
        <v/>
      </c>
      <c r="CT192" s="540"/>
      <c r="CU1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5-3'!$D$11:$Q319,CU$4,CU$5)"),"")</f>
        <v/>
      </c>
      <c r="CV192" s="545"/>
      <c r="CW1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5-3'!$D$11:$Q319,CW$4,CW$5)"),"")</f>
        <v/>
      </c>
      <c r="CX192" s="540"/>
      <c r="CY192" s="540"/>
      <c r="CZ192" s="540"/>
      <c r="DA192" s="540"/>
      <c r="DB1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5-3'!$D$11:$Q319,DB$4,DB$5)"),"")</f>
        <v/>
      </c>
      <c r="DC192" s="555"/>
      <c r="DD1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5-3'!$D$11:$Q319,DD$4,DD$5)"),"")</f>
        <v/>
      </c>
      <c r="DE192" s="554"/>
      <c r="DF1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5-3'!$D$11:$Q319,DF$4,DF$5)"),"")</f>
        <v/>
      </c>
      <c r="DG192" s="554"/>
      <c r="DH1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5-3'!$D$11:$Q319,DH$4,DH$5)"),"")</f>
        <v/>
      </c>
      <c r="DI192" s="554"/>
      <c r="DJ1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5-3'!$D$11:$Q319,DJ$4,DJ$5)"),"")</f>
        <v/>
      </c>
      <c r="DK192" s="566"/>
      <c r="DL1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5-3'!$D$11:$Q319,DL$4,DL$5)"),"")</f>
        <v/>
      </c>
      <c r="DM192" s="554"/>
      <c r="DN192" s="554"/>
      <c r="DO192" s="554"/>
      <c r="DP192" s="554"/>
      <c r="DQ1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5-3'!$D$11:$Q319,DQ$4,DQ$5)"),"")</f>
        <v/>
      </c>
      <c r="DR192" s="569"/>
      <c r="DS1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5-3'!$D$11:$Q319,DS$4,DS$5)"),"")</f>
        <v/>
      </c>
      <c r="DT192" s="568"/>
      <c r="DU1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5-3'!$D$11:$Q319,DU$4,DU$5)"),"")</f>
        <v/>
      </c>
      <c r="DV192" s="568"/>
      <c r="DW1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5-3'!$D$11:$Q319,DW$4,DW$5)"),"")</f>
        <v/>
      </c>
      <c r="DX192" s="568"/>
      <c r="DY1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5-3'!$D$11:$Q319,DY$4,DY$5)"),"")</f>
        <v/>
      </c>
      <c r="DZ192" s="578"/>
      <c r="EA1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$C192, 'S-10 Топ 5-3'!$D$11:$Q319,EA$4,EA$5)"),"")</f>
        <v/>
      </c>
      <c r="EB192" s="568"/>
      <c r="EC192" s="568"/>
      <c r="ED192" s="568"/>
      <c r="EE192" s="568"/>
    </row>
    <row r="193">
      <c r="A193" s="519" t="str">
        <f t="shared" si="1"/>
        <v/>
      </c>
      <c r="B193" s="520" t="str">
        <f>'5-0 Товары'!B193</f>
        <v/>
      </c>
      <c r="C193" s="521" t="str">
        <f>'5-1 Сбор КП Закупки'!C193</f>
        <v/>
      </c>
      <c r="D193" s="521" t="str">
        <f>'5-1 Сбор КП Закупки'!D193</f>
        <v/>
      </c>
      <c r="E193" s="521" t="str">
        <f>'5-1 Сбор КП Закупки'!E193</f>
        <v/>
      </c>
      <c r="F193" s="521" t="str">
        <f>'5-1 Сбор КП Закупки'!F193</f>
        <v/>
      </c>
      <c r="G193" s="522" t="str">
        <f>'5-1 Сбор КП Закупки'!G193</f>
        <v/>
      </c>
      <c r="H193" s="522" t="str">
        <f>'5-1 Сбор КП Закупки'!H193</f>
        <v/>
      </c>
      <c r="I193" s="522" t="str">
        <f>'5-1 Сбор КП Закупки'!I193</f>
        <v/>
      </c>
      <c r="J193" s="197"/>
      <c r="K193" s="522" t="str">
        <f>'5-1 Сбор КП Закупки'!G193</f>
        <v/>
      </c>
      <c r="L193" s="523" t="str">
        <f>IF(A193="Да",'5-1 Сбор КП Закупки'!K193,)</f>
        <v/>
      </c>
      <c r="M193" s="197"/>
      <c r="N193" s="197"/>
      <c r="O193" s="197"/>
      <c r="P193" s="525" t="str">
        <f>'5-1 Сбор КП Закупки'!P193</f>
        <v/>
      </c>
      <c r="Q193" s="197"/>
      <c r="R193" s="197"/>
      <c r="S193" s="197"/>
      <c r="T193" s="197"/>
      <c r="U193" s="197"/>
      <c r="V193" s="197"/>
      <c r="W193" s="522" t="str">
        <f>'5-1 Сбор КП Закупки'!O193</f>
        <v/>
      </c>
      <c r="X193" s="197"/>
      <c r="Y193" s="197"/>
      <c r="Z193" s="197"/>
      <c r="AA193" s="197"/>
      <c r="AB193" s="197">
        <v>0.0</v>
      </c>
      <c r="AC193" s="197"/>
      <c r="AD193" s="197"/>
      <c r="AE1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5-3'!$D$11:$Q319,AE$4,AE$5)"),"")</f>
        <v/>
      </c>
      <c r="AF193" s="528"/>
      <c r="AG1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5-3'!$D$11:$Q319,AG$4,AG$5)"),"")</f>
        <v/>
      </c>
      <c r="AH193" s="527"/>
      <c r="AI1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5-3'!$D$11:$Q319,AI$4,AI$5)"),"")</f>
        <v/>
      </c>
      <c r="AJ193" s="527"/>
      <c r="AK1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5-3'!$D$11:$Q319,AK$4,AK$5)"),"")</f>
        <v/>
      </c>
      <c r="AL193" s="527"/>
      <c r="AM1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5-3'!$D$11:$Q319,AM$4,AM$5)"),"")</f>
        <v/>
      </c>
      <c r="AN193" s="529"/>
      <c r="AO1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5-3'!$D$11:$Q319,AO$4,AO$5)"),"")</f>
        <v/>
      </c>
      <c r="AP193" s="527"/>
      <c r="AQ193" s="527"/>
      <c r="AR193" s="527"/>
      <c r="AS193" s="527"/>
      <c r="AT1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5-3'!$D$11:$Q319,AT$4,AT$5)"),"")</f>
        <v/>
      </c>
      <c r="AU193" s="531"/>
      <c r="AV1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5-3'!$D$11:$Q319,AV$4,AV$5)"),"")</f>
        <v/>
      </c>
      <c r="AW193" s="530"/>
      <c r="AX1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5-3'!$D$11:$Q319,AX$4,AX$5)"),"")</f>
        <v/>
      </c>
      <c r="AY193" s="530"/>
      <c r="AZ1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5-3'!$D$11:$Q319,AZ$4,AZ$5)"),"")</f>
        <v/>
      </c>
      <c r="BA193" s="530"/>
      <c r="BB1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5-3'!$D$11:$Q319,BB$4,BB$5)"),"")</f>
        <v/>
      </c>
      <c r="BC193" s="532"/>
      <c r="BD1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5-3'!$D$11:$Q319,BD$4,BD$5)"),"")</f>
        <v/>
      </c>
      <c r="BE193" s="530"/>
      <c r="BF193" s="530"/>
      <c r="BG193" s="530"/>
      <c r="BH193" s="530"/>
      <c r="BI1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5-3'!$D$11:$Q319,BI$4,BI$5)"),"")</f>
        <v/>
      </c>
      <c r="BJ193" s="535"/>
      <c r="BK1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5-3'!$D$11:$Q319,BK$4,BK$5)"),"")</f>
        <v/>
      </c>
      <c r="BL193" s="534"/>
      <c r="BM1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5-3'!$D$11:$Q319,BM$4,BM$5)"),"")</f>
        <v/>
      </c>
      <c r="BN193" s="534"/>
      <c r="BO1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5-3'!$D$11:$Q319,BO$4,BO$5)"),"")</f>
        <v/>
      </c>
      <c r="BP193" s="534"/>
      <c r="BQ1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5-3'!$D$11:$Q319,BQ$4,BQ$5)"),"")</f>
        <v/>
      </c>
      <c r="BR193" s="536"/>
      <c r="BS1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5-3'!$D$11:$Q319,BS$4,BS$5)"),"")</f>
        <v/>
      </c>
      <c r="BT193" s="534"/>
      <c r="BU193" s="534"/>
      <c r="BV193" s="534"/>
      <c r="BW193" s="534"/>
      <c r="BX1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5-3'!$D$11:$Q319,BX$4,BX$5)"),"")</f>
        <v/>
      </c>
      <c r="BY193" s="538"/>
      <c r="BZ1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5-3'!$D$11:$Q319,BZ$4,BZ$5)"),"")</f>
        <v/>
      </c>
      <c r="CA193" s="537"/>
      <c r="CB1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5-3'!$D$11:$Q319,CB$4,CB$5)"),"")</f>
        <v/>
      </c>
      <c r="CC193" s="537"/>
      <c r="CD1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5-3'!$D$11:$Q319,CD$4,CD$5)"),"")</f>
        <v/>
      </c>
      <c r="CE193" s="537"/>
      <c r="CF1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5-3'!$D$11:$Q319,CF$4,CF$5)"),"")</f>
        <v/>
      </c>
      <c r="CG193" s="539"/>
      <c r="CH1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5-3'!$D$11:$Q319,CH$4,CH$5)"),"")</f>
        <v/>
      </c>
      <c r="CI193" s="537"/>
      <c r="CJ193" s="537"/>
      <c r="CK193" s="537"/>
      <c r="CL193" s="537"/>
      <c r="CM1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5-3'!$D$11:$Q319,CM$4,CM$5)"),"")</f>
        <v/>
      </c>
      <c r="CN193" s="541"/>
      <c r="CO1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5-3'!$D$11:$Q319,CO$4,CO$5)"),"")</f>
        <v/>
      </c>
      <c r="CP193" s="540"/>
      <c r="CQ1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5-3'!$D$11:$Q319,CQ$4,CQ$5)"),"")</f>
        <v/>
      </c>
      <c r="CR193" s="540"/>
      <c r="CS1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5-3'!$D$11:$Q319,CS$4,CS$5)"),"")</f>
        <v/>
      </c>
      <c r="CT193" s="540"/>
      <c r="CU1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5-3'!$D$11:$Q319,CU$4,CU$5)"),"")</f>
        <v/>
      </c>
      <c r="CV193" s="545"/>
      <c r="CW1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5-3'!$D$11:$Q319,CW$4,CW$5)"),"")</f>
        <v/>
      </c>
      <c r="CX193" s="540"/>
      <c r="CY193" s="540"/>
      <c r="CZ193" s="540"/>
      <c r="DA193" s="540"/>
      <c r="DB1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5-3'!$D$11:$Q319,DB$4,DB$5)"),"")</f>
        <v/>
      </c>
      <c r="DC193" s="555"/>
      <c r="DD1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5-3'!$D$11:$Q319,DD$4,DD$5)"),"")</f>
        <v/>
      </c>
      <c r="DE193" s="554"/>
      <c r="DF1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5-3'!$D$11:$Q319,DF$4,DF$5)"),"")</f>
        <v/>
      </c>
      <c r="DG193" s="554"/>
      <c r="DH1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5-3'!$D$11:$Q319,DH$4,DH$5)"),"")</f>
        <v/>
      </c>
      <c r="DI193" s="554"/>
      <c r="DJ1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5-3'!$D$11:$Q319,DJ$4,DJ$5)"),"")</f>
        <v/>
      </c>
      <c r="DK193" s="566"/>
      <c r="DL1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5-3'!$D$11:$Q319,DL$4,DL$5)"),"")</f>
        <v/>
      </c>
      <c r="DM193" s="554"/>
      <c r="DN193" s="554"/>
      <c r="DO193" s="554"/>
      <c r="DP193" s="554"/>
      <c r="DQ1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5-3'!$D$11:$Q319,DQ$4,DQ$5)"),"")</f>
        <v/>
      </c>
      <c r="DR193" s="569"/>
      <c r="DS1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5-3'!$D$11:$Q319,DS$4,DS$5)"),"")</f>
        <v/>
      </c>
      <c r="DT193" s="568"/>
      <c r="DU1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5-3'!$D$11:$Q319,DU$4,DU$5)"),"")</f>
        <v/>
      </c>
      <c r="DV193" s="568"/>
      <c r="DW1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5-3'!$D$11:$Q319,DW$4,DW$5)"),"")</f>
        <v/>
      </c>
      <c r="DX193" s="568"/>
      <c r="DY1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5-3'!$D$11:$Q319,DY$4,DY$5)"),"")</f>
        <v/>
      </c>
      <c r="DZ193" s="578"/>
      <c r="EA1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$C193, 'S-10 Топ 5-3'!$D$11:$Q319,EA$4,EA$5)"),"")</f>
        <v/>
      </c>
      <c r="EB193" s="568"/>
      <c r="EC193" s="568"/>
      <c r="ED193" s="568"/>
      <c r="EE193" s="568"/>
    </row>
    <row r="194">
      <c r="A194" s="519" t="str">
        <f t="shared" si="1"/>
        <v/>
      </c>
      <c r="B194" s="520" t="str">
        <f>'5-0 Товары'!B194</f>
        <v/>
      </c>
      <c r="C194" s="521" t="str">
        <f>'5-1 Сбор КП Закупки'!C194</f>
        <v/>
      </c>
      <c r="D194" s="521" t="str">
        <f>'5-1 Сбор КП Закупки'!D194</f>
        <v/>
      </c>
      <c r="E194" s="521" t="str">
        <f>'5-1 Сбор КП Закупки'!E194</f>
        <v/>
      </c>
      <c r="F194" s="521" t="str">
        <f>'5-1 Сбор КП Закупки'!F194</f>
        <v/>
      </c>
      <c r="G194" s="522" t="str">
        <f>'5-1 Сбор КП Закупки'!G194</f>
        <v/>
      </c>
      <c r="H194" s="522" t="str">
        <f>'5-1 Сбор КП Закупки'!H194</f>
        <v/>
      </c>
      <c r="I194" s="522" t="str">
        <f>'5-1 Сбор КП Закупки'!I194</f>
        <v/>
      </c>
      <c r="J194" s="197"/>
      <c r="K194" s="522" t="str">
        <f>'5-1 Сбор КП Закупки'!G194</f>
        <v/>
      </c>
      <c r="L194" s="523" t="str">
        <f>IF(A194="Да",'5-1 Сбор КП Закупки'!K194,)</f>
        <v/>
      </c>
      <c r="M194" s="197"/>
      <c r="N194" s="197"/>
      <c r="O194" s="197"/>
      <c r="P194" s="525" t="str">
        <f>'5-1 Сбор КП Закупки'!P194</f>
        <v/>
      </c>
      <c r="Q194" s="197"/>
      <c r="R194" s="197"/>
      <c r="S194" s="197"/>
      <c r="T194" s="197"/>
      <c r="U194" s="197"/>
      <c r="V194" s="197"/>
      <c r="W194" s="522" t="str">
        <f>'5-1 Сбор КП Закупки'!O194</f>
        <v/>
      </c>
      <c r="X194" s="197"/>
      <c r="Y194" s="197"/>
      <c r="Z194" s="197"/>
      <c r="AA194" s="197"/>
      <c r="AB194" s="197">
        <v>0.0</v>
      </c>
      <c r="AC194" s="197"/>
      <c r="AD194" s="197"/>
      <c r="AE1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5-3'!$D$11:$Q319,AE$4,AE$5)"),"")</f>
        <v/>
      </c>
      <c r="AF194" s="528"/>
      <c r="AG1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5-3'!$D$11:$Q319,AG$4,AG$5)"),"")</f>
        <v/>
      </c>
      <c r="AH194" s="527"/>
      <c r="AI1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5-3'!$D$11:$Q319,AI$4,AI$5)"),"")</f>
        <v/>
      </c>
      <c r="AJ194" s="527"/>
      <c r="AK1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5-3'!$D$11:$Q319,AK$4,AK$5)"),"")</f>
        <v/>
      </c>
      <c r="AL194" s="527"/>
      <c r="AM1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5-3'!$D$11:$Q319,AM$4,AM$5)"),"")</f>
        <v/>
      </c>
      <c r="AN194" s="529"/>
      <c r="AO1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5-3'!$D$11:$Q319,AO$4,AO$5)"),"")</f>
        <v/>
      </c>
      <c r="AP194" s="527"/>
      <c r="AQ194" s="527"/>
      <c r="AR194" s="527"/>
      <c r="AS194" s="527"/>
      <c r="AT1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5-3'!$D$11:$Q319,AT$4,AT$5)"),"")</f>
        <v/>
      </c>
      <c r="AU194" s="531"/>
      <c r="AV1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5-3'!$D$11:$Q319,AV$4,AV$5)"),"")</f>
        <v/>
      </c>
      <c r="AW194" s="530"/>
      <c r="AX1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5-3'!$D$11:$Q319,AX$4,AX$5)"),"")</f>
        <v/>
      </c>
      <c r="AY194" s="530"/>
      <c r="AZ1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5-3'!$D$11:$Q319,AZ$4,AZ$5)"),"")</f>
        <v/>
      </c>
      <c r="BA194" s="530"/>
      <c r="BB1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5-3'!$D$11:$Q319,BB$4,BB$5)"),"")</f>
        <v/>
      </c>
      <c r="BC194" s="532"/>
      <c r="BD1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5-3'!$D$11:$Q319,BD$4,BD$5)"),"")</f>
        <v/>
      </c>
      <c r="BE194" s="530"/>
      <c r="BF194" s="530"/>
      <c r="BG194" s="530"/>
      <c r="BH194" s="530"/>
      <c r="BI1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5-3'!$D$11:$Q319,BI$4,BI$5)"),"")</f>
        <v/>
      </c>
      <c r="BJ194" s="535"/>
      <c r="BK1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5-3'!$D$11:$Q319,BK$4,BK$5)"),"")</f>
        <v/>
      </c>
      <c r="BL194" s="534"/>
      <c r="BM1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5-3'!$D$11:$Q319,BM$4,BM$5)"),"")</f>
        <v/>
      </c>
      <c r="BN194" s="534"/>
      <c r="BO1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5-3'!$D$11:$Q319,BO$4,BO$5)"),"")</f>
        <v/>
      </c>
      <c r="BP194" s="534"/>
      <c r="BQ1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5-3'!$D$11:$Q319,BQ$4,BQ$5)"),"")</f>
        <v/>
      </c>
      <c r="BR194" s="536"/>
      <c r="BS1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5-3'!$D$11:$Q319,BS$4,BS$5)"),"")</f>
        <v/>
      </c>
      <c r="BT194" s="534"/>
      <c r="BU194" s="534"/>
      <c r="BV194" s="534"/>
      <c r="BW194" s="534"/>
      <c r="BX1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5-3'!$D$11:$Q319,BX$4,BX$5)"),"")</f>
        <v/>
      </c>
      <c r="BY194" s="538"/>
      <c r="BZ1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5-3'!$D$11:$Q319,BZ$4,BZ$5)"),"")</f>
        <v/>
      </c>
      <c r="CA194" s="537"/>
      <c r="CB1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5-3'!$D$11:$Q319,CB$4,CB$5)"),"")</f>
        <v/>
      </c>
      <c r="CC194" s="537"/>
      <c r="CD1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5-3'!$D$11:$Q319,CD$4,CD$5)"),"")</f>
        <v/>
      </c>
      <c r="CE194" s="537"/>
      <c r="CF1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5-3'!$D$11:$Q319,CF$4,CF$5)"),"")</f>
        <v/>
      </c>
      <c r="CG194" s="539"/>
      <c r="CH1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5-3'!$D$11:$Q319,CH$4,CH$5)"),"")</f>
        <v/>
      </c>
      <c r="CI194" s="537"/>
      <c r="CJ194" s="537"/>
      <c r="CK194" s="537"/>
      <c r="CL194" s="537"/>
      <c r="CM1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5-3'!$D$11:$Q319,CM$4,CM$5)"),"")</f>
        <v/>
      </c>
      <c r="CN194" s="541"/>
      <c r="CO1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5-3'!$D$11:$Q319,CO$4,CO$5)"),"")</f>
        <v/>
      </c>
      <c r="CP194" s="540"/>
      <c r="CQ1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5-3'!$D$11:$Q319,CQ$4,CQ$5)"),"")</f>
        <v/>
      </c>
      <c r="CR194" s="540"/>
      <c r="CS1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5-3'!$D$11:$Q319,CS$4,CS$5)"),"")</f>
        <v/>
      </c>
      <c r="CT194" s="540"/>
      <c r="CU1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5-3'!$D$11:$Q319,CU$4,CU$5)"),"")</f>
        <v/>
      </c>
      <c r="CV194" s="545"/>
      <c r="CW1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5-3'!$D$11:$Q319,CW$4,CW$5)"),"")</f>
        <v/>
      </c>
      <c r="CX194" s="540"/>
      <c r="CY194" s="540"/>
      <c r="CZ194" s="540"/>
      <c r="DA194" s="540"/>
      <c r="DB1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5-3'!$D$11:$Q319,DB$4,DB$5)"),"")</f>
        <v/>
      </c>
      <c r="DC194" s="555"/>
      <c r="DD1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5-3'!$D$11:$Q319,DD$4,DD$5)"),"")</f>
        <v/>
      </c>
      <c r="DE194" s="554"/>
      <c r="DF1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5-3'!$D$11:$Q319,DF$4,DF$5)"),"")</f>
        <v/>
      </c>
      <c r="DG194" s="554"/>
      <c r="DH1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5-3'!$D$11:$Q319,DH$4,DH$5)"),"")</f>
        <v/>
      </c>
      <c r="DI194" s="554"/>
      <c r="DJ1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5-3'!$D$11:$Q319,DJ$4,DJ$5)"),"")</f>
        <v/>
      </c>
      <c r="DK194" s="566"/>
      <c r="DL1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5-3'!$D$11:$Q319,DL$4,DL$5)"),"")</f>
        <v/>
      </c>
      <c r="DM194" s="554"/>
      <c r="DN194" s="554"/>
      <c r="DO194" s="554"/>
      <c r="DP194" s="554"/>
      <c r="DQ1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5-3'!$D$11:$Q319,DQ$4,DQ$5)"),"")</f>
        <v/>
      </c>
      <c r="DR194" s="569"/>
      <c r="DS1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5-3'!$D$11:$Q319,DS$4,DS$5)"),"")</f>
        <v/>
      </c>
      <c r="DT194" s="568"/>
      <c r="DU1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5-3'!$D$11:$Q319,DU$4,DU$5)"),"")</f>
        <v/>
      </c>
      <c r="DV194" s="568"/>
      <c r="DW1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5-3'!$D$11:$Q319,DW$4,DW$5)"),"")</f>
        <v/>
      </c>
      <c r="DX194" s="568"/>
      <c r="DY1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5-3'!$D$11:$Q319,DY$4,DY$5)"),"")</f>
        <v/>
      </c>
      <c r="DZ194" s="578"/>
      <c r="EA1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$C194, 'S-10 Топ 5-3'!$D$11:$Q319,EA$4,EA$5)"),"")</f>
        <v/>
      </c>
      <c r="EB194" s="568"/>
      <c r="EC194" s="568"/>
      <c r="ED194" s="568"/>
      <c r="EE194" s="568"/>
    </row>
    <row r="195">
      <c r="A195" s="519" t="str">
        <f t="shared" si="1"/>
        <v/>
      </c>
      <c r="B195" s="520" t="str">
        <f>'5-0 Товары'!B195</f>
        <v/>
      </c>
      <c r="C195" s="521" t="str">
        <f>'5-1 Сбор КП Закупки'!C195</f>
        <v/>
      </c>
      <c r="D195" s="521" t="str">
        <f>'5-1 Сбор КП Закупки'!D195</f>
        <v/>
      </c>
      <c r="E195" s="521" t="str">
        <f>'5-1 Сбор КП Закупки'!E195</f>
        <v/>
      </c>
      <c r="F195" s="521" t="str">
        <f>'5-1 Сбор КП Закупки'!F195</f>
        <v/>
      </c>
      <c r="G195" s="522" t="str">
        <f>'5-1 Сбор КП Закупки'!G195</f>
        <v/>
      </c>
      <c r="H195" s="522" t="str">
        <f>'5-1 Сбор КП Закупки'!H195</f>
        <v/>
      </c>
      <c r="I195" s="522" t="str">
        <f>'5-1 Сбор КП Закупки'!I195</f>
        <v/>
      </c>
      <c r="J195" s="197"/>
      <c r="K195" s="522" t="str">
        <f>'5-1 Сбор КП Закупки'!G195</f>
        <v/>
      </c>
      <c r="L195" s="523" t="str">
        <f>IF(A195="Да",'5-1 Сбор КП Закупки'!K195,)</f>
        <v/>
      </c>
      <c r="M195" s="197"/>
      <c r="N195" s="197"/>
      <c r="O195" s="197"/>
      <c r="P195" s="525" t="str">
        <f>'5-1 Сбор КП Закупки'!P195</f>
        <v/>
      </c>
      <c r="Q195" s="197"/>
      <c r="R195" s="197"/>
      <c r="S195" s="197"/>
      <c r="T195" s="197"/>
      <c r="U195" s="197"/>
      <c r="V195" s="197"/>
      <c r="W195" s="522" t="str">
        <f>'5-1 Сбор КП Закупки'!O195</f>
        <v/>
      </c>
      <c r="X195" s="197"/>
      <c r="Y195" s="197"/>
      <c r="Z195" s="197"/>
      <c r="AA195" s="197"/>
      <c r="AB195" s="197">
        <v>0.0</v>
      </c>
      <c r="AC195" s="197"/>
      <c r="AD195" s="197"/>
      <c r="AE1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5-3'!$D$11:$Q319,AE$4,AE$5)"),"")</f>
        <v/>
      </c>
      <c r="AF195" s="528"/>
      <c r="AG1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5-3'!$D$11:$Q319,AG$4,AG$5)"),"")</f>
        <v/>
      </c>
      <c r="AH195" s="527"/>
      <c r="AI1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5-3'!$D$11:$Q319,AI$4,AI$5)"),"")</f>
        <v/>
      </c>
      <c r="AJ195" s="527"/>
      <c r="AK1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5-3'!$D$11:$Q319,AK$4,AK$5)"),"")</f>
        <v/>
      </c>
      <c r="AL195" s="527"/>
      <c r="AM1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5-3'!$D$11:$Q319,AM$4,AM$5)"),"")</f>
        <v/>
      </c>
      <c r="AN195" s="529"/>
      <c r="AO1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5-3'!$D$11:$Q319,AO$4,AO$5)"),"")</f>
        <v/>
      </c>
      <c r="AP195" s="527"/>
      <c r="AQ195" s="527"/>
      <c r="AR195" s="527"/>
      <c r="AS195" s="527"/>
      <c r="AT1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5-3'!$D$11:$Q319,AT$4,AT$5)"),"")</f>
        <v/>
      </c>
      <c r="AU195" s="531"/>
      <c r="AV1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5-3'!$D$11:$Q319,AV$4,AV$5)"),"")</f>
        <v/>
      </c>
      <c r="AW195" s="530"/>
      <c r="AX1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5-3'!$D$11:$Q319,AX$4,AX$5)"),"")</f>
        <v/>
      </c>
      <c r="AY195" s="530"/>
      <c r="AZ1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5-3'!$D$11:$Q319,AZ$4,AZ$5)"),"")</f>
        <v/>
      </c>
      <c r="BA195" s="530"/>
      <c r="BB1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5-3'!$D$11:$Q319,BB$4,BB$5)"),"")</f>
        <v/>
      </c>
      <c r="BC195" s="532"/>
      <c r="BD1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5-3'!$D$11:$Q319,BD$4,BD$5)"),"")</f>
        <v/>
      </c>
      <c r="BE195" s="530"/>
      <c r="BF195" s="530"/>
      <c r="BG195" s="530"/>
      <c r="BH195" s="530"/>
      <c r="BI1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5-3'!$D$11:$Q319,BI$4,BI$5)"),"")</f>
        <v/>
      </c>
      <c r="BJ195" s="535"/>
      <c r="BK1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5-3'!$D$11:$Q319,BK$4,BK$5)"),"")</f>
        <v/>
      </c>
      <c r="BL195" s="534"/>
      <c r="BM1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5-3'!$D$11:$Q319,BM$4,BM$5)"),"")</f>
        <v/>
      </c>
      <c r="BN195" s="534"/>
      <c r="BO1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5-3'!$D$11:$Q319,BO$4,BO$5)"),"")</f>
        <v/>
      </c>
      <c r="BP195" s="534"/>
      <c r="BQ1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5-3'!$D$11:$Q319,BQ$4,BQ$5)"),"")</f>
        <v/>
      </c>
      <c r="BR195" s="536"/>
      <c r="BS1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5-3'!$D$11:$Q319,BS$4,BS$5)"),"")</f>
        <v/>
      </c>
      <c r="BT195" s="534"/>
      <c r="BU195" s="534"/>
      <c r="BV195" s="534"/>
      <c r="BW195" s="534"/>
      <c r="BX1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5-3'!$D$11:$Q319,BX$4,BX$5)"),"")</f>
        <v/>
      </c>
      <c r="BY195" s="538"/>
      <c r="BZ1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5-3'!$D$11:$Q319,BZ$4,BZ$5)"),"")</f>
        <v/>
      </c>
      <c r="CA195" s="537"/>
      <c r="CB1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5-3'!$D$11:$Q319,CB$4,CB$5)"),"")</f>
        <v/>
      </c>
      <c r="CC195" s="537"/>
      <c r="CD1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5-3'!$D$11:$Q319,CD$4,CD$5)"),"")</f>
        <v/>
      </c>
      <c r="CE195" s="537"/>
      <c r="CF1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5-3'!$D$11:$Q319,CF$4,CF$5)"),"")</f>
        <v/>
      </c>
      <c r="CG195" s="539"/>
      <c r="CH1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5-3'!$D$11:$Q319,CH$4,CH$5)"),"")</f>
        <v/>
      </c>
      <c r="CI195" s="537"/>
      <c r="CJ195" s="537"/>
      <c r="CK195" s="537"/>
      <c r="CL195" s="537"/>
      <c r="CM1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5-3'!$D$11:$Q319,CM$4,CM$5)"),"")</f>
        <v/>
      </c>
      <c r="CN195" s="541"/>
      <c r="CO1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5-3'!$D$11:$Q319,CO$4,CO$5)"),"")</f>
        <v/>
      </c>
      <c r="CP195" s="540"/>
      <c r="CQ1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5-3'!$D$11:$Q319,CQ$4,CQ$5)"),"")</f>
        <v/>
      </c>
      <c r="CR195" s="540"/>
      <c r="CS1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5-3'!$D$11:$Q319,CS$4,CS$5)"),"")</f>
        <v/>
      </c>
      <c r="CT195" s="540"/>
      <c r="CU1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5-3'!$D$11:$Q319,CU$4,CU$5)"),"")</f>
        <v/>
      </c>
      <c r="CV195" s="545"/>
      <c r="CW1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5-3'!$D$11:$Q319,CW$4,CW$5)"),"")</f>
        <v/>
      </c>
      <c r="CX195" s="540"/>
      <c r="CY195" s="540"/>
      <c r="CZ195" s="540"/>
      <c r="DA195" s="540"/>
      <c r="DB1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5-3'!$D$11:$Q319,DB$4,DB$5)"),"")</f>
        <v/>
      </c>
      <c r="DC195" s="555"/>
      <c r="DD1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5-3'!$D$11:$Q319,DD$4,DD$5)"),"")</f>
        <v/>
      </c>
      <c r="DE195" s="554"/>
      <c r="DF1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5-3'!$D$11:$Q319,DF$4,DF$5)"),"")</f>
        <v/>
      </c>
      <c r="DG195" s="554"/>
      <c r="DH1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5-3'!$D$11:$Q319,DH$4,DH$5)"),"")</f>
        <v/>
      </c>
      <c r="DI195" s="554"/>
      <c r="DJ1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5-3'!$D$11:$Q319,DJ$4,DJ$5)"),"")</f>
        <v/>
      </c>
      <c r="DK195" s="566"/>
      <c r="DL1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5-3'!$D$11:$Q319,DL$4,DL$5)"),"")</f>
        <v/>
      </c>
      <c r="DM195" s="554"/>
      <c r="DN195" s="554"/>
      <c r="DO195" s="554"/>
      <c r="DP195" s="554"/>
      <c r="DQ1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5-3'!$D$11:$Q319,DQ$4,DQ$5)"),"")</f>
        <v/>
      </c>
      <c r="DR195" s="569"/>
      <c r="DS1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5-3'!$D$11:$Q319,DS$4,DS$5)"),"")</f>
        <v/>
      </c>
      <c r="DT195" s="568"/>
      <c r="DU1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5-3'!$D$11:$Q319,DU$4,DU$5)"),"")</f>
        <v/>
      </c>
      <c r="DV195" s="568"/>
      <c r="DW1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5-3'!$D$11:$Q319,DW$4,DW$5)"),"")</f>
        <v/>
      </c>
      <c r="DX195" s="568"/>
      <c r="DY1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5-3'!$D$11:$Q319,DY$4,DY$5)"),"")</f>
        <v/>
      </c>
      <c r="DZ195" s="578"/>
      <c r="EA1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$C195, 'S-10 Топ 5-3'!$D$11:$Q319,EA$4,EA$5)"),"")</f>
        <v/>
      </c>
      <c r="EB195" s="568"/>
      <c r="EC195" s="568"/>
      <c r="ED195" s="568"/>
      <c r="EE195" s="568"/>
    </row>
    <row r="196">
      <c r="A196" s="519" t="str">
        <f t="shared" si="1"/>
        <v/>
      </c>
      <c r="B196" s="520" t="str">
        <f>'5-0 Товары'!B196</f>
        <v/>
      </c>
      <c r="C196" s="521" t="str">
        <f>'5-1 Сбор КП Закупки'!C196</f>
        <v/>
      </c>
      <c r="D196" s="521" t="str">
        <f>'5-1 Сбор КП Закупки'!D196</f>
        <v/>
      </c>
      <c r="E196" s="521" t="str">
        <f>'5-1 Сбор КП Закупки'!E196</f>
        <v/>
      </c>
      <c r="F196" s="521" t="str">
        <f>'5-1 Сбор КП Закупки'!F196</f>
        <v/>
      </c>
      <c r="G196" s="522" t="str">
        <f>'5-1 Сбор КП Закупки'!G196</f>
        <v/>
      </c>
      <c r="H196" s="522" t="str">
        <f>'5-1 Сбор КП Закупки'!H196</f>
        <v/>
      </c>
      <c r="I196" s="522" t="str">
        <f>'5-1 Сбор КП Закупки'!I196</f>
        <v/>
      </c>
      <c r="J196" s="197"/>
      <c r="K196" s="522" t="str">
        <f>'5-1 Сбор КП Закупки'!G196</f>
        <v/>
      </c>
      <c r="L196" s="523" t="str">
        <f>IF(A196="Да",'5-1 Сбор КП Закупки'!K196,)</f>
        <v/>
      </c>
      <c r="M196" s="197"/>
      <c r="N196" s="197"/>
      <c r="O196" s="197"/>
      <c r="P196" s="525" t="str">
        <f>'5-1 Сбор КП Закупки'!P196</f>
        <v/>
      </c>
      <c r="Q196" s="197"/>
      <c r="R196" s="197"/>
      <c r="S196" s="197"/>
      <c r="T196" s="197"/>
      <c r="U196" s="197"/>
      <c r="V196" s="197"/>
      <c r="W196" s="522" t="str">
        <f>'5-1 Сбор КП Закупки'!O196</f>
        <v/>
      </c>
      <c r="X196" s="197"/>
      <c r="Y196" s="197"/>
      <c r="Z196" s="197"/>
      <c r="AA196" s="197"/>
      <c r="AB196" s="197">
        <v>0.0</v>
      </c>
      <c r="AC196" s="197"/>
      <c r="AD196" s="197"/>
      <c r="AE1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5-3'!$D$11:$Q319,AE$4,AE$5)"),"")</f>
        <v/>
      </c>
      <c r="AF196" s="528"/>
      <c r="AG1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5-3'!$D$11:$Q319,AG$4,AG$5)"),"")</f>
        <v/>
      </c>
      <c r="AH196" s="527"/>
      <c r="AI1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5-3'!$D$11:$Q319,AI$4,AI$5)"),"")</f>
        <v/>
      </c>
      <c r="AJ196" s="527"/>
      <c r="AK1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5-3'!$D$11:$Q319,AK$4,AK$5)"),"")</f>
        <v/>
      </c>
      <c r="AL196" s="527"/>
      <c r="AM1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5-3'!$D$11:$Q319,AM$4,AM$5)"),"")</f>
        <v/>
      </c>
      <c r="AN196" s="529"/>
      <c r="AO1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5-3'!$D$11:$Q319,AO$4,AO$5)"),"")</f>
        <v/>
      </c>
      <c r="AP196" s="527"/>
      <c r="AQ196" s="527"/>
      <c r="AR196" s="527"/>
      <c r="AS196" s="527"/>
      <c r="AT1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5-3'!$D$11:$Q319,AT$4,AT$5)"),"")</f>
        <v/>
      </c>
      <c r="AU196" s="531"/>
      <c r="AV1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5-3'!$D$11:$Q319,AV$4,AV$5)"),"")</f>
        <v/>
      </c>
      <c r="AW196" s="530"/>
      <c r="AX1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5-3'!$D$11:$Q319,AX$4,AX$5)"),"")</f>
        <v/>
      </c>
      <c r="AY196" s="530"/>
      <c r="AZ1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5-3'!$D$11:$Q319,AZ$4,AZ$5)"),"")</f>
        <v/>
      </c>
      <c r="BA196" s="530"/>
      <c r="BB1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5-3'!$D$11:$Q319,BB$4,BB$5)"),"")</f>
        <v/>
      </c>
      <c r="BC196" s="532"/>
      <c r="BD1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5-3'!$D$11:$Q319,BD$4,BD$5)"),"")</f>
        <v/>
      </c>
      <c r="BE196" s="530"/>
      <c r="BF196" s="530"/>
      <c r="BG196" s="530"/>
      <c r="BH196" s="530"/>
      <c r="BI1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5-3'!$D$11:$Q319,BI$4,BI$5)"),"")</f>
        <v/>
      </c>
      <c r="BJ196" s="535"/>
      <c r="BK1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5-3'!$D$11:$Q319,BK$4,BK$5)"),"")</f>
        <v/>
      </c>
      <c r="BL196" s="534"/>
      <c r="BM1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5-3'!$D$11:$Q319,BM$4,BM$5)"),"")</f>
        <v/>
      </c>
      <c r="BN196" s="534"/>
      <c r="BO1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5-3'!$D$11:$Q319,BO$4,BO$5)"),"")</f>
        <v/>
      </c>
      <c r="BP196" s="534"/>
      <c r="BQ1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5-3'!$D$11:$Q319,BQ$4,BQ$5)"),"")</f>
        <v/>
      </c>
      <c r="BR196" s="536"/>
      <c r="BS1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5-3'!$D$11:$Q319,BS$4,BS$5)"),"")</f>
        <v/>
      </c>
      <c r="BT196" s="534"/>
      <c r="BU196" s="534"/>
      <c r="BV196" s="534"/>
      <c r="BW196" s="534"/>
      <c r="BX1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5-3'!$D$11:$Q319,BX$4,BX$5)"),"")</f>
        <v/>
      </c>
      <c r="BY196" s="538"/>
      <c r="BZ1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5-3'!$D$11:$Q319,BZ$4,BZ$5)"),"")</f>
        <v/>
      </c>
      <c r="CA196" s="537"/>
      <c r="CB1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5-3'!$D$11:$Q319,CB$4,CB$5)"),"")</f>
        <v/>
      </c>
      <c r="CC196" s="537"/>
      <c r="CD1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5-3'!$D$11:$Q319,CD$4,CD$5)"),"")</f>
        <v/>
      </c>
      <c r="CE196" s="537"/>
      <c r="CF1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5-3'!$D$11:$Q319,CF$4,CF$5)"),"")</f>
        <v/>
      </c>
      <c r="CG196" s="539"/>
      <c r="CH1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5-3'!$D$11:$Q319,CH$4,CH$5)"),"")</f>
        <v/>
      </c>
      <c r="CI196" s="537"/>
      <c r="CJ196" s="537"/>
      <c r="CK196" s="537"/>
      <c r="CL196" s="537"/>
      <c r="CM1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5-3'!$D$11:$Q319,CM$4,CM$5)"),"")</f>
        <v/>
      </c>
      <c r="CN196" s="541"/>
      <c r="CO1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5-3'!$D$11:$Q319,CO$4,CO$5)"),"")</f>
        <v/>
      </c>
      <c r="CP196" s="540"/>
      <c r="CQ1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5-3'!$D$11:$Q319,CQ$4,CQ$5)"),"")</f>
        <v/>
      </c>
      <c r="CR196" s="540"/>
      <c r="CS1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5-3'!$D$11:$Q319,CS$4,CS$5)"),"")</f>
        <v/>
      </c>
      <c r="CT196" s="540"/>
      <c r="CU1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5-3'!$D$11:$Q319,CU$4,CU$5)"),"")</f>
        <v/>
      </c>
      <c r="CV196" s="545"/>
      <c r="CW1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5-3'!$D$11:$Q319,CW$4,CW$5)"),"")</f>
        <v/>
      </c>
      <c r="CX196" s="540"/>
      <c r="CY196" s="540"/>
      <c r="CZ196" s="540"/>
      <c r="DA196" s="540"/>
      <c r="DB1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5-3'!$D$11:$Q319,DB$4,DB$5)"),"")</f>
        <v/>
      </c>
      <c r="DC196" s="555"/>
      <c r="DD1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5-3'!$D$11:$Q319,DD$4,DD$5)"),"")</f>
        <v/>
      </c>
      <c r="DE196" s="554"/>
      <c r="DF1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5-3'!$D$11:$Q319,DF$4,DF$5)"),"")</f>
        <v/>
      </c>
      <c r="DG196" s="554"/>
      <c r="DH1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5-3'!$D$11:$Q319,DH$4,DH$5)"),"")</f>
        <v/>
      </c>
      <c r="DI196" s="554"/>
      <c r="DJ1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5-3'!$D$11:$Q319,DJ$4,DJ$5)"),"")</f>
        <v/>
      </c>
      <c r="DK196" s="566"/>
      <c r="DL1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5-3'!$D$11:$Q319,DL$4,DL$5)"),"")</f>
        <v/>
      </c>
      <c r="DM196" s="554"/>
      <c r="DN196" s="554"/>
      <c r="DO196" s="554"/>
      <c r="DP196" s="554"/>
      <c r="DQ1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5-3'!$D$11:$Q319,DQ$4,DQ$5)"),"")</f>
        <v/>
      </c>
      <c r="DR196" s="569"/>
      <c r="DS1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5-3'!$D$11:$Q319,DS$4,DS$5)"),"")</f>
        <v/>
      </c>
      <c r="DT196" s="568"/>
      <c r="DU1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5-3'!$D$11:$Q319,DU$4,DU$5)"),"")</f>
        <v/>
      </c>
      <c r="DV196" s="568"/>
      <c r="DW1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5-3'!$D$11:$Q319,DW$4,DW$5)"),"")</f>
        <v/>
      </c>
      <c r="DX196" s="568"/>
      <c r="DY1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5-3'!$D$11:$Q319,DY$4,DY$5)"),"")</f>
        <v/>
      </c>
      <c r="DZ196" s="578"/>
      <c r="EA1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$C196, 'S-10 Топ 5-3'!$D$11:$Q319,EA$4,EA$5)"),"")</f>
        <v/>
      </c>
      <c r="EB196" s="568"/>
      <c r="EC196" s="568"/>
      <c r="ED196" s="568"/>
      <c r="EE196" s="568"/>
    </row>
    <row r="197">
      <c r="A197" s="519" t="str">
        <f t="shared" si="1"/>
        <v/>
      </c>
      <c r="B197" s="520" t="str">
        <f>'5-0 Товары'!B197</f>
        <v/>
      </c>
      <c r="C197" s="521" t="str">
        <f>'5-1 Сбор КП Закупки'!C197</f>
        <v/>
      </c>
      <c r="D197" s="521" t="str">
        <f>'5-1 Сбор КП Закупки'!D197</f>
        <v/>
      </c>
      <c r="E197" s="521" t="str">
        <f>'5-1 Сбор КП Закупки'!E197</f>
        <v/>
      </c>
      <c r="F197" s="521" t="str">
        <f>'5-1 Сбор КП Закупки'!F197</f>
        <v/>
      </c>
      <c r="G197" s="522" t="str">
        <f>'5-1 Сбор КП Закупки'!G197</f>
        <v/>
      </c>
      <c r="H197" s="522" t="str">
        <f>'5-1 Сбор КП Закупки'!H197</f>
        <v/>
      </c>
      <c r="I197" s="522" t="str">
        <f>'5-1 Сбор КП Закупки'!I197</f>
        <v/>
      </c>
      <c r="J197" s="197"/>
      <c r="K197" s="522" t="str">
        <f>'5-1 Сбор КП Закупки'!G197</f>
        <v/>
      </c>
      <c r="L197" s="523" t="str">
        <f>IF(A197="Да",'5-1 Сбор КП Закупки'!K197,)</f>
        <v/>
      </c>
      <c r="M197" s="197"/>
      <c r="N197" s="197"/>
      <c r="O197" s="197"/>
      <c r="P197" s="525" t="str">
        <f>'5-1 Сбор КП Закупки'!P197</f>
        <v/>
      </c>
      <c r="Q197" s="197"/>
      <c r="R197" s="197"/>
      <c r="S197" s="197"/>
      <c r="T197" s="197"/>
      <c r="U197" s="197"/>
      <c r="V197" s="197"/>
      <c r="W197" s="522" t="str">
        <f>'5-1 Сбор КП Закупки'!O197</f>
        <v/>
      </c>
      <c r="X197" s="197"/>
      <c r="Y197" s="197"/>
      <c r="Z197" s="197"/>
      <c r="AA197" s="197"/>
      <c r="AB197" s="197">
        <v>0.0</v>
      </c>
      <c r="AC197" s="197"/>
      <c r="AD197" s="197"/>
      <c r="AE1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5-3'!$D$11:$Q319,AE$4,AE$5)"),"")</f>
        <v/>
      </c>
      <c r="AF197" s="528"/>
      <c r="AG1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5-3'!$D$11:$Q319,AG$4,AG$5)"),"")</f>
        <v/>
      </c>
      <c r="AH197" s="527"/>
      <c r="AI1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5-3'!$D$11:$Q319,AI$4,AI$5)"),"")</f>
        <v/>
      </c>
      <c r="AJ197" s="527"/>
      <c r="AK1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5-3'!$D$11:$Q319,AK$4,AK$5)"),"")</f>
        <v/>
      </c>
      <c r="AL197" s="527"/>
      <c r="AM1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5-3'!$D$11:$Q319,AM$4,AM$5)"),"")</f>
        <v/>
      </c>
      <c r="AN197" s="529"/>
      <c r="AO1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5-3'!$D$11:$Q319,AO$4,AO$5)"),"")</f>
        <v/>
      </c>
      <c r="AP197" s="527"/>
      <c r="AQ197" s="527"/>
      <c r="AR197" s="527"/>
      <c r="AS197" s="527"/>
      <c r="AT1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5-3'!$D$11:$Q319,AT$4,AT$5)"),"")</f>
        <v/>
      </c>
      <c r="AU197" s="531"/>
      <c r="AV1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5-3'!$D$11:$Q319,AV$4,AV$5)"),"")</f>
        <v/>
      </c>
      <c r="AW197" s="530"/>
      <c r="AX1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5-3'!$D$11:$Q319,AX$4,AX$5)"),"")</f>
        <v/>
      </c>
      <c r="AY197" s="530"/>
      <c r="AZ1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5-3'!$D$11:$Q319,AZ$4,AZ$5)"),"")</f>
        <v/>
      </c>
      <c r="BA197" s="530"/>
      <c r="BB1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5-3'!$D$11:$Q319,BB$4,BB$5)"),"")</f>
        <v/>
      </c>
      <c r="BC197" s="532"/>
      <c r="BD1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5-3'!$D$11:$Q319,BD$4,BD$5)"),"")</f>
        <v/>
      </c>
      <c r="BE197" s="530"/>
      <c r="BF197" s="530"/>
      <c r="BG197" s="530"/>
      <c r="BH197" s="530"/>
      <c r="BI1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5-3'!$D$11:$Q319,BI$4,BI$5)"),"")</f>
        <v/>
      </c>
      <c r="BJ197" s="535"/>
      <c r="BK1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5-3'!$D$11:$Q319,BK$4,BK$5)"),"")</f>
        <v/>
      </c>
      <c r="BL197" s="534"/>
      <c r="BM1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5-3'!$D$11:$Q319,BM$4,BM$5)"),"")</f>
        <v/>
      </c>
      <c r="BN197" s="534"/>
      <c r="BO1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5-3'!$D$11:$Q319,BO$4,BO$5)"),"")</f>
        <v/>
      </c>
      <c r="BP197" s="534"/>
      <c r="BQ1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5-3'!$D$11:$Q319,BQ$4,BQ$5)"),"")</f>
        <v/>
      </c>
      <c r="BR197" s="536"/>
      <c r="BS1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5-3'!$D$11:$Q319,BS$4,BS$5)"),"")</f>
        <v/>
      </c>
      <c r="BT197" s="534"/>
      <c r="BU197" s="534"/>
      <c r="BV197" s="534"/>
      <c r="BW197" s="534"/>
      <c r="BX1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5-3'!$D$11:$Q319,BX$4,BX$5)"),"")</f>
        <v/>
      </c>
      <c r="BY197" s="538"/>
      <c r="BZ1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5-3'!$D$11:$Q319,BZ$4,BZ$5)"),"")</f>
        <v/>
      </c>
      <c r="CA197" s="537"/>
      <c r="CB1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5-3'!$D$11:$Q319,CB$4,CB$5)"),"")</f>
        <v/>
      </c>
      <c r="CC197" s="537"/>
      <c r="CD1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5-3'!$D$11:$Q319,CD$4,CD$5)"),"")</f>
        <v/>
      </c>
      <c r="CE197" s="537"/>
      <c r="CF1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5-3'!$D$11:$Q319,CF$4,CF$5)"),"")</f>
        <v/>
      </c>
      <c r="CG197" s="539"/>
      <c r="CH1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5-3'!$D$11:$Q319,CH$4,CH$5)"),"")</f>
        <v/>
      </c>
      <c r="CI197" s="537"/>
      <c r="CJ197" s="537"/>
      <c r="CK197" s="537"/>
      <c r="CL197" s="537"/>
      <c r="CM1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5-3'!$D$11:$Q319,CM$4,CM$5)"),"")</f>
        <v/>
      </c>
      <c r="CN197" s="541"/>
      <c r="CO1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5-3'!$D$11:$Q319,CO$4,CO$5)"),"")</f>
        <v/>
      </c>
      <c r="CP197" s="540"/>
      <c r="CQ1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5-3'!$D$11:$Q319,CQ$4,CQ$5)"),"")</f>
        <v/>
      </c>
      <c r="CR197" s="540"/>
      <c r="CS1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5-3'!$D$11:$Q319,CS$4,CS$5)"),"")</f>
        <v/>
      </c>
      <c r="CT197" s="540"/>
      <c r="CU1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5-3'!$D$11:$Q319,CU$4,CU$5)"),"")</f>
        <v/>
      </c>
      <c r="CV197" s="545"/>
      <c r="CW1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5-3'!$D$11:$Q319,CW$4,CW$5)"),"")</f>
        <v/>
      </c>
      <c r="CX197" s="540"/>
      <c r="CY197" s="540"/>
      <c r="CZ197" s="540"/>
      <c r="DA197" s="540"/>
      <c r="DB1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5-3'!$D$11:$Q319,DB$4,DB$5)"),"")</f>
        <v/>
      </c>
      <c r="DC197" s="555"/>
      <c r="DD1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5-3'!$D$11:$Q319,DD$4,DD$5)"),"")</f>
        <v/>
      </c>
      <c r="DE197" s="554"/>
      <c r="DF1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5-3'!$D$11:$Q319,DF$4,DF$5)"),"")</f>
        <v/>
      </c>
      <c r="DG197" s="554"/>
      <c r="DH1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5-3'!$D$11:$Q319,DH$4,DH$5)"),"")</f>
        <v/>
      </c>
      <c r="DI197" s="554"/>
      <c r="DJ1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5-3'!$D$11:$Q319,DJ$4,DJ$5)"),"")</f>
        <v/>
      </c>
      <c r="DK197" s="566"/>
      <c r="DL1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5-3'!$D$11:$Q319,DL$4,DL$5)"),"")</f>
        <v/>
      </c>
      <c r="DM197" s="554"/>
      <c r="DN197" s="554"/>
      <c r="DO197" s="554"/>
      <c r="DP197" s="554"/>
      <c r="DQ1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5-3'!$D$11:$Q319,DQ$4,DQ$5)"),"")</f>
        <v/>
      </c>
      <c r="DR197" s="569"/>
      <c r="DS1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5-3'!$D$11:$Q319,DS$4,DS$5)"),"")</f>
        <v/>
      </c>
      <c r="DT197" s="568"/>
      <c r="DU1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5-3'!$D$11:$Q319,DU$4,DU$5)"),"")</f>
        <v/>
      </c>
      <c r="DV197" s="568"/>
      <c r="DW1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5-3'!$D$11:$Q319,DW$4,DW$5)"),"")</f>
        <v/>
      </c>
      <c r="DX197" s="568"/>
      <c r="DY1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5-3'!$D$11:$Q319,DY$4,DY$5)"),"")</f>
        <v/>
      </c>
      <c r="DZ197" s="578"/>
      <c r="EA1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$C197, 'S-10 Топ 5-3'!$D$11:$Q319,EA$4,EA$5)"),"")</f>
        <v/>
      </c>
      <c r="EB197" s="568"/>
      <c r="EC197" s="568"/>
      <c r="ED197" s="568"/>
      <c r="EE197" s="568"/>
    </row>
    <row r="198">
      <c r="A198" s="519" t="str">
        <f t="shared" si="1"/>
        <v/>
      </c>
      <c r="B198" s="520" t="str">
        <f>'5-0 Товары'!B198</f>
        <v/>
      </c>
      <c r="C198" s="521" t="str">
        <f>'5-1 Сбор КП Закупки'!C198</f>
        <v/>
      </c>
      <c r="D198" s="521" t="str">
        <f>'5-1 Сбор КП Закупки'!D198</f>
        <v/>
      </c>
      <c r="E198" s="521" t="str">
        <f>'5-1 Сбор КП Закупки'!E198</f>
        <v/>
      </c>
      <c r="F198" s="521" t="str">
        <f>'5-1 Сбор КП Закупки'!F198</f>
        <v/>
      </c>
      <c r="G198" s="522" t="str">
        <f>'5-1 Сбор КП Закупки'!G198</f>
        <v/>
      </c>
      <c r="H198" s="522" t="str">
        <f>'5-1 Сбор КП Закупки'!H198</f>
        <v/>
      </c>
      <c r="I198" s="522" t="str">
        <f>'5-1 Сбор КП Закупки'!I198</f>
        <v/>
      </c>
      <c r="J198" s="197"/>
      <c r="K198" s="522" t="str">
        <f>'5-1 Сбор КП Закупки'!G198</f>
        <v/>
      </c>
      <c r="L198" s="523" t="str">
        <f>IF(A198="Да",'5-1 Сбор КП Закупки'!K198,)</f>
        <v/>
      </c>
      <c r="M198" s="197"/>
      <c r="N198" s="197"/>
      <c r="O198" s="197"/>
      <c r="P198" s="525" t="str">
        <f>'5-1 Сбор КП Закупки'!P198</f>
        <v/>
      </c>
      <c r="Q198" s="197"/>
      <c r="R198" s="197"/>
      <c r="S198" s="197"/>
      <c r="T198" s="197"/>
      <c r="U198" s="197"/>
      <c r="V198" s="197"/>
      <c r="W198" s="522" t="str">
        <f>'5-1 Сбор КП Закупки'!O198</f>
        <v/>
      </c>
      <c r="X198" s="197"/>
      <c r="Y198" s="197"/>
      <c r="Z198" s="197"/>
      <c r="AA198" s="197"/>
      <c r="AB198" s="197">
        <v>0.0</v>
      </c>
      <c r="AC198" s="197"/>
      <c r="AD198" s="197"/>
      <c r="AE1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5-3'!$D$11:$Q319,AE$4,AE$5)"),"")</f>
        <v/>
      </c>
      <c r="AF198" s="528"/>
      <c r="AG1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5-3'!$D$11:$Q319,AG$4,AG$5)"),"")</f>
        <v/>
      </c>
      <c r="AH198" s="527"/>
      <c r="AI1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5-3'!$D$11:$Q319,AI$4,AI$5)"),"")</f>
        <v/>
      </c>
      <c r="AJ198" s="527"/>
      <c r="AK1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5-3'!$D$11:$Q319,AK$4,AK$5)"),"")</f>
        <v/>
      </c>
      <c r="AL198" s="527"/>
      <c r="AM1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5-3'!$D$11:$Q319,AM$4,AM$5)"),"")</f>
        <v/>
      </c>
      <c r="AN198" s="529"/>
      <c r="AO1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5-3'!$D$11:$Q319,AO$4,AO$5)"),"")</f>
        <v/>
      </c>
      <c r="AP198" s="527"/>
      <c r="AQ198" s="527"/>
      <c r="AR198" s="527"/>
      <c r="AS198" s="527"/>
      <c r="AT1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5-3'!$D$11:$Q319,AT$4,AT$5)"),"")</f>
        <v/>
      </c>
      <c r="AU198" s="531"/>
      <c r="AV1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5-3'!$D$11:$Q319,AV$4,AV$5)"),"")</f>
        <v/>
      </c>
      <c r="AW198" s="530"/>
      <c r="AX1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5-3'!$D$11:$Q319,AX$4,AX$5)"),"")</f>
        <v/>
      </c>
      <c r="AY198" s="530"/>
      <c r="AZ1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5-3'!$D$11:$Q319,AZ$4,AZ$5)"),"")</f>
        <v/>
      </c>
      <c r="BA198" s="530"/>
      <c r="BB1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5-3'!$D$11:$Q319,BB$4,BB$5)"),"")</f>
        <v/>
      </c>
      <c r="BC198" s="532"/>
      <c r="BD1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5-3'!$D$11:$Q319,BD$4,BD$5)"),"")</f>
        <v/>
      </c>
      <c r="BE198" s="530"/>
      <c r="BF198" s="530"/>
      <c r="BG198" s="530"/>
      <c r="BH198" s="530"/>
      <c r="BI1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5-3'!$D$11:$Q319,BI$4,BI$5)"),"")</f>
        <v/>
      </c>
      <c r="BJ198" s="535"/>
      <c r="BK1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5-3'!$D$11:$Q319,BK$4,BK$5)"),"")</f>
        <v/>
      </c>
      <c r="BL198" s="534"/>
      <c r="BM1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5-3'!$D$11:$Q319,BM$4,BM$5)"),"")</f>
        <v/>
      </c>
      <c r="BN198" s="534"/>
      <c r="BO1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5-3'!$D$11:$Q319,BO$4,BO$5)"),"")</f>
        <v/>
      </c>
      <c r="BP198" s="534"/>
      <c r="BQ1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5-3'!$D$11:$Q319,BQ$4,BQ$5)"),"")</f>
        <v/>
      </c>
      <c r="BR198" s="536"/>
      <c r="BS1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5-3'!$D$11:$Q319,BS$4,BS$5)"),"")</f>
        <v/>
      </c>
      <c r="BT198" s="534"/>
      <c r="BU198" s="534"/>
      <c r="BV198" s="534"/>
      <c r="BW198" s="534"/>
      <c r="BX1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5-3'!$D$11:$Q319,BX$4,BX$5)"),"")</f>
        <v/>
      </c>
      <c r="BY198" s="538"/>
      <c r="BZ1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5-3'!$D$11:$Q319,BZ$4,BZ$5)"),"")</f>
        <v/>
      </c>
      <c r="CA198" s="537"/>
      <c r="CB1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5-3'!$D$11:$Q319,CB$4,CB$5)"),"")</f>
        <v/>
      </c>
      <c r="CC198" s="537"/>
      <c r="CD1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5-3'!$D$11:$Q319,CD$4,CD$5)"),"")</f>
        <v/>
      </c>
      <c r="CE198" s="537"/>
      <c r="CF1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5-3'!$D$11:$Q319,CF$4,CF$5)"),"")</f>
        <v/>
      </c>
      <c r="CG198" s="539"/>
      <c r="CH1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5-3'!$D$11:$Q319,CH$4,CH$5)"),"")</f>
        <v/>
      </c>
      <c r="CI198" s="537"/>
      <c r="CJ198" s="537"/>
      <c r="CK198" s="537"/>
      <c r="CL198" s="537"/>
      <c r="CM1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5-3'!$D$11:$Q319,CM$4,CM$5)"),"")</f>
        <v/>
      </c>
      <c r="CN198" s="541"/>
      <c r="CO1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5-3'!$D$11:$Q319,CO$4,CO$5)"),"")</f>
        <v/>
      </c>
      <c r="CP198" s="540"/>
      <c r="CQ1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5-3'!$D$11:$Q319,CQ$4,CQ$5)"),"")</f>
        <v/>
      </c>
      <c r="CR198" s="540"/>
      <c r="CS1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5-3'!$D$11:$Q319,CS$4,CS$5)"),"")</f>
        <v/>
      </c>
      <c r="CT198" s="540"/>
      <c r="CU1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5-3'!$D$11:$Q319,CU$4,CU$5)"),"")</f>
        <v/>
      </c>
      <c r="CV198" s="545"/>
      <c r="CW1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5-3'!$D$11:$Q319,CW$4,CW$5)"),"")</f>
        <v/>
      </c>
      <c r="CX198" s="540"/>
      <c r="CY198" s="540"/>
      <c r="CZ198" s="540"/>
      <c r="DA198" s="540"/>
      <c r="DB1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5-3'!$D$11:$Q319,DB$4,DB$5)"),"")</f>
        <v/>
      </c>
      <c r="DC198" s="555"/>
      <c r="DD1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5-3'!$D$11:$Q319,DD$4,DD$5)"),"")</f>
        <v/>
      </c>
      <c r="DE198" s="554"/>
      <c r="DF1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5-3'!$D$11:$Q319,DF$4,DF$5)"),"")</f>
        <v/>
      </c>
      <c r="DG198" s="554"/>
      <c r="DH1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5-3'!$D$11:$Q319,DH$4,DH$5)"),"")</f>
        <v/>
      </c>
      <c r="DI198" s="554"/>
      <c r="DJ1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5-3'!$D$11:$Q319,DJ$4,DJ$5)"),"")</f>
        <v/>
      </c>
      <c r="DK198" s="566"/>
      <c r="DL1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5-3'!$D$11:$Q319,DL$4,DL$5)"),"")</f>
        <v/>
      </c>
      <c r="DM198" s="554"/>
      <c r="DN198" s="554"/>
      <c r="DO198" s="554"/>
      <c r="DP198" s="554"/>
      <c r="DQ1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5-3'!$D$11:$Q319,DQ$4,DQ$5)"),"")</f>
        <v/>
      </c>
      <c r="DR198" s="569"/>
      <c r="DS1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5-3'!$D$11:$Q319,DS$4,DS$5)"),"")</f>
        <v/>
      </c>
      <c r="DT198" s="568"/>
      <c r="DU1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5-3'!$D$11:$Q319,DU$4,DU$5)"),"")</f>
        <v/>
      </c>
      <c r="DV198" s="568"/>
      <c r="DW1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5-3'!$D$11:$Q319,DW$4,DW$5)"),"")</f>
        <v/>
      </c>
      <c r="DX198" s="568"/>
      <c r="DY1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5-3'!$D$11:$Q319,DY$4,DY$5)"),"")</f>
        <v/>
      </c>
      <c r="DZ198" s="578"/>
      <c r="EA1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$C198, 'S-10 Топ 5-3'!$D$11:$Q319,EA$4,EA$5)"),"")</f>
        <v/>
      </c>
      <c r="EB198" s="568"/>
      <c r="EC198" s="568"/>
      <c r="ED198" s="568"/>
      <c r="EE198" s="568"/>
    </row>
    <row r="199">
      <c r="A199" s="519" t="str">
        <f t="shared" si="1"/>
        <v/>
      </c>
      <c r="B199" s="520" t="str">
        <f>'5-0 Товары'!B199</f>
        <v/>
      </c>
      <c r="C199" s="521" t="str">
        <f>'5-1 Сбор КП Закупки'!C199</f>
        <v/>
      </c>
      <c r="D199" s="521" t="str">
        <f>'5-1 Сбор КП Закупки'!D199</f>
        <v/>
      </c>
      <c r="E199" s="521" t="str">
        <f>'5-1 Сбор КП Закупки'!E199</f>
        <v/>
      </c>
      <c r="F199" s="521" t="str">
        <f>'5-1 Сбор КП Закупки'!F199</f>
        <v/>
      </c>
      <c r="G199" s="522" t="str">
        <f>'5-1 Сбор КП Закупки'!G199</f>
        <v/>
      </c>
      <c r="H199" s="522" t="str">
        <f>'5-1 Сбор КП Закупки'!H199</f>
        <v/>
      </c>
      <c r="I199" s="522" t="str">
        <f>'5-1 Сбор КП Закупки'!I199</f>
        <v/>
      </c>
      <c r="J199" s="197"/>
      <c r="K199" s="522" t="str">
        <f>'5-1 Сбор КП Закупки'!G199</f>
        <v/>
      </c>
      <c r="L199" s="523" t="str">
        <f>IF(A199="Да",'5-1 Сбор КП Закупки'!K199,)</f>
        <v/>
      </c>
      <c r="M199" s="197"/>
      <c r="N199" s="197"/>
      <c r="O199" s="197"/>
      <c r="P199" s="525" t="str">
        <f>'5-1 Сбор КП Закупки'!P199</f>
        <v/>
      </c>
      <c r="Q199" s="197"/>
      <c r="R199" s="197"/>
      <c r="S199" s="197"/>
      <c r="T199" s="197"/>
      <c r="U199" s="197"/>
      <c r="V199" s="197"/>
      <c r="W199" s="522" t="str">
        <f>'5-1 Сбор КП Закупки'!O199</f>
        <v/>
      </c>
      <c r="X199" s="197"/>
      <c r="Y199" s="197"/>
      <c r="Z199" s="197"/>
      <c r="AA199" s="197"/>
      <c r="AB199" s="197">
        <v>0.0</v>
      </c>
      <c r="AC199" s="197"/>
      <c r="AD199" s="197"/>
      <c r="AE1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5-3'!$D$11:$Q319,AE$4,AE$5)"),"")</f>
        <v/>
      </c>
      <c r="AF199" s="528"/>
      <c r="AG1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5-3'!$D$11:$Q319,AG$4,AG$5)"),"")</f>
        <v/>
      </c>
      <c r="AH199" s="527"/>
      <c r="AI1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5-3'!$D$11:$Q319,AI$4,AI$5)"),"")</f>
        <v/>
      </c>
      <c r="AJ199" s="527"/>
      <c r="AK1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5-3'!$D$11:$Q319,AK$4,AK$5)"),"")</f>
        <v/>
      </c>
      <c r="AL199" s="527"/>
      <c r="AM1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5-3'!$D$11:$Q319,AM$4,AM$5)"),"")</f>
        <v/>
      </c>
      <c r="AN199" s="529"/>
      <c r="AO1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5-3'!$D$11:$Q319,AO$4,AO$5)"),"")</f>
        <v/>
      </c>
      <c r="AP199" s="527"/>
      <c r="AQ199" s="527"/>
      <c r="AR199" s="527"/>
      <c r="AS199" s="527"/>
      <c r="AT1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5-3'!$D$11:$Q319,AT$4,AT$5)"),"")</f>
        <v/>
      </c>
      <c r="AU199" s="531"/>
      <c r="AV1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5-3'!$D$11:$Q319,AV$4,AV$5)"),"")</f>
        <v/>
      </c>
      <c r="AW199" s="530"/>
      <c r="AX1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5-3'!$D$11:$Q319,AX$4,AX$5)"),"")</f>
        <v/>
      </c>
      <c r="AY199" s="530"/>
      <c r="AZ1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5-3'!$D$11:$Q319,AZ$4,AZ$5)"),"")</f>
        <v/>
      </c>
      <c r="BA199" s="530"/>
      <c r="BB1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5-3'!$D$11:$Q319,BB$4,BB$5)"),"")</f>
        <v/>
      </c>
      <c r="BC199" s="532"/>
      <c r="BD1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5-3'!$D$11:$Q319,BD$4,BD$5)"),"")</f>
        <v/>
      </c>
      <c r="BE199" s="530"/>
      <c r="BF199" s="530"/>
      <c r="BG199" s="530"/>
      <c r="BH199" s="530"/>
      <c r="BI1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5-3'!$D$11:$Q319,BI$4,BI$5)"),"")</f>
        <v/>
      </c>
      <c r="BJ199" s="535"/>
      <c r="BK1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5-3'!$D$11:$Q319,BK$4,BK$5)"),"")</f>
        <v/>
      </c>
      <c r="BL199" s="534"/>
      <c r="BM1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5-3'!$D$11:$Q319,BM$4,BM$5)"),"")</f>
        <v/>
      </c>
      <c r="BN199" s="534"/>
      <c r="BO1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5-3'!$D$11:$Q319,BO$4,BO$5)"),"")</f>
        <v/>
      </c>
      <c r="BP199" s="534"/>
      <c r="BQ1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5-3'!$D$11:$Q319,BQ$4,BQ$5)"),"")</f>
        <v/>
      </c>
      <c r="BR199" s="536"/>
      <c r="BS1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5-3'!$D$11:$Q319,BS$4,BS$5)"),"")</f>
        <v/>
      </c>
      <c r="BT199" s="534"/>
      <c r="BU199" s="534"/>
      <c r="BV199" s="534"/>
      <c r="BW199" s="534"/>
      <c r="BX1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5-3'!$D$11:$Q319,BX$4,BX$5)"),"")</f>
        <v/>
      </c>
      <c r="BY199" s="538"/>
      <c r="BZ1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5-3'!$D$11:$Q319,BZ$4,BZ$5)"),"")</f>
        <v/>
      </c>
      <c r="CA199" s="537"/>
      <c r="CB1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5-3'!$D$11:$Q319,CB$4,CB$5)"),"")</f>
        <v/>
      </c>
      <c r="CC199" s="537"/>
      <c r="CD1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5-3'!$D$11:$Q319,CD$4,CD$5)"),"")</f>
        <v/>
      </c>
      <c r="CE199" s="537"/>
      <c r="CF1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5-3'!$D$11:$Q319,CF$4,CF$5)"),"")</f>
        <v/>
      </c>
      <c r="CG199" s="539"/>
      <c r="CH1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5-3'!$D$11:$Q319,CH$4,CH$5)"),"")</f>
        <v/>
      </c>
      <c r="CI199" s="537"/>
      <c r="CJ199" s="537"/>
      <c r="CK199" s="537"/>
      <c r="CL199" s="537"/>
      <c r="CM1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5-3'!$D$11:$Q319,CM$4,CM$5)"),"")</f>
        <v/>
      </c>
      <c r="CN199" s="541"/>
      <c r="CO1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5-3'!$D$11:$Q319,CO$4,CO$5)"),"")</f>
        <v/>
      </c>
      <c r="CP199" s="540"/>
      <c r="CQ1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5-3'!$D$11:$Q319,CQ$4,CQ$5)"),"")</f>
        <v/>
      </c>
      <c r="CR199" s="540"/>
      <c r="CS1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5-3'!$D$11:$Q319,CS$4,CS$5)"),"")</f>
        <v/>
      </c>
      <c r="CT199" s="540"/>
      <c r="CU1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5-3'!$D$11:$Q319,CU$4,CU$5)"),"")</f>
        <v/>
      </c>
      <c r="CV199" s="545"/>
      <c r="CW1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5-3'!$D$11:$Q319,CW$4,CW$5)"),"")</f>
        <v/>
      </c>
      <c r="CX199" s="540"/>
      <c r="CY199" s="540"/>
      <c r="CZ199" s="540"/>
      <c r="DA199" s="540"/>
      <c r="DB1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5-3'!$D$11:$Q319,DB$4,DB$5)"),"")</f>
        <v/>
      </c>
      <c r="DC199" s="555"/>
      <c r="DD1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5-3'!$D$11:$Q319,DD$4,DD$5)"),"")</f>
        <v/>
      </c>
      <c r="DE199" s="554"/>
      <c r="DF1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5-3'!$D$11:$Q319,DF$4,DF$5)"),"")</f>
        <v/>
      </c>
      <c r="DG199" s="554"/>
      <c r="DH1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5-3'!$D$11:$Q319,DH$4,DH$5)"),"")</f>
        <v/>
      </c>
      <c r="DI199" s="554"/>
      <c r="DJ1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5-3'!$D$11:$Q319,DJ$4,DJ$5)"),"")</f>
        <v/>
      </c>
      <c r="DK199" s="566"/>
      <c r="DL1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5-3'!$D$11:$Q319,DL$4,DL$5)"),"")</f>
        <v/>
      </c>
      <c r="DM199" s="554"/>
      <c r="DN199" s="554"/>
      <c r="DO199" s="554"/>
      <c r="DP199" s="554"/>
      <c r="DQ1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5-3'!$D$11:$Q319,DQ$4,DQ$5)"),"")</f>
        <v/>
      </c>
      <c r="DR199" s="569"/>
      <c r="DS1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5-3'!$D$11:$Q319,DS$4,DS$5)"),"")</f>
        <v/>
      </c>
      <c r="DT199" s="568"/>
      <c r="DU1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5-3'!$D$11:$Q319,DU$4,DU$5)"),"")</f>
        <v/>
      </c>
      <c r="DV199" s="568"/>
      <c r="DW1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5-3'!$D$11:$Q319,DW$4,DW$5)"),"")</f>
        <v/>
      </c>
      <c r="DX199" s="568"/>
      <c r="DY1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5-3'!$D$11:$Q319,DY$4,DY$5)"),"")</f>
        <v/>
      </c>
      <c r="DZ199" s="578"/>
      <c r="EA1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$C199, 'S-10 Топ 5-3'!$D$11:$Q319,EA$4,EA$5)"),"")</f>
        <v/>
      </c>
      <c r="EB199" s="568"/>
      <c r="EC199" s="568"/>
      <c r="ED199" s="568"/>
      <c r="EE199" s="568"/>
    </row>
    <row r="200">
      <c r="A200" s="519" t="str">
        <f t="shared" si="1"/>
        <v/>
      </c>
      <c r="B200" s="520" t="str">
        <f>'5-0 Товары'!B200</f>
        <v/>
      </c>
      <c r="C200" s="521" t="str">
        <f>'5-1 Сбор КП Закупки'!C200</f>
        <v/>
      </c>
      <c r="D200" s="521" t="str">
        <f>'5-1 Сбор КП Закупки'!D200</f>
        <v/>
      </c>
      <c r="E200" s="521" t="str">
        <f>'5-1 Сбор КП Закупки'!E200</f>
        <v/>
      </c>
      <c r="F200" s="521" t="str">
        <f>'5-1 Сбор КП Закупки'!F200</f>
        <v/>
      </c>
      <c r="G200" s="522" t="str">
        <f>'5-1 Сбор КП Закупки'!G200</f>
        <v/>
      </c>
      <c r="H200" s="522" t="str">
        <f>'5-1 Сбор КП Закупки'!H200</f>
        <v/>
      </c>
      <c r="I200" s="522" t="str">
        <f>'5-1 Сбор КП Закупки'!I200</f>
        <v/>
      </c>
      <c r="J200" s="197"/>
      <c r="K200" s="522" t="str">
        <f>'5-1 Сбор КП Закупки'!G200</f>
        <v/>
      </c>
      <c r="L200" s="523" t="str">
        <f>IF(A200="Да",'5-1 Сбор КП Закупки'!K200,)</f>
        <v/>
      </c>
      <c r="M200" s="197"/>
      <c r="N200" s="197"/>
      <c r="O200" s="197"/>
      <c r="P200" s="525" t="str">
        <f>'5-1 Сбор КП Закупки'!P200</f>
        <v/>
      </c>
      <c r="Q200" s="197"/>
      <c r="R200" s="197"/>
      <c r="S200" s="197"/>
      <c r="T200" s="197"/>
      <c r="U200" s="197"/>
      <c r="V200" s="197"/>
      <c r="W200" s="522" t="str">
        <f>'5-1 Сбор КП Закупки'!O200</f>
        <v/>
      </c>
      <c r="X200" s="197"/>
      <c r="Y200" s="197"/>
      <c r="Z200" s="197"/>
      <c r="AA200" s="197"/>
      <c r="AB200" s="197">
        <v>0.0</v>
      </c>
      <c r="AC200" s="197"/>
      <c r="AD200" s="197"/>
      <c r="AE2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5-3'!$D$11:$Q319,AE$4,AE$5)"),"")</f>
        <v/>
      </c>
      <c r="AF200" s="528"/>
      <c r="AG2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5-3'!$D$11:$Q319,AG$4,AG$5)"),"")</f>
        <v/>
      </c>
      <c r="AH200" s="527"/>
      <c r="AI2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5-3'!$D$11:$Q319,AI$4,AI$5)"),"")</f>
        <v/>
      </c>
      <c r="AJ200" s="527"/>
      <c r="AK2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5-3'!$D$11:$Q319,AK$4,AK$5)"),"")</f>
        <v/>
      </c>
      <c r="AL200" s="527"/>
      <c r="AM2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5-3'!$D$11:$Q319,AM$4,AM$5)"),"")</f>
        <v/>
      </c>
      <c r="AN200" s="529"/>
      <c r="AO2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5-3'!$D$11:$Q319,AO$4,AO$5)"),"")</f>
        <v/>
      </c>
      <c r="AP200" s="527"/>
      <c r="AQ200" s="527"/>
      <c r="AR200" s="527"/>
      <c r="AS200" s="527"/>
      <c r="AT2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5-3'!$D$11:$Q319,AT$4,AT$5)"),"")</f>
        <v/>
      </c>
      <c r="AU200" s="531"/>
      <c r="AV2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5-3'!$D$11:$Q319,AV$4,AV$5)"),"")</f>
        <v/>
      </c>
      <c r="AW200" s="530"/>
      <c r="AX2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5-3'!$D$11:$Q319,AX$4,AX$5)"),"")</f>
        <v/>
      </c>
      <c r="AY200" s="530"/>
      <c r="AZ2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5-3'!$D$11:$Q319,AZ$4,AZ$5)"),"")</f>
        <v/>
      </c>
      <c r="BA200" s="530"/>
      <c r="BB2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5-3'!$D$11:$Q319,BB$4,BB$5)"),"")</f>
        <v/>
      </c>
      <c r="BC200" s="532"/>
      <c r="BD2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5-3'!$D$11:$Q319,BD$4,BD$5)"),"")</f>
        <v/>
      </c>
      <c r="BE200" s="530"/>
      <c r="BF200" s="530"/>
      <c r="BG200" s="530"/>
      <c r="BH200" s="530"/>
      <c r="BI2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5-3'!$D$11:$Q319,BI$4,BI$5)"),"")</f>
        <v/>
      </c>
      <c r="BJ200" s="535"/>
      <c r="BK2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5-3'!$D$11:$Q319,BK$4,BK$5)"),"")</f>
        <v/>
      </c>
      <c r="BL200" s="534"/>
      <c r="BM2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5-3'!$D$11:$Q319,BM$4,BM$5)"),"")</f>
        <v/>
      </c>
      <c r="BN200" s="534"/>
      <c r="BO2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5-3'!$D$11:$Q319,BO$4,BO$5)"),"")</f>
        <v/>
      </c>
      <c r="BP200" s="534"/>
      <c r="BQ2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5-3'!$D$11:$Q319,BQ$4,BQ$5)"),"")</f>
        <v/>
      </c>
      <c r="BR200" s="536"/>
      <c r="BS2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5-3'!$D$11:$Q319,BS$4,BS$5)"),"")</f>
        <v/>
      </c>
      <c r="BT200" s="534"/>
      <c r="BU200" s="534"/>
      <c r="BV200" s="534"/>
      <c r="BW200" s="534"/>
      <c r="BX2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5-3'!$D$11:$Q319,BX$4,BX$5)"),"")</f>
        <v/>
      </c>
      <c r="BY200" s="538"/>
      <c r="BZ2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5-3'!$D$11:$Q319,BZ$4,BZ$5)"),"")</f>
        <v/>
      </c>
      <c r="CA200" s="537"/>
      <c r="CB2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5-3'!$D$11:$Q319,CB$4,CB$5)"),"")</f>
        <v/>
      </c>
      <c r="CC200" s="537"/>
      <c r="CD2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5-3'!$D$11:$Q319,CD$4,CD$5)"),"")</f>
        <v/>
      </c>
      <c r="CE200" s="537"/>
      <c r="CF2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5-3'!$D$11:$Q319,CF$4,CF$5)"),"")</f>
        <v/>
      </c>
      <c r="CG200" s="539"/>
      <c r="CH2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5-3'!$D$11:$Q319,CH$4,CH$5)"),"")</f>
        <v/>
      </c>
      <c r="CI200" s="537"/>
      <c r="CJ200" s="537"/>
      <c r="CK200" s="537"/>
      <c r="CL200" s="537"/>
      <c r="CM2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5-3'!$D$11:$Q319,CM$4,CM$5)"),"")</f>
        <v/>
      </c>
      <c r="CN200" s="541"/>
      <c r="CO2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5-3'!$D$11:$Q319,CO$4,CO$5)"),"")</f>
        <v/>
      </c>
      <c r="CP200" s="540"/>
      <c r="CQ2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5-3'!$D$11:$Q319,CQ$4,CQ$5)"),"")</f>
        <v/>
      </c>
      <c r="CR200" s="540"/>
      <c r="CS2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5-3'!$D$11:$Q319,CS$4,CS$5)"),"")</f>
        <v/>
      </c>
      <c r="CT200" s="540"/>
      <c r="CU2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5-3'!$D$11:$Q319,CU$4,CU$5)"),"")</f>
        <v/>
      </c>
      <c r="CV200" s="545"/>
      <c r="CW2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5-3'!$D$11:$Q319,CW$4,CW$5)"),"")</f>
        <v/>
      </c>
      <c r="CX200" s="540"/>
      <c r="CY200" s="540"/>
      <c r="CZ200" s="540"/>
      <c r="DA200" s="540"/>
      <c r="DB2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5-3'!$D$11:$Q319,DB$4,DB$5)"),"")</f>
        <v/>
      </c>
      <c r="DC200" s="555"/>
      <c r="DD2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5-3'!$D$11:$Q319,DD$4,DD$5)"),"")</f>
        <v/>
      </c>
      <c r="DE200" s="554"/>
      <c r="DF2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5-3'!$D$11:$Q319,DF$4,DF$5)"),"")</f>
        <v/>
      </c>
      <c r="DG200" s="554"/>
      <c r="DH2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5-3'!$D$11:$Q319,DH$4,DH$5)"),"")</f>
        <v/>
      </c>
      <c r="DI200" s="554"/>
      <c r="DJ2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5-3'!$D$11:$Q319,DJ$4,DJ$5)"),"")</f>
        <v/>
      </c>
      <c r="DK200" s="566"/>
      <c r="DL2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5-3'!$D$11:$Q319,DL$4,DL$5)"),"")</f>
        <v/>
      </c>
      <c r="DM200" s="554"/>
      <c r="DN200" s="554"/>
      <c r="DO200" s="554"/>
      <c r="DP200" s="554"/>
      <c r="DQ2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5-3'!$D$11:$Q319,DQ$4,DQ$5)"),"")</f>
        <v/>
      </c>
      <c r="DR200" s="569"/>
      <c r="DS2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5-3'!$D$11:$Q319,DS$4,DS$5)"),"")</f>
        <v/>
      </c>
      <c r="DT200" s="568"/>
      <c r="DU2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5-3'!$D$11:$Q319,DU$4,DU$5)"),"")</f>
        <v/>
      </c>
      <c r="DV200" s="568"/>
      <c r="DW2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5-3'!$D$11:$Q319,DW$4,DW$5)"),"")</f>
        <v/>
      </c>
      <c r="DX200" s="568"/>
      <c r="DY2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5-3'!$D$11:$Q319,DY$4,DY$5)"),"")</f>
        <v/>
      </c>
      <c r="DZ200" s="578"/>
      <c r="EA2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$C200, 'S-10 Топ 5-3'!$D$11:$Q319,EA$4,EA$5)"),"")</f>
        <v/>
      </c>
      <c r="EB200" s="568"/>
      <c r="EC200" s="568"/>
      <c r="ED200" s="568"/>
      <c r="EE200" s="568"/>
    </row>
    <row r="201">
      <c r="A201" s="519" t="str">
        <f t="shared" si="1"/>
        <v/>
      </c>
      <c r="B201" s="520" t="str">
        <f>'5-0 Товары'!B201</f>
        <v/>
      </c>
      <c r="C201" s="521" t="str">
        <f>'5-1 Сбор КП Закупки'!C201</f>
        <v/>
      </c>
      <c r="D201" s="521" t="str">
        <f>'5-1 Сбор КП Закупки'!D201</f>
        <v/>
      </c>
      <c r="E201" s="521" t="str">
        <f>'5-1 Сбор КП Закупки'!E201</f>
        <v/>
      </c>
      <c r="F201" s="521" t="str">
        <f>'5-1 Сбор КП Закупки'!F201</f>
        <v/>
      </c>
      <c r="G201" s="522" t="str">
        <f>'5-1 Сбор КП Закупки'!G201</f>
        <v/>
      </c>
      <c r="H201" s="522" t="str">
        <f>'5-1 Сбор КП Закупки'!H201</f>
        <v/>
      </c>
      <c r="I201" s="522" t="str">
        <f>'5-1 Сбор КП Закупки'!I201</f>
        <v/>
      </c>
      <c r="J201" s="197"/>
      <c r="K201" s="522" t="str">
        <f>'5-1 Сбор КП Закупки'!G201</f>
        <v/>
      </c>
      <c r="L201" s="523" t="str">
        <f>IF(A201="Да",'5-1 Сбор КП Закупки'!K201,)</f>
        <v/>
      </c>
      <c r="M201" s="197"/>
      <c r="N201" s="197"/>
      <c r="O201" s="197"/>
      <c r="P201" s="525" t="str">
        <f>'5-1 Сбор КП Закупки'!P201</f>
        <v/>
      </c>
      <c r="Q201" s="197"/>
      <c r="R201" s="197"/>
      <c r="S201" s="197"/>
      <c r="T201" s="197"/>
      <c r="U201" s="197"/>
      <c r="V201" s="197"/>
      <c r="W201" s="522" t="str">
        <f>'5-1 Сбор КП Закупки'!O201</f>
        <v/>
      </c>
      <c r="X201" s="197"/>
      <c r="Y201" s="197"/>
      <c r="Z201" s="197"/>
      <c r="AA201" s="197"/>
      <c r="AB201" s="197">
        <v>0.0</v>
      </c>
      <c r="AC201" s="197"/>
      <c r="AD201" s="197"/>
      <c r="AE2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5-3'!$D$11:$Q319,AE$4,AE$5)"),"")</f>
        <v/>
      </c>
      <c r="AF201" s="528"/>
      <c r="AG2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5-3'!$D$11:$Q319,AG$4,AG$5)"),"")</f>
        <v/>
      </c>
      <c r="AH201" s="527"/>
      <c r="AI2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5-3'!$D$11:$Q319,AI$4,AI$5)"),"")</f>
        <v/>
      </c>
      <c r="AJ201" s="527"/>
      <c r="AK2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5-3'!$D$11:$Q319,AK$4,AK$5)"),"")</f>
        <v/>
      </c>
      <c r="AL201" s="527"/>
      <c r="AM2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5-3'!$D$11:$Q319,AM$4,AM$5)"),"")</f>
        <v/>
      </c>
      <c r="AN201" s="529"/>
      <c r="AO2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5-3'!$D$11:$Q319,AO$4,AO$5)"),"")</f>
        <v/>
      </c>
      <c r="AP201" s="527"/>
      <c r="AQ201" s="527"/>
      <c r="AR201" s="527"/>
      <c r="AS201" s="527"/>
      <c r="AT2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5-3'!$D$11:$Q319,AT$4,AT$5)"),"")</f>
        <v/>
      </c>
      <c r="AU201" s="531"/>
      <c r="AV2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5-3'!$D$11:$Q319,AV$4,AV$5)"),"")</f>
        <v/>
      </c>
      <c r="AW201" s="530"/>
      <c r="AX2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5-3'!$D$11:$Q319,AX$4,AX$5)"),"")</f>
        <v/>
      </c>
      <c r="AY201" s="530"/>
      <c r="AZ2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5-3'!$D$11:$Q319,AZ$4,AZ$5)"),"")</f>
        <v/>
      </c>
      <c r="BA201" s="530"/>
      <c r="BB2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5-3'!$D$11:$Q319,BB$4,BB$5)"),"")</f>
        <v/>
      </c>
      <c r="BC201" s="532"/>
      <c r="BD2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5-3'!$D$11:$Q319,BD$4,BD$5)"),"")</f>
        <v/>
      </c>
      <c r="BE201" s="530"/>
      <c r="BF201" s="530"/>
      <c r="BG201" s="530"/>
      <c r="BH201" s="530"/>
      <c r="BI2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5-3'!$D$11:$Q319,BI$4,BI$5)"),"")</f>
        <v/>
      </c>
      <c r="BJ201" s="535"/>
      <c r="BK2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5-3'!$D$11:$Q319,BK$4,BK$5)"),"")</f>
        <v/>
      </c>
      <c r="BL201" s="534"/>
      <c r="BM2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5-3'!$D$11:$Q319,BM$4,BM$5)"),"")</f>
        <v/>
      </c>
      <c r="BN201" s="534"/>
      <c r="BO2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5-3'!$D$11:$Q319,BO$4,BO$5)"),"")</f>
        <v/>
      </c>
      <c r="BP201" s="534"/>
      <c r="BQ2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5-3'!$D$11:$Q319,BQ$4,BQ$5)"),"")</f>
        <v/>
      </c>
      <c r="BR201" s="536"/>
      <c r="BS2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5-3'!$D$11:$Q319,BS$4,BS$5)"),"")</f>
        <v/>
      </c>
      <c r="BT201" s="534"/>
      <c r="BU201" s="534"/>
      <c r="BV201" s="534"/>
      <c r="BW201" s="534"/>
      <c r="BX2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5-3'!$D$11:$Q319,BX$4,BX$5)"),"")</f>
        <v/>
      </c>
      <c r="BY201" s="538"/>
      <c r="BZ2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5-3'!$D$11:$Q319,BZ$4,BZ$5)"),"")</f>
        <v/>
      </c>
      <c r="CA201" s="537"/>
      <c r="CB2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5-3'!$D$11:$Q319,CB$4,CB$5)"),"")</f>
        <v/>
      </c>
      <c r="CC201" s="537"/>
      <c r="CD2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5-3'!$D$11:$Q319,CD$4,CD$5)"),"")</f>
        <v/>
      </c>
      <c r="CE201" s="537"/>
      <c r="CF2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5-3'!$D$11:$Q319,CF$4,CF$5)"),"")</f>
        <v/>
      </c>
      <c r="CG201" s="539"/>
      <c r="CH2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5-3'!$D$11:$Q319,CH$4,CH$5)"),"")</f>
        <v/>
      </c>
      <c r="CI201" s="537"/>
      <c r="CJ201" s="537"/>
      <c r="CK201" s="537"/>
      <c r="CL201" s="537"/>
      <c r="CM2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5-3'!$D$11:$Q319,CM$4,CM$5)"),"")</f>
        <v/>
      </c>
      <c r="CN201" s="541"/>
      <c r="CO2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5-3'!$D$11:$Q319,CO$4,CO$5)"),"")</f>
        <v/>
      </c>
      <c r="CP201" s="540"/>
      <c r="CQ2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5-3'!$D$11:$Q319,CQ$4,CQ$5)"),"")</f>
        <v/>
      </c>
      <c r="CR201" s="540"/>
      <c r="CS2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5-3'!$D$11:$Q319,CS$4,CS$5)"),"")</f>
        <v/>
      </c>
      <c r="CT201" s="540"/>
      <c r="CU2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5-3'!$D$11:$Q319,CU$4,CU$5)"),"")</f>
        <v/>
      </c>
      <c r="CV201" s="545"/>
      <c r="CW2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5-3'!$D$11:$Q319,CW$4,CW$5)"),"")</f>
        <v/>
      </c>
      <c r="CX201" s="540"/>
      <c r="CY201" s="540"/>
      <c r="CZ201" s="540"/>
      <c r="DA201" s="540"/>
      <c r="DB2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5-3'!$D$11:$Q319,DB$4,DB$5)"),"")</f>
        <v/>
      </c>
      <c r="DC201" s="555"/>
      <c r="DD2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5-3'!$D$11:$Q319,DD$4,DD$5)"),"")</f>
        <v/>
      </c>
      <c r="DE201" s="554"/>
      <c r="DF2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5-3'!$D$11:$Q319,DF$4,DF$5)"),"")</f>
        <v/>
      </c>
      <c r="DG201" s="554"/>
      <c r="DH2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5-3'!$D$11:$Q319,DH$4,DH$5)"),"")</f>
        <v/>
      </c>
      <c r="DI201" s="554"/>
      <c r="DJ2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5-3'!$D$11:$Q319,DJ$4,DJ$5)"),"")</f>
        <v/>
      </c>
      <c r="DK201" s="566"/>
      <c r="DL2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5-3'!$D$11:$Q319,DL$4,DL$5)"),"")</f>
        <v/>
      </c>
      <c r="DM201" s="554"/>
      <c r="DN201" s="554"/>
      <c r="DO201" s="554"/>
      <c r="DP201" s="554"/>
      <c r="DQ2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5-3'!$D$11:$Q319,DQ$4,DQ$5)"),"")</f>
        <v/>
      </c>
      <c r="DR201" s="569"/>
      <c r="DS2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5-3'!$D$11:$Q319,DS$4,DS$5)"),"")</f>
        <v/>
      </c>
      <c r="DT201" s="568"/>
      <c r="DU2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5-3'!$D$11:$Q319,DU$4,DU$5)"),"")</f>
        <v/>
      </c>
      <c r="DV201" s="568"/>
      <c r="DW2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5-3'!$D$11:$Q319,DW$4,DW$5)"),"")</f>
        <v/>
      </c>
      <c r="DX201" s="568"/>
      <c r="DY2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5-3'!$D$11:$Q319,DY$4,DY$5)"),"")</f>
        <v/>
      </c>
      <c r="DZ201" s="578"/>
      <c r="EA2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$C201, 'S-10 Топ 5-3'!$D$11:$Q319,EA$4,EA$5)"),"")</f>
        <v/>
      </c>
      <c r="EB201" s="568"/>
      <c r="EC201" s="568"/>
      <c r="ED201" s="568"/>
      <c r="EE201" s="568"/>
    </row>
    <row r="202">
      <c r="A202" s="519" t="str">
        <f t="shared" si="1"/>
        <v/>
      </c>
      <c r="B202" s="520" t="str">
        <f>'5-0 Товары'!B202</f>
        <v/>
      </c>
      <c r="C202" s="521" t="str">
        <f>'5-1 Сбор КП Закупки'!C202</f>
        <v/>
      </c>
      <c r="D202" s="521" t="str">
        <f>'5-1 Сбор КП Закупки'!D202</f>
        <v/>
      </c>
      <c r="E202" s="521" t="str">
        <f>'5-1 Сбор КП Закупки'!E202</f>
        <v/>
      </c>
      <c r="F202" s="521" t="str">
        <f>'5-1 Сбор КП Закупки'!F202</f>
        <v/>
      </c>
      <c r="G202" s="522" t="str">
        <f>'5-1 Сбор КП Закупки'!G202</f>
        <v/>
      </c>
      <c r="H202" s="522" t="str">
        <f>'5-1 Сбор КП Закупки'!H202</f>
        <v/>
      </c>
      <c r="I202" s="522" t="str">
        <f>'5-1 Сбор КП Закупки'!I202</f>
        <v/>
      </c>
      <c r="J202" s="197"/>
      <c r="K202" s="522" t="str">
        <f>'5-1 Сбор КП Закупки'!G202</f>
        <v/>
      </c>
      <c r="L202" s="523" t="str">
        <f>IF(A202="Да",'5-1 Сбор КП Закупки'!K202,)</f>
        <v/>
      </c>
      <c r="M202" s="197"/>
      <c r="N202" s="197"/>
      <c r="O202" s="197"/>
      <c r="P202" s="525" t="str">
        <f>'5-1 Сбор КП Закупки'!P202</f>
        <v/>
      </c>
      <c r="Q202" s="197"/>
      <c r="R202" s="197"/>
      <c r="S202" s="197"/>
      <c r="T202" s="197"/>
      <c r="U202" s="197"/>
      <c r="V202" s="197"/>
      <c r="W202" s="522" t="str">
        <f>'5-1 Сбор КП Закупки'!O202</f>
        <v/>
      </c>
      <c r="X202" s="197"/>
      <c r="Y202" s="197"/>
      <c r="Z202" s="197"/>
      <c r="AA202" s="197"/>
      <c r="AB202" s="197">
        <v>0.0</v>
      </c>
      <c r="AC202" s="197"/>
      <c r="AD202" s="197"/>
      <c r="AE2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5-3'!$D$11:$Q319,AE$4,AE$5)"),"")</f>
        <v/>
      </c>
      <c r="AF202" s="528"/>
      <c r="AG2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5-3'!$D$11:$Q319,AG$4,AG$5)"),"")</f>
        <v/>
      </c>
      <c r="AH202" s="527"/>
      <c r="AI2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5-3'!$D$11:$Q319,AI$4,AI$5)"),"")</f>
        <v/>
      </c>
      <c r="AJ202" s="527"/>
      <c r="AK2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5-3'!$D$11:$Q319,AK$4,AK$5)"),"")</f>
        <v/>
      </c>
      <c r="AL202" s="527"/>
      <c r="AM2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5-3'!$D$11:$Q319,AM$4,AM$5)"),"")</f>
        <v/>
      </c>
      <c r="AN202" s="529"/>
      <c r="AO2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5-3'!$D$11:$Q319,AO$4,AO$5)"),"")</f>
        <v/>
      </c>
      <c r="AP202" s="527"/>
      <c r="AQ202" s="527"/>
      <c r="AR202" s="527"/>
      <c r="AS202" s="527"/>
      <c r="AT2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5-3'!$D$11:$Q319,AT$4,AT$5)"),"")</f>
        <v/>
      </c>
      <c r="AU202" s="531"/>
      <c r="AV2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5-3'!$D$11:$Q319,AV$4,AV$5)"),"")</f>
        <v/>
      </c>
      <c r="AW202" s="530"/>
      <c r="AX2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5-3'!$D$11:$Q319,AX$4,AX$5)"),"")</f>
        <v/>
      </c>
      <c r="AY202" s="530"/>
      <c r="AZ2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5-3'!$D$11:$Q319,AZ$4,AZ$5)"),"")</f>
        <v/>
      </c>
      <c r="BA202" s="530"/>
      <c r="BB2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5-3'!$D$11:$Q319,BB$4,BB$5)"),"")</f>
        <v/>
      </c>
      <c r="BC202" s="532"/>
      <c r="BD2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5-3'!$D$11:$Q319,BD$4,BD$5)"),"")</f>
        <v/>
      </c>
      <c r="BE202" s="530"/>
      <c r="BF202" s="530"/>
      <c r="BG202" s="530"/>
      <c r="BH202" s="530"/>
      <c r="BI2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5-3'!$D$11:$Q319,BI$4,BI$5)"),"")</f>
        <v/>
      </c>
      <c r="BJ202" s="535"/>
      <c r="BK2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5-3'!$D$11:$Q319,BK$4,BK$5)"),"")</f>
        <v/>
      </c>
      <c r="BL202" s="534"/>
      <c r="BM2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5-3'!$D$11:$Q319,BM$4,BM$5)"),"")</f>
        <v/>
      </c>
      <c r="BN202" s="534"/>
      <c r="BO2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5-3'!$D$11:$Q319,BO$4,BO$5)"),"")</f>
        <v/>
      </c>
      <c r="BP202" s="534"/>
      <c r="BQ2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5-3'!$D$11:$Q319,BQ$4,BQ$5)"),"")</f>
        <v/>
      </c>
      <c r="BR202" s="536"/>
      <c r="BS2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5-3'!$D$11:$Q319,BS$4,BS$5)"),"")</f>
        <v/>
      </c>
      <c r="BT202" s="534"/>
      <c r="BU202" s="534"/>
      <c r="BV202" s="534"/>
      <c r="BW202" s="534"/>
      <c r="BX2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5-3'!$D$11:$Q319,BX$4,BX$5)"),"")</f>
        <v/>
      </c>
      <c r="BY202" s="538"/>
      <c r="BZ2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5-3'!$D$11:$Q319,BZ$4,BZ$5)"),"")</f>
        <v/>
      </c>
      <c r="CA202" s="537"/>
      <c r="CB2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5-3'!$D$11:$Q319,CB$4,CB$5)"),"")</f>
        <v/>
      </c>
      <c r="CC202" s="537"/>
      <c r="CD2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5-3'!$D$11:$Q319,CD$4,CD$5)"),"")</f>
        <v/>
      </c>
      <c r="CE202" s="537"/>
      <c r="CF2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5-3'!$D$11:$Q319,CF$4,CF$5)"),"")</f>
        <v/>
      </c>
      <c r="CG202" s="539"/>
      <c r="CH2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5-3'!$D$11:$Q319,CH$4,CH$5)"),"")</f>
        <v/>
      </c>
      <c r="CI202" s="537"/>
      <c r="CJ202" s="537"/>
      <c r="CK202" s="537"/>
      <c r="CL202" s="537"/>
      <c r="CM2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5-3'!$D$11:$Q319,CM$4,CM$5)"),"")</f>
        <v/>
      </c>
      <c r="CN202" s="541"/>
      <c r="CO2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5-3'!$D$11:$Q319,CO$4,CO$5)"),"")</f>
        <v/>
      </c>
      <c r="CP202" s="540"/>
      <c r="CQ2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5-3'!$D$11:$Q319,CQ$4,CQ$5)"),"")</f>
        <v/>
      </c>
      <c r="CR202" s="540"/>
      <c r="CS2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5-3'!$D$11:$Q319,CS$4,CS$5)"),"")</f>
        <v/>
      </c>
      <c r="CT202" s="540"/>
      <c r="CU2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5-3'!$D$11:$Q319,CU$4,CU$5)"),"")</f>
        <v/>
      </c>
      <c r="CV202" s="545"/>
      <c r="CW2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5-3'!$D$11:$Q319,CW$4,CW$5)"),"")</f>
        <v/>
      </c>
      <c r="CX202" s="540"/>
      <c r="CY202" s="540"/>
      <c r="CZ202" s="540"/>
      <c r="DA202" s="540"/>
      <c r="DB2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5-3'!$D$11:$Q319,DB$4,DB$5)"),"")</f>
        <v/>
      </c>
      <c r="DC202" s="555"/>
      <c r="DD2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5-3'!$D$11:$Q319,DD$4,DD$5)"),"")</f>
        <v/>
      </c>
      <c r="DE202" s="554"/>
      <c r="DF2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5-3'!$D$11:$Q319,DF$4,DF$5)"),"")</f>
        <v/>
      </c>
      <c r="DG202" s="554"/>
      <c r="DH2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5-3'!$D$11:$Q319,DH$4,DH$5)"),"")</f>
        <v/>
      </c>
      <c r="DI202" s="554"/>
      <c r="DJ2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5-3'!$D$11:$Q319,DJ$4,DJ$5)"),"")</f>
        <v/>
      </c>
      <c r="DK202" s="566"/>
      <c r="DL2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5-3'!$D$11:$Q319,DL$4,DL$5)"),"")</f>
        <v/>
      </c>
      <c r="DM202" s="554"/>
      <c r="DN202" s="554"/>
      <c r="DO202" s="554"/>
      <c r="DP202" s="554"/>
      <c r="DQ2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5-3'!$D$11:$Q319,DQ$4,DQ$5)"),"")</f>
        <v/>
      </c>
      <c r="DR202" s="569"/>
      <c r="DS2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5-3'!$D$11:$Q319,DS$4,DS$5)"),"")</f>
        <v/>
      </c>
      <c r="DT202" s="568"/>
      <c r="DU2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5-3'!$D$11:$Q319,DU$4,DU$5)"),"")</f>
        <v/>
      </c>
      <c r="DV202" s="568"/>
      <c r="DW2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5-3'!$D$11:$Q319,DW$4,DW$5)"),"")</f>
        <v/>
      </c>
      <c r="DX202" s="568"/>
      <c r="DY2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5-3'!$D$11:$Q319,DY$4,DY$5)"),"")</f>
        <v/>
      </c>
      <c r="DZ202" s="578"/>
      <c r="EA2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$C202, 'S-10 Топ 5-3'!$D$11:$Q319,EA$4,EA$5)"),"")</f>
        <v/>
      </c>
      <c r="EB202" s="568"/>
      <c r="EC202" s="568"/>
      <c r="ED202" s="568"/>
      <c r="EE202" s="568"/>
    </row>
    <row r="203">
      <c r="A203" s="519" t="str">
        <f t="shared" si="1"/>
        <v/>
      </c>
      <c r="B203" s="520" t="str">
        <f>'5-0 Товары'!B203</f>
        <v/>
      </c>
      <c r="C203" s="521" t="str">
        <f>'5-1 Сбор КП Закупки'!C203</f>
        <v/>
      </c>
      <c r="D203" s="521" t="str">
        <f>'5-1 Сбор КП Закупки'!D203</f>
        <v/>
      </c>
      <c r="E203" s="521" t="str">
        <f>'5-1 Сбор КП Закупки'!E203</f>
        <v/>
      </c>
      <c r="F203" s="521" t="str">
        <f>'5-1 Сбор КП Закупки'!F203</f>
        <v/>
      </c>
      <c r="G203" s="522" t="str">
        <f>'5-1 Сбор КП Закупки'!G203</f>
        <v/>
      </c>
      <c r="H203" s="522" t="str">
        <f>'5-1 Сбор КП Закупки'!H203</f>
        <v/>
      </c>
      <c r="I203" s="522" t="str">
        <f>'5-1 Сбор КП Закупки'!I203</f>
        <v/>
      </c>
      <c r="J203" s="197"/>
      <c r="K203" s="522" t="str">
        <f>'5-1 Сбор КП Закупки'!G203</f>
        <v/>
      </c>
      <c r="L203" s="523" t="str">
        <f>IF(A203="Да",'5-1 Сбор КП Закупки'!K203,)</f>
        <v/>
      </c>
      <c r="M203" s="197"/>
      <c r="N203" s="197"/>
      <c r="O203" s="197"/>
      <c r="P203" s="525" t="str">
        <f>'5-1 Сбор КП Закупки'!P203</f>
        <v/>
      </c>
      <c r="Q203" s="197"/>
      <c r="R203" s="197"/>
      <c r="S203" s="197"/>
      <c r="T203" s="197"/>
      <c r="U203" s="197"/>
      <c r="V203" s="197"/>
      <c r="W203" s="522" t="str">
        <f>'5-1 Сбор КП Закупки'!O203</f>
        <v/>
      </c>
      <c r="X203" s="197"/>
      <c r="Y203" s="197"/>
      <c r="Z203" s="197"/>
      <c r="AA203" s="197"/>
      <c r="AB203" s="197">
        <v>0.0</v>
      </c>
      <c r="AC203" s="197"/>
      <c r="AD203" s="197"/>
      <c r="AE2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5-3'!$D$11:$Q319,AE$4,AE$5)"),"")</f>
        <v/>
      </c>
      <c r="AF203" s="528"/>
      <c r="AG2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5-3'!$D$11:$Q319,AG$4,AG$5)"),"")</f>
        <v/>
      </c>
      <c r="AH203" s="527"/>
      <c r="AI2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5-3'!$D$11:$Q319,AI$4,AI$5)"),"")</f>
        <v/>
      </c>
      <c r="AJ203" s="527"/>
      <c r="AK2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5-3'!$D$11:$Q319,AK$4,AK$5)"),"")</f>
        <v/>
      </c>
      <c r="AL203" s="527"/>
      <c r="AM2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5-3'!$D$11:$Q319,AM$4,AM$5)"),"")</f>
        <v/>
      </c>
      <c r="AN203" s="529"/>
      <c r="AO2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5-3'!$D$11:$Q319,AO$4,AO$5)"),"")</f>
        <v/>
      </c>
      <c r="AP203" s="527"/>
      <c r="AQ203" s="527"/>
      <c r="AR203" s="527"/>
      <c r="AS203" s="527"/>
      <c r="AT2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5-3'!$D$11:$Q319,AT$4,AT$5)"),"")</f>
        <v/>
      </c>
      <c r="AU203" s="531"/>
      <c r="AV2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5-3'!$D$11:$Q319,AV$4,AV$5)"),"")</f>
        <v/>
      </c>
      <c r="AW203" s="530"/>
      <c r="AX2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5-3'!$D$11:$Q319,AX$4,AX$5)"),"")</f>
        <v/>
      </c>
      <c r="AY203" s="530"/>
      <c r="AZ2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5-3'!$D$11:$Q319,AZ$4,AZ$5)"),"")</f>
        <v/>
      </c>
      <c r="BA203" s="530"/>
      <c r="BB2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5-3'!$D$11:$Q319,BB$4,BB$5)"),"")</f>
        <v/>
      </c>
      <c r="BC203" s="532"/>
      <c r="BD2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5-3'!$D$11:$Q319,BD$4,BD$5)"),"")</f>
        <v/>
      </c>
      <c r="BE203" s="530"/>
      <c r="BF203" s="530"/>
      <c r="BG203" s="530"/>
      <c r="BH203" s="530"/>
      <c r="BI2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5-3'!$D$11:$Q319,BI$4,BI$5)"),"")</f>
        <v/>
      </c>
      <c r="BJ203" s="535"/>
      <c r="BK2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5-3'!$D$11:$Q319,BK$4,BK$5)"),"")</f>
        <v/>
      </c>
      <c r="BL203" s="534"/>
      <c r="BM2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5-3'!$D$11:$Q319,BM$4,BM$5)"),"")</f>
        <v/>
      </c>
      <c r="BN203" s="534"/>
      <c r="BO2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5-3'!$D$11:$Q319,BO$4,BO$5)"),"")</f>
        <v/>
      </c>
      <c r="BP203" s="534"/>
      <c r="BQ2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5-3'!$D$11:$Q319,BQ$4,BQ$5)"),"")</f>
        <v/>
      </c>
      <c r="BR203" s="536"/>
      <c r="BS2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5-3'!$D$11:$Q319,BS$4,BS$5)"),"")</f>
        <v/>
      </c>
      <c r="BT203" s="534"/>
      <c r="BU203" s="534"/>
      <c r="BV203" s="534"/>
      <c r="BW203" s="534"/>
      <c r="BX2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5-3'!$D$11:$Q319,BX$4,BX$5)"),"")</f>
        <v/>
      </c>
      <c r="BY203" s="538"/>
      <c r="BZ2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5-3'!$D$11:$Q319,BZ$4,BZ$5)"),"")</f>
        <v/>
      </c>
      <c r="CA203" s="537"/>
      <c r="CB2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5-3'!$D$11:$Q319,CB$4,CB$5)"),"")</f>
        <v/>
      </c>
      <c r="CC203" s="537"/>
      <c r="CD2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5-3'!$D$11:$Q319,CD$4,CD$5)"),"")</f>
        <v/>
      </c>
      <c r="CE203" s="537"/>
      <c r="CF2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5-3'!$D$11:$Q319,CF$4,CF$5)"),"")</f>
        <v/>
      </c>
      <c r="CG203" s="539"/>
      <c r="CH2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5-3'!$D$11:$Q319,CH$4,CH$5)"),"")</f>
        <v/>
      </c>
      <c r="CI203" s="537"/>
      <c r="CJ203" s="537"/>
      <c r="CK203" s="537"/>
      <c r="CL203" s="537"/>
      <c r="CM2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5-3'!$D$11:$Q319,CM$4,CM$5)"),"")</f>
        <v/>
      </c>
      <c r="CN203" s="541"/>
      <c r="CO2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5-3'!$D$11:$Q319,CO$4,CO$5)"),"")</f>
        <v/>
      </c>
      <c r="CP203" s="540"/>
      <c r="CQ2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5-3'!$D$11:$Q319,CQ$4,CQ$5)"),"")</f>
        <v/>
      </c>
      <c r="CR203" s="540"/>
      <c r="CS2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5-3'!$D$11:$Q319,CS$4,CS$5)"),"")</f>
        <v/>
      </c>
      <c r="CT203" s="540"/>
      <c r="CU2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5-3'!$D$11:$Q319,CU$4,CU$5)"),"")</f>
        <v/>
      </c>
      <c r="CV203" s="545"/>
      <c r="CW2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5-3'!$D$11:$Q319,CW$4,CW$5)"),"")</f>
        <v/>
      </c>
      <c r="CX203" s="540"/>
      <c r="CY203" s="540"/>
      <c r="CZ203" s="540"/>
      <c r="DA203" s="540"/>
      <c r="DB2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5-3'!$D$11:$Q319,DB$4,DB$5)"),"")</f>
        <v/>
      </c>
      <c r="DC203" s="555"/>
      <c r="DD2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5-3'!$D$11:$Q319,DD$4,DD$5)"),"")</f>
        <v/>
      </c>
      <c r="DE203" s="554"/>
      <c r="DF2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5-3'!$D$11:$Q319,DF$4,DF$5)"),"")</f>
        <v/>
      </c>
      <c r="DG203" s="554"/>
      <c r="DH2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5-3'!$D$11:$Q319,DH$4,DH$5)"),"")</f>
        <v/>
      </c>
      <c r="DI203" s="554"/>
      <c r="DJ2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5-3'!$D$11:$Q319,DJ$4,DJ$5)"),"")</f>
        <v/>
      </c>
      <c r="DK203" s="566"/>
      <c r="DL2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5-3'!$D$11:$Q319,DL$4,DL$5)"),"")</f>
        <v/>
      </c>
      <c r="DM203" s="554"/>
      <c r="DN203" s="554"/>
      <c r="DO203" s="554"/>
      <c r="DP203" s="554"/>
      <c r="DQ2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5-3'!$D$11:$Q319,DQ$4,DQ$5)"),"")</f>
        <v/>
      </c>
      <c r="DR203" s="569"/>
      <c r="DS2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5-3'!$D$11:$Q319,DS$4,DS$5)"),"")</f>
        <v/>
      </c>
      <c r="DT203" s="568"/>
      <c r="DU2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5-3'!$D$11:$Q319,DU$4,DU$5)"),"")</f>
        <v/>
      </c>
      <c r="DV203" s="568"/>
      <c r="DW2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5-3'!$D$11:$Q319,DW$4,DW$5)"),"")</f>
        <v/>
      </c>
      <c r="DX203" s="568"/>
      <c r="DY2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5-3'!$D$11:$Q319,DY$4,DY$5)"),"")</f>
        <v/>
      </c>
      <c r="DZ203" s="578"/>
      <c r="EA2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$C203, 'S-10 Топ 5-3'!$D$11:$Q319,EA$4,EA$5)"),"")</f>
        <v/>
      </c>
      <c r="EB203" s="568"/>
      <c r="EC203" s="568"/>
      <c r="ED203" s="568"/>
      <c r="EE203" s="568"/>
    </row>
    <row r="204">
      <c r="A204" s="519" t="str">
        <f t="shared" si="1"/>
        <v/>
      </c>
      <c r="B204" s="520" t="str">
        <f>'5-0 Товары'!B204</f>
        <v/>
      </c>
      <c r="C204" s="521" t="str">
        <f>'5-1 Сбор КП Закупки'!C204</f>
        <v/>
      </c>
      <c r="D204" s="521" t="str">
        <f>'5-1 Сбор КП Закупки'!D204</f>
        <v/>
      </c>
      <c r="E204" s="521" t="str">
        <f>'5-1 Сбор КП Закупки'!E204</f>
        <v/>
      </c>
      <c r="F204" s="521" t="str">
        <f>'5-1 Сбор КП Закупки'!F204</f>
        <v/>
      </c>
      <c r="G204" s="522" t="str">
        <f>'5-1 Сбор КП Закупки'!G204</f>
        <v/>
      </c>
      <c r="H204" s="522" t="str">
        <f>'5-1 Сбор КП Закупки'!H204</f>
        <v/>
      </c>
      <c r="I204" s="522" t="str">
        <f>'5-1 Сбор КП Закупки'!I204</f>
        <v/>
      </c>
      <c r="J204" s="197"/>
      <c r="K204" s="522" t="str">
        <f>'5-1 Сбор КП Закупки'!G204</f>
        <v/>
      </c>
      <c r="L204" s="523" t="str">
        <f>IF(A204="Да",'5-1 Сбор КП Закупки'!K204,)</f>
        <v/>
      </c>
      <c r="M204" s="197"/>
      <c r="N204" s="197"/>
      <c r="O204" s="197"/>
      <c r="P204" s="525" t="str">
        <f>'5-1 Сбор КП Закупки'!P204</f>
        <v/>
      </c>
      <c r="Q204" s="197"/>
      <c r="R204" s="197"/>
      <c r="S204" s="197"/>
      <c r="T204" s="197"/>
      <c r="U204" s="197"/>
      <c r="V204" s="197"/>
      <c r="W204" s="522" t="str">
        <f>'5-1 Сбор КП Закупки'!O204</f>
        <v/>
      </c>
      <c r="X204" s="197"/>
      <c r="Y204" s="197"/>
      <c r="Z204" s="197"/>
      <c r="AA204" s="197"/>
      <c r="AB204" s="197">
        <v>0.0</v>
      </c>
      <c r="AC204" s="197"/>
      <c r="AD204" s="197"/>
      <c r="AE2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5-3'!$D$11:$Q319,AE$4,AE$5)"),"")</f>
        <v/>
      </c>
      <c r="AF204" s="528"/>
      <c r="AG2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5-3'!$D$11:$Q319,AG$4,AG$5)"),"")</f>
        <v/>
      </c>
      <c r="AH204" s="527"/>
      <c r="AI2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5-3'!$D$11:$Q319,AI$4,AI$5)"),"")</f>
        <v/>
      </c>
      <c r="AJ204" s="527"/>
      <c r="AK2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5-3'!$D$11:$Q319,AK$4,AK$5)"),"")</f>
        <v/>
      </c>
      <c r="AL204" s="527"/>
      <c r="AM2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5-3'!$D$11:$Q319,AM$4,AM$5)"),"")</f>
        <v/>
      </c>
      <c r="AN204" s="529"/>
      <c r="AO2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5-3'!$D$11:$Q319,AO$4,AO$5)"),"")</f>
        <v/>
      </c>
      <c r="AP204" s="527"/>
      <c r="AQ204" s="527"/>
      <c r="AR204" s="527"/>
      <c r="AS204" s="527"/>
      <c r="AT2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5-3'!$D$11:$Q319,AT$4,AT$5)"),"")</f>
        <v/>
      </c>
      <c r="AU204" s="531"/>
      <c r="AV2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5-3'!$D$11:$Q319,AV$4,AV$5)"),"")</f>
        <v/>
      </c>
      <c r="AW204" s="530"/>
      <c r="AX2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5-3'!$D$11:$Q319,AX$4,AX$5)"),"")</f>
        <v/>
      </c>
      <c r="AY204" s="530"/>
      <c r="AZ2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5-3'!$D$11:$Q319,AZ$4,AZ$5)"),"")</f>
        <v/>
      </c>
      <c r="BA204" s="530"/>
      <c r="BB2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5-3'!$D$11:$Q319,BB$4,BB$5)"),"")</f>
        <v/>
      </c>
      <c r="BC204" s="532"/>
      <c r="BD2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5-3'!$D$11:$Q319,BD$4,BD$5)"),"")</f>
        <v/>
      </c>
      <c r="BE204" s="530"/>
      <c r="BF204" s="530"/>
      <c r="BG204" s="530"/>
      <c r="BH204" s="530"/>
      <c r="BI2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5-3'!$D$11:$Q319,BI$4,BI$5)"),"")</f>
        <v/>
      </c>
      <c r="BJ204" s="535"/>
      <c r="BK2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5-3'!$D$11:$Q319,BK$4,BK$5)"),"")</f>
        <v/>
      </c>
      <c r="BL204" s="534"/>
      <c r="BM2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5-3'!$D$11:$Q319,BM$4,BM$5)"),"")</f>
        <v/>
      </c>
      <c r="BN204" s="534"/>
      <c r="BO2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5-3'!$D$11:$Q319,BO$4,BO$5)"),"")</f>
        <v/>
      </c>
      <c r="BP204" s="534"/>
      <c r="BQ2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5-3'!$D$11:$Q319,BQ$4,BQ$5)"),"")</f>
        <v/>
      </c>
      <c r="BR204" s="536"/>
      <c r="BS2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5-3'!$D$11:$Q319,BS$4,BS$5)"),"")</f>
        <v/>
      </c>
      <c r="BT204" s="534"/>
      <c r="BU204" s="534"/>
      <c r="BV204" s="534"/>
      <c r="BW204" s="534"/>
      <c r="BX2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5-3'!$D$11:$Q319,BX$4,BX$5)"),"")</f>
        <v/>
      </c>
      <c r="BY204" s="538"/>
      <c r="BZ2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5-3'!$D$11:$Q319,BZ$4,BZ$5)"),"")</f>
        <v/>
      </c>
      <c r="CA204" s="537"/>
      <c r="CB2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5-3'!$D$11:$Q319,CB$4,CB$5)"),"")</f>
        <v/>
      </c>
      <c r="CC204" s="537"/>
      <c r="CD2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5-3'!$D$11:$Q319,CD$4,CD$5)"),"")</f>
        <v/>
      </c>
      <c r="CE204" s="537"/>
      <c r="CF2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5-3'!$D$11:$Q319,CF$4,CF$5)"),"")</f>
        <v/>
      </c>
      <c r="CG204" s="539"/>
      <c r="CH2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5-3'!$D$11:$Q319,CH$4,CH$5)"),"")</f>
        <v/>
      </c>
      <c r="CI204" s="537"/>
      <c r="CJ204" s="537"/>
      <c r="CK204" s="537"/>
      <c r="CL204" s="537"/>
      <c r="CM2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5-3'!$D$11:$Q319,CM$4,CM$5)"),"")</f>
        <v/>
      </c>
      <c r="CN204" s="541"/>
      <c r="CO2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5-3'!$D$11:$Q319,CO$4,CO$5)"),"")</f>
        <v/>
      </c>
      <c r="CP204" s="540"/>
      <c r="CQ2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5-3'!$D$11:$Q319,CQ$4,CQ$5)"),"")</f>
        <v/>
      </c>
      <c r="CR204" s="540"/>
      <c r="CS2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5-3'!$D$11:$Q319,CS$4,CS$5)"),"")</f>
        <v/>
      </c>
      <c r="CT204" s="540"/>
      <c r="CU2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5-3'!$D$11:$Q319,CU$4,CU$5)"),"")</f>
        <v/>
      </c>
      <c r="CV204" s="545"/>
      <c r="CW2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5-3'!$D$11:$Q319,CW$4,CW$5)"),"")</f>
        <v/>
      </c>
      <c r="CX204" s="540"/>
      <c r="CY204" s="540"/>
      <c r="CZ204" s="540"/>
      <c r="DA204" s="540"/>
      <c r="DB2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5-3'!$D$11:$Q319,DB$4,DB$5)"),"")</f>
        <v/>
      </c>
      <c r="DC204" s="555"/>
      <c r="DD2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5-3'!$D$11:$Q319,DD$4,DD$5)"),"")</f>
        <v/>
      </c>
      <c r="DE204" s="554"/>
      <c r="DF2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5-3'!$D$11:$Q319,DF$4,DF$5)"),"")</f>
        <v/>
      </c>
      <c r="DG204" s="554"/>
      <c r="DH2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5-3'!$D$11:$Q319,DH$4,DH$5)"),"")</f>
        <v/>
      </c>
      <c r="DI204" s="554"/>
      <c r="DJ2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5-3'!$D$11:$Q319,DJ$4,DJ$5)"),"")</f>
        <v/>
      </c>
      <c r="DK204" s="566"/>
      <c r="DL2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5-3'!$D$11:$Q319,DL$4,DL$5)"),"")</f>
        <v/>
      </c>
      <c r="DM204" s="554"/>
      <c r="DN204" s="554"/>
      <c r="DO204" s="554"/>
      <c r="DP204" s="554"/>
      <c r="DQ2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5-3'!$D$11:$Q319,DQ$4,DQ$5)"),"")</f>
        <v/>
      </c>
      <c r="DR204" s="569"/>
      <c r="DS2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5-3'!$D$11:$Q319,DS$4,DS$5)"),"")</f>
        <v/>
      </c>
      <c r="DT204" s="568"/>
      <c r="DU2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5-3'!$D$11:$Q319,DU$4,DU$5)"),"")</f>
        <v/>
      </c>
      <c r="DV204" s="568"/>
      <c r="DW2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5-3'!$D$11:$Q319,DW$4,DW$5)"),"")</f>
        <v/>
      </c>
      <c r="DX204" s="568"/>
      <c r="DY2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5-3'!$D$11:$Q319,DY$4,DY$5)"),"")</f>
        <v/>
      </c>
      <c r="DZ204" s="578"/>
      <c r="EA2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$C204, 'S-10 Топ 5-3'!$D$11:$Q319,EA$4,EA$5)"),"")</f>
        <v/>
      </c>
      <c r="EB204" s="568"/>
      <c r="EC204" s="568"/>
      <c r="ED204" s="568"/>
      <c r="EE204" s="568"/>
    </row>
    <row r="205">
      <c r="A205" s="519" t="str">
        <f t="shared" si="1"/>
        <v/>
      </c>
      <c r="B205" s="520" t="str">
        <f>'5-0 Товары'!B205</f>
        <v/>
      </c>
      <c r="C205" s="521" t="str">
        <f>'5-1 Сбор КП Закупки'!C205</f>
        <v/>
      </c>
      <c r="D205" s="521" t="str">
        <f>'5-1 Сбор КП Закупки'!D205</f>
        <v/>
      </c>
      <c r="E205" s="521" t="str">
        <f>'5-1 Сбор КП Закупки'!E205</f>
        <v/>
      </c>
      <c r="F205" s="521" t="str">
        <f>'5-1 Сбор КП Закупки'!F205</f>
        <v/>
      </c>
      <c r="G205" s="522" t="str">
        <f>'5-1 Сбор КП Закупки'!G205</f>
        <v/>
      </c>
      <c r="H205" s="522" t="str">
        <f>'5-1 Сбор КП Закупки'!H205</f>
        <v/>
      </c>
      <c r="I205" s="522" t="str">
        <f>'5-1 Сбор КП Закупки'!I205</f>
        <v/>
      </c>
      <c r="J205" s="197"/>
      <c r="K205" s="522" t="str">
        <f>'5-1 Сбор КП Закупки'!G205</f>
        <v/>
      </c>
      <c r="L205" s="523" t="str">
        <f>IF(A205="Да",'5-1 Сбор КП Закупки'!K205,)</f>
        <v/>
      </c>
      <c r="M205" s="197"/>
      <c r="N205" s="197"/>
      <c r="O205" s="197"/>
      <c r="P205" s="525" t="str">
        <f>'5-1 Сбор КП Закупки'!P205</f>
        <v/>
      </c>
      <c r="Q205" s="197"/>
      <c r="R205" s="197"/>
      <c r="S205" s="197"/>
      <c r="T205" s="197"/>
      <c r="U205" s="197"/>
      <c r="V205" s="197"/>
      <c r="W205" s="522" t="str">
        <f>'5-1 Сбор КП Закупки'!O205</f>
        <v/>
      </c>
      <c r="X205" s="197"/>
      <c r="Y205" s="197"/>
      <c r="Z205" s="197"/>
      <c r="AA205" s="197"/>
      <c r="AB205" s="197">
        <v>0.0</v>
      </c>
      <c r="AC205" s="197"/>
      <c r="AD205" s="197"/>
      <c r="AE2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5-3'!$D$11:$Q319,AE$4,AE$5)"),"")</f>
        <v/>
      </c>
      <c r="AF205" s="528"/>
      <c r="AG2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5-3'!$D$11:$Q319,AG$4,AG$5)"),"")</f>
        <v/>
      </c>
      <c r="AH205" s="527"/>
      <c r="AI2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5-3'!$D$11:$Q319,AI$4,AI$5)"),"")</f>
        <v/>
      </c>
      <c r="AJ205" s="527"/>
      <c r="AK2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5-3'!$D$11:$Q319,AK$4,AK$5)"),"")</f>
        <v/>
      </c>
      <c r="AL205" s="527"/>
      <c r="AM2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5-3'!$D$11:$Q319,AM$4,AM$5)"),"")</f>
        <v/>
      </c>
      <c r="AN205" s="529"/>
      <c r="AO2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5-3'!$D$11:$Q319,AO$4,AO$5)"),"")</f>
        <v/>
      </c>
      <c r="AP205" s="527"/>
      <c r="AQ205" s="527"/>
      <c r="AR205" s="527"/>
      <c r="AS205" s="527"/>
      <c r="AT2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5-3'!$D$11:$Q319,AT$4,AT$5)"),"")</f>
        <v/>
      </c>
      <c r="AU205" s="531"/>
      <c r="AV2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5-3'!$D$11:$Q319,AV$4,AV$5)"),"")</f>
        <v/>
      </c>
      <c r="AW205" s="530"/>
      <c r="AX2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5-3'!$D$11:$Q319,AX$4,AX$5)"),"")</f>
        <v/>
      </c>
      <c r="AY205" s="530"/>
      <c r="AZ2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5-3'!$D$11:$Q319,AZ$4,AZ$5)"),"")</f>
        <v/>
      </c>
      <c r="BA205" s="530"/>
      <c r="BB2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5-3'!$D$11:$Q319,BB$4,BB$5)"),"")</f>
        <v/>
      </c>
      <c r="BC205" s="532"/>
      <c r="BD2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5-3'!$D$11:$Q319,BD$4,BD$5)"),"")</f>
        <v/>
      </c>
      <c r="BE205" s="530"/>
      <c r="BF205" s="530"/>
      <c r="BG205" s="530"/>
      <c r="BH205" s="530"/>
      <c r="BI2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5-3'!$D$11:$Q319,BI$4,BI$5)"),"")</f>
        <v/>
      </c>
      <c r="BJ205" s="535"/>
      <c r="BK2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5-3'!$D$11:$Q319,BK$4,BK$5)"),"")</f>
        <v/>
      </c>
      <c r="BL205" s="534"/>
      <c r="BM2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5-3'!$D$11:$Q319,BM$4,BM$5)"),"")</f>
        <v/>
      </c>
      <c r="BN205" s="534"/>
      <c r="BO2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5-3'!$D$11:$Q319,BO$4,BO$5)"),"")</f>
        <v/>
      </c>
      <c r="BP205" s="534"/>
      <c r="BQ2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5-3'!$D$11:$Q319,BQ$4,BQ$5)"),"")</f>
        <v/>
      </c>
      <c r="BR205" s="536"/>
      <c r="BS2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5-3'!$D$11:$Q319,BS$4,BS$5)"),"")</f>
        <v/>
      </c>
      <c r="BT205" s="534"/>
      <c r="BU205" s="534"/>
      <c r="BV205" s="534"/>
      <c r="BW205" s="534"/>
      <c r="BX2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5-3'!$D$11:$Q319,BX$4,BX$5)"),"")</f>
        <v/>
      </c>
      <c r="BY205" s="538"/>
      <c r="BZ2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5-3'!$D$11:$Q319,BZ$4,BZ$5)"),"")</f>
        <v/>
      </c>
      <c r="CA205" s="537"/>
      <c r="CB2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5-3'!$D$11:$Q319,CB$4,CB$5)"),"")</f>
        <v/>
      </c>
      <c r="CC205" s="537"/>
      <c r="CD2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5-3'!$D$11:$Q319,CD$4,CD$5)"),"")</f>
        <v/>
      </c>
      <c r="CE205" s="537"/>
      <c r="CF2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5-3'!$D$11:$Q319,CF$4,CF$5)"),"")</f>
        <v/>
      </c>
      <c r="CG205" s="539"/>
      <c r="CH2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5-3'!$D$11:$Q319,CH$4,CH$5)"),"")</f>
        <v/>
      </c>
      <c r="CI205" s="537"/>
      <c r="CJ205" s="537"/>
      <c r="CK205" s="537"/>
      <c r="CL205" s="537"/>
      <c r="CM2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5-3'!$D$11:$Q319,CM$4,CM$5)"),"")</f>
        <v/>
      </c>
      <c r="CN205" s="541"/>
      <c r="CO2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5-3'!$D$11:$Q319,CO$4,CO$5)"),"")</f>
        <v/>
      </c>
      <c r="CP205" s="540"/>
      <c r="CQ2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5-3'!$D$11:$Q319,CQ$4,CQ$5)"),"")</f>
        <v/>
      </c>
      <c r="CR205" s="540"/>
      <c r="CS2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5-3'!$D$11:$Q319,CS$4,CS$5)"),"")</f>
        <v/>
      </c>
      <c r="CT205" s="540"/>
      <c r="CU2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5-3'!$D$11:$Q319,CU$4,CU$5)"),"")</f>
        <v/>
      </c>
      <c r="CV205" s="545"/>
      <c r="CW2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5-3'!$D$11:$Q319,CW$4,CW$5)"),"")</f>
        <v/>
      </c>
      <c r="CX205" s="540"/>
      <c r="CY205" s="540"/>
      <c r="CZ205" s="540"/>
      <c r="DA205" s="540"/>
      <c r="DB2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5-3'!$D$11:$Q319,DB$4,DB$5)"),"")</f>
        <v/>
      </c>
      <c r="DC205" s="555"/>
      <c r="DD2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5-3'!$D$11:$Q319,DD$4,DD$5)"),"")</f>
        <v/>
      </c>
      <c r="DE205" s="554"/>
      <c r="DF2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5-3'!$D$11:$Q319,DF$4,DF$5)"),"")</f>
        <v/>
      </c>
      <c r="DG205" s="554"/>
      <c r="DH2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5-3'!$D$11:$Q319,DH$4,DH$5)"),"")</f>
        <v/>
      </c>
      <c r="DI205" s="554"/>
      <c r="DJ2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5-3'!$D$11:$Q319,DJ$4,DJ$5)"),"")</f>
        <v/>
      </c>
      <c r="DK205" s="566"/>
      <c r="DL2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5-3'!$D$11:$Q319,DL$4,DL$5)"),"")</f>
        <v/>
      </c>
      <c r="DM205" s="554"/>
      <c r="DN205" s="554"/>
      <c r="DO205" s="554"/>
      <c r="DP205" s="554"/>
      <c r="DQ2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5-3'!$D$11:$Q319,DQ$4,DQ$5)"),"")</f>
        <v/>
      </c>
      <c r="DR205" s="569"/>
      <c r="DS2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5-3'!$D$11:$Q319,DS$4,DS$5)"),"")</f>
        <v/>
      </c>
      <c r="DT205" s="568"/>
      <c r="DU2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5-3'!$D$11:$Q319,DU$4,DU$5)"),"")</f>
        <v/>
      </c>
      <c r="DV205" s="568"/>
      <c r="DW2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5-3'!$D$11:$Q319,DW$4,DW$5)"),"")</f>
        <v/>
      </c>
      <c r="DX205" s="568"/>
      <c r="DY2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5-3'!$D$11:$Q319,DY$4,DY$5)"),"")</f>
        <v/>
      </c>
      <c r="DZ205" s="578"/>
      <c r="EA2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$C205, 'S-10 Топ 5-3'!$D$11:$Q319,EA$4,EA$5)"),"")</f>
        <v/>
      </c>
      <c r="EB205" s="568"/>
      <c r="EC205" s="568"/>
      <c r="ED205" s="568"/>
      <c r="EE205" s="568"/>
    </row>
    <row r="206">
      <c r="A206" s="519" t="str">
        <f t="shared" si="1"/>
        <v/>
      </c>
      <c r="B206" s="520" t="str">
        <f>'5-0 Товары'!B206</f>
        <v/>
      </c>
      <c r="C206" s="521" t="str">
        <f>'5-1 Сбор КП Закупки'!C206</f>
        <v/>
      </c>
      <c r="D206" s="521" t="str">
        <f>'5-1 Сбор КП Закупки'!D206</f>
        <v/>
      </c>
      <c r="E206" s="521" t="str">
        <f>'5-1 Сбор КП Закупки'!E206</f>
        <v/>
      </c>
      <c r="F206" s="521" t="str">
        <f>'5-1 Сбор КП Закупки'!F206</f>
        <v/>
      </c>
      <c r="G206" s="522" t="str">
        <f>'5-1 Сбор КП Закупки'!G206</f>
        <v/>
      </c>
      <c r="H206" s="522" t="str">
        <f>'5-1 Сбор КП Закупки'!H206</f>
        <v/>
      </c>
      <c r="I206" s="522" t="str">
        <f>'5-1 Сбор КП Закупки'!I206</f>
        <v/>
      </c>
      <c r="J206" s="197"/>
      <c r="K206" s="522" t="str">
        <f>'5-1 Сбор КП Закупки'!G206</f>
        <v/>
      </c>
      <c r="L206" s="523" t="str">
        <f>IF(A206="Да",'5-1 Сбор КП Закупки'!K206,)</f>
        <v/>
      </c>
      <c r="M206" s="197"/>
      <c r="N206" s="197"/>
      <c r="O206" s="197"/>
      <c r="P206" s="525" t="str">
        <f>'5-1 Сбор КП Закупки'!P206</f>
        <v/>
      </c>
      <c r="Q206" s="197"/>
      <c r="R206" s="197"/>
      <c r="S206" s="197"/>
      <c r="T206" s="197"/>
      <c r="U206" s="197"/>
      <c r="V206" s="197"/>
      <c r="W206" s="522" t="str">
        <f>'5-1 Сбор КП Закупки'!O206</f>
        <v/>
      </c>
      <c r="X206" s="197"/>
      <c r="Y206" s="197"/>
      <c r="Z206" s="197"/>
      <c r="AA206" s="197"/>
      <c r="AB206" s="197">
        <v>0.0</v>
      </c>
      <c r="AC206" s="197"/>
      <c r="AD206" s="197"/>
      <c r="AE2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5-3'!$D$11:$Q319,AE$4,AE$5)"),"")</f>
        <v/>
      </c>
      <c r="AF206" s="528"/>
      <c r="AG2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5-3'!$D$11:$Q319,AG$4,AG$5)"),"")</f>
        <v/>
      </c>
      <c r="AH206" s="527"/>
      <c r="AI2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5-3'!$D$11:$Q319,AI$4,AI$5)"),"")</f>
        <v/>
      </c>
      <c r="AJ206" s="527"/>
      <c r="AK2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5-3'!$D$11:$Q319,AK$4,AK$5)"),"")</f>
        <v/>
      </c>
      <c r="AL206" s="527"/>
      <c r="AM2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5-3'!$D$11:$Q319,AM$4,AM$5)"),"")</f>
        <v/>
      </c>
      <c r="AN206" s="529"/>
      <c r="AO2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5-3'!$D$11:$Q319,AO$4,AO$5)"),"")</f>
        <v/>
      </c>
      <c r="AP206" s="527"/>
      <c r="AQ206" s="527"/>
      <c r="AR206" s="527"/>
      <c r="AS206" s="527"/>
      <c r="AT2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5-3'!$D$11:$Q319,AT$4,AT$5)"),"")</f>
        <v/>
      </c>
      <c r="AU206" s="531"/>
      <c r="AV2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5-3'!$D$11:$Q319,AV$4,AV$5)"),"")</f>
        <v/>
      </c>
      <c r="AW206" s="530"/>
      <c r="AX2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5-3'!$D$11:$Q319,AX$4,AX$5)"),"")</f>
        <v/>
      </c>
      <c r="AY206" s="530"/>
      <c r="AZ2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5-3'!$D$11:$Q319,AZ$4,AZ$5)"),"")</f>
        <v/>
      </c>
      <c r="BA206" s="530"/>
      <c r="BB2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5-3'!$D$11:$Q319,BB$4,BB$5)"),"")</f>
        <v/>
      </c>
      <c r="BC206" s="532"/>
      <c r="BD2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5-3'!$D$11:$Q319,BD$4,BD$5)"),"")</f>
        <v/>
      </c>
      <c r="BE206" s="530"/>
      <c r="BF206" s="530"/>
      <c r="BG206" s="530"/>
      <c r="BH206" s="530"/>
      <c r="BI2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5-3'!$D$11:$Q319,BI$4,BI$5)"),"")</f>
        <v/>
      </c>
      <c r="BJ206" s="535"/>
      <c r="BK2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5-3'!$D$11:$Q319,BK$4,BK$5)"),"")</f>
        <v/>
      </c>
      <c r="BL206" s="534"/>
      <c r="BM2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5-3'!$D$11:$Q319,BM$4,BM$5)"),"")</f>
        <v/>
      </c>
      <c r="BN206" s="534"/>
      <c r="BO2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5-3'!$D$11:$Q319,BO$4,BO$5)"),"")</f>
        <v/>
      </c>
      <c r="BP206" s="534"/>
      <c r="BQ2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5-3'!$D$11:$Q319,BQ$4,BQ$5)"),"")</f>
        <v/>
      </c>
      <c r="BR206" s="536"/>
      <c r="BS2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5-3'!$D$11:$Q319,BS$4,BS$5)"),"")</f>
        <v/>
      </c>
      <c r="BT206" s="534"/>
      <c r="BU206" s="534"/>
      <c r="BV206" s="534"/>
      <c r="BW206" s="534"/>
      <c r="BX2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5-3'!$D$11:$Q319,BX$4,BX$5)"),"")</f>
        <v/>
      </c>
      <c r="BY206" s="538"/>
      <c r="BZ2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5-3'!$D$11:$Q319,BZ$4,BZ$5)"),"")</f>
        <v/>
      </c>
      <c r="CA206" s="537"/>
      <c r="CB2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5-3'!$D$11:$Q319,CB$4,CB$5)"),"")</f>
        <v/>
      </c>
      <c r="CC206" s="537"/>
      <c r="CD2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5-3'!$D$11:$Q319,CD$4,CD$5)"),"")</f>
        <v/>
      </c>
      <c r="CE206" s="537"/>
      <c r="CF2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5-3'!$D$11:$Q319,CF$4,CF$5)"),"")</f>
        <v/>
      </c>
      <c r="CG206" s="539"/>
      <c r="CH2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5-3'!$D$11:$Q319,CH$4,CH$5)"),"")</f>
        <v/>
      </c>
      <c r="CI206" s="537"/>
      <c r="CJ206" s="537"/>
      <c r="CK206" s="537"/>
      <c r="CL206" s="537"/>
      <c r="CM2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5-3'!$D$11:$Q319,CM$4,CM$5)"),"")</f>
        <v/>
      </c>
      <c r="CN206" s="541"/>
      <c r="CO2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5-3'!$D$11:$Q319,CO$4,CO$5)"),"")</f>
        <v/>
      </c>
      <c r="CP206" s="540"/>
      <c r="CQ2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5-3'!$D$11:$Q319,CQ$4,CQ$5)"),"")</f>
        <v/>
      </c>
      <c r="CR206" s="540"/>
      <c r="CS2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5-3'!$D$11:$Q319,CS$4,CS$5)"),"")</f>
        <v/>
      </c>
      <c r="CT206" s="540"/>
      <c r="CU2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5-3'!$D$11:$Q319,CU$4,CU$5)"),"")</f>
        <v/>
      </c>
      <c r="CV206" s="545"/>
      <c r="CW2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5-3'!$D$11:$Q319,CW$4,CW$5)"),"")</f>
        <v/>
      </c>
      <c r="CX206" s="540"/>
      <c r="CY206" s="540"/>
      <c r="CZ206" s="540"/>
      <c r="DA206" s="540"/>
      <c r="DB2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5-3'!$D$11:$Q319,DB$4,DB$5)"),"")</f>
        <v/>
      </c>
      <c r="DC206" s="555"/>
      <c r="DD2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5-3'!$D$11:$Q319,DD$4,DD$5)"),"")</f>
        <v/>
      </c>
      <c r="DE206" s="554"/>
      <c r="DF2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5-3'!$D$11:$Q319,DF$4,DF$5)"),"")</f>
        <v/>
      </c>
      <c r="DG206" s="554"/>
      <c r="DH2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5-3'!$D$11:$Q319,DH$4,DH$5)"),"")</f>
        <v/>
      </c>
      <c r="DI206" s="554"/>
      <c r="DJ2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5-3'!$D$11:$Q319,DJ$4,DJ$5)"),"")</f>
        <v/>
      </c>
      <c r="DK206" s="566"/>
      <c r="DL2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5-3'!$D$11:$Q319,DL$4,DL$5)"),"")</f>
        <v/>
      </c>
      <c r="DM206" s="554"/>
      <c r="DN206" s="554"/>
      <c r="DO206" s="554"/>
      <c r="DP206" s="554"/>
      <c r="DQ2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5-3'!$D$11:$Q319,DQ$4,DQ$5)"),"")</f>
        <v/>
      </c>
      <c r="DR206" s="569"/>
      <c r="DS2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5-3'!$D$11:$Q319,DS$4,DS$5)"),"")</f>
        <v/>
      </c>
      <c r="DT206" s="568"/>
      <c r="DU2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5-3'!$D$11:$Q319,DU$4,DU$5)"),"")</f>
        <v/>
      </c>
      <c r="DV206" s="568"/>
      <c r="DW2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5-3'!$D$11:$Q319,DW$4,DW$5)"),"")</f>
        <v/>
      </c>
      <c r="DX206" s="568"/>
      <c r="DY2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5-3'!$D$11:$Q319,DY$4,DY$5)"),"")</f>
        <v/>
      </c>
      <c r="DZ206" s="578"/>
      <c r="EA2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$C206, 'S-10 Топ 5-3'!$D$11:$Q319,EA$4,EA$5)"),"")</f>
        <v/>
      </c>
      <c r="EB206" s="568"/>
      <c r="EC206" s="568"/>
      <c r="ED206" s="568"/>
      <c r="EE206" s="568"/>
    </row>
    <row r="207">
      <c r="A207" s="519" t="str">
        <f t="shared" si="1"/>
        <v/>
      </c>
      <c r="B207" s="520" t="str">
        <f>'5-0 Товары'!B207</f>
        <v/>
      </c>
      <c r="C207" s="521" t="str">
        <f>'5-1 Сбор КП Закупки'!C207</f>
        <v/>
      </c>
      <c r="D207" s="521" t="str">
        <f>'5-1 Сбор КП Закупки'!D207</f>
        <v/>
      </c>
      <c r="E207" s="521" t="str">
        <f>'5-1 Сбор КП Закупки'!E207</f>
        <v/>
      </c>
      <c r="F207" s="521" t="str">
        <f>'5-1 Сбор КП Закупки'!F207</f>
        <v/>
      </c>
      <c r="G207" s="522" t="str">
        <f>'5-1 Сбор КП Закупки'!G207</f>
        <v/>
      </c>
      <c r="H207" s="522" t="str">
        <f>'5-1 Сбор КП Закупки'!H207</f>
        <v/>
      </c>
      <c r="I207" s="522" t="str">
        <f>'5-1 Сбор КП Закупки'!I207</f>
        <v/>
      </c>
      <c r="J207" s="197"/>
      <c r="K207" s="522" t="str">
        <f>'5-1 Сбор КП Закупки'!G207</f>
        <v/>
      </c>
      <c r="L207" s="523" t="str">
        <f>IF(A207="Да",'5-1 Сбор КП Закупки'!K207,)</f>
        <v/>
      </c>
      <c r="M207" s="197"/>
      <c r="N207" s="197"/>
      <c r="O207" s="197"/>
      <c r="P207" s="525" t="str">
        <f>'5-1 Сбор КП Закупки'!P207</f>
        <v/>
      </c>
      <c r="Q207" s="197"/>
      <c r="R207" s="197"/>
      <c r="S207" s="197"/>
      <c r="T207" s="197"/>
      <c r="U207" s="197"/>
      <c r="V207" s="197"/>
      <c r="W207" s="522" t="str">
        <f>'5-1 Сбор КП Закупки'!O207</f>
        <v/>
      </c>
      <c r="X207" s="197"/>
      <c r="Y207" s="197"/>
      <c r="Z207" s="197"/>
      <c r="AA207" s="197"/>
      <c r="AB207" s="197">
        <v>0.0</v>
      </c>
      <c r="AC207" s="197"/>
      <c r="AD207" s="197"/>
      <c r="AE2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5-3'!$D$11:$Q319,AE$4,AE$5)"),"")</f>
        <v/>
      </c>
      <c r="AF207" s="528"/>
      <c r="AG2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5-3'!$D$11:$Q319,AG$4,AG$5)"),"")</f>
        <v/>
      </c>
      <c r="AH207" s="527"/>
      <c r="AI2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5-3'!$D$11:$Q319,AI$4,AI$5)"),"")</f>
        <v/>
      </c>
      <c r="AJ207" s="527"/>
      <c r="AK2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5-3'!$D$11:$Q319,AK$4,AK$5)"),"")</f>
        <v/>
      </c>
      <c r="AL207" s="527"/>
      <c r="AM2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5-3'!$D$11:$Q319,AM$4,AM$5)"),"")</f>
        <v/>
      </c>
      <c r="AN207" s="529"/>
      <c r="AO2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5-3'!$D$11:$Q319,AO$4,AO$5)"),"")</f>
        <v/>
      </c>
      <c r="AP207" s="527"/>
      <c r="AQ207" s="527"/>
      <c r="AR207" s="527"/>
      <c r="AS207" s="527"/>
      <c r="AT2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5-3'!$D$11:$Q319,AT$4,AT$5)"),"")</f>
        <v/>
      </c>
      <c r="AU207" s="531"/>
      <c r="AV2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5-3'!$D$11:$Q319,AV$4,AV$5)"),"")</f>
        <v/>
      </c>
      <c r="AW207" s="530"/>
      <c r="AX2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5-3'!$D$11:$Q319,AX$4,AX$5)"),"")</f>
        <v/>
      </c>
      <c r="AY207" s="530"/>
      <c r="AZ2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5-3'!$D$11:$Q319,AZ$4,AZ$5)"),"")</f>
        <v/>
      </c>
      <c r="BA207" s="530"/>
      <c r="BB2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5-3'!$D$11:$Q319,BB$4,BB$5)"),"")</f>
        <v/>
      </c>
      <c r="BC207" s="532"/>
      <c r="BD2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5-3'!$D$11:$Q319,BD$4,BD$5)"),"")</f>
        <v/>
      </c>
      <c r="BE207" s="530"/>
      <c r="BF207" s="530"/>
      <c r="BG207" s="530"/>
      <c r="BH207" s="530"/>
      <c r="BI2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5-3'!$D$11:$Q319,BI$4,BI$5)"),"")</f>
        <v/>
      </c>
      <c r="BJ207" s="535"/>
      <c r="BK2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5-3'!$D$11:$Q319,BK$4,BK$5)"),"")</f>
        <v/>
      </c>
      <c r="BL207" s="534"/>
      <c r="BM2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5-3'!$D$11:$Q319,BM$4,BM$5)"),"")</f>
        <v/>
      </c>
      <c r="BN207" s="534"/>
      <c r="BO2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5-3'!$D$11:$Q319,BO$4,BO$5)"),"")</f>
        <v/>
      </c>
      <c r="BP207" s="534"/>
      <c r="BQ2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5-3'!$D$11:$Q319,BQ$4,BQ$5)"),"")</f>
        <v/>
      </c>
      <c r="BR207" s="536"/>
      <c r="BS2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5-3'!$D$11:$Q319,BS$4,BS$5)"),"")</f>
        <v/>
      </c>
      <c r="BT207" s="534"/>
      <c r="BU207" s="534"/>
      <c r="BV207" s="534"/>
      <c r="BW207" s="534"/>
      <c r="BX2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5-3'!$D$11:$Q319,BX$4,BX$5)"),"")</f>
        <v/>
      </c>
      <c r="BY207" s="538"/>
      <c r="BZ2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5-3'!$D$11:$Q319,BZ$4,BZ$5)"),"")</f>
        <v/>
      </c>
      <c r="CA207" s="537"/>
      <c r="CB2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5-3'!$D$11:$Q319,CB$4,CB$5)"),"")</f>
        <v/>
      </c>
      <c r="CC207" s="537"/>
      <c r="CD2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5-3'!$D$11:$Q319,CD$4,CD$5)"),"")</f>
        <v/>
      </c>
      <c r="CE207" s="537"/>
      <c r="CF2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5-3'!$D$11:$Q319,CF$4,CF$5)"),"")</f>
        <v/>
      </c>
      <c r="CG207" s="539"/>
      <c r="CH2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5-3'!$D$11:$Q319,CH$4,CH$5)"),"")</f>
        <v/>
      </c>
      <c r="CI207" s="537"/>
      <c r="CJ207" s="537"/>
      <c r="CK207" s="537"/>
      <c r="CL207" s="537"/>
      <c r="CM2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5-3'!$D$11:$Q319,CM$4,CM$5)"),"")</f>
        <v/>
      </c>
      <c r="CN207" s="541"/>
      <c r="CO2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5-3'!$D$11:$Q319,CO$4,CO$5)"),"")</f>
        <v/>
      </c>
      <c r="CP207" s="540"/>
      <c r="CQ2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5-3'!$D$11:$Q319,CQ$4,CQ$5)"),"")</f>
        <v/>
      </c>
      <c r="CR207" s="540"/>
      <c r="CS2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5-3'!$D$11:$Q319,CS$4,CS$5)"),"")</f>
        <v/>
      </c>
      <c r="CT207" s="540"/>
      <c r="CU2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5-3'!$D$11:$Q319,CU$4,CU$5)"),"")</f>
        <v/>
      </c>
      <c r="CV207" s="545"/>
      <c r="CW2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5-3'!$D$11:$Q319,CW$4,CW$5)"),"")</f>
        <v/>
      </c>
      <c r="CX207" s="540"/>
      <c r="CY207" s="540"/>
      <c r="CZ207" s="540"/>
      <c r="DA207" s="540"/>
      <c r="DB2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5-3'!$D$11:$Q319,DB$4,DB$5)"),"")</f>
        <v/>
      </c>
      <c r="DC207" s="555"/>
      <c r="DD2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5-3'!$D$11:$Q319,DD$4,DD$5)"),"")</f>
        <v/>
      </c>
      <c r="DE207" s="554"/>
      <c r="DF2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5-3'!$D$11:$Q319,DF$4,DF$5)"),"")</f>
        <v/>
      </c>
      <c r="DG207" s="554"/>
      <c r="DH2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5-3'!$D$11:$Q319,DH$4,DH$5)"),"")</f>
        <v/>
      </c>
      <c r="DI207" s="554"/>
      <c r="DJ2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5-3'!$D$11:$Q319,DJ$4,DJ$5)"),"")</f>
        <v/>
      </c>
      <c r="DK207" s="566"/>
      <c r="DL2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5-3'!$D$11:$Q319,DL$4,DL$5)"),"")</f>
        <v/>
      </c>
      <c r="DM207" s="554"/>
      <c r="DN207" s="554"/>
      <c r="DO207" s="554"/>
      <c r="DP207" s="554"/>
      <c r="DQ2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5-3'!$D$11:$Q319,DQ$4,DQ$5)"),"")</f>
        <v/>
      </c>
      <c r="DR207" s="569"/>
      <c r="DS2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5-3'!$D$11:$Q319,DS$4,DS$5)"),"")</f>
        <v/>
      </c>
      <c r="DT207" s="568"/>
      <c r="DU2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5-3'!$D$11:$Q319,DU$4,DU$5)"),"")</f>
        <v/>
      </c>
      <c r="DV207" s="568"/>
      <c r="DW2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5-3'!$D$11:$Q319,DW$4,DW$5)"),"")</f>
        <v/>
      </c>
      <c r="DX207" s="568"/>
      <c r="DY2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5-3'!$D$11:$Q319,DY$4,DY$5)"),"")</f>
        <v/>
      </c>
      <c r="DZ207" s="578"/>
      <c r="EA2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$C207, 'S-10 Топ 5-3'!$D$11:$Q319,EA$4,EA$5)"),"")</f>
        <v/>
      </c>
      <c r="EB207" s="568"/>
      <c r="EC207" s="568"/>
      <c r="ED207" s="568"/>
      <c r="EE207" s="568"/>
    </row>
    <row r="208">
      <c r="A208" s="519" t="str">
        <f t="shared" si="1"/>
        <v/>
      </c>
      <c r="B208" s="520" t="str">
        <f>'5-0 Товары'!B208</f>
        <v/>
      </c>
      <c r="C208" s="521" t="str">
        <f>'5-1 Сбор КП Закупки'!C208</f>
        <v/>
      </c>
      <c r="D208" s="521" t="str">
        <f>'5-1 Сбор КП Закупки'!D208</f>
        <v/>
      </c>
      <c r="E208" s="521" t="str">
        <f>'5-1 Сбор КП Закупки'!E208</f>
        <v/>
      </c>
      <c r="F208" s="521" t="str">
        <f>'5-1 Сбор КП Закупки'!F208</f>
        <v/>
      </c>
      <c r="G208" s="522" t="str">
        <f>'5-1 Сбор КП Закупки'!G208</f>
        <v/>
      </c>
      <c r="H208" s="522" t="str">
        <f>'5-1 Сбор КП Закупки'!H208</f>
        <v/>
      </c>
      <c r="I208" s="522" t="str">
        <f>'5-1 Сбор КП Закупки'!I208</f>
        <v/>
      </c>
      <c r="J208" s="197"/>
      <c r="K208" s="522" t="str">
        <f>'5-1 Сбор КП Закупки'!G208</f>
        <v/>
      </c>
      <c r="L208" s="523" t="str">
        <f>IF(A208="Да",'5-1 Сбор КП Закупки'!K208,)</f>
        <v/>
      </c>
      <c r="M208" s="197"/>
      <c r="N208" s="197"/>
      <c r="O208" s="197"/>
      <c r="P208" s="525" t="str">
        <f>'5-1 Сбор КП Закупки'!P208</f>
        <v/>
      </c>
      <c r="Q208" s="197"/>
      <c r="R208" s="197"/>
      <c r="S208" s="197"/>
      <c r="T208" s="197"/>
      <c r="U208" s="197"/>
      <c r="V208" s="197"/>
      <c r="W208" s="522" t="str">
        <f>'5-1 Сбор КП Закупки'!O208</f>
        <v/>
      </c>
      <c r="X208" s="197"/>
      <c r="Y208" s="197"/>
      <c r="Z208" s="197"/>
      <c r="AA208" s="197"/>
      <c r="AB208" s="197">
        <v>0.0</v>
      </c>
      <c r="AC208" s="197"/>
      <c r="AD208" s="197"/>
      <c r="AE2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5-3'!$D$11:$Q319,AE$4,AE$5)"),"")</f>
        <v/>
      </c>
      <c r="AF208" s="528"/>
      <c r="AG2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5-3'!$D$11:$Q319,AG$4,AG$5)"),"")</f>
        <v/>
      </c>
      <c r="AH208" s="527"/>
      <c r="AI2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5-3'!$D$11:$Q319,AI$4,AI$5)"),"")</f>
        <v/>
      </c>
      <c r="AJ208" s="527"/>
      <c r="AK2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5-3'!$D$11:$Q319,AK$4,AK$5)"),"")</f>
        <v/>
      </c>
      <c r="AL208" s="527"/>
      <c r="AM2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5-3'!$D$11:$Q319,AM$4,AM$5)"),"")</f>
        <v/>
      </c>
      <c r="AN208" s="529"/>
      <c r="AO2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5-3'!$D$11:$Q319,AO$4,AO$5)"),"")</f>
        <v/>
      </c>
      <c r="AP208" s="527"/>
      <c r="AQ208" s="527"/>
      <c r="AR208" s="527"/>
      <c r="AS208" s="527"/>
      <c r="AT2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5-3'!$D$11:$Q319,AT$4,AT$5)"),"")</f>
        <v/>
      </c>
      <c r="AU208" s="531"/>
      <c r="AV2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5-3'!$D$11:$Q319,AV$4,AV$5)"),"")</f>
        <v/>
      </c>
      <c r="AW208" s="530"/>
      <c r="AX2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5-3'!$D$11:$Q319,AX$4,AX$5)"),"")</f>
        <v/>
      </c>
      <c r="AY208" s="530"/>
      <c r="AZ2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5-3'!$D$11:$Q319,AZ$4,AZ$5)"),"")</f>
        <v/>
      </c>
      <c r="BA208" s="530"/>
      <c r="BB2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5-3'!$D$11:$Q319,BB$4,BB$5)"),"")</f>
        <v/>
      </c>
      <c r="BC208" s="532"/>
      <c r="BD2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5-3'!$D$11:$Q319,BD$4,BD$5)"),"")</f>
        <v/>
      </c>
      <c r="BE208" s="530"/>
      <c r="BF208" s="530"/>
      <c r="BG208" s="530"/>
      <c r="BH208" s="530"/>
      <c r="BI2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5-3'!$D$11:$Q319,BI$4,BI$5)"),"")</f>
        <v/>
      </c>
      <c r="BJ208" s="535"/>
      <c r="BK2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5-3'!$D$11:$Q319,BK$4,BK$5)"),"")</f>
        <v/>
      </c>
      <c r="BL208" s="534"/>
      <c r="BM2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5-3'!$D$11:$Q319,BM$4,BM$5)"),"")</f>
        <v/>
      </c>
      <c r="BN208" s="534"/>
      <c r="BO2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5-3'!$D$11:$Q319,BO$4,BO$5)"),"")</f>
        <v/>
      </c>
      <c r="BP208" s="534"/>
      <c r="BQ2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5-3'!$D$11:$Q319,BQ$4,BQ$5)"),"")</f>
        <v/>
      </c>
      <c r="BR208" s="536"/>
      <c r="BS2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5-3'!$D$11:$Q319,BS$4,BS$5)"),"")</f>
        <v/>
      </c>
      <c r="BT208" s="534"/>
      <c r="BU208" s="534"/>
      <c r="BV208" s="534"/>
      <c r="BW208" s="534"/>
      <c r="BX2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5-3'!$D$11:$Q319,BX$4,BX$5)"),"")</f>
        <v/>
      </c>
      <c r="BY208" s="538"/>
      <c r="BZ2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5-3'!$D$11:$Q319,BZ$4,BZ$5)"),"")</f>
        <v/>
      </c>
      <c r="CA208" s="537"/>
      <c r="CB2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5-3'!$D$11:$Q319,CB$4,CB$5)"),"")</f>
        <v/>
      </c>
      <c r="CC208" s="537"/>
      <c r="CD2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5-3'!$D$11:$Q319,CD$4,CD$5)"),"")</f>
        <v/>
      </c>
      <c r="CE208" s="537"/>
      <c r="CF2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5-3'!$D$11:$Q319,CF$4,CF$5)"),"")</f>
        <v/>
      </c>
      <c r="CG208" s="539"/>
      <c r="CH2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5-3'!$D$11:$Q319,CH$4,CH$5)"),"")</f>
        <v/>
      </c>
      <c r="CI208" s="537"/>
      <c r="CJ208" s="537"/>
      <c r="CK208" s="537"/>
      <c r="CL208" s="537"/>
      <c r="CM2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5-3'!$D$11:$Q319,CM$4,CM$5)"),"")</f>
        <v/>
      </c>
      <c r="CN208" s="541"/>
      <c r="CO2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5-3'!$D$11:$Q319,CO$4,CO$5)"),"")</f>
        <v/>
      </c>
      <c r="CP208" s="540"/>
      <c r="CQ2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5-3'!$D$11:$Q319,CQ$4,CQ$5)"),"")</f>
        <v/>
      </c>
      <c r="CR208" s="540"/>
      <c r="CS2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5-3'!$D$11:$Q319,CS$4,CS$5)"),"")</f>
        <v/>
      </c>
      <c r="CT208" s="540"/>
      <c r="CU2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5-3'!$D$11:$Q319,CU$4,CU$5)"),"")</f>
        <v/>
      </c>
      <c r="CV208" s="545"/>
      <c r="CW2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5-3'!$D$11:$Q319,CW$4,CW$5)"),"")</f>
        <v/>
      </c>
      <c r="CX208" s="540"/>
      <c r="CY208" s="540"/>
      <c r="CZ208" s="540"/>
      <c r="DA208" s="540"/>
      <c r="DB2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5-3'!$D$11:$Q319,DB$4,DB$5)"),"")</f>
        <v/>
      </c>
      <c r="DC208" s="555"/>
      <c r="DD2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5-3'!$D$11:$Q319,DD$4,DD$5)"),"")</f>
        <v/>
      </c>
      <c r="DE208" s="554"/>
      <c r="DF2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5-3'!$D$11:$Q319,DF$4,DF$5)"),"")</f>
        <v/>
      </c>
      <c r="DG208" s="554"/>
      <c r="DH2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5-3'!$D$11:$Q319,DH$4,DH$5)"),"")</f>
        <v/>
      </c>
      <c r="DI208" s="554"/>
      <c r="DJ2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5-3'!$D$11:$Q319,DJ$4,DJ$5)"),"")</f>
        <v/>
      </c>
      <c r="DK208" s="566"/>
      <c r="DL2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5-3'!$D$11:$Q319,DL$4,DL$5)"),"")</f>
        <v/>
      </c>
      <c r="DM208" s="554"/>
      <c r="DN208" s="554"/>
      <c r="DO208" s="554"/>
      <c r="DP208" s="554"/>
      <c r="DQ2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5-3'!$D$11:$Q319,DQ$4,DQ$5)"),"")</f>
        <v/>
      </c>
      <c r="DR208" s="569"/>
      <c r="DS2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5-3'!$D$11:$Q319,DS$4,DS$5)"),"")</f>
        <v/>
      </c>
      <c r="DT208" s="568"/>
      <c r="DU2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5-3'!$D$11:$Q319,DU$4,DU$5)"),"")</f>
        <v/>
      </c>
      <c r="DV208" s="568"/>
      <c r="DW2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5-3'!$D$11:$Q319,DW$4,DW$5)"),"")</f>
        <v/>
      </c>
      <c r="DX208" s="568"/>
      <c r="DY2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5-3'!$D$11:$Q319,DY$4,DY$5)"),"")</f>
        <v/>
      </c>
      <c r="DZ208" s="578"/>
      <c r="EA2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$C208, 'S-10 Топ 5-3'!$D$11:$Q319,EA$4,EA$5)"),"")</f>
        <v/>
      </c>
      <c r="EB208" s="568"/>
      <c r="EC208" s="568"/>
      <c r="ED208" s="568"/>
      <c r="EE208" s="568"/>
    </row>
    <row r="209">
      <c r="A209" s="519" t="str">
        <f t="shared" si="1"/>
        <v/>
      </c>
      <c r="B209" s="520" t="str">
        <f>'5-0 Товары'!B209</f>
        <v/>
      </c>
      <c r="C209" s="521" t="str">
        <f>'5-1 Сбор КП Закупки'!C209</f>
        <v/>
      </c>
      <c r="D209" s="521" t="str">
        <f>'5-1 Сбор КП Закупки'!D209</f>
        <v/>
      </c>
      <c r="E209" s="521" t="str">
        <f>'5-1 Сбор КП Закупки'!E209</f>
        <v/>
      </c>
      <c r="F209" s="521" t="str">
        <f>'5-1 Сбор КП Закупки'!F209</f>
        <v/>
      </c>
      <c r="G209" s="522" t="str">
        <f>'5-1 Сбор КП Закупки'!G209</f>
        <v/>
      </c>
      <c r="H209" s="522" t="str">
        <f>'5-1 Сбор КП Закупки'!H209</f>
        <v/>
      </c>
      <c r="I209" s="522" t="str">
        <f>'5-1 Сбор КП Закупки'!I209</f>
        <v/>
      </c>
      <c r="J209" s="197"/>
      <c r="K209" s="522" t="str">
        <f>'5-1 Сбор КП Закупки'!G209</f>
        <v/>
      </c>
      <c r="L209" s="523" t="str">
        <f>IF(A209="Да",'5-1 Сбор КП Закупки'!K209,)</f>
        <v/>
      </c>
      <c r="M209" s="197"/>
      <c r="N209" s="197"/>
      <c r="O209" s="197"/>
      <c r="P209" s="525" t="str">
        <f>'5-1 Сбор КП Закупки'!P209</f>
        <v/>
      </c>
      <c r="Q209" s="197"/>
      <c r="R209" s="197"/>
      <c r="S209" s="197"/>
      <c r="T209" s="197"/>
      <c r="U209" s="197"/>
      <c r="V209" s="197"/>
      <c r="W209" s="522" t="str">
        <f>'5-1 Сбор КП Закупки'!O209</f>
        <v/>
      </c>
      <c r="X209" s="197"/>
      <c r="Y209" s="197"/>
      <c r="Z209" s="197"/>
      <c r="AA209" s="197"/>
      <c r="AB209" s="197">
        <v>0.0</v>
      </c>
      <c r="AC209" s="197"/>
      <c r="AD209" s="197"/>
      <c r="AE2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5-3'!$D$11:$Q319,AE$4,AE$5)"),"")</f>
        <v/>
      </c>
      <c r="AF209" s="528"/>
      <c r="AG2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5-3'!$D$11:$Q319,AG$4,AG$5)"),"")</f>
        <v/>
      </c>
      <c r="AH209" s="527"/>
      <c r="AI2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5-3'!$D$11:$Q319,AI$4,AI$5)"),"")</f>
        <v/>
      </c>
      <c r="AJ209" s="527"/>
      <c r="AK2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5-3'!$D$11:$Q319,AK$4,AK$5)"),"")</f>
        <v/>
      </c>
      <c r="AL209" s="527"/>
      <c r="AM2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5-3'!$D$11:$Q319,AM$4,AM$5)"),"")</f>
        <v/>
      </c>
      <c r="AN209" s="529"/>
      <c r="AO2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5-3'!$D$11:$Q319,AO$4,AO$5)"),"")</f>
        <v/>
      </c>
      <c r="AP209" s="527"/>
      <c r="AQ209" s="527"/>
      <c r="AR209" s="527"/>
      <c r="AS209" s="527"/>
      <c r="AT2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5-3'!$D$11:$Q319,AT$4,AT$5)"),"")</f>
        <v/>
      </c>
      <c r="AU209" s="531"/>
      <c r="AV2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5-3'!$D$11:$Q319,AV$4,AV$5)"),"")</f>
        <v/>
      </c>
      <c r="AW209" s="530"/>
      <c r="AX2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5-3'!$D$11:$Q319,AX$4,AX$5)"),"")</f>
        <v/>
      </c>
      <c r="AY209" s="530"/>
      <c r="AZ2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5-3'!$D$11:$Q319,AZ$4,AZ$5)"),"")</f>
        <v/>
      </c>
      <c r="BA209" s="530"/>
      <c r="BB2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5-3'!$D$11:$Q319,BB$4,BB$5)"),"")</f>
        <v/>
      </c>
      <c r="BC209" s="532"/>
      <c r="BD2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5-3'!$D$11:$Q319,BD$4,BD$5)"),"")</f>
        <v/>
      </c>
      <c r="BE209" s="530"/>
      <c r="BF209" s="530"/>
      <c r="BG209" s="530"/>
      <c r="BH209" s="530"/>
      <c r="BI2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5-3'!$D$11:$Q319,BI$4,BI$5)"),"")</f>
        <v/>
      </c>
      <c r="BJ209" s="535"/>
      <c r="BK2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5-3'!$D$11:$Q319,BK$4,BK$5)"),"")</f>
        <v/>
      </c>
      <c r="BL209" s="534"/>
      <c r="BM2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5-3'!$D$11:$Q319,BM$4,BM$5)"),"")</f>
        <v/>
      </c>
      <c r="BN209" s="534"/>
      <c r="BO2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5-3'!$D$11:$Q319,BO$4,BO$5)"),"")</f>
        <v/>
      </c>
      <c r="BP209" s="534"/>
      <c r="BQ2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5-3'!$D$11:$Q319,BQ$4,BQ$5)"),"")</f>
        <v/>
      </c>
      <c r="BR209" s="536"/>
      <c r="BS2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5-3'!$D$11:$Q319,BS$4,BS$5)"),"")</f>
        <v/>
      </c>
      <c r="BT209" s="534"/>
      <c r="BU209" s="534"/>
      <c r="BV209" s="534"/>
      <c r="BW209" s="534"/>
      <c r="BX2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5-3'!$D$11:$Q319,BX$4,BX$5)"),"")</f>
        <v/>
      </c>
      <c r="BY209" s="538"/>
      <c r="BZ2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5-3'!$D$11:$Q319,BZ$4,BZ$5)"),"")</f>
        <v/>
      </c>
      <c r="CA209" s="537"/>
      <c r="CB2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5-3'!$D$11:$Q319,CB$4,CB$5)"),"")</f>
        <v/>
      </c>
      <c r="CC209" s="537"/>
      <c r="CD2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5-3'!$D$11:$Q319,CD$4,CD$5)"),"")</f>
        <v/>
      </c>
      <c r="CE209" s="537"/>
      <c r="CF2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5-3'!$D$11:$Q319,CF$4,CF$5)"),"")</f>
        <v/>
      </c>
      <c r="CG209" s="539"/>
      <c r="CH2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5-3'!$D$11:$Q319,CH$4,CH$5)"),"")</f>
        <v/>
      </c>
      <c r="CI209" s="537"/>
      <c r="CJ209" s="537"/>
      <c r="CK209" s="537"/>
      <c r="CL209" s="537"/>
      <c r="CM2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5-3'!$D$11:$Q319,CM$4,CM$5)"),"")</f>
        <v/>
      </c>
      <c r="CN209" s="541"/>
      <c r="CO2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5-3'!$D$11:$Q319,CO$4,CO$5)"),"")</f>
        <v/>
      </c>
      <c r="CP209" s="540"/>
      <c r="CQ2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5-3'!$D$11:$Q319,CQ$4,CQ$5)"),"")</f>
        <v/>
      </c>
      <c r="CR209" s="540"/>
      <c r="CS2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5-3'!$D$11:$Q319,CS$4,CS$5)"),"")</f>
        <v/>
      </c>
      <c r="CT209" s="540"/>
      <c r="CU2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5-3'!$D$11:$Q319,CU$4,CU$5)"),"")</f>
        <v/>
      </c>
      <c r="CV209" s="545"/>
      <c r="CW2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5-3'!$D$11:$Q319,CW$4,CW$5)"),"")</f>
        <v/>
      </c>
      <c r="CX209" s="540"/>
      <c r="CY209" s="540"/>
      <c r="CZ209" s="540"/>
      <c r="DA209" s="540"/>
      <c r="DB2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5-3'!$D$11:$Q319,DB$4,DB$5)"),"")</f>
        <v/>
      </c>
      <c r="DC209" s="555"/>
      <c r="DD2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5-3'!$D$11:$Q319,DD$4,DD$5)"),"")</f>
        <v/>
      </c>
      <c r="DE209" s="554"/>
      <c r="DF2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5-3'!$D$11:$Q319,DF$4,DF$5)"),"")</f>
        <v/>
      </c>
      <c r="DG209" s="554"/>
      <c r="DH2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5-3'!$D$11:$Q319,DH$4,DH$5)"),"")</f>
        <v/>
      </c>
      <c r="DI209" s="554"/>
      <c r="DJ2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5-3'!$D$11:$Q319,DJ$4,DJ$5)"),"")</f>
        <v/>
      </c>
      <c r="DK209" s="566"/>
      <c r="DL2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5-3'!$D$11:$Q319,DL$4,DL$5)"),"")</f>
        <v/>
      </c>
      <c r="DM209" s="554"/>
      <c r="DN209" s="554"/>
      <c r="DO209" s="554"/>
      <c r="DP209" s="554"/>
      <c r="DQ2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5-3'!$D$11:$Q319,DQ$4,DQ$5)"),"")</f>
        <v/>
      </c>
      <c r="DR209" s="569"/>
      <c r="DS2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5-3'!$D$11:$Q319,DS$4,DS$5)"),"")</f>
        <v/>
      </c>
      <c r="DT209" s="568"/>
      <c r="DU2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5-3'!$D$11:$Q319,DU$4,DU$5)"),"")</f>
        <v/>
      </c>
      <c r="DV209" s="568"/>
      <c r="DW2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5-3'!$D$11:$Q319,DW$4,DW$5)"),"")</f>
        <v/>
      </c>
      <c r="DX209" s="568"/>
      <c r="DY2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5-3'!$D$11:$Q319,DY$4,DY$5)"),"")</f>
        <v/>
      </c>
      <c r="DZ209" s="578"/>
      <c r="EA2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$C209, 'S-10 Топ 5-3'!$D$11:$Q319,EA$4,EA$5)"),"")</f>
        <v/>
      </c>
      <c r="EB209" s="568"/>
      <c r="EC209" s="568"/>
      <c r="ED209" s="568"/>
      <c r="EE209" s="568"/>
    </row>
    <row r="210">
      <c r="A210" s="519" t="str">
        <f t="shared" si="1"/>
        <v/>
      </c>
      <c r="B210" s="520" t="str">
        <f>'5-0 Товары'!B210</f>
        <v/>
      </c>
      <c r="C210" s="521" t="str">
        <f>'5-1 Сбор КП Закупки'!C210</f>
        <v/>
      </c>
      <c r="D210" s="521" t="str">
        <f>'5-1 Сбор КП Закупки'!D210</f>
        <v/>
      </c>
      <c r="E210" s="521" t="str">
        <f>'5-1 Сбор КП Закупки'!E210</f>
        <v/>
      </c>
      <c r="F210" s="521" t="str">
        <f>'5-1 Сбор КП Закупки'!F210</f>
        <v/>
      </c>
      <c r="G210" s="522" t="str">
        <f>'5-1 Сбор КП Закупки'!G210</f>
        <v/>
      </c>
      <c r="H210" s="522" t="str">
        <f>'5-1 Сбор КП Закупки'!H210</f>
        <v/>
      </c>
      <c r="I210" s="522" t="str">
        <f>'5-1 Сбор КП Закупки'!I210</f>
        <v/>
      </c>
      <c r="J210" s="197"/>
      <c r="K210" s="522" t="str">
        <f>'5-1 Сбор КП Закупки'!G210</f>
        <v/>
      </c>
      <c r="L210" s="523" t="str">
        <f>IF(A210="Да",'5-1 Сбор КП Закупки'!K210,)</f>
        <v/>
      </c>
      <c r="M210" s="197"/>
      <c r="N210" s="197"/>
      <c r="O210" s="197"/>
      <c r="P210" s="525" t="str">
        <f>'5-1 Сбор КП Закупки'!P210</f>
        <v/>
      </c>
      <c r="Q210" s="197"/>
      <c r="R210" s="197"/>
      <c r="S210" s="197"/>
      <c r="T210" s="197"/>
      <c r="U210" s="197"/>
      <c r="V210" s="197"/>
      <c r="W210" s="522" t="str">
        <f>'5-1 Сбор КП Закупки'!O210</f>
        <v/>
      </c>
      <c r="X210" s="197"/>
      <c r="Y210" s="197"/>
      <c r="Z210" s="197"/>
      <c r="AA210" s="197"/>
      <c r="AB210" s="197">
        <v>0.0</v>
      </c>
      <c r="AC210" s="197"/>
      <c r="AD210" s="197"/>
      <c r="AE2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5-3'!$D$11:$Q319,AE$4,AE$5)"),"")</f>
        <v/>
      </c>
      <c r="AF210" s="528"/>
      <c r="AG2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5-3'!$D$11:$Q319,AG$4,AG$5)"),"")</f>
        <v/>
      </c>
      <c r="AH210" s="527"/>
      <c r="AI2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5-3'!$D$11:$Q319,AI$4,AI$5)"),"")</f>
        <v/>
      </c>
      <c r="AJ210" s="527"/>
      <c r="AK2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5-3'!$D$11:$Q319,AK$4,AK$5)"),"")</f>
        <v/>
      </c>
      <c r="AL210" s="527"/>
      <c r="AM2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5-3'!$D$11:$Q319,AM$4,AM$5)"),"")</f>
        <v/>
      </c>
      <c r="AN210" s="529"/>
      <c r="AO2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5-3'!$D$11:$Q319,AO$4,AO$5)"),"")</f>
        <v/>
      </c>
      <c r="AP210" s="527"/>
      <c r="AQ210" s="527"/>
      <c r="AR210" s="527"/>
      <c r="AS210" s="527"/>
      <c r="AT2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5-3'!$D$11:$Q319,AT$4,AT$5)"),"")</f>
        <v/>
      </c>
      <c r="AU210" s="531"/>
      <c r="AV2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5-3'!$D$11:$Q319,AV$4,AV$5)"),"")</f>
        <v/>
      </c>
      <c r="AW210" s="530"/>
      <c r="AX2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5-3'!$D$11:$Q319,AX$4,AX$5)"),"")</f>
        <v/>
      </c>
      <c r="AY210" s="530"/>
      <c r="AZ2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5-3'!$D$11:$Q319,AZ$4,AZ$5)"),"")</f>
        <v/>
      </c>
      <c r="BA210" s="530"/>
      <c r="BB2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5-3'!$D$11:$Q319,BB$4,BB$5)"),"")</f>
        <v/>
      </c>
      <c r="BC210" s="532"/>
      <c r="BD2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5-3'!$D$11:$Q319,BD$4,BD$5)"),"")</f>
        <v/>
      </c>
      <c r="BE210" s="530"/>
      <c r="BF210" s="530"/>
      <c r="BG210" s="530"/>
      <c r="BH210" s="530"/>
      <c r="BI2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5-3'!$D$11:$Q319,BI$4,BI$5)"),"")</f>
        <v/>
      </c>
      <c r="BJ210" s="535"/>
      <c r="BK2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5-3'!$D$11:$Q319,BK$4,BK$5)"),"")</f>
        <v/>
      </c>
      <c r="BL210" s="534"/>
      <c r="BM2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5-3'!$D$11:$Q319,BM$4,BM$5)"),"")</f>
        <v/>
      </c>
      <c r="BN210" s="534"/>
      <c r="BO2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5-3'!$D$11:$Q319,BO$4,BO$5)"),"")</f>
        <v/>
      </c>
      <c r="BP210" s="534"/>
      <c r="BQ2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5-3'!$D$11:$Q319,BQ$4,BQ$5)"),"")</f>
        <v/>
      </c>
      <c r="BR210" s="536"/>
      <c r="BS2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5-3'!$D$11:$Q319,BS$4,BS$5)"),"")</f>
        <v/>
      </c>
      <c r="BT210" s="534"/>
      <c r="BU210" s="534"/>
      <c r="BV210" s="534"/>
      <c r="BW210" s="534"/>
      <c r="BX2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5-3'!$D$11:$Q319,BX$4,BX$5)"),"")</f>
        <v/>
      </c>
      <c r="BY210" s="538"/>
      <c r="BZ2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5-3'!$D$11:$Q319,BZ$4,BZ$5)"),"")</f>
        <v/>
      </c>
      <c r="CA210" s="537"/>
      <c r="CB2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5-3'!$D$11:$Q319,CB$4,CB$5)"),"")</f>
        <v/>
      </c>
      <c r="CC210" s="537"/>
      <c r="CD2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5-3'!$D$11:$Q319,CD$4,CD$5)"),"")</f>
        <v/>
      </c>
      <c r="CE210" s="537"/>
      <c r="CF2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5-3'!$D$11:$Q319,CF$4,CF$5)"),"")</f>
        <v/>
      </c>
      <c r="CG210" s="539"/>
      <c r="CH2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5-3'!$D$11:$Q319,CH$4,CH$5)"),"")</f>
        <v/>
      </c>
      <c r="CI210" s="537"/>
      <c r="CJ210" s="537"/>
      <c r="CK210" s="537"/>
      <c r="CL210" s="537"/>
      <c r="CM2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5-3'!$D$11:$Q319,CM$4,CM$5)"),"")</f>
        <v/>
      </c>
      <c r="CN210" s="541"/>
      <c r="CO2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5-3'!$D$11:$Q319,CO$4,CO$5)"),"")</f>
        <v/>
      </c>
      <c r="CP210" s="540"/>
      <c r="CQ2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5-3'!$D$11:$Q319,CQ$4,CQ$5)"),"")</f>
        <v/>
      </c>
      <c r="CR210" s="540"/>
      <c r="CS2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5-3'!$D$11:$Q319,CS$4,CS$5)"),"")</f>
        <v/>
      </c>
      <c r="CT210" s="540"/>
      <c r="CU2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5-3'!$D$11:$Q319,CU$4,CU$5)"),"")</f>
        <v/>
      </c>
      <c r="CV210" s="545"/>
      <c r="CW2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5-3'!$D$11:$Q319,CW$4,CW$5)"),"")</f>
        <v/>
      </c>
      <c r="CX210" s="540"/>
      <c r="CY210" s="540"/>
      <c r="CZ210" s="540"/>
      <c r="DA210" s="540"/>
      <c r="DB2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5-3'!$D$11:$Q319,DB$4,DB$5)"),"")</f>
        <v/>
      </c>
      <c r="DC210" s="555"/>
      <c r="DD2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5-3'!$D$11:$Q319,DD$4,DD$5)"),"")</f>
        <v/>
      </c>
      <c r="DE210" s="554"/>
      <c r="DF2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5-3'!$D$11:$Q319,DF$4,DF$5)"),"")</f>
        <v/>
      </c>
      <c r="DG210" s="554"/>
      <c r="DH2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5-3'!$D$11:$Q319,DH$4,DH$5)"),"")</f>
        <v/>
      </c>
      <c r="DI210" s="554"/>
      <c r="DJ2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5-3'!$D$11:$Q319,DJ$4,DJ$5)"),"")</f>
        <v/>
      </c>
      <c r="DK210" s="566"/>
      <c r="DL2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5-3'!$D$11:$Q319,DL$4,DL$5)"),"")</f>
        <v/>
      </c>
      <c r="DM210" s="554"/>
      <c r="DN210" s="554"/>
      <c r="DO210" s="554"/>
      <c r="DP210" s="554"/>
      <c r="DQ2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5-3'!$D$11:$Q319,DQ$4,DQ$5)"),"")</f>
        <v/>
      </c>
      <c r="DR210" s="569"/>
      <c r="DS2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5-3'!$D$11:$Q319,DS$4,DS$5)"),"")</f>
        <v/>
      </c>
      <c r="DT210" s="568"/>
      <c r="DU2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5-3'!$D$11:$Q319,DU$4,DU$5)"),"")</f>
        <v/>
      </c>
      <c r="DV210" s="568"/>
      <c r="DW2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5-3'!$D$11:$Q319,DW$4,DW$5)"),"")</f>
        <v/>
      </c>
      <c r="DX210" s="568"/>
      <c r="DY2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5-3'!$D$11:$Q319,DY$4,DY$5)"),"")</f>
        <v/>
      </c>
      <c r="DZ210" s="578"/>
      <c r="EA2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$C210, 'S-10 Топ 5-3'!$D$11:$Q319,EA$4,EA$5)"),"")</f>
        <v/>
      </c>
      <c r="EB210" s="568"/>
      <c r="EC210" s="568"/>
      <c r="ED210" s="568"/>
      <c r="EE210" s="568"/>
    </row>
    <row r="211">
      <c r="A211" s="519" t="str">
        <f t="shared" si="1"/>
        <v/>
      </c>
      <c r="B211" s="520" t="str">
        <f>'5-0 Товары'!B211</f>
        <v/>
      </c>
      <c r="C211" s="521" t="str">
        <f>'5-1 Сбор КП Закупки'!C211</f>
        <v/>
      </c>
      <c r="D211" s="521" t="str">
        <f>'5-1 Сбор КП Закупки'!D211</f>
        <v/>
      </c>
      <c r="E211" s="521" t="str">
        <f>'5-1 Сбор КП Закупки'!E211</f>
        <v/>
      </c>
      <c r="F211" s="521" t="str">
        <f>'5-1 Сбор КП Закупки'!F211</f>
        <v/>
      </c>
      <c r="G211" s="522" t="str">
        <f>'5-1 Сбор КП Закупки'!G211</f>
        <v/>
      </c>
      <c r="H211" s="522" t="str">
        <f>'5-1 Сбор КП Закупки'!H211</f>
        <v/>
      </c>
      <c r="I211" s="522" t="str">
        <f>'5-1 Сбор КП Закупки'!I211</f>
        <v/>
      </c>
      <c r="J211" s="197"/>
      <c r="K211" s="522" t="str">
        <f>'5-1 Сбор КП Закупки'!G211</f>
        <v/>
      </c>
      <c r="L211" s="523" t="str">
        <f>IF(A211="Да",'5-1 Сбор КП Закупки'!K211,)</f>
        <v/>
      </c>
      <c r="M211" s="197"/>
      <c r="N211" s="197"/>
      <c r="O211" s="197"/>
      <c r="P211" s="525" t="str">
        <f>'5-1 Сбор КП Закупки'!P211</f>
        <v/>
      </c>
      <c r="Q211" s="197"/>
      <c r="R211" s="197"/>
      <c r="S211" s="197"/>
      <c r="T211" s="197"/>
      <c r="U211" s="197"/>
      <c r="V211" s="197"/>
      <c r="W211" s="522" t="str">
        <f>'5-1 Сбор КП Закупки'!O211</f>
        <v/>
      </c>
      <c r="X211" s="197"/>
      <c r="Y211" s="197"/>
      <c r="Z211" s="197"/>
      <c r="AA211" s="197"/>
      <c r="AB211" s="197">
        <v>0.0</v>
      </c>
      <c r="AC211" s="197"/>
      <c r="AD211" s="197"/>
      <c r="AE2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5-3'!$D$11:$Q319,AE$4,AE$5)"),"")</f>
        <v/>
      </c>
      <c r="AF211" s="528"/>
      <c r="AG2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5-3'!$D$11:$Q319,AG$4,AG$5)"),"")</f>
        <v/>
      </c>
      <c r="AH211" s="527"/>
      <c r="AI2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5-3'!$D$11:$Q319,AI$4,AI$5)"),"")</f>
        <v/>
      </c>
      <c r="AJ211" s="527"/>
      <c r="AK2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5-3'!$D$11:$Q319,AK$4,AK$5)"),"")</f>
        <v/>
      </c>
      <c r="AL211" s="527"/>
      <c r="AM2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5-3'!$D$11:$Q319,AM$4,AM$5)"),"")</f>
        <v/>
      </c>
      <c r="AN211" s="529"/>
      <c r="AO21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5-3'!$D$11:$Q319,AO$4,AO$5)"),"")</f>
        <v/>
      </c>
      <c r="AP211" s="527"/>
      <c r="AQ211" s="527"/>
      <c r="AR211" s="527"/>
      <c r="AS211" s="527"/>
      <c r="AT2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5-3'!$D$11:$Q319,AT$4,AT$5)"),"")</f>
        <v/>
      </c>
      <c r="AU211" s="531"/>
      <c r="AV2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5-3'!$D$11:$Q319,AV$4,AV$5)"),"")</f>
        <v/>
      </c>
      <c r="AW211" s="530"/>
      <c r="AX2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5-3'!$D$11:$Q319,AX$4,AX$5)"),"")</f>
        <v/>
      </c>
      <c r="AY211" s="530"/>
      <c r="AZ2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5-3'!$D$11:$Q319,AZ$4,AZ$5)"),"")</f>
        <v/>
      </c>
      <c r="BA211" s="530"/>
      <c r="BB2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5-3'!$D$11:$Q319,BB$4,BB$5)"),"")</f>
        <v/>
      </c>
      <c r="BC211" s="532"/>
      <c r="BD21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5-3'!$D$11:$Q319,BD$4,BD$5)"),"")</f>
        <v/>
      </c>
      <c r="BE211" s="530"/>
      <c r="BF211" s="530"/>
      <c r="BG211" s="530"/>
      <c r="BH211" s="530"/>
      <c r="BI2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5-3'!$D$11:$Q319,BI$4,BI$5)"),"")</f>
        <v/>
      </c>
      <c r="BJ211" s="535"/>
      <c r="BK2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5-3'!$D$11:$Q319,BK$4,BK$5)"),"")</f>
        <v/>
      </c>
      <c r="BL211" s="534"/>
      <c r="BM2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5-3'!$D$11:$Q319,BM$4,BM$5)"),"")</f>
        <v/>
      </c>
      <c r="BN211" s="534"/>
      <c r="BO2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5-3'!$D$11:$Q319,BO$4,BO$5)"),"")</f>
        <v/>
      </c>
      <c r="BP211" s="534"/>
      <c r="BQ2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5-3'!$D$11:$Q319,BQ$4,BQ$5)"),"")</f>
        <v/>
      </c>
      <c r="BR211" s="536"/>
      <c r="BS21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5-3'!$D$11:$Q319,BS$4,BS$5)"),"")</f>
        <v/>
      </c>
      <c r="BT211" s="534"/>
      <c r="BU211" s="534"/>
      <c r="BV211" s="534"/>
      <c r="BW211" s="534"/>
      <c r="BX2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5-3'!$D$11:$Q319,BX$4,BX$5)"),"")</f>
        <v/>
      </c>
      <c r="BY211" s="538"/>
      <c r="BZ2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5-3'!$D$11:$Q319,BZ$4,BZ$5)"),"")</f>
        <v/>
      </c>
      <c r="CA211" s="537"/>
      <c r="CB2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5-3'!$D$11:$Q319,CB$4,CB$5)"),"")</f>
        <v/>
      </c>
      <c r="CC211" s="537"/>
      <c r="CD2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5-3'!$D$11:$Q319,CD$4,CD$5)"),"")</f>
        <v/>
      </c>
      <c r="CE211" s="537"/>
      <c r="CF2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5-3'!$D$11:$Q319,CF$4,CF$5)"),"")</f>
        <v/>
      </c>
      <c r="CG211" s="539"/>
      <c r="CH21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5-3'!$D$11:$Q319,CH$4,CH$5)"),"")</f>
        <v/>
      </c>
      <c r="CI211" s="537"/>
      <c r="CJ211" s="537"/>
      <c r="CK211" s="537"/>
      <c r="CL211" s="537"/>
      <c r="CM2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5-3'!$D$11:$Q319,CM$4,CM$5)"),"")</f>
        <v/>
      </c>
      <c r="CN211" s="541"/>
      <c r="CO2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5-3'!$D$11:$Q319,CO$4,CO$5)"),"")</f>
        <v/>
      </c>
      <c r="CP211" s="540"/>
      <c r="CQ2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5-3'!$D$11:$Q319,CQ$4,CQ$5)"),"")</f>
        <v/>
      </c>
      <c r="CR211" s="540"/>
      <c r="CS2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5-3'!$D$11:$Q319,CS$4,CS$5)"),"")</f>
        <v/>
      </c>
      <c r="CT211" s="540"/>
      <c r="CU2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5-3'!$D$11:$Q319,CU$4,CU$5)"),"")</f>
        <v/>
      </c>
      <c r="CV211" s="545"/>
      <c r="CW21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5-3'!$D$11:$Q319,CW$4,CW$5)"),"")</f>
        <v/>
      </c>
      <c r="CX211" s="540"/>
      <c r="CY211" s="540"/>
      <c r="CZ211" s="540"/>
      <c r="DA211" s="540"/>
      <c r="DB2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5-3'!$D$11:$Q319,DB$4,DB$5)"),"")</f>
        <v/>
      </c>
      <c r="DC211" s="555"/>
      <c r="DD2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5-3'!$D$11:$Q319,DD$4,DD$5)"),"")</f>
        <v/>
      </c>
      <c r="DE211" s="554"/>
      <c r="DF2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5-3'!$D$11:$Q319,DF$4,DF$5)"),"")</f>
        <v/>
      </c>
      <c r="DG211" s="554"/>
      <c r="DH2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5-3'!$D$11:$Q319,DH$4,DH$5)"),"")</f>
        <v/>
      </c>
      <c r="DI211" s="554"/>
      <c r="DJ2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5-3'!$D$11:$Q319,DJ$4,DJ$5)"),"")</f>
        <v/>
      </c>
      <c r="DK211" s="566"/>
      <c r="DL21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5-3'!$D$11:$Q319,DL$4,DL$5)"),"")</f>
        <v/>
      </c>
      <c r="DM211" s="554"/>
      <c r="DN211" s="554"/>
      <c r="DO211" s="554"/>
      <c r="DP211" s="554"/>
      <c r="DQ2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5-3'!$D$11:$Q319,DQ$4,DQ$5)"),"")</f>
        <v/>
      </c>
      <c r="DR211" s="569"/>
      <c r="DS2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5-3'!$D$11:$Q319,DS$4,DS$5)"),"")</f>
        <v/>
      </c>
      <c r="DT211" s="568"/>
      <c r="DU2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5-3'!$D$11:$Q319,DU$4,DU$5)"),"")</f>
        <v/>
      </c>
      <c r="DV211" s="568"/>
      <c r="DW2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5-3'!$D$11:$Q319,DW$4,DW$5)"),"")</f>
        <v/>
      </c>
      <c r="DX211" s="568"/>
      <c r="DY2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5-3'!$D$11:$Q319,DY$4,DY$5)"),"")</f>
        <v/>
      </c>
      <c r="DZ211" s="578"/>
      <c r="EA21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$C211, 'S-10 Топ 5-3'!$D$11:$Q319,EA$4,EA$5)"),"")</f>
        <v/>
      </c>
      <c r="EB211" s="568"/>
      <c r="EC211" s="568"/>
      <c r="ED211" s="568"/>
      <c r="EE211" s="568"/>
    </row>
    <row r="212">
      <c r="A212" s="519" t="str">
        <f t="shared" si="1"/>
        <v/>
      </c>
      <c r="B212" s="520" t="str">
        <f>'5-0 Товары'!B212</f>
        <v/>
      </c>
      <c r="C212" s="521" t="str">
        <f>'5-1 Сбор КП Закупки'!C212</f>
        <v/>
      </c>
      <c r="D212" s="521" t="str">
        <f>'5-1 Сбор КП Закупки'!D212</f>
        <v/>
      </c>
      <c r="E212" s="521" t="str">
        <f>'5-1 Сбор КП Закупки'!E212</f>
        <v/>
      </c>
      <c r="F212" s="521" t="str">
        <f>'5-1 Сбор КП Закупки'!F212</f>
        <v/>
      </c>
      <c r="G212" s="522" t="str">
        <f>'5-1 Сбор КП Закупки'!G212</f>
        <v/>
      </c>
      <c r="H212" s="522" t="str">
        <f>'5-1 Сбор КП Закупки'!H212</f>
        <v/>
      </c>
      <c r="I212" s="522" t="str">
        <f>'5-1 Сбор КП Закупки'!I212</f>
        <v/>
      </c>
      <c r="J212" s="197"/>
      <c r="K212" s="522" t="str">
        <f>'5-1 Сбор КП Закупки'!G212</f>
        <v/>
      </c>
      <c r="L212" s="523" t="str">
        <f>IF(A212="Да",'5-1 Сбор КП Закупки'!K212,)</f>
        <v/>
      </c>
      <c r="M212" s="197"/>
      <c r="N212" s="197"/>
      <c r="O212" s="197"/>
      <c r="P212" s="525" t="str">
        <f>'5-1 Сбор КП Закупки'!P212</f>
        <v/>
      </c>
      <c r="Q212" s="197"/>
      <c r="R212" s="197"/>
      <c r="S212" s="197"/>
      <c r="T212" s="197"/>
      <c r="U212" s="197"/>
      <c r="V212" s="197"/>
      <c r="W212" s="522" t="str">
        <f>'5-1 Сбор КП Закупки'!O212</f>
        <v/>
      </c>
      <c r="X212" s="197"/>
      <c r="Y212" s="197"/>
      <c r="Z212" s="197"/>
      <c r="AA212" s="197"/>
      <c r="AB212" s="197">
        <v>0.0</v>
      </c>
      <c r="AC212" s="197"/>
      <c r="AD212" s="197"/>
      <c r="AE2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5-3'!$D$11:$Q319,AE$4,AE$5)"),"")</f>
        <v/>
      </c>
      <c r="AF212" s="528"/>
      <c r="AG2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5-3'!$D$11:$Q319,AG$4,AG$5)"),"")</f>
        <v/>
      </c>
      <c r="AH212" s="527"/>
      <c r="AI2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5-3'!$D$11:$Q319,AI$4,AI$5)"),"")</f>
        <v/>
      </c>
      <c r="AJ212" s="527"/>
      <c r="AK2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5-3'!$D$11:$Q319,AK$4,AK$5)"),"")</f>
        <v/>
      </c>
      <c r="AL212" s="527"/>
      <c r="AM2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5-3'!$D$11:$Q319,AM$4,AM$5)"),"")</f>
        <v/>
      </c>
      <c r="AN212" s="529"/>
      <c r="AO21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5-3'!$D$11:$Q319,AO$4,AO$5)"),"")</f>
        <v/>
      </c>
      <c r="AP212" s="527"/>
      <c r="AQ212" s="527"/>
      <c r="AR212" s="527"/>
      <c r="AS212" s="527"/>
      <c r="AT2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5-3'!$D$11:$Q319,AT$4,AT$5)"),"")</f>
        <v/>
      </c>
      <c r="AU212" s="531"/>
      <c r="AV2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5-3'!$D$11:$Q319,AV$4,AV$5)"),"")</f>
        <v/>
      </c>
      <c r="AW212" s="530"/>
      <c r="AX2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5-3'!$D$11:$Q319,AX$4,AX$5)"),"")</f>
        <v/>
      </c>
      <c r="AY212" s="530"/>
      <c r="AZ2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5-3'!$D$11:$Q319,AZ$4,AZ$5)"),"")</f>
        <v/>
      </c>
      <c r="BA212" s="530"/>
      <c r="BB2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5-3'!$D$11:$Q319,BB$4,BB$5)"),"")</f>
        <v/>
      </c>
      <c r="BC212" s="532"/>
      <c r="BD21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5-3'!$D$11:$Q319,BD$4,BD$5)"),"")</f>
        <v/>
      </c>
      <c r="BE212" s="530"/>
      <c r="BF212" s="530"/>
      <c r="BG212" s="530"/>
      <c r="BH212" s="530"/>
      <c r="BI2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5-3'!$D$11:$Q319,BI$4,BI$5)"),"")</f>
        <v/>
      </c>
      <c r="BJ212" s="535"/>
      <c r="BK2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5-3'!$D$11:$Q319,BK$4,BK$5)"),"")</f>
        <v/>
      </c>
      <c r="BL212" s="534"/>
      <c r="BM2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5-3'!$D$11:$Q319,BM$4,BM$5)"),"")</f>
        <v/>
      </c>
      <c r="BN212" s="534"/>
      <c r="BO2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5-3'!$D$11:$Q319,BO$4,BO$5)"),"")</f>
        <v/>
      </c>
      <c r="BP212" s="534"/>
      <c r="BQ2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5-3'!$D$11:$Q319,BQ$4,BQ$5)"),"")</f>
        <v/>
      </c>
      <c r="BR212" s="536"/>
      <c r="BS21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5-3'!$D$11:$Q319,BS$4,BS$5)"),"")</f>
        <v/>
      </c>
      <c r="BT212" s="534"/>
      <c r="BU212" s="534"/>
      <c r="BV212" s="534"/>
      <c r="BW212" s="534"/>
      <c r="BX2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5-3'!$D$11:$Q319,BX$4,BX$5)"),"")</f>
        <v/>
      </c>
      <c r="BY212" s="538"/>
      <c r="BZ2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5-3'!$D$11:$Q319,BZ$4,BZ$5)"),"")</f>
        <v/>
      </c>
      <c r="CA212" s="537"/>
      <c r="CB2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5-3'!$D$11:$Q319,CB$4,CB$5)"),"")</f>
        <v/>
      </c>
      <c r="CC212" s="537"/>
      <c r="CD2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5-3'!$D$11:$Q319,CD$4,CD$5)"),"")</f>
        <v/>
      </c>
      <c r="CE212" s="537"/>
      <c r="CF2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5-3'!$D$11:$Q319,CF$4,CF$5)"),"")</f>
        <v/>
      </c>
      <c r="CG212" s="539"/>
      <c r="CH21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5-3'!$D$11:$Q319,CH$4,CH$5)"),"")</f>
        <v/>
      </c>
      <c r="CI212" s="537"/>
      <c r="CJ212" s="537"/>
      <c r="CK212" s="537"/>
      <c r="CL212" s="537"/>
      <c r="CM2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5-3'!$D$11:$Q319,CM$4,CM$5)"),"")</f>
        <v/>
      </c>
      <c r="CN212" s="541"/>
      <c r="CO2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5-3'!$D$11:$Q319,CO$4,CO$5)"),"")</f>
        <v/>
      </c>
      <c r="CP212" s="540"/>
      <c r="CQ2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5-3'!$D$11:$Q319,CQ$4,CQ$5)"),"")</f>
        <v/>
      </c>
      <c r="CR212" s="540"/>
      <c r="CS2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5-3'!$D$11:$Q319,CS$4,CS$5)"),"")</f>
        <v/>
      </c>
      <c r="CT212" s="540"/>
      <c r="CU2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5-3'!$D$11:$Q319,CU$4,CU$5)"),"")</f>
        <v/>
      </c>
      <c r="CV212" s="545"/>
      <c r="CW21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5-3'!$D$11:$Q319,CW$4,CW$5)"),"")</f>
        <v/>
      </c>
      <c r="CX212" s="540"/>
      <c r="CY212" s="540"/>
      <c r="CZ212" s="540"/>
      <c r="DA212" s="540"/>
      <c r="DB2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5-3'!$D$11:$Q319,DB$4,DB$5)"),"")</f>
        <v/>
      </c>
      <c r="DC212" s="555"/>
      <c r="DD2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5-3'!$D$11:$Q319,DD$4,DD$5)"),"")</f>
        <v/>
      </c>
      <c r="DE212" s="554"/>
      <c r="DF2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5-3'!$D$11:$Q319,DF$4,DF$5)"),"")</f>
        <v/>
      </c>
      <c r="DG212" s="554"/>
      <c r="DH2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5-3'!$D$11:$Q319,DH$4,DH$5)"),"")</f>
        <v/>
      </c>
      <c r="DI212" s="554"/>
      <c r="DJ2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5-3'!$D$11:$Q319,DJ$4,DJ$5)"),"")</f>
        <v/>
      </c>
      <c r="DK212" s="566"/>
      <c r="DL21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5-3'!$D$11:$Q319,DL$4,DL$5)"),"")</f>
        <v/>
      </c>
      <c r="DM212" s="554"/>
      <c r="DN212" s="554"/>
      <c r="DO212" s="554"/>
      <c r="DP212" s="554"/>
      <c r="DQ2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5-3'!$D$11:$Q319,DQ$4,DQ$5)"),"")</f>
        <v/>
      </c>
      <c r="DR212" s="569"/>
      <c r="DS2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5-3'!$D$11:$Q319,DS$4,DS$5)"),"")</f>
        <v/>
      </c>
      <c r="DT212" s="568"/>
      <c r="DU2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5-3'!$D$11:$Q319,DU$4,DU$5)"),"")</f>
        <v/>
      </c>
      <c r="DV212" s="568"/>
      <c r="DW2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5-3'!$D$11:$Q319,DW$4,DW$5)"),"")</f>
        <v/>
      </c>
      <c r="DX212" s="568"/>
      <c r="DY2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5-3'!$D$11:$Q319,DY$4,DY$5)"),"")</f>
        <v/>
      </c>
      <c r="DZ212" s="578"/>
      <c r="EA21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$C212, 'S-10 Топ 5-3'!$D$11:$Q319,EA$4,EA$5)"),"")</f>
        <v/>
      </c>
      <c r="EB212" s="568"/>
      <c r="EC212" s="568"/>
      <c r="ED212" s="568"/>
      <c r="EE212" s="568"/>
    </row>
    <row r="213">
      <c r="A213" s="519" t="str">
        <f t="shared" si="1"/>
        <v/>
      </c>
      <c r="B213" s="520" t="str">
        <f>'5-0 Товары'!B213</f>
        <v/>
      </c>
      <c r="C213" s="521" t="str">
        <f>'5-1 Сбор КП Закупки'!C213</f>
        <v/>
      </c>
      <c r="D213" s="521" t="str">
        <f>'5-1 Сбор КП Закупки'!D213</f>
        <v/>
      </c>
      <c r="E213" s="521" t="str">
        <f>'5-1 Сбор КП Закупки'!E213</f>
        <v/>
      </c>
      <c r="F213" s="521" t="str">
        <f>'5-1 Сбор КП Закупки'!F213</f>
        <v/>
      </c>
      <c r="G213" s="522" t="str">
        <f>'5-1 Сбор КП Закупки'!G213</f>
        <v/>
      </c>
      <c r="H213" s="522" t="str">
        <f>'5-1 Сбор КП Закупки'!H213</f>
        <v/>
      </c>
      <c r="I213" s="522" t="str">
        <f>'5-1 Сбор КП Закупки'!I213</f>
        <v/>
      </c>
      <c r="J213" s="197"/>
      <c r="K213" s="522" t="str">
        <f>'5-1 Сбор КП Закупки'!G213</f>
        <v/>
      </c>
      <c r="L213" s="523" t="str">
        <f>IF(A213="Да",'5-1 Сбор КП Закупки'!K213,)</f>
        <v/>
      </c>
      <c r="M213" s="197"/>
      <c r="N213" s="197"/>
      <c r="O213" s="197"/>
      <c r="P213" s="525" t="str">
        <f>'5-1 Сбор КП Закупки'!P213</f>
        <v/>
      </c>
      <c r="Q213" s="197"/>
      <c r="R213" s="197"/>
      <c r="S213" s="197"/>
      <c r="T213" s="197"/>
      <c r="U213" s="197"/>
      <c r="V213" s="197"/>
      <c r="W213" s="522" t="str">
        <f>'5-1 Сбор КП Закупки'!O213</f>
        <v/>
      </c>
      <c r="X213" s="197"/>
      <c r="Y213" s="197"/>
      <c r="Z213" s="197"/>
      <c r="AA213" s="197"/>
      <c r="AB213" s="197">
        <v>0.0</v>
      </c>
      <c r="AC213" s="197"/>
      <c r="AD213" s="197"/>
      <c r="AE2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5-3'!$D$11:$Q319,AE$4,AE$5)"),"")</f>
        <v/>
      </c>
      <c r="AF213" s="528"/>
      <c r="AG2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5-3'!$D$11:$Q319,AG$4,AG$5)"),"")</f>
        <v/>
      </c>
      <c r="AH213" s="527"/>
      <c r="AI2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5-3'!$D$11:$Q319,AI$4,AI$5)"),"")</f>
        <v/>
      </c>
      <c r="AJ213" s="527"/>
      <c r="AK2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5-3'!$D$11:$Q319,AK$4,AK$5)"),"")</f>
        <v/>
      </c>
      <c r="AL213" s="527"/>
      <c r="AM2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5-3'!$D$11:$Q319,AM$4,AM$5)"),"")</f>
        <v/>
      </c>
      <c r="AN213" s="529"/>
      <c r="AO21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5-3'!$D$11:$Q319,AO$4,AO$5)"),"")</f>
        <v/>
      </c>
      <c r="AP213" s="527"/>
      <c r="AQ213" s="527"/>
      <c r="AR213" s="527"/>
      <c r="AS213" s="527"/>
      <c r="AT2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5-3'!$D$11:$Q319,AT$4,AT$5)"),"")</f>
        <v/>
      </c>
      <c r="AU213" s="531"/>
      <c r="AV2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5-3'!$D$11:$Q319,AV$4,AV$5)"),"")</f>
        <v/>
      </c>
      <c r="AW213" s="530"/>
      <c r="AX2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5-3'!$D$11:$Q319,AX$4,AX$5)"),"")</f>
        <v/>
      </c>
      <c r="AY213" s="530"/>
      <c r="AZ2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5-3'!$D$11:$Q319,AZ$4,AZ$5)"),"")</f>
        <v/>
      </c>
      <c r="BA213" s="530"/>
      <c r="BB2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5-3'!$D$11:$Q319,BB$4,BB$5)"),"")</f>
        <v/>
      </c>
      <c r="BC213" s="532"/>
      <c r="BD21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5-3'!$D$11:$Q319,BD$4,BD$5)"),"")</f>
        <v/>
      </c>
      <c r="BE213" s="530"/>
      <c r="BF213" s="530"/>
      <c r="BG213" s="530"/>
      <c r="BH213" s="530"/>
      <c r="BI2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5-3'!$D$11:$Q319,BI$4,BI$5)"),"")</f>
        <v/>
      </c>
      <c r="BJ213" s="535"/>
      <c r="BK2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5-3'!$D$11:$Q319,BK$4,BK$5)"),"")</f>
        <v/>
      </c>
      <c r="BL213" s="534"/>
      <c r="BM2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5-3'!$D$11:$Q319,BM$4,BM$5)"),"")</f>
        <v/>
      </c>
      <c r="BN213" s="534"/>
      <c r="BO2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5-3'!$D$11:$Q319,BO$4,BO$5)"),"")</f>
        <v/>
      </c>
      <c r="BP213" s="534"/>
      <c r="BQ2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5-3'!$D$11:$Q319,BQ$4,BQ$5)"),"")</f>
        <v/>
      </c>
      <c r="BR213" s="536"/>
      <c r="BS21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5-3'!$D$11:$Q319,BS$4,BS$5)"),"")</f>
        <v/>
      </c>
      <c r="BT213" s="534"/>
      <c r="BU213" s="534"/>
      <c r="BV213" s="534"/>
      <c r="BW213" s="534"/>
      <c r="BX2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5-3'!$D$11:$Q319,BX$4,BX$5)"),"")</f>
        <v/>
      </c>
      <c r="BY213" s="538"/>
      <c r="BZ2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5-3'!$D$11:$Q319,BZ$4,BZ$5)"),"")</f>
        <v/>
      </c>
      <c r="CA213" s="537"/>
      <c r="CB2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5-3'!$D$11:$Q319,CB$4,CB$5)"),"")</f>
        <v/>
      </c>
      <c r="CC213" s="537"/>
      <c r="CD2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5-3'!$D$11:$Q319,CD$4,CD$5)"),"")</f>
        <v/>
      </c>
      <c r="CE213" s="537"/>
      <c r="CF2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5-3'!$D$11:$Q319,CF$4,CF$5)"),"")</f>
        <v/>
      </c>
      <c r="CG213" s="539"/>
      <c r="CH21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5-3'!$D$11:$Q319,CH$4,CH$5)"),"")</f>
        <v/>
      </c>
      <c r="CI213" s="537"/>
      <c r="CJ213" s="537"/>
      <c r="CK213" s="537"/>
      <c r="CL213" s="537"/>
      <c r="CM2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5-3'!$D$11:$Q319,CM$4,CM$5)"),"")</f>
        <v/>
      </c>
      <c r="CN213" s="541"/>
      <c r="CO2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5-3'!$D$11:$Q319,CO$4,CO$5)"),"")</f>
        <v/>
      </c>
      <c r="CP213" s="540"/>
      <c r="CQ2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5-3'!$D$11:$Q319,CQ$4,CQ$5)"),"")</f>
        <v/>
      </c>
      <c r="CR213" s="540"/>
      <c r="CS2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5-3'!$D$11:$Q319,CS$4,CS$5)"),"")</f>
        <v/>
      </c>
      <c r="CT213" s="540"/>
      <c r="CU2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5-3'!$D$11:$Q319,CU$4,CU$5)"),"")</f>
        <v/>
      </c>
      <c r="CV213" s="545"/>
      <c r="CW21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5-3'!$D$11:$Q319,CW$4,CW$5)"),"")</f>
        <v/>
      </c>
      <c r="CX213" s="540"/>
      <c r="CY213" s="540"/>
      <c r="CZ213" s="540"/>
      <c r="DA213" s="540"/>
      <c r="DB2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5-3'!$D$11:$Q319,DB$4,DB$5)"),"")</f>
        <v/>
      </c>
      <c r="DC213" s="555"/>
      <c r="DD2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5-3'!$D$11:$Q319,DD$4,DD$5)"),"")</f>
        <v/>
      </c>
      <c r="DE213" s="554"/>
      <c r="DF2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5-3'!$D$11:$Q319,DF$4,DF$5)"),"")</f>
        <v/>
      </c>
      <c r="DG213" s="554"/>
      <c r="DH2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5-3'!$D$11:$Q319,DH$4,DH$5)"),"")</f>
        <v/>
      </c>
      <c r="DI213" s="554"/>
      <c r="DJ2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5-3'!$D$11:$Q319,DJ$4,DJ$5)"),"")</f>
        <v/>
      </c>
      <c r="DK213" s="566"/>
      <c r="DL21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5-3'!$D$11:$Q319,DL$4,DL$5)"),"")</f>
        <v/>
      </c>
      <c r="DM213" s="554"/>
      <c r="DN213" s="554"/>
      <c r="DO213" s="554"/>
      <c r="DP213" s="554"/>
      <c r="DQ2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5-3'!$D$11:$Q319,DQ$4,DQ$5)"),"")</f>
        <v/>
      </c>
      <c r="DR213" s="569"/>
      <c r="DS2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5-3'!$D$11:$Q319,DS$4,DS$5)"),"")</f>
        <v/>
      </c>
      <c r="DT213" s="568"/>
      <c r="DU2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5-3'!$D$11:$Q319,DU$4,DU$5)"),"")</f>
        <v/>
      </c>
      <c r="DV213" s="568"/>
      <c r="DW2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5-3'!$D$11:$Q319,DW$4,DW$5)"),"")</f>
        <v/>
      </c>
      <c r="DX213" s="568"/>
      <c r="DY2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5-3'!$D$11:$Q319,DY$4,DY$5)"),"")</f>
        <v/>
      </c>
      <c r="DZ213" s="578"/>
      <c r="EA21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$C213, 'S-10 Топ 5-3'!$D$11:$Q319,EA$4,EA$5)"),"")</f>
        <v/>
      </c>
      <c r="EB213" s="568"/>
      <c r="EC213" s="568"/>
      <c r="ED213" s="568"/>
      <c r="EE213" s="568"/>
    </row>
    <row r="214">
      <c r="A214" s="519" t="str">
        <f t="shared" si="1"/>
        <v/>
      </c>
      <c r="B214" s="520" t="str">
        <f>'5-0 Товары'!B214</f>
        <v/>
      </c>
      <c r="C214" s="521" t="str">
        <f>'5-1 Сбор КП Закупки'!C214</f>
        <v/>
      </c>
      <c r="D214" s="521" t="str">
        <f>'5-1 Сбор КП Закупки'!D214</f>
        <v/>
      </c>
      <c r="E214" s="521" t="str">
        <f>'5-1 Сбор КП Закупки'!E214</f>
        <v/>
      </c>
      <c r="F214" s="521" t="str">
        <f>'5-1 Сбор КП Закупки'!F214</f>
        <v/>
      </c>
      <c r="G214" s="522" t="str">
        <f>'5-1 Сбор КП Закупки'!G214</f>
        <v/>
      </c>
      <c r="H214" s="522" t="str">
        <f>'5-1 Сбор КП Закупки'!H214</f>
        <v/>
      </c>
      <c r="I214" s="522" t="str">
        <f>'5-1 Сбор КП Закупки'!I214</f>
        <v/>
      </c>
      <c r="J214" s="197"/>
      <c r="K214" s="522" t="str">
        <f>'5-1 Сбор КП Закупки'!G214</f>
        <v/>
      </c>
      <c r="L214" s="523" t="str">
        <f>IF(A214="Да",'5-1 Сбор КП Закупки'!K214,)</f>
        <v/>
      </c>
      <c r="M214" s="197"/>
      <c r="N214" s="197"/>
      <c r="O214" s="197"/>
      <c r="P214" s="525" t="str">
        <f>'5-1 Сбор КП Закупки'!P214</f>
        <v/>
      </c>
      <c r="Q214" s="197"/>
      <c r="R214" s="197"/>
      <c r="S214" s="197"/>
      <c r="T214" s="197"/>
      <c r="U214" s="197"/>
      <c r="V214" s="197"/>
      <c r="W214" s="522" t="str">
        <f>'5-1 Сбор КП Закупки'!O214</f>
        <v/>
      </c>
      <c r="X214" s="197"/>
      <c r="Y214" s="197"/>
      <c r="Z214" s="197"/>
      <c r="AA214" s="197"/>
      <c r="AB214" s="197">
        <v>0.0</v>
      </c>
      <c r="AC214" s="197"/>
      <c r="AD214" s="197"/>
      <c r="AE2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5-3'!$D$11:$Q319,AE$4,AE$5)"),"")</f>
        <v/>
      </c>
      <c r="AF214" s="528"/>
      <c r="AG2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5-3'!$D$11:$Q319,AG$4,AG$5)"),"")</f>
        <v/>
      </c>
      <c r="AH214" s="527"/>
      <c r="AI2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5-3'!$D$11:$Q319,AI$4,AI$5)"),"")</f>
        <v/>
      </c>
      <c r="AJ214" s="527"/>
      <c r="AK2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5-3'!$D$11:$Q319,AK$4,AK$5)"),"")</f>
        <v/>
      </c>
      <c r="AL214" s="527"/>
      <c r="AM2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5-3'!$D$11:$Q319,AM$4,AM$5)"),"")</f>
        <v/>
      </c>
      <c r="AN214" s="529"/>
      <c r="AO21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5-3'!$D$11:$Q319,AO$4,AO$5)"),"")</f>
        <v/>
      </c>
      <c r="AP214" s="527"/>
      <c r="AQ214" s="527"/>
      <c r="AR214" s="527"/>
      <c r="AS214" s="527"/>
      <c r="AT2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5-3'!$D$11:$Q319,AT$4,AT$5)"),"")</f>
        <v/>
      </c>
      <c r="AU214" s="531"/>
      <c r="AV2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5-3'!$D$11:$Q319,AV$4,AV$5)"),"")</f>
        <v/>
      </c>
      <c r="AW214" s="530"/>
      <c r="AX2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5-3'!$D$11:$Q319,AX$4,AX$5)"),"")</f>
        <v/>
      </c>
      <c r="AY214" s="530"/>
      <c r="AZ2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5-3'!$D$11:$Q319,AZ$4,AZ$5)"),"")</f>
        <v/>
      </c>
      <c r="BA214" s="530"/>
      <c r="BB2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5-3'!$D$11:$Q319,BB$4,BB$5)"),"")</f>
        <v/>
      </c>
      <c r="BC214" s="532"/>
      <c r="BD21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5-3'!$D$11:$Q319,BD$4,BD$5)"),"")</f>
        <v/>
      </c>
      <c r="BE214" s="530"/>
      <c r="BF214" s="530"/>
      <c r="BG214" s="530"/>
      <c r="BH214" s="530"/>
      <c r="BI2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5-3'!$D$11:$Q319,BI$4,BI$5)"),"")</f>
        <v/>
      </c>
      <c r="BJ214" s="535"/>
      <c r="BK2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5-3'!$D$11:$Q319,BK$4,BK$5)"),"")</f>
        <v/>
      </c>
      <c r="BL214" s="534"/>
      <c r="BM2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5-3'!$D$11:$Q319,BM$4,BM$5)"),"")</f>
        <v/>
      </c>
      <c r="BN214" s="534"/>
      <c r="BO2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5-3'!$D$11:$Q319,BO$4,BO$5)"),"")</f>
        <v/>
      </c>
      <c r="BP214" s="534"/>
      <c r="BQ2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5-3'!$D$11:$Q319,BQ$4,BQ$5)"),"")</f>
        <v/>
      </c>
      <c r="BR214" s="536"/>
      <c r="BS21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5-3'!$D$11:$Q319,BS$4,BS$5)"),"")</f>
        <v/>
      </c>
      <c r="BT214" s="534"/>
      <c r="BU214" s="534"/>
      <c r="BV214" s="534"/>
      <c r="BW214" s="534"/>
      <c r="BX2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5-3'!$D$11:$Q319,BX$4,BX$5)"),"")</f>
        <v/>
      </c>
      <c r="BY214" s="538"/>
      <c r="BZ2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5-3'!$D$11:$Q319,BZ$4,BZ$5)"),"")</f>
        <v/>
      </c>
      <c r="CA214" s="537"/>
      <c r="CB2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5-3'!$D$11:$Q319,CB$4,CB$5)"),"")</f>
        <v/>
      </c>
      <c r="CC214" s="537"/>
      <c r="CD2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5-3'!$D$11:$Q319,CD$4,CD$5)"),"")</f>
        <v/>
      </c>
      <c r="CE214" s="537"/>
      <c r="CF2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5-3'!$D$11:$Q319,CF$4,CF$5)"),"")</f>
        <v/>
      </c>
      <c r="CG214" s="539"/>
      <c r="CH21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5-3'!$D$11:$Q319,CH$4,CH$5)"),"")</f>
        <v/>
      </c>
      <c r="CI214" s="537"/>
      <c r="CJ214" s="537"/>
      <c r="CK214" s="537"/>
      <c r="CL214" s="537"/>
      <c r="CM2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5-3'!$D$11:$Q319,CM$4,CM$5)"),"")</f>
        <v/>
      </c>
      <c r="CN214" s="541"/>
      <c r="CO2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5-3'!$D$11:$Q319,CO$4,CO$5)"),"")</f>
        <v/>
      </c>
      <c r="CP214" s="540"/>
      <c r="CQ2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5-3'!$D$11:$Q319,CQ$4,CQ$5)"),"")</f>
        <v/>
      </c>
      <c r="CR214" s="540"/>
      <c r="CS2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5-3'!$D$11:$Q319,CS$4,CS$5)"),"")</f>
        <v/>
      </c>
      <c r="CT214" s="540"/>
      <c r="CU2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5-3'!$D$11:$Q319,CU$4,CU$5)"),"")</f>
        <v/>
      </c>
      <c r="CV214" s="545"/>
      <c r="CW21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5-3'!$D$11:$Q319,CW$4,CW$5)"),"")</f>
        <v/>
      </c>
      <c r="CX214" s="540"/>
      <c r="CY214" s="540"/>
      <c r="CZ214" s="540"/>
      <c r="DA214" s="540"/>
      <c r="DB2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5-3'!$D$11:$Q319,DB$4,DB$5)"),"")</f>
        <v/>
      </c>
      <c r="DC214" s="555"/>
      <c r="DD2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5-3'!$D$11:$Q319,DD$4,DD$5)"),"")</f>
        <v/>
      </c>
      <c r="DE214" s="554"/>
      <c r="DF2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5-3'!$D$11:$Q319,DF$4,DF$5)"),"")</f>
        <v/>
      </c>
      <c r="DG214" s="554"/>
      <c r="DH2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5-3'!$D$11:$Q319,DH$4,DH$5)"),"")</f>
        <v/>
      </c>
      <c r="DI214" s="554"/>
      <c r="DJ2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5-3'!$D$11:$Q319,DJ$4,DJ$5)"),"")</f>
        <v/>
      </c>
      <c r="DK214" s="566"/>
      <c r="DL21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5-3'!$D$11:$Q319,DL$4,DL$5)"),"")</f>
        <v/>
      </c>
      <c r="DM214" s="554"/>
      <c r="DN214" s="554"/>
      <c r="DO214" s="554"/>
      <c r="DP214" s="554"/>
      <c r="DQ2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5-3'!$D$11:$Q319,DQ$4,DQ$5)"),"")</f>
        <v/>
      </c>
      <c r="DR214" s="569"/>
      <c r="DS2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5-3'!$D$11:$Q319,DS$4,DS$5)"),"")</f>
        <v/>
      </c>
      <c r="DT214" s="568"/>
      <c r="DU2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5-3'!$D$11:$Q319,DU$4,DU$5)"),"")</f>
        <v/>
      </c>
      <c r="DV214" s="568"/>
      <c r="DW2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5-3'!$D$11:$Q319,DW$4,DW$5)"),"")</f>
        <v/>
      </c>
      <c r="DX214" s="568"/>
      <c r="DY2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5-3'!$D$11:$Q319,DY$4,DY$5)"),"")</f>
        <v/>
      </c>
      <c r="DZ214" s="578"/>
      <c r="EA21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$C214, 'S-10 Топ 5-3'!$D$11:$Q319,EA$4,EA$5)"),"")</f>
        <v/>
      </c>
      <c r="EB214" s="568"/>
      <c r="EC214" s="568"/>
      <c r="ED214" s="568"/>
      <c r="EE214" s="568"/>
    </row>
    <row r="215">
      <c r="A215" s="519" t="str">
        <f t="shared" si="1"/>
        <v/>
      </c>
      <c r="B215" s="520" t="str">
        <f>'5-0 Товары'!B215</f>
        <v/>
      </c>
      <c r="C215" s="521" t="str">
        <f>'5-1 Сбор КП Закупки'!C215</f>
        <v/>
      </c>
      <c r="D215" s="521" t="str">
        <f>'5-1 Сбор КП Закупки'!D215</f>
        <v/>
      </c>
      <c r="E215" s="521" t="str">
        <f>'5-1 Сбор КП Закупки'!E215</f>
        <v/>
      </c>
      <c r="F215" s="521" t="str">
        <f>'5-1 Сбор КП Закупки'!F215</f>
        <v/>
      </c>
      <c r="G215" s="522" t="str">
        <f>'5-1 Сбор КП Закупки'!G215</f>
        <v/>
      </c>
      <c r="H215" s="522" t="str">
        <f>'5-1 Сбор КП Закупки'!H215</f>
        <v/>
      </c>
      <c r="I215" s="522" t="str">
        <f>'5-1 Сбор КП Закупки'!I215</f>
        <v/>
      </c>
      <c r="J215" s="197"/>
      <c r="K215" s="522" t="str">
        <f>'5-1 Сбор КП Закупки'!G215</f>
        <v/>
      </c>
      <c r="L215" s="523" t="str">
        <f>IF(A215="Да",'5-1 Сбор КП Закупки'!K215,)</f>
        <v/>
      </c>
      <c r="M215" s="197"/>
      <c r="N215" s="197"/>
      <c r="O215" s="197"/>
      <c r="P215" s="525" t="str">
        <f>'5-1 Сбор КП Закупки'!P215</f>
        <v/>
      </c>
      <c r="Q215" s="197"/>
      <c r="R215" s="197"/>
      <c r="S215" s="197"/>
      <c r="T215" s="197"/>
      <c r="U215" s="197"/>
      <c r="V215" s="197"/>
      <c r="W215" s="522" t="str">
        <f>'5-1 Сбор КП Закупки'!O215</f>
        <v/>
      </c>
      <c r="X215" s="197"/>
      <c r="Y215" s="197"/>
      <c r="Z215" s="197"/>
      <c r="AA215" s="197"/>
      <c r="AB215" s="197">
        <v>0.0</v>
      </c>
      <c r="AC215" s="197"/>
      <c r="AD215" s="197"/>
      <c r="AE2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5-3'!$D$11:$Q319,AE$4,AE$5)"),"")</f>
        <v/>
      </c>
      <c r="AF215" s="528"/>
      <c r="AG2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5-3'!$D$11:$Q319,AG$4,AG$5)"),"")</f>
        <v/>
      </c>
      <c r="AH215" s="527"/>
      <c r="AI2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5-3'!$D$11:$Q319,AI$4,AI$5)"),"")</f>
        <v/>
      </c>
      <c r="AJ215" s="527"/>
      <c r="AK2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5-3'!$D$11:$Q319,AK$4,AK$5)"),"")</f>
        <v/>
      </c>
      <c r="AL215" s="527"/>
      <c r="AM2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5-3'!$D$11:$Q319,AM$4,AM$5)"),"")</f>
        <v/>
      </c>
      <c r="AN215" s="529"/>
      <c r="AO21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5-3'!$D$11:$Q319,AO$4,AO$5)"),"")</f>
        <v/>
      </c>
      <c r="AP215" s="527"/>
      <c r="AQ215" s="527"/>
      <c r="AR215" s="527"/>
      <c r="AS215" s="527"/>
      <c r="AT2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5-3'!$D$11:$Q319,AT$4,AT$5)"),"")</f>
        <v/>
      </c>
      <c r="AU215" s="531"/>
      <c r="AV2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5-3'!$D$11:$Q319,AV$4,AV$5)"),"")</f>
        <v/>
      </c>
      <c r="AW215" s="530"/>
      <c r="AX2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5-3'!$D$11:$Q319,AX$4,AX$5)"),"")</f>
        <v/>
      </c>
      <c r="AY215" s="530"/>
      <c r="AZ2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5-3'!$D$11:$Q319,AZ$4,AZ$5)"),"")</f>
        <v/>
      </c>
      <c r="BA215" s="530"/>
      <c r="BB2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5-3'!$D$11:$Q319,BB$4,BB$5)"),"")</f>
        <v/>
      </c>
      <c r="BC215" s="532"/>
      <c r="BD21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5-3'!$D$11:$Q319,BD$4,BD$5)"),"")</f>
        <v/>
      </c>
      <c r="BE215" s="530"/>
      <c r="BF215" s="530"/>
      <c r="BG215" s="530"/>
      <c r="BH215" s="530"/>
      <c r="BI2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5-3'!$D$11:$Q319,BI$4,BI$5)"),"")</f>
        <v/>
      </c>
      <c r="BJ215" s="535"/>
      <c r="BK2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5-3'!$D$11:$Q319,BK$4,BK$5)"),"")</f>
        <v/>
      </c>
      <c r="BL215" s="534"/>
      <c r="BM2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5-3'!$D$11:$Q319,BM$4,BM$5)"),"")</f>
        <v/>
      </c>
      <c r="BN215" s="534"/>
      <c r="BO2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5-3'!$D$11:$Q319,BO$4,BO$5)"),"")</f>
        <v/>
      </c>
      <c r="BP215" s="534"/>
      <c r="BQ2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5-3'!$D$11:$Q319,BQ$4,BQ$5)"),"")</f>
        <v/>
      </c>
      <c r="BR215" s="536"/>
      <c r="BS21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5-3'!$D$11:$Q319,BS$4,BS$5)"),"")</f>
        <v/>
      </c>
      <c r="BT215" s="534"/>
      <c r="BU215" s="534"/>
      <c r="BV215" s="534"/>
      <c r="BW215" s="534"/>
      <c r="BX2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5-3'!$D$11:$Q319,BX$4,BX$5)"),"")</f>
        <v/>
      </c>
      <c r="BY215" s="538"/>
      <c r="BZ2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5-3'!$D$11:$Q319,BZ$4,BZ$5)"),"")</f>
        <v/>
      </c>
      <c r="CA215" s="537"/>
      <c r="CB2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5-3'!$D$11:$Q319,CB$4,CB$5)"),"")</f>
        <v/>
      </c>
      <c r="CC215" s="537"/>
      <c r="CD2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5-3'!$D$11:$Q319,CD$4,CD$5)"),"")</f>
        <v/>
      </c>
      <c r="CE215" s="537"/>
      <c r="CF2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5-3'!$D$11:$Q319,CF$4,CF$5)"),"")</f>
        <v/>
      </c>
      <c r="CG215" s="539"/>
      <c r="CH21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5-3'!$D$11:$Q319,CH$4,CH$5)"),"")</f>
        <v/>
      </c>
      <c r="CI215" s="537"/>
      <c r="CJ215" s="537"/>
      <c r="CK215" s="537"/>
      <c r="CL215" s="537"/>
      <c r="CM2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5-3'!$D$11:$Q319,CM$4,CM$5)"),"")</f>
        <v/>
      </c>
      <c r="CN215" s="541"/>
      <c r="CO2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5-3'!$D$11:$Q319,CO$4,CO$5)"),"")</f>
        <v/>
      </c>
      <c r="CP215" s="540"/>
      <c r="CQ2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5-3'!$D$11:$Q319,CQ$4,CQ$5)"),"")</f>
        <v/>
      </c>
      <c r="CR215" s="540"/>
      <c r="CS2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5-3'!$D$11:$Q319,CS$4,CS$5)"),"")</f>
        <v/>
      </c>
      <c r="CT215" s="540"/>
      <c r="CU2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5-3'!$D$11:$Q319,CU$4,CU$5)"),"")</f>
        <v/>
      </c>
      <c r="CV215" s="545"/>
      <c r="CW21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5-3'!$D$11:$Q319,CW$4,CW$5)"),"")</f>
        <v/>
      </c>
      <c r="CX215" s="540"/>
      <c r="CY215" s="540"/>
      <c r="CZ215" s="540"/>
      <c r="DA215" s="540"/>
      <c r="DB2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5-3'!$D$11:$Q319,DB$4,DB$5)"),"")</f>
        <v/>
      </c>
      <c r="DC215" s="555"/>
      <c r="DD2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5-3'!$D$11:$Q319,DD$4,DD$5)"),"")</f>
        <v/>
      </c>
      <c r="DE215" s="554"/>
      <c r="DF2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5-3'!$D$11:$Q319,DF$4,DF$5)"),"")</f>
        <v/>
      </c>
      <c r="DG215" s="554"/>
      <c r="DH2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5-3'!$D$11:$Q319,DH$4,DH$5)"),"")</f>
        <v/>
      </c>
      <c r="DI215" s="554"/>
      <c r="DJ2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5-3'!$D$11:$Q319,DJ$4,DJ$5)"),"")</f>
        <v/>
      </c>
      <c r="DK215" s="566"/>
      <c r="DL21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5-3'!$D$11:$Q319,DL$4,DL$5)"),"")</f>
        <v/>
      </c>
      <c r="DM215" s="554"/>
      <c r="DN215" s="554"/>
      <c r="DO215" s="554"/>
      <c r="DP215" s="554"/>
      <c r="DQ2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5-3'!$D$11:$Q319,DQ$4,DQ$5)"),"")</f>
        <v/>
      </c>
      <c r="DR215" s="569"/>
      <c r="DS2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5-3'!$D$11:$Q319,DS$4,DS$5)"),"")</f>
        <v/>
      </c>
      <c r="DT215" s="568"/>
      <c r="DU2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5-3'!$D$11:$Q319,DU$4,DU$5)"),"")</f>
        <v/>
      </c>
      <c r="DV215" s="568"/>
      <c r="DW2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5-3'!$D$11:$Q319,DW$4,DW$5)"),"")</f>
        <v/>
      </c>
      <c r="DX215" s="568"/>
      <c r="DY2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5-3'!$D$11:$Q319,DY$4,DY$5)"),"")</f>
        <v/>
      </c>
      <c r="DZ215" s="578"/>
      <c r="EA21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$C215, 'S-10 Топ 5-3'!$D$11:$Q319,EA$4,EA$5)"),"")</f>
        <v/>
      </c>
      <c r="EB215" s="568"/>
      <c r="EC215" s="568"/>
      <c r="ED215" s="568"/>
      <c r="EE215" s="568"/>
    </row>
    <row r="216">
      <c r="A216" s="519" t="str">
        <f t="shared" si="1"/>
        <v/>
      </c>
      <c r="B216" s="520" t="str">
        <f>'5-0 Товары'!B216</f>
        <v/>
      </c>
      <c r="C216" s="521" t="str">
        <f>'5-1 Сбор КП Закупки'!C216</f>
        <v/>
      </c>
      <c r="D216" s="521" t="str">
        <f>'5-1 Сбор КП Закупки'!D216</f>
        <v/>
      </c>
      <c r="E216" s="521" t="str">
        <f>'5-1 Сбор КП Закупки'!E216</f>
        <v/>
      </c>
      <c r="F216" s="521" t="str">
        <f>'5-1 Сбор КП Закупки'!F216</f>
        <v/>
      </c>
      <c r="G216" s="522" t="str">
        <f>'5-1 Сбор КП Закупки'!G216</f>
        <v/>
      </c>
      <c r="H216" s="522" t="str">
        <f>'5-1 Сбор КП Закупки'!H216</f>
        <v/>
      </c>
      <c r="I216" s="522" t="str">
        <f>'5-1 Сбор КП Закупки'!I216</f>
        <v/>
      </c>
      <c r="J216" s="197"/>
      <c r="K216" s="522" t="str">
        <f>'5-1 Сбор КП Закупки'!G216</f>
        <v/>
      </c>
      <c r="L216" s="523" t="str">
        <f>IF(A216="Да",'5-1 Сбор КП Закупки'!K216,)</f>
        <v/>
      </c>
      <c r="M216" s="197"/>
      <c r="N216" s="197"/>
      <c r="O216" s="197"/>
      <c r="P216" s="525" t="str">
        <f>'5-1 Сбор КП Закупки'!P216</f>
        <v/>
      </c>
      <c r="Q216" s="197"/>
      <c r="R216" s="197"/>
      <c r="S216" s="197"/>
      <c r="T216" s="197"/>
      <c r="U216" s="197"/>
      <c r="V216" s="197"/>
      <c r="W216" s="522" t="str">
        <f>'5-1 Сбор КП Закупки'!O216</f>
        <v/>
      </c>
      <c r="X216" s="197"/>
      <c r="Y216" s="197"/>
      <c r="Z216" s="197"/>
      <c r="AA216" s="197"/>
      <c r="AB216" s="197">
        <v>0.0</v>
      </c>
      <c r="AC216" s="197"/>
      <c r="AD216" s="197"/>
      <c r="AE2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5-3'!$D$11:$Q319,AE$4,AE$5)"),"")</f>
        <v/>
      </c>
      <c r="AF216" s="528"/>
      <c r="AG2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5-3'!$D$11:$Q319,AG$4,AG$5)"),"")</f>
        <v/>
      </c>
      <c r="AH216" s="527"/>
      <c r="AI2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5-3'!$D$11:$Q319,AI$4,AI$5)"),"")</f>
        <v/>
      </c>
      <c r="AJ216" s="527"/>
      <c r="AK2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5-3'!$D$11:$Q319,AK$4,AK$5)"),"")</f>
        <v/>
      </c>
      <c r="AL216" s="527"/>
      <c r="AM2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5-3'!$D$11:$Q319,AM$4,AM$5)"),"")</f>
        <v/>
      </c>
      <c r="AN216" s="529"/>
      <c r="AO21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5-3'!$D$11:$Q319,AO$4,AO$5)"),"")</f>
        <v/>
      </c>
      <c r="AP216" s="527"/>
      <c r="AQ216" s="527"/>
      <c r="AR216" s="527"/>
      <c r="AS216" s="527"/>
      <c r="AT2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5-3'!$D$11:$Q319,AT$4,AT$5)"),"")</f>
        <v/>
      </c>
      <c r="AU216" s="531"/>
      <c r="AV2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5-3'!$D$11:$Q319,AV$4,AV$5)"),"")</f>
        <v/>
      </c>
      <c r="AW216" s="530"/>
      <c r="AX2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5-3'!$D$11:$Q319,AX$4,AX$5)"),"")</f>
        <v/>
      </c>
      <c r="AY216" s="530"/>
      <c r="AZ2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5-3'!$D$11:$Q319,AZ$4,AZ$5)"),"")</f>
        <v/>
      </c>
      <c r="BA216" s="530"/>
      <c r="BB2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5-3'!$D$11:$Q319,BB$4,BB$5)"),"")</f>
        <v/>
      </c>
      <c r="BC216" s="532"/>
      <c r="BD21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5-3'!$D$11:$Q319,BD$4,BD$5)"),"")</f>
        <v/>
      </c>
      <c r="BE216" s="530"/>
      <c r="BF216" s="530"/>
      <c r="BG216" s="530"/>
      <c r="BH216" s="530"/>
      <c r="BI2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5-3'!$D$11:$Q319,BI$4,BI$5)"),"")</f>
        <v/>
      </c>
      <c r="BJ216" s="535"/>
      <c r="BK2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5-3'!$D$11:$Q319,BK$4,BK$5)"),"")</f>
        <v/>
      </c>
      <c r="BL216" s="534"/>
      <c r="BM2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5-3'!$D$11:$Q319,BM$4,BM$5)"),"")</f>
        <v/>
      </c>
      <c r="BN216" s="534"/>
      <c r="BO2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5-3'!$D$11:$Q319,BO$4,BO$5)"),"")</f>
        <v/>
      </c>
      <c r="BP216" s="534"/>
      <c r="BQ2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5-3'!$D$11:$Q319,BQ$4,BQ$5)"),"")</f>
        <v/>
      </c>
      <c r="BR216" s="536"/>
      <c r="BS21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5-3'!$D$11:$Q319,BS$4,BS$5)"),"")</f>
        <v/>
      </c>
      <c r="BT216" s="534"/>
      <c r="BU216" s="534"/>
      <c r="BV216" s="534"/>
      <c r="BW216" s="534"/>
      <c r="BX2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5-3'!$D$11:$Q319,BX$4,BX$5)"),"")</f>
        <v/>
      </c>
      <c r="BY216" s="538"/>
      <c r="BZ2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5-3'!$D$11:$Q319,BZ$4,BZ$5)"),"")</f>
        <v/>
      </c>
      <c r="CA216" s="537"/>
      <c r="CB2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5-3'!$D$11:$Q319,CB$4,CB$5)"),"")</f>
        <v/>
      </c>
      <c r="CC216" s="537"/>
      <c r="CD2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5-3'!$D$11:$Q319,CD$4,CD$5)"),"")</f>
        <v/>
      </c>
      <c r="CE216" s="537"/>
      <c r="CF2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5-3'!$D$11:$Q319,CF$4,CF$5)"),"")</f>
        <v/>
      </c>
      <c r="CG216" s="539"/>
      <c r="CH21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5-3'!$D$11:$Q319,CH$4,CH$5)"),"")</f>
        <v/>
      </c>
      <c r="CI216" s="537"/>
      <c r="CJ216" s="537"/>
      <c r="CK216" s="537"/>
      <c r="CL216" s="537"/>
      <c r="CM2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5-3'!$D$11:$Q319,CM$4,CM$5)"),"")</f>
        <v/>
      </c>
      <c r="CN216" s="541"/>
      <c r="CO2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5-3'!$D$11:$Q319,CO$4,CO$5)"),"")</f>
        <v/>
      </c>
      <c r="CP216" s="540"/>
      <c r="CQ2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5-3'!$D$11:$Q319,CQ$4,CQ$5)"),"")</f>
        <v/>
      </c>
      <c r="CR216" s="540"/>
      <c r="CS2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5-3'!$D$11:$Q319,CS$4,CS$5)"),"")</f>
        <v/>
      </c>
      <c r="CT216" s="540"/>
      <c r="CU2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5-3'!$D$11:$Q319,CU$4,CU$5)"),"")</f>
        <v/>
      </c>
      <c r="CV216" s="545"/>
      <c r="CW21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5-3'!$D$11:$Q319,CW$4,CW$5)"),"")</f>
        <v/>
      </c>
      <c r="CX216" s="540"/>
      <c r="CY216" s="540"/>
      <c r="CZ216" s="540"/>
      <c r="DA216" s="540"/>
      <c r="DB2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5-3'!$D$11:$Q319,DB$4,DB$5)"),"")</f>
        <v/>
      </c>
      <c r="DC216" s="555"/>
      <c r="DD2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5-3'!$D$11:$Q319,DD$4,DD$5)"),"")</f>
        <v/>
      </c>
      <c r="DE216" s="554"/>
      <c r="DF2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5-3'!$D$11:$Q319,DF$4,DF$5)"),"")</f>
        <v/>
      </c>
      <c r="DG216" s="554"/>
      <c r="DH2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5-3'!$D$11:$Q319,DH$4,DH$5)"),"")</f>
        <v/>
      </c>
      <c r="DI216" s="554"/>
      <c r="DJ2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5-3'!$D$11:$Q319,DJ$4,DJ$5)"),"")</f>
        <v/>
      </c>
      <c r="DK216" s="566"/>
      <c r="DL21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5-3'!$D$11:$Q319,DL$4,DL$5)"),"")</f>
        <v/>
      </c>
      <c r="DM216" s="554"/>
      <c r="DN216" s="554"/>
      <c r="DO216" s="554"/>
      <c r="DP216" s="554"/>
      <c r="DQ2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5-3'!$D$11:$Q319,DQ$4,DQ$5)"),"")</f>
        <v/>
      </c>
      <c r="DR216" s="569"/>
      <c r="DS2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5-3'!$D$11:$Q319,DS$4,DS$5)"),"")</f>
        <v/>
      </c>
      <c r="DT216" s="568"/>
      <c r="DU2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5-3'!$D$11:$Q319,DU$4,DU$5)"),"")</f>
        <v/>
      </c>
      <c r="DV216" s="568"/>
      <c r="DW2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5-3'!$D$11:$Q319,DW$4,DW$5)"),"")</f>
        <v/>
      </c>
      <c r="DX216" s="568"/>
      <c r="DY2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5-3'!$D$11:$Q319,DY$4,DY$5)"),"")</f>
        <v/>
      </c>
      <c r="DZ216" s="578"/>
      <c r="EA21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$C216, 'S-10 Топ 5-3'!$D$11:$Q319,EA$4,EA$5)"),"")</f>
        <v/>
      </c>
      <c r="EB216" s="568"/>
      <c r="EC216" s="568"/>
      <c r="ED216" s="568"/>
      <c r="EE216" s="568"/>
    </row>
    <row r="217">
      <c r="A217" s="519" t="str">
        <f t="shared" si="1"/>
        <v/>
      </c>
      <c r="B217" s="520" t="str">
        <f>'5-0 Товары'!B217</f>
        <v/>
      </c>
      <c r="C217" s="521" t="str">
        <f>'5-1 Сбор КП Закупки'!C217</f>
        <v/>
      </c>
      <c r="D217" s="521" t="str">
        <f>'5-1 Сбор КП Закупки'!D217</f>
        <v/>
      </c>
      <c r="E217" s="521" t="str">
        <f>'5-1 Сбор КП Закупки'!E217</f>
        <v/>
      </c>
      <c r="F217" s="521" t="str">
        <f>'5-1 Сбор КП Закупки'!F217</f>
        <v/>
      </c>
      <c r="G217" s="522" t="str">
        <f>'5-1 Сбор КП Закупки'!G217</f>
        <v/>
      </c>
      <c r="H217" s="522" t="str">
        <f>'5-1 Сбор КП Закупки'!H217</f>
        <v/>
      </c>
      <c r="I217" s="522" t="str">
        <f>'5-1 Сбор КП Закупки'!I217</f>
        <v/>
      </c>
      <c r="J217" s="197"/>
      <c r="K217" s="522" t="str">
        <f>'5-1 Сбор КП Закупки'!G217</f>
        <v/>
      </c>
      <c r="L217" s="523" t="str">
        <f>IF(A217="Да",'5-1 Сбор КП Закупки'!K217,)</f>
        <v/>
      </c>
      <c r="M217" s="197"/>
      <c r="N217" s="197"/>
      <c r="O217" s="197"/>
      <c r="P217" s="525" t="str">
        <f>'5-1 Сбор КП Закупки'!P217</f>
        <v/>
      </c>
      <c r="Q217" s="197"/>
      <c r="R217" s="197"/>
      <c r="S217" s="197"/>
      <c r="T217" s="197"/>
      <c r="U217" s="197"/>
      <c r="V217" s="197"/>
      <c r="W217" s="522" t="str">
        <f>'5-1 Сбор КП Закупки'!O217</f>
        <v/>
      </c>
      <c r="X217" s="197"/>
      <c r="Y217" s="197"/>
      <c r="Z217" s="197"/>
      <c r="AA217" s="197"/>
      <c r="AB217" s="197">
        <v>0.0</v>
      </c>
      <c r="AC217" s="197"/>
      <c r="AD217" s="197"/>
      <c r="AE2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5-3'!$D$11:$Q319,AE$4,AE$5)"),"")</f>
        <v/>
      </c>
      <c r="AF217" s="528"/>
      <c r="AG2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5-3'!$D$11:$Q319,AG$4,AG$5)"),"")</f>
        <v/>
      </c>
      <c r="AH217" s="527"/>
      <c r="AI2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5-3'!$D$11:$Q319,AI$4,AI$5)"),"")</f>
        <v/>
      </c>
      <c r="AJ217" s="527"/>
      <c r="AK2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5-3'!$D$11:$Q319,AK$4,AK$5)"),"")</f>
        <v/>
      </c>
      <c r="AL217" s="527"/>
      <c r="AM2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5-3'!$D$11:$Q319,AM$4,AM$5)"),"")</f>
        <v/>
      </c>
      <c r="AN217" s="529"/>
      <c r="AO21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5-3'!$D$11:$Q319,AO$4,AO$5)"),"")</f>
        <v/>
      </c>
      <c r="AP217" s="527"/>
      <c r="AQ217" s="527"/>
      <c r="AR217" s="527"/>
      <c r="AS217" s="527"/>
      <c r="AT2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5-3'!$D$11:$Q319,AT$4,AT$5)"),"")</f>
        <v/>
      </c>
      <c r="AU217" s="531"/>
      <c r="AV2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5-3'!$D$11:$Q319,AV$4,AV$5)"),"")</f>
        <v/>
      </c>
      <c r="AW217" s="530"/>
      <c r="AX2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5-3'!$D$11:$Q319,AX$4,AX$5)"),"")</f>
        <v/>
      </c>
      <c r="AY217" s="530"/>
      <c r="AZ2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5-3'!$D$11:$Q319,AZ$4,AZ$5)"),"")</f>
        <v/>
      </c>
      <c r="BA217" s="530"/>
      <c r="BB2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5-3'!$D$11:$Q319,BB$4,BB$5)"),"")</f>
        <v/>
      </c>
      <c r="BC217" s="532"/>
      <c r="BD21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5-3'!$D$11:$Q319,BD$4,BD$5)"),"")</f>
        <v/>
      </c>
      <c r="BE217" s="530"/>
      <c r="BF217" s="530"/>
      <c r="BG217" s="530"/>
      <c r="BH217" s="530"/>
      <c r="BI2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5-3'!$D$11:$Q319,BI$4,BI$5)"),"")</f>
        <v/>
      </c>
      <c r="BJ217" s="535"/>
      <c r="BK2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5-3'!$D$11:$Q319,BK$4,BK$5)"),"")</f>
        <v/>
      </c>
      <c r="BL217" s="534"/>
      <c r="BM2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5-3'!$D$11:$Q319,BM$4,BM$5)"),"")</f>
        <v/>
      </c>
      <c r="BN217" s="534"/>
      <c r="BO2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5-3'!$D$11:$Q319,BO$4,BO$5)"),"")</f>
        <v/>
      </c>
      <c r="BP217" s="534"/>
      <c r="BQ2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5-3'!$D$11:$Q319,BQ$4,BQ$5)"),"")</f>
        <v/>
      </c>
      <c r="BR217" s="536"/>
      <c r="BS21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5-3'!$D$11:$Q319,BS$4,BS$5)"),"")</f>
        <v/>
      </c>
      <c r="BT217" s="534"/>
      <c r="BU217" s="534"/>
      <c r="BV217" s="534"/>
      <c r="BW217" s="534"/>
      <c r="BX2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5-3'!$D$11:$Q319,BX$4,BX$5)"),"")</f>
        <v/>
      </c>
      <c r="BY217" s="538"/>
      <c r="BZ2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5-3'!$D$11:$Q319,BZ$4,BZ$5)"),"")</f>
        <v/>
      </c>
      <c r="CA217" s="537"/>
      <c r="CB2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5-3'!$D$11:$Q319,CB$4,CB$5)"),"")</f>
        <v/>
      </c>
      <c r="CC217" s="537"/>
      <c r="CD2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5-3'!$D$11:$Q319,CD$4,CD$5)"),"")</f>
        <v/>
      </c>
      <c r="CE217" s="537"/>
      <c r="CF2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5-3'!$D$11:$Q319,CF$4,CF$5)"),"")</f>
        <v/>
      </c>
      <c r="CG217" s="539"/>
      <c r="CH21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5-3'!$D$11:$Q319,CH$4,CH$5)"),"")</f>
        <v/>
      </c>
      <c r="CI217" s="537"/>
      <c r="CJ217" s="537"/>
      <c r="CK217" s="537"/>
      <c r="CL217" s="537"/>
      <c r="CM2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5-3'!$D$11:$Q319,CM$4,CM$5)"),"")</f>
        <v/>
      </c>
      <c r="CN217" s="541"/>
      <c r="CO2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5-3'!$D$11:$Q319,CO$4,CO$5)"),"")</f>
        <v/>
      </c>
      <c r="CP217" s="540"/>
      <c r="CQ2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5-3'!$D$11:$Q319,CQ$4,CQ$5)"),"")</f>
        <v/>
      </c>
      <c r="CR217" s="540"/>
      <c r="CS2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5-3'!$D$11:$Q319,CS$4,CS$5)"),"")</f>
        <v/>
      </c>
      <c r="CT217" s="540"/>
      <c r="CU2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5-3'!$D$11:$Q319,CU$4,CU$5)"),"")</f>
        <v/>
      </c>
      <c r="CV217" s="545"/>
      <c r="CW21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5-3'!$D$11:$Q319,CW$4,CW$5)"),"")</f>
        <v/>
      </c>
      <c r="CX217" s="540"/>
      <c r="CY217" s="540"/>
      <c r="CZ217" s="540"/>
      <c r="DA217" s="540"/>
      <c r="DB2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5-3'!$D$11:$Q319,DB$4,DB$5)"),"")</f>
        <v/>
      </c>
      <c r="DC217" s="555"/>
      <c r="DD2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5-3'!$D$11:$Q319,DD$4,DD$5)"),"")</f>
        <v/>
      </c>
      <c r="DE217" s="554"/>
      <c r="DF2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5-3'!$D$11:$Q319,DF$4,DF$5)"),"")</f>
        <v/>
      </c>
      <c r="DG217" s="554"/>
      <c r="DH2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5-3'!$D$11:$Q319,DH$4,DH$5)"),"")</f>
        <v/>
      </c>
      <c r="DI217" s="554"/>
      <c r="DJ2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5-3'!$D$11:$Q319,DJ$4,DJ$5)"),"")</f>
        <v/>
      </c>
      <c r="DK217" s="566"/>
      <c r="DL21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5-3'!$D$11:$Q319,DL$4,DL$5)"),"")</f>
        <v/>
      </c>
      <c r="DM217" s="554"/>
      <c r="DN217" s="554"/>
      <c r="DO217" s="554"/>
      <c r="DP217" s="554"/>
      <c r="DQ2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5-3'!$D$11:$Q319,DQ$4,DQ$5)"),"")</f>
        <v/>
      </c>
      <c r="DR217" s="569"/>
      <c r="DS2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5-3'!$D$11:$Q319,DS$4,DS$5)"),"")</f>
        <v/>
      </c>
      <c r="DT217" s="568"/>
      <c r="DU2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5-3'!$D$11:$Q319,DU$4,DU$5)"),"")</f>
        <v/>
      </c>
      <c r="DV217" s="568"/>
      <c r="DW2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5-3'!$D$11:$Q319,DW$4,DW$5)"),"")</f>
        <v/>
      </c>
      <c r="DX217" s="568"/>
      <c r="DY2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5-3'!$D$11:$Q319,DY$4,DY$5)"),"")</f>
        <v/>
      </c>
      <c r="DZ217" s="578"/>
      <c r="EA21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$C217, 'S-10 Топ 5-3'!$D$11:$Q319,EA$4,EA$5)"),"")</f>
        <v/>
      </c>
      <c r="EB217" s="568"/>
      <c r="EC217" s="568"/>
      <c r="ED217" s="568"/>
      <c r="EE217" s="568"/>
    </row>
    <row r="218">
      <c r="A218" s="519" t="str">
        <f t="shared" si="1"/>
        <v/>
      </c>
      <c r="B218" s="520" t="str">
        <f>'5-0 Товары'!B218</f>
        <v/>
      </c>
      <c r="C218" s="521" t="str">
        <f>'5-1 Сбор КП Закупки'!C218</f>
        <v/>
      </c>
      <c r="D218" s="521" t="str">
        <f>'5-1 Сбор КП Закупки'!D218</f>
        <v/>
      </c>
      <c r="E218" s="521" t="str">
        <f>'5-1 Сбор КП Закупки'!E218</f>
        <v/>
      </c>
      <c r="F218" s="521" t="str">
        <f>'5-1 Сбор КП Закупки'!F218</f>
        <v/>
      </c>
      <c r="G218" s="522" t="str">
        <f>'5-1 Сбор КП Закупки'!G218</f>
        <v/>
      </c>
      <c r="H218" s="522" t="str">
        <f>'5-1 Сбор КП Закупки'!H218</f>
        <v/>
      </c>
      <c r="I218" s="522" t="str">
        <f>'5-1 Сбор КП Закупки'!I218</f>
        <v/>
      </c>
      <c r="J218" s="197"/>
      <c r="K218" s="522" t="str">
        <f>'5-1 Сбор КП Закупки'!G218</f>
        <v/>
      </c>
      <c r="L218" s="523" t="str">
        <f>IF(A218="Да",'5-1 Сбор КП Закупки'!K218,)</f>
        <v/>
      </c>
      <c r="M218" s="197"/>
      <c r="N218" s="197"/>
      <c r="O218" s="197"/>
      <c r="P218" s="525" t="str">
        <f>'5-1 Сбор КП Закупки'!P218</f>
        <v/>
      </c>
      <c r="Q218" s="197"/>
      <c r="R218" s="197"/>
      <c r="S218" s="197"/>
      <c r="T218" s="197"/>
      <c r="U218" s="197"/>
      <c r="V218" s="197"/>
      <c r="W218" s="522" t="str">
        <f>'5-1 Сбор КП Закупки'!O218</f>
        <v/>
      </c>
      <c r="X218" s="197"/>
      <c r="Y218" s="197"/>
      <c r="Z218" s="197"/>
      <c r="AA218" s="197"/>
      <c r="AB218" s="197">
        <v>0.0</v>
      </c>
      <c r="AC218" s="197"/>
      <c r="AD218" s="197"/>
      <c r="AE2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5-3'!$D$11:$Q319,AE$4,AE$5)"),"")</f>
        <v/>
      </c>
      <c r="AF218" s="528"/>
      <c r="AG2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5-3'!$D$11:$Q319,AG$4,AG$5)"),"")</f>
        <v/>
      </c>
      <c r="AH218" s="527"/>
      <c r="AI2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5-3'!$D$11:$Q319,AI$4,AI$5)"),"")</f>
        <v/>
      </c>
      <c r="AJ218" s="527"/>
      <c r="AK2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5-3'!$D$11:$Q319,AK$4,AK$5)"),"")</f>
        <v/>
      </c>
      <c r="AL218" s="527"/>
      <c r="AM2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5-3'!$D$11:$Q319,AM$4,AM$5)"),"")</f>
        <v/>
      </c>
      <c r="AN218" s="529"/>
      <c r="AO21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5-3'!$D$11:$Q319,AO$4,AO$5)"),"")</f>
        <v/>
      </c>
      <c r="AP218" s="527"/>
      <c r="AQ218" s="527"/>
      <c r="AR218" s="527"/>
      <c r="AS218" s="527"/>
      <c r="AT2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5-3'!$D$11:$Q319,AT$4,AT$5)"),"")</f>
        <v/>
      </c>
      <c r="AU218" s="531"/>
      <c r="AV2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5-3'!$D$11:$Q319,AV$4,AV$5)"),"")</f>
        <v/>
      </c>
      <c r="AW218" s="530"/>
      <c r="AX2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5-3'!$D$11:$Q319,AX$4,AX$5)"),"")</f>
        <v/>
      </c>
      <c r="AY218" s="530"/>
      <c r="AZ2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5-3'!$D$11:$Q319,AZ$4,AZ$5)"),"")</f>
        <v/>
      </c>
      <c r="BA218" s="530"/>
      <c r="BB2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5-3'!$D$11:$Q319,BB$4,BB$5)"),"")</f>
        <v/>
      </c>
      <c r="BC218" s="532"/>
      <c r="BD21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5-3'!$D$11:$Q319,BD$4,BD$5)"),"")</f>
        <v/>
      </c>
      <c r="BE218" s="530"/>
      <c r="BF218" s="530"/>
      <c r="BG218" s="530"/>
      <c r="BH218" s="530"/>
      <c r="BI2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5-3'!$D$11:$Q319,BI$4,BI$5)"),"")</f>
        <v/>
      </c>
      <c r="BJ218" s="535"/>
      <c r="BK2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5-3'!$D$11:$Q319,BK$4,BK$5)"),"")</f>
        <v/>
      </c>
      <c r="BL218" s="534"/>
      <c r="BM2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5-3'!$D$11:$Q319,BM$4,BM$5)"),"")</f>
        <v/>
      </c>
      <c r="BN218" s="534"/>
      <c r="BO2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5-3'!$D$11:$Q319,BO$4,BO$5)"),"")</f>
        <v/>
      </c>
      <c r="BP218" s="534"/>
      <c r="BQ2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5-3'!$D$11:$Q319,BQ$4,BQ$5)"),"")</f>
        <v/>
      </c>
      <c r="BR218" s="536"/>
      <c r="BS21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5-3'!$D$11:$Q319,BS$4,BS$5)"),"")</f>
        <v/>
      </c>
      <c r="BT218" s="534"/>
      <c r="BU218" s="534"/>
      <c r="BV218" s="534"/>
      <c r="BW218" s="534"/>
      <c r="BX2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5-3'!$D$11:$Q319,BX$4,BX$5)"),"")</f>
        <v/>
      </c>
      <c r="BY218" s="538"/>
      <c r="BZ2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5-3'!$D$11:$Q319,BZ$4,BZ$5)"),"")</f>
        <v/>
      </c>
      <c r="CA218" s="537"/>
      <c r="CB2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5-3'!$D$11:$Q319,CB$4,CB$5)"),"")</f>
        <v/>
      </c>
      <c r="CC218" s="537"/>
      <c r="CD2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5-3'!$D$11:$Q319,CD$4,CD$5)"),"")</f>
        <v/>
      </c>
      <c r="CE218" s="537"/>
      <c r="CF2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5-3'!$D$11:$Q319,CF$4,CF$5)"),"")</f>
        <v/>
      </c>
      <c r="CG218" s="539"/>
      <c r="CH21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5-3'!$D$11:$Q319,CH$4,CH$5)"),"")</f>
        <v/>
      </c>
      <c r="CI218" s="537"/>
      <c r="CJ218" s="537"/>
      <c r="CK218" s="537"/>
      <c r="CL218" s="537"/>
      <c r="CM2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5-3'!$D$11:$Q319,CM$4,CM$5)"),"")</f>
        <v/>
      </c>
      <c r="CN218" s="541"/>
      <c r="CO2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5-3'!$D$11:$Q319,CO$4,CO$5)"),"")</f>
        <v/>
      </c>
      <c r="CP218" s="540"/>
      <c r="CQ2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5-3'!$D$11:$Q319,CQ$4,CQ$5)"),"")</f>
        <v/>
      </c>
      <c r="CR218" s="540"/>
      <c r="CS2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5-3'!$D$11:$Q319,CS$4,CS$5)"),"")</f>
        <v/>
      </c>
      <c r="CT218" s="540"/>
      <c r="CU2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5-3'!$D$11:$Q319,CU$4,CU$5)"),"")</f>
        <v/>
      </c>
      <c r="CV218" s="545"/>
      <c r="CW21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5-3'!$D$11:$Q319,CW$4,CW$5)"),"")</f>
        <v/>
      </c>
      <c r="CX218" s="540"/>
      <c r="CY218" s="540"/>
      <c r="CZ218" s="540"/>
      <c r="DA218" s="540"/>
      <c r="DB2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5-3'!$D$11:$Q319,DB$4,DB$5)"),"")</f>
        <v/>
      </c>
      <c r="DC218" s="555"/>
      <c r="DD2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5-3'!$D$11:$Q319,DD$4,DD$5)"),"")</f>
        <v/>
      </c>
      <c r="DE218" s="554"/>
      <c r="DF2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5-3'!$D$11:$Q319,DF$4,DF$5)"),"")</f>
        <v/>
      </c>
      <c r="DG218" s="554"/>
      <c r="DH2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5-3'!$D$11:$Q319,DH$4,DH$5)"),"")</f>
        <v/>
      </c>
      <c r="DI218" s="554"/>
      <c r="DJ2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5-3'!$D$11:$Q319,DJ$4,DJ$5)"),"")</f>
        <v/>
      </c>
      <c r="DK218" s="566"/>
      <c r="DL21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5-3'!$D$11:$Q319,DL$4,DL$5)"),"")</f>
        <v/>
      </c>
      <c r="DM218" s="554"/>
      <c r="DN218" s="554"/>
      <c r="DO218" s="554"/>
      <c r="DP218" s="554"/>
      <c r="DQ2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5-3'!$D$11:$Q319,DQ$4,DQ$5)"),"")</f>
        <v/>
      </c>
      <c r="DR218" s="569"/>
      <c r="DS2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5-3'!$D$11:$Q319,DS$4,DS$5)"),"")</f>
        <v/>
      </c>
      <c r="DT218" s="568"/>
      <c r="DU2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5-3'!$D$11:$Q319,DU$4,DU$5)"),"")</f>
        <v/>
      </c>
      <c r="DV218" s="568"/>
      <c r="DW2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5-3'!$D$11:$Q319,DW$4,DW$5)"),"")</f>
        <v/>
      </c>
      <c r="DX218" s="568"/>
      <c r="DY2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5-3'!$D$11:$Q319,DY$4,DY$5)"),"")</f>
        <v/>
      </c>
      <c r="DZ218" s="578"/>
      <c r="EA21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$C218, 'S-10 Топ 5-3'!$D$11:$Q319,EA$4,EA$5)"),"")</f>
        <v/>
      </c>
      <c r="EB218" s="568"/>
      <c r="EC218" s="568"/>
      <c r="ED218" s="568"/>
      <c r="EE218" s="568"/>
    </row>
    <row r="219">
      <c r="A219" s="519" t="str">
        <f t="shared" si="1"/>
        <v/>
      </c>
      <c r="B219" s="520" t="str">
        <f>'5-0 Товары'!B219</f>
        <v/>
      </c>
      <c r="C219" s="521" t="str">
        <f>'5-1 Сбор КП Закупки'!C219</f>
        <v/>
      </c>
      <c r="D219" s="521" t="str">
        <f>'5-1 Сбор КП Закупки'!D219</f>
        <v/>
      </c>
      <c r="E219" s="521" t="str">
        <f>'5-1 Сбор КП Закупки'!E219</f>
        <v/>
      </c>
      <c r="F219" s="521" t="str">
        <f>'5-1 Сбор КП Закупки'!F219</f>
        <v/>
      </c>
      <c r="G219" s="522" t="str">
        <f>'5-1 Сбор КП Закупки'!G219</f>
        <v/>
      </c>
      <c r="H219" s="522" t="str">
        <f>'5-1 Сбор КП Закупки'!H219</f>
        <v/>
      </c>
      <c r="I219" s="522" t="str">
        <f>'5-1 Сбор КП Закупки'!I219</f>
        <v/>
      </c>
      <c r="J219" s="197"/>
      <c r="K219" s="522" t="str">
        <f>'5-1 Сбор КП Закупки'!G219</f>
        <v/>
      </c>
      <c r="L219" s="523" t="str">
        <f>IF(A219="Да",'5-1 Сбор КП Закупки'!K219,)</f>
        <v/>
      </c>
      <c r="M219" s="197"/>
      <c r="N219" s="197"/>
      <c r="O219" s="197"/>
      <c r="P219" s="525" t="str">
        <f>'5-1 Сбор КП Закупки'!P219</f>
        <v/>
      </c>
      <c r="Q219" s="197"/>
      <c r="R219" s="197"/>
      <c r="S219" s="197"/>
      <c r="T219" s="197"/>
      <c r="U219" s="197"/>
      <c r="V219" s="197"/>
      <c r="W219" s="522" t="str">
        <f>'5-1 Сбор КП Закупки'!O219</f>
        <v/>
      </c>
      <c r="X219" s="197"/>
      <c r="Y219" s="197"/>
      <c r="Z219" s="197"/>
      <c r="AA219" s="197"/>
      <c r="AB219" s="197">
        <v>0.0</v>
      </c>
      <c r="AC219" s="197"/>
      <c r="AD219" s="197"/>
      <c r="AE2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5-3'!$D$11:$Q319,AE$4,AE$5)"),"")</f>
        <v/>
      </c>
      <c r="AF219" s="528"/>
      <c r="AG2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5-3'!$D$11:$Q319,AG$4,AG$5)"),"")</f>
        <v/>
      </c>
      <c r="AH219" s="527"/>
      <c r="AI2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5-3'!$D$11:$Q319,AI$4,AI$5)"),"")</f>
        <v/>
      </c>
      <c r="AJ219" s="527"/>
      <c r="AK2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5-3'!$D$11:$Q319,AK$4,AK$5)"),"")</f>
        <v/>
      </c>
      <c r="AL219" s="527"/>
      <c r="AM2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5-3'!$D$11:$Q319,AM$4,AM$5)"),"")</f>
        <v/>
      </c>
      <c r="AN219" s="529"/>
      <c r="AO21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5-3'!$D$11:$Q319,AO$4,AO$5)"),"")</f>
        <v/>
      </c>
      <c r="AP219" s="527"/>
      <c r="AQ219" s="527"/>
      <c r="AR219" s="527"/>
      <c r="AS219" s="527"/>
      <c r="AT2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5-3'!$D$11:$Q319,AT$4,AT$5)"),"")</f>
        <v/>
      </c>
      <c r="AU219" s="531"/>
      <c r="AV2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5-3'!$D$11:$Q319,AV$4,AV$5)"),"")</f>
        <v/>
      </c>
      <c r="AW219" s="530"/>
      <c r="AX2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5-3'!$D$11:$Q319,AX$4,AX$5)"),"")</f>
        <v/>
      </c>
      <c r="AY219" s="530"/>
      <c r="AZ2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5-3'!$D$11:$Q319,AZ$4,AZ$5)"),"")</f>
        <v/>
      </c>
      <c r="BA219" s="530"/>
      <c r="BB2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5-3'!$D$11:$Q319,BB$4,BB$5)"),"")</f>
        <v/>
      </c>
      <c r="BC219" s="532"/>
      <c r="BD21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5-3'!$D$11:$Q319,BD$4,BD$5)"),"")</f>
        <v/>
      </c>
      <c r="BE219" s="530"/>
      <c r="BF219" s="530"/>
      <c r="BG219" s="530"/>
      <c r="BH219" s="530"/>
      <c r="BI2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5-3'!$D$11:$Q319,BI$4,BI$5)"),"")</f>
        <v/>
      </c>
      <c r="BJ219" s="535"/>
      <c r="BK2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5-3'!$D$11:$Q319,BK$4,BK$5)"),"")</f>
        <v/>
      </c>
      <c r="BL219" s="534"/>
      <c r="BM2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5-3'!$D$11:$Q319,BM$4,BM$5)"),"")</f>
        <v/>
      </c>
      <c r="BN219" s="534"/>
      <c r="BO2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5-3'!$D$11:$Q319,BO$4,BO$5)"),"")</f>
        <v/>
      </c>
      <c r="BP219" s="534"/>
      <c r="BQ2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5-3'!$D$11:$Q319,BQ$4,BQ$5)"),"")</f>
        <v/>
      </c>
      <c r="BR219" s="536"/>
      <c r="BS21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5-3'!$D$11:$Q319,BS$4,BS$5)"),"")</f>
        <v/>
      </c>
      <c r="BT219" s="534"/>
      <c r="BU219" s="534"/>
      <c r="BV219" s="534"/>
      <c r="BW219" s="534"/>
      <c r="BX2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5-3'!$D$11:$Q319,BX$4,BX$5)"),"")</f>
        <v/>
      </c>
      <c r="BY219" s="538"/>
      <c r="BZ2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5-3'!$D$11:$Q319,BZ$4,BZ$5)"),"")</f>
        <v/>
      </c>
      <c r="CA219" s="537"/>
      <c r="CB2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5-3'!$D$11:$Q319,CB$4,CB$5)"),"")</f>
        <v/>
      </c>
      <c r="CC219" s="537"/>
      <c r="CD2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5-3'!$D$11:$Q319,CD$4,CD$5)"),"")</f>
        <v/>
      </c>
      <c r="CE219" s="537"/>
      <c r="CF2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5-3'!$D$11:$Q319,CF$4,CF$5)"),"")</f>
        <v/>
      </c>
      <c r="CG219" s="539"/>
      <c r="CH21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5-3'!$D$11:$Q319,CH$4,CH$5)"),"")</f>
        <v/>
      </c>
      <c r="CI219" s="537"/>
      <c r="CJ219" s="537"/>
      <c r="CK219" s="537"/>
      <c r="CL219" s="537"/>
      <c r="CM2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5-3'!$D$11:$Q319,CM$4,CM$5)"),"")</f>
        <v/>
      </c>
      <c r="CN219" s="541"/>
      <c r="CO2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5-3'!$D$11:$Q319,CO$4,CO$5)"),"")</f>
        <v/>
      </c>
      <c r="CP219" s="540"/>
      <c r="CQ2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5-3'!$D$11:$Q319,CQ$4,CQ$5)"),"")</f>
        <v/>
      </c>
      <c r="CR219" s="540"/>
      <c r="CS2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5-3'!$D$11:$Q319,CS$4,CS$5)"),"")</f>
        <v/>
      </c>
      <c r="CT219" s="540"/>
      <c r="CU2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5-3'!$D$11:$Q319,CU$4,CU$5)"),"")</f>
        <v/>
      </c>
      <c r="CV219" s="545"/>
      <c r="CW21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5-3'!$D$11:$Q319,CW$4,CW$5)"),"")</f>
        <v/>
      </c>
      <c r="CX219" s="540"/>
      <c r="CY219" s="540"/>
      <c r="CZ219" s="540"/>
      <c r="DA219" s="540"/>
      <c r="DB2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5-3'!$D$11:$Q319,DB$4,DB$5)"),"")</f>
        <v/>
      </c>
      <c r="DC219" s="555"/>
      <c r="DD2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5-3'!$D$11:$Q319,DD$4,DD$5)"),"")</f>
        <v/>
      </c>
      <c r="DE219" s="554"/>
      <c r="DF2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5-3'!$D$11:$Q319,DF$4,DF$5)"),"")</f>
        <v/>
      </c>
      <c r="DG219" s="554"/>
      <c r="DH2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5-3'!$D$11:$Q319,DH$4,DH$5)"),"")</f>
        <v/>
      </c>
      <c r="DI219" s="554"/>
      <c r="DJ2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5-3'!$D$11:$Q319,DJ$4,DJ$5)"),"")</f>
        <v/>
      </c>
      <c r="DK219" s="566"/>
      <c r="DL21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5-3'!$D$11:$Q319,DL$4,DL$5)"),"")</f>
        <v/>
      </c>
      <c r="DM219" s="554"/>
      <c r="DN219" s="554"/>
      <c r="DO219" s="554"/>
      <c r="DP219" s="554"/>
      <c r="DQ2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5-3'!$D$11:$Q319,DQ$4,DQ$5)"),"")</f>
        <v/>
      </c>
      <c r="DR219" s="569"/>
      <c r="DS2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5-3'!$D$11:$Q319,DS$4,DS$5)"),"")</f>
        <v/>
      </c>
      <c r="DT219" s="568"/>
      <c r="DU2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5-3'!$D$11:$Q319,DU$4,DU$5)"),"")</f>
        <v/>
      </c>
      <c r="DV219" s="568"/>
      <c r="DW2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5-3'!$D$11:$Q319,DW$4,DW$5)"),"")</f>
        <v/>
      </c>
      <c r="DX219" s="568"/>
      <c r="DY2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5-3'!$D$11:$Q319,DY$4,DY$5)"),"")</f>
        <v/>
      </c>
      <c r="DZ219" s="578"/>
      <c r="EA21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$C219, 'S-10 Топ 5-3'!$D$11:$Q319,EA$4,EA$5)"),"")</f>
        <v/>
      </c>
      <c r="EB219" s="568"/>
      <c r="EC219" s="568"/>
      <c r="ED219" s="568"/>
      <c r="EE219" s="568"/>
    </row>
    <row r="220">
      <c r="A220" s="519" t="str">
        <f t="shared" si="1"/>
        <v/>
      </c>
      <c r="B220" s="520" t="str">
        <f>'5-0 Товары'!B220</f>
        <v/>
      </c>
      <c r="C220" s="521" t="str">
        <f>'5-1 Сбор КП Закупки'!C220</f>
        <v/>
      </c>
      <c r="D220" s="521" t="str">
        <f>'5-1 Сбор КП Закупки'!D220</f>
        <v/>
      </c>
      <c r="E220" s="521" t="str">
        <f>'5-1 Сбор КП Закупки'!E220</f>
        <v/>
      </c>
      <c r="F220" s="521" t="str">
        <f>'5-1 Сбор КП Закупки'!F220</f>
        <v/>
      </c>
      <c r="G220" s="522" t="str">
        <f>'5-1 Сбор КП Закупки'!G220</f>
        <v/>
      </c>
      <c r="H220" s="522" t="str">
        <f>'5-1 Сбор КП Закупки'!H220</f>
        <v/>
      </c>
      <c r="I220" s="522" t="str">
        <f>'5-1 Сбор КП Закупки'!I220</f>
        <v/>
      </c>
      <c r="J220" s="197"/>
      <c r="K220" s="522" t="str">
        <f>'5-1 Сбор КП Закупки'!G220</f>
        <v/>
      </c>
      <c r="L220" s="523" t="str">
        <f>IF(A220="Да",'5-1 Сбор КП Закупки'!K220,)</f>
        <v/>
      </c>
      <c r="M220" s="197"/>
      <c r="N220" s="197"/>
      <c r="O220" s="197"/>
      <c r="P220" s="525" t="str">
        <f>'5-1 Сбор КП Закупки'!P220</f>
        <v/>
      </c>
      <c r="Q220" s="197"/>
      <c r="R220" s="197"/>
      <c r="S220" s="197"/>
      <c r="T220" s="197"/>
      <c r="U220" s="197"/>
      <c r="V220" s="197"/>
      <c r="W220" s="522" t="str">
        <f>'5-1 Сбор КП Закупки'!O220</f>
        <v/>
      </c>
      <c r="X220" s="197"/>
      <c r="Y220" s="197"/>
      <c r="Z220" s="197"/>
      <c r="AA220" s="197"/>
      <c r="AB220" s="197">
        <v>0.0</v>
      </c>
      <c r="AC220" s="197"/>
      <c r="AD220" s="197"/>
      <c r="AE2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5-3'!$D$11:$Q319,AE$4,AE$5)"),"")</f>
        <v/>
      </c>
      <c r="AF220" s="528"/>
      <c r="AG2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5-3'!$D$11:$Q319,AG$4,AG$5)"),"")</f>
        <v/>
      </c>
      <c r="AH220" s="527"/>
      <c r="AI2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5-3'!$D$11:$Q319,AI$4,AI$5)"),"")</f>
        <v/>
      </c>
      <c r="AJ220" s="527"/>
      <c r="AK2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5-3'!$D$11:$Q319,AK$4,AK$5)"),"")</f>
        <v/>
      </c>
      <c r="AL220" s="527"/>
      <c r="AM2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5-3'!$D$11:$Q319,AM$4,AM$5)"),"")</f>
        <v/>
      </c>
      <c r="AN220" s="529"/>
      <c r="AO22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5-3'!$D$11:$Q319,AO$4,AO$5)"),"")</f>
        <v/>
      </c>
      <c r="AP220" s="527"/>
      <c r="AQ220" s="527"/>
      <c r="AR220" s="527"/>
      <c r="AS220" s="527"/>
      <c r="AT2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5-3'!$D$11:$Q319,AT$4,AT$5)"),"")</f>
        <v/>
      </c>
      <c r="AU220" s="531"/>
      <c r="AV2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5-3'!$D$11:$Q319,AV$4,AV$5)"),"")</f>
        <v/>
      </c>
      <c r="AW220" s="530"/>
      <c r="AX2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5-3'!$D$11:$Q319,AX$4,AX$5)"),"")</f>
        <v/>
      </c>
      <c r="AY220" s="530"/>
      <c r="AZ2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5-3'!$D$11:$Q319,AZ$4,AZ$5)"),"")</f>
        <v/>
      </c>
      <c r="BA220" s="530"/>
      <c r="BB2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5-3'!$D$11:$Q319,BB$4,BB$5)"),"")</f>
        <v/>
      </c>
      <c r="BC220" s="532"/>
      <c r="BD22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5-3'!$D$11:$Q319,BD$4,BD$5)"),"")</f>
        <v/>
      </c>
      <c r="BE220" s="530"/>
      <c r="BF220" s="530"/>
      <c r="BG220" s="530"/>
      <c r="BH220" s="530"/>
      <c r="BI2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5-3'!$D$11:$Q319,BI$4,BI$5)"),"")</f>
        <v/>
      </c>
      <c r="BJ220" s="535"/>
      <c r="BK2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5-3'!$D$11:$Q319,BK$4,BK$5)"),"")</f>
        <v/>
      </c>
      <c r="BL220" s="534"/>
      <c r="BM2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5-3'!$D$11:$Q319,BM$4,BM$5)"),"")</f>
        <v/>
      </c>
      <c r="BN220" s="534"/>
      <c r="BO2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5-3'!$D$11:$Q319,BO$4,BO$5)"),"")</f>
        <v/>
      </c>
      <c r="BP220" s="534"/>
      <c r="BQ2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5-3'!$D$11:$Q319,BQ$4,BQ$5)"),"")</f>
        <v/>
      </c>
      <c r="BR220" s="536"/>
      <c r="BS22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5-3'!$D$11:$Q319,BS$4,BS$5)"),"")</f>
        <v/>
      </c>
      <c r="BT220" s="534"/>
      <c r="BU220" s="534"/>
      <c r="BV220" s="534"/>
      <c r="BW220" s="534"/>
      <c r="BX2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5-3'!$D$11:$Q319,BX$4,BX$5)"),"")</f>
        <v/>
      </c>
      <c r="BY220" s="538"/>
      <c r="BZ2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5-3'!$D$11:$Q319,BZ$4,BZ$5)"),"")</f>
        <v/>
      </c>
      <c r="CA220" s="537"/>
      <c r="CB2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5-3'!$D$11:$Q319,CB$4,CB$5)"),"")</f>
        <v/>
      </c>
      <c r="CC220" s="537"/>
      <c r="CD2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5-3'!$D$11:$Q319,CD$4,CD$5)"),"")</f>
        <v/>
      </c>
      <c r="CE220" s="537"/>
      <c r="CF2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5-3'!$D$11:$Q319,CF$4,CF$5)"),"")</f>
        <v/>
      </c>
      <c r="CG220" s="539"/>
      <c r="CH22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5-3'!$D$11:$Q319,CH$4,CH$5)"),"")</f>
        <v/>
      </c>
      <c r="CI220" s="537"/>
      <c r="CJ220" s="537"/>
      <c r="CK220" s="537"/>
      <c r="CL220" s="537"/>
      <c r="CM2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5-3'!$D$11:$Q319,CM$4,CM$5)"),"")</f>
        <v/>
      </c>
      <c r="CN220" s="541"/>
      <c r="CO2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5-3'!$D$11:$Q319,CO$4,CO$5)"),"")</f>
        <v/>
      </c>
      <c r="CP220" s="540"/>
      <c r="CQ2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5-3'!$D$11:$Q319,CQ$4,CQ$5)"),"")</f>
        <v/>
      </c>
      <c r="CR220" s="540"/>
      <c r="CS2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5-3'!$D$11:$Q319,CS$4,CS$5)"),"")</f>
        <v/>
      </c>
      <c r="CT220" s="540"/>
      <c r="CU2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5-3'!$D$11:$Q319,CU$4,CU$5)"),"")</f>
        <v/>
      </c>
      <c r="CV220" s="545"/>
      <c r="CW22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5-3'!$D$11:$Q319,CW$4,CW$5)"),"")</f>
        <v/>
      </c>
      <c r="CX220" s="540"/>
      <c r="CY220" s="540"/>
      <c r="CZ220" s="540"/>
      <c r="DA220" s="540"/>
      <c r="DB2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5-3'!$D$11:$Q319,DB$4,DB$5)"),"")</f>
        <v/>
      </c>
      <c r="DC220" s="555"/>
      <c r="DD2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5-3'!$D$11:$Q319,DD$4,DD$5)"),"")</f>
        <v/>
      </c>
      <c r="DE220" s="554"/>
      <c r="DF2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5-3'!$D$11:$Q319,DF$4,DF$5)"),"")</f>
        <v/>
      </c>
      <c r="DG220" s="554"/>
      <c r="DH2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5-3'!$D$11:$Q319,DH$4,DH$5)"),"")</f>
        <v/>
      </c>
      <c r="DI220" s="554"/>
      <c r="DJ2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5-3'!$D$11:$Q319,DJ$4,DJ$5)"),"")</f>
        <v/>
      </c>
      <c r="DK220" s="566"/>
      <c r="DL22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5-3'!$D$11:$Q319,DL$4,DL$5)"),"")</f>
        <v/>
      </c>
      <c r="DM220" s="554"/>
      <c r="DN220" s="554"/>
      <c r="DO220" s="554"/>
      <c r="DP220" s="554"/>
      <c r="DQ2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5-3'!$D$11:$Q319,DQ$4,DQ$5)"),"")</f>
        <v/>
      </c>
      <c r="DR220" s="569"/>
      <c r="DS2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5-3'!$D$11:$Q319,DS$4,DS$5)"),"")</f>
        <v/>
      </c>
      <c r="DT220" s="568"/>
      <c r="DU2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5-3'!$D$11:$Q319,DU$4,DU$5)"),"")</f>
        <v/>
      </c>
      <c r="DV220" s="568"/>
      <c r="DW2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5-3'!$D$11:$Q319,DW$4,DW$5)"),"")</f>
        <v/>
      </c>
      <c r="DX220" s="568"/>
      <c r="DY2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5-3'!$D$11:$Q319,DY$4,DY$5)"),"")</f>
        <v/>
      </c>
      <c r="DZ220" s="578"/>
      <c r="EA22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$C220, 'S-10 Топ 5-3'!$D$11:$Q319,EA$4,EA$5)"),"")</f>
        <v/>
      </c>
      <c r="EB220" s="568"/>
      <c r="EC220" s="568"/>
      <c r="ED220" s="568"/>
      <c r="EE220" s="568"/>
    </row>
    <row r="221">
      <c r="A221" s="519" t="str">
        <f t="shared" si="1"/>
        <v/>
      </c>
      <c r="B221" s="520" t="str">
        <f>'5-0 Товары'!B221</f>
        <v/>
      </c>
      <c r="C221" s="521" t="str">
        <f>'5-1 Сбор КП Закупки'!C221</f>
        <v/>
      </c>
      <c r="D221" s="521" t="str">
        <f>'5-1 Сбор КП Закупки'!D221</f>
        <v/>
      </c>
      <c r="E221" s="521" t="str">
        <f>'5-1 Сбор КП Закупки'!E221</f>
        <v/>
      </c>
      <c r="F221" s="521" t="str">
        <f>'5-1 Сбор КП Закупки'!F221</f>
        <v/>
      </c>
      <c r="G221" s="522" t="str">
        <f>'5-1 Сбор КП Закупки'!G221</f>
        <v/>
      </c>
      <c r="H221" s="522" t="str">
        <f>'5-1 Сбор КП Закупки'!H221</f>
        <v/>
      </c>
      <c r="I221" s="522" t="str">
        <f>'5-1 Сбор КП Закупки'!I221</f>
        <v/>
      </c>
      <c r="J221" s="197"/>
      <c r="K221" s="522" t="str">
        <f>'5-1 Сбор КП Закупки'!G221</f>
        <v/>
      </c>
      <c r="L221" s="523" t="str">
        <f>IF(A221="Да",'5-1 Сбор КП Закупки'!K221,)</f>
        <v/>
      </c>
      <c r="M221" s="197"/>
      <c r="N221" s="197"/>
      <c r="O221" s="197"/>
      <c r="P221" s="525" t="str">
        <f>'5-1 Сбор КП Закупки'!P221</f>
        <v/>
      </c>
      <c r="Q221" s="197"/>
      <c r="R221" s="197"/>
      <c r="S221" s="197"/>
      <c r="T221" s="197"/>
      <c r="U221" s="197"/>
      <c r="V221" s="197"/>
      <c r="W221" s="522" t="str">
        <f>'5-1 Сбор КП Закупки'!O221</f>
        <v/>
      </c>
      <c r="X221" s="197"/>
      <c r="Y221" s="197"/>
      <c r="Z221" s="197"/>
      <c r="AA221" s="197"/>
      <c r="AB221" s="197">
        <v>0.0</v>
      </c>
      <c r="AC221" s="197"/>
      <c r="AD221" s="197"/>
      <c r="AE2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5-3'!$D$11:$Q319,AE$4,AE$5)"),"")</f>
        <v/>
      </c>
      <c r="AF221" s="528"/>
      <c r="AG2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5-3'!$D$11:$Q319,AG$4,AG$5)"),"")</f>
        <v/>
      </c>
      <c r="AH221" s="527"/>
      <c r="AI2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5-3'!$D$11:$Q319,AI$4,AI$5)"),"")</f>
        <v/>
      </c>
      <c r="AJ221" s="527"/>
      <c r="AK2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5-3'!$D$11:$Q319,AK$4,AK$5)"),"")</f>
        <v/>
      </c>
      <c r="AL221" s="527"/>
      <c r="AM2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5-3'!$D$11:$Q319,AM$4,AM$5)"),"")</f>
        <v/>
      </c>
      <c r="AN221" s="529"/>
      <c r="AO22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5-3'!$D$11:$Q319,AO$4,AO$5)"),"")</f>
        <v/>
      </c>
      <c r="AP221" s="527"/>
      <c r="AQ221" s="527"/>
      <c r="AR221" s="527"/>
      <c r="AS221" s="527"/>
      <c r="AT2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5-3'!$D$11:$Q319,AT$4,AT$5)"),"")</f>
        <v/>
      </c>
      <c r="AU221" s="531"/>
      <c r="AV2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5-3'!$D$11:$Q319,AV$4,AV$5)"),"")</f>
        <v/>
      </c>
      <c r="AW221" s="530"/>
      <c r="AX2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5-3'!$D$11:$Q319,AX$4,AX$5)"),"")</f>
        <v/>
      </c>
      <c r="AY221" s="530"/>
      <c r="AZ2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5-3'!$D$11:$Q319,AZ$4,AZ$5)"),"")</f>
        <v/>
      </c>
      <c r="BA221" s="530"/>
      <c r="BB2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5-3'!$D$11:$Q319,BB$4,BB$5)"),"")</f>
        <v/>
      </c>
      <c r="BC221" s="532"/>
      <c r="BD22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5-3'!$D$11:$Q319,BD$4,BD$5)"),"")</f>
        <v/>
      </c>
      <c r="BE221" s="530"/>
      <c r="BF221" s="530"/>
      <c r="BG221" s="530"/>
      <c r="BH221" s="530"/>
      <c r="BI2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5-3'!$D$11:$Q319,BI$4,BI$5)"),"")</f>
        <v/>
      </c>
      <c r="BJ221" s="535"/>
      <c r="BK2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5-3'!$D$11:$Q319,BK$4,BK$5)"),"")</f>
        <v/>
      </c>
      <c r="BL221" s="534"/>
      <c r="BM2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5-3'!$D$11:$Q319,BM$4,BM$5)"),"")</f>
        <v/>
      </c>
      <c r="BN221" s="534"/>
      <c r="BO2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5-3'!$D$11:$Q319,BO$4,BO$5)"),"")</f>
        <v/>
      </c>
      <c r="BP221" s="534"/>
      <c r="BQ2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5-3'!$D$11:$Q319,BQ$4,BQ$5)"),"")</f>
        <v/>
      </c>
      <c r="BR221" s="536"/>
      <c r="BS22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5-3'!$D$11:$Q319,BS$4,BS$5)"),"")</f>
        <v/>
      </c>
      <c r="BT221" s="534"/>
      <c r="BU221" s="534"/>
      <c r="BV221" s="534"/>
      <c r="BW221" s="534"/>
      <c r="BX2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5-3'!$D$11:$Q319,BX$4,BX$5)"),"")</f>
        <v/>
      </c>
      <c r="BY221" s="538"/>
      <c r="BZ2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5-3'!$D$11:$Q319,BZ$4,BZ$5)"),"")</f>
        <v/>
      </c>
      <c r="CA221" s="537"/>
      <c r="CB2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5-3'!$D$11:$Q319,CB$4,CB$5)"),"")</f>
        <v/>
      </c>
      <c r="CC221" s="537"/>
      <c r="CD2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5-3'!$D$11:$Q319,CD$4,CD$5)"),"")</f>
        <v/>
      </c>
      <c r="CE221" s="537"/>
      <c r="CF2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5-3'!$D$11:$Q319,CF$4,CF$5)"),"")</f>
        <v/>
      </c>
      <c r="CG221" s="539"/>
      <c r="CH22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5-3'!$D$11:$Q319,CH$4,CH$5)"),"")</f>
        <v/>
      </c>
      <c r="CI221" s="537"/>
      <c r="CJ221" s="537"/>
      <c r="CK221" s="537"/>
      <c r="CL221" s="537"/>
      <c r="CM2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5-3'!$D$11:$Q319,CM$4,CM$5)"),"")</f>
        <v/>
      </c>
      <c r="CN221" s="541"/>
      <c r="CO2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5-3'!$D$11:$Q319,CO$4,CO$5)"),"")</f>
        <v/>
      </c>
      <c r="CP221" s="540"/>
      <c r="CQ2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5-3'!$D$11:$Q319,CQ$4,CQ$5)"),"")</f>
        <v/>
      </c>
      <c r="CR221" s="540"/>
      <c r="CS2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5-3'!$D$11:$Q319,CS$4,CS$5)"),"")</f>
        <v/>
      </c>
      <c r="CT221" s="540"/>
      <c r="CU2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5-3'!$D$11:$Q319,CU$4,CU$5)"),"")</f>
        <v/>
      </c>
      <c r="CV221" s="545"/>
      <c r="CW22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5-3'!$D$11:$Q319,CW$4,CW$5)"),"")</f>
        <v/>
      </c>
      <c r="CX221" s="540"/>
      <c r="CY221" s="540"/>
      <c r="CZ221" s="540"/>
      <c r="DA221" s="540"/>
      <c r="DB2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5-3'!$D$11:$Q319,DB$4,DB$5)"),"")</f>
        <v/>
      </c>
      <c r="DC221" s="555"/>
      <c r="DD2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5-3'!$D$11:$Q319,DD$4,DD$5)"),"")</f>
        <v/>
      </c>
      <c r="DE221" s="554"/>
      <c r="DF2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5-3'!$D$11:$Q319,DF$4,DF$5)"),"")</f>
        <v/>
      </c>
      <c r="DG221" s="554"/>
      <c r="DH2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5-3'!$D$11:$Q319,DH$4,DH$5)"),"")</f>
        <v/>
      </c>
      <c r="DI221" s="554"/>
      <c r="DJ2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5-3'!$D$11:$Q319,DJ$4,DJ$5)"),"")</f>
        <v/>
      </c>
      <c r="DK221" s="566"/>
      <c r="DL22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5-3'!$D$11:$Q319,DL$4,DL$5)"),"")</f>
        <v/>
      </c>
      <c r="DM221" s="554"/>
      <c r="DN221" s="554"/>
      <c r="DO221" s="554"/>
      <c r="DP221" s="554"/>
      <c r="DQ2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5-3'!$D$11:$Q319,DQ$4,DQ$5)"),"")</f>
        <v/>
      </c>
      <c r="DR221" s="569"/>
      <c r="DS2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5-3'!$D$11:$Q319,DS$4,DS$5)"),"")</f>
        <v/>
      </c>
      <c r="DT221" s="568"/>
      <c r="DU2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5-3'!$D$11:$Q319,DU$4,DU$5)"),"")</f>
        <v/>
      </c>
      <c r="DV221" s="568"/>
      <c r="DW2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5-3'!$D$11:$Q319,DW$4,DW$5)"),"")</f>
        <v/>
      </c>
      <c r="DX221" s="568"/>
      <c r="DY2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5-3'!$D$11:$Q319,DY$4,DY$5)"),"")</f>
        <v/>
      </c>
      <c r="DZ221" s="578"/>
      <c r="EA22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$C221, 'S-10 Топ 5-3'!$D$11:$Q319,EA$4,EA$5)"),"")</f>
        <v/>
      </c>
      <c r="EB221" s="568"/>
      <c r="EC221" s="568"/>
      <c r="ED221" s="568"/>
      <c r="EE221" s="568"/>
    </row>
    <row r="222">
      <c r="A222" s="519" t="str">
        <f t="shared" si="1"/>
        <v/>
      </c>
      <c r="B222" s="520" t="str">
        <f>'5-0 Товары'!B222</f>
        <v/>
      </c>
      <c r="C222" s="521" t="str">
        <f>'5-1 Сбор КП Закупки'!C222</f>
        <v/>
      </c>
      <c r="D222" s="521" t="str">
        <f>'5-1 Сбор КП Закупки'!D222</f>
        <v/>
      </c>
      <c r="E222" s="521" t="str">
        <f>'5-1 Сбор КП Закупки'!E222</f>
        <v/>
      </c>
      <c r="F222" s="521" t="str">
        <f>'5-1 Сбор КП Закупки'!F222</f>
        <v/>
      </c>
      <c r="G222" s="522" t="str">
        <f>'5-1 Сбор КП Закупки'!G222</f>
        <v/>
      </c>
      <c r="H222" s="522" t="str">
        <f>'5-1 Сбор КП Закупки'!H222</f>
        <v/>
      </c>
      <c r="I222" s="522" t="str">
        <f>'5-1 Сбор КП Закупки'!I222</f>
        <v/>
      </c>
      <c r="J222" s="197"/>
      <c r="K222" s="522" t="str">
        <f>'5-1 Сбор КП Закупки'!G222</f>
        <v/>
      </c>
      <c r="L222" s="523" t="str">
        <f>IF(A222="Да",'5-1 Сбор КП Закупки'!K222,)</f>
        <v/>
      </c>
      <c r="M222" s="197"/>
      <c r="N222" s="197"/>
      <c r="O222" s="197"/>
      <c r="P222" s="525" t="str">
        <f>'5-1 Сбор КП Закупки'!P222</f>
        <v/>
      </c>
      <c r="Q222" s="197"/>
      <c r="R222" s="197"/>
      <c r="S222" s="197"/>
      <c r="T222" s="197"/>
      <c r="U222" s="197"/>
      <c r="V222" s="197"/>
      <c r="W222" s="522" t="str">
        <f>'5-1 Сбор КП Закупки'!O222</f>
        <v/>
      </c>
      <c r="X222" s="197"/>
      <c r="Y222" s="197"/>
      <c r="Z222" s="197"/>
      <c r="AA222" s="197"/>
      <c r="AB222" s="197">
        <v>0.0</v>
      </c>
      <c r="AC222" s="197"/>
      <c r="AD222" s="197"/>
      <c r="AE2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5-3'!$D$11:$Q319,AE$4,AE$5)"),"")</f>
        <v/>
      </c>
      <c r="AF222" s="528"/>
      <c r="AG2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5-3'!$D$11:$Q319,AG$4,AG$5)"),"")</f>
        <v/>
      </c>
      <c r="AH222" s="527"/>
      <c r="AI2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5-3'!$D$11:$Q319,AI$4,AI$5)"),"")</f>
        <v/>
      </c>
      <c r="AJ222" s="527"/>
      <c r="AK2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5-3'!$D$11:$Q319,AK$4,AK$5)"),"")</f>
        <v/>
      </c>
      <c r="AL222" s="527"/>
      <c r="AM2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5-3'!$D$11:$Q319,AM$4,AM$5)"),"")</f>
        <v/>
      </c>
      <c r="AN222" s="529"/>
      <c r="AO22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5-3'!$D$11:$Q319,AO$4,AO$5)"),"")</f>
        <v/>
      </c>
      <c r="AP222" s="527"/>
      <c r="AQ222" s="527"/>
      <c r="AR222" s="527"/>
      <c r="AS222" s="527"/>
      <c r="AT2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5-3'!$D$11:$Q319,AT$4,AT$5)"),"")</f>
        <v/>
      </c>
      <c r="AU222" s="531"/>
      <c r="AV2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5-3'!$D$11:$Q319,AV$4,AV$5)"),"")</f>
        <v/>
      </c>
      <c r="AW222" s="530"/>
      <c r="AX2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5-3'!$D$11:$Q319,AX$4,AX$5)"),"")</f>
        <v/>
      </c>
      <c r="AY222" s="530"/>
      <c r="AZ2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5-3'!$D$11:$Q319,AZ$4,AZ$5)"),"")</f>
        <v/>
      </c>
      <c r="BA222" s="530"/>
      <c r="BB2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5-3'!$D$11:$Q319,BB$4,BB$5)"),"")</f>
        <v/>
      </c>
      <c r="BC222" s="532"/>
      <c r="BD22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5-3'!$D$11:$Q319,BD$4,BD$5)"),"")</f>
        <v/>
      </c>
      <c r="BE222" s="530"/>
      <c r="BF222" s="530"/>
      <c r="BG222" s="530"/>
      <c r="BH222" s="530"/>
      <c r="BI2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5-3'!$D$11:$Q319,BI$4,BI$5)"),"")</f>
        <v/>
      </c>
      <c r="BJ222" s="535"/>
      <c r="BK2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5-3'!$D$11:$Q319,BK$4,BK$5)"),"")</f>
        <v/>
      </c>
      <c r="BL222" s="534"/>
      <c r="BM2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5-3'!$D$11:$Q319,BM$4,BM$5)"),"")</f>
        <v/>
      </c>
      <c r="BN222" s="534"/>
      <c r="BO2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5-3'!$D$11:$Q319,BO$4,BO$5)"),"")</f>
        <v/>
      </c>
      <c r="BP222" s="534"/>
      <c r="BQ2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5-3'!$D$11:$Q319,BQ$4,BQ$5)"),"")</f>
        <v/>
      </c>
      <c r="BR222" s="536"/>
      <c r="BS22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5-3'!$D$11:$Q319,BS$4,BS$5)"),"")</f>
        <v/>
      </c>
      <c r="BT222" s="534"/>
      <c r="BU222" s="534"/>
      <c r="BV222" s="534"/>
      <c r="BW222" s="534"/>
      <c r="BX2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5-3'!$D$11:$Q319,BX$4,BX$5)"),"")</f>
        <v/>
      </c>
      <c r="BY222" s="538"/>
      <c r="BZ2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5-3'!$D$11:$Q319,BZ$4,BZ$5)"),"")</f>
        <v/>
      </c>
      <c r="CA222" s="537"/>
      <c r="CB2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5-3'!$D$11:$Q319,CB$4,CB$5)"),"")</f>
        <v/>
      </c>
      <c r="CC222" s="537"/>
      <c r="CD2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5-3'!$D$11:$Q319,CD$4,CD$5)"),"")</f>
        <v/>
      </c>
      <c r="CE222" s="537"/>
      <c r="CF2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5-3'!$D$11:$Q319,CF$4,CF$5)"),"")</f>
        <v/>
      </c>
      <c r="CG222" s="539"/>
      <c r="CH22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5-3'!$D$11:$Q319,CH$4,CH$5)"),"")</f>
        <v/>
      </c>
      <c r="CI222" s="537"/>
      <c r="CJ222" s="537"/>
      <c r="CK222" s="537"/>
      <c r="CL222" s="537"/>
      <c r="CM2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5-3'!$D$11:$Q319,CM$4,CM$5)"),"")</f>
        <v/>
      </c>
      <c r="CN222" s="541"/>
      <c r="CO2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5-3'!$D$11:$Q319,CO$4,CO$5)"),"")</f>
        <v/>
      </c>
      <c r="CP222" s="540"/>
      <c r="CQ2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5-3'!$D$11:$Q319,CQ$4,CQ$5)"),"")</f>
        <v/>
      </c>
      <c r="CR222" s="540"/>
      <c r="CS2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5-3'!$D$11:$Q319,CS$4,CS$5)"),"")</f>
        <v/>
      </c>
      <c r="CT222" s="540"/>
      <c r="CU2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5-3'!$D$11:$Q319,CU$4,CU$5)"),"")</f>
        <v/>
      </c>
      <c r="CV222" s="545"/>
      <c r="CW22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5-3'!$D$11:$Q319,CW$4,CW$5)"),"")</f>
        <v/>
      </c>
      <c r="CX222" s="540"/>
      <c r="CY222" s="540"/>
      <c r="CZ222" s="540"/>
      <c r="DA222" s="540"/>
      <c r="DB2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5-3'!$D$11:$Q319,DB$4,DB$5)"),"")</f>
        <v/>
      </c>
      <c r="DC222" s="555"/>
      <c r="DD2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5-3'!$D$11:$Q319,DD$4,DD$5)"),"")</f>
        <v/>
      </c>
      <c r="DE222" s="554"/>
      <c r="DF2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5-3'!$D$11:$Q319,DF$4,DF$5)"),"")</f>
        <v/>
      </c>
      <c r="DG222" s="554"/>
      <c r="DH2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5-3'!$D$11:$Q319,DH$4,DH$5)"),"")</f>
        <v/>
      </c>
      <c r="DI222" s="554"/>
      <c r="DJ2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5-3'!$D$11:$Q319,DJ$4,DJ$5)"),"")</f>
        <v/>
      </c>
      <c r="DK222" s="566"/>
      <c r="DL22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5-3'!$D$11:$Q319,DL$4,DL$5)"),"")</f>
        <v/>
      </c>
      <c r="DM222" s="554"/>
      <c r="DN222" s="554"/>
      <c r="DO222" s="554"/>
      <c r="DP222" s="554"/>
      <c r="DQ2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5-3'!$D$11:$Q319,DQ$4,DQ$5)"),"")</f>
        <v/>
      </c>
      <c r="DR222" s="569"/>
      <c r="DS2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5-3'!$D$11:$Q319,DS$4,DS$5)"),"")</f>
        <v/>
      </c>
      <c r="DT222" s="568"/>
      <c r="DU2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5-3'!$D$11:$Q319,DU$4,DU$5)"),"")</f>
        <v/>
      </c>
      <c r="DV222" s="568"/>
      <c r="DW2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5-3'!$D$11:$Q319,DW$4,DW$5)"),"")</f>
        <v/>
      </c>
      <c r="DX222" s="568"/>
      <c r="DY2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5-3'!$D$11:$Q319,DY$4,DY$5)"),"")</f>
        <v/>
      </c>
      <c r="DZ222" s="578"/>
      <c r="EA22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$C222, 'S-10 Топ 5-3'!$D$11:$Q319,EA$4,EA$5)"),"")</f>
        <v/>
      </c>
      <c r="EB222" s="568"/>
      <c r="EC222" s="568"/>
      <c r="ED222" s="568"/>
      <c r="EE222" s="568"/>
    </row>
    <row r="223">
      <c r="A223" s="519" t="str">
        <f t="shared" si="1"/>
        <v/>
      </c>
      <c r="B223" s="520" t="str">
        <f>'5-0 Товары'!B223</f>
        <v/>
      </c>
      <c r="C223" s="521" t="str">
        <f>'5-1 Сбор КП Закупки'!C223</f>
        <v/>
      </c>
      <c r="D223" s="521" t="str">
        <f>'5-1 Сбор КП Закупки'!D223</f>
        <v/>
      </c>
      <c r="E223" s="521" t="str">
        <f>'5-1 Сбор КП Закупки'!E223</f>
        <v/>
      </c>
      <c r="F223" s="521" t="str">
        <f>'5-1 Сбор КП Закупки'!F223</f>
        <v/>
      </c>
      <c r="G223" s="522" t="str">
        <f>'5-1 Сбор КП Закупки'!G223</f>
        <v/>
      </c>
      <c r="H223" s="522" t="str">
        <f>'5-1 Сбор КП Закупки'!H223</f>
        <v/>
      </c>
      <c r="I223" s="522" t="str">
        <f>'5-1 Сбор КП Закупки'!I223</f>
        <v/>
      </c>
      <c r="J223" s="197"/>
      <c r="K223" s="522" t="str">
        <f>'5-1 Сбор КП Закупки'!G223</f>
        <v/>
      </c>
      <c r="L223" s="523" t="str">
        <f>IF(A223="Да",'5-1 Сбор КП Закупки'!K223,)</f>
        <v/>
      </c>
      <c r="M223" s="197"/>
      <c r="N223" s="197"/>
      <c r="O223" s="197"/>
      <c r="P223" s="525" t="str">
        <f>'5-1 Сбор КП Закупки'!P223</f>
        <v/>
      </c>
      <c r="Q223" s="197"/>
      <c r="R223" s="197"/>
      <c r="S223" s="197"/>
      <c r="T223" s="197"/>
      <c r="U223" s="197"/>
      <c r="V223" s="197"/>
      <c r="W223" s="522" t="str">
        <f>'5-1 Сбор КП Закупки'!O223</f>
        <v/>
      </c>
      <c r="X223" s="197"/>
      <c r="Y223" s="197"/>
      <c r="Z223" s="197"/>
      <c r="AA223" s="197"/>
      <c r="AB223" s="197">
        <v>0.0</v>
      </c>
      <c r="AC223" s="197"/>
      <c r="AD223" s="197"/>
      <c r="AE2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5-3'!$D$11:$Q319,AE$4,AE$5)"),"")</f>
        <v/>
      </c>
      <c r="AF223" s="528"/>
      <c r="AG2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5-3'!$D$11:$Q319,AG$4,AG$5)"),"")</f>
        <v/>
      </c>
      <c r="AH223" s="527"/>
      <c r="AI2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5-3'!$D$11:$Q319,AI$4,AI$5)"),"")</f>
        <v/>
      </c>
      <c r="AJ223" s="527"/>
      <c r="AK2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5-3'!$D$11:$Q319,AK$4,AK$5)"),"")</f>
        <v/>
      </c>
      <c r="AL223" s="527"/>
      <c r="AM2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5-3'!$D$11:$Q319,AM$4,AM$5)"),"")</f>
        <v/>
      </c>
      <c r="AN223" s="529"/>
      <c r="AO22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5-3'!$D$11:$Q319,AO$4,AO$5)"),"")</f>
        <v/>
      </c>
      <c r="AP223" s="527"/>
      <c r="AQ223" s="527"/>
      <c r="AR223" s="527"/>
      <c r="AS223" s="527"/>
      <c r="AT2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5-3'!$D$11:$Q319,AT$4,AT$5)"),"")</f>
        <v/>
      </c>
      <c r="AU223" s="531"/>
      <c r="AV2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5-3'!$D$11:$Q319,AV$4,AV$5)"),"")</f>
        <v/>
      </c>
      <c r="AW223" s="530"/>
      <c r="AX2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5-3'!$D$11:$Q319,AX$4,AX$5)"),"")</f>
        <v/>
      </c>
      <c r="AY223" s="530"/>
      <c r="AZ2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5-3'!$D$11:$Q319,AZ$4,AZ$5)"),"")</f>
        <v/>
      </c>
      <c r="BA223" s="530"/>
      <c r="BB2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5-3'!$D$11:$Q319,BB$4,BB$5)"),"")</f>
        <v/>
      </c>
      <c r="BC223" s="532"/>
      <c r="BD22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5-3'!$D$11:$Q319,BD$4,BD$5)"),"")</f>
        <v/>
      </c>
      <c r="BE223" s="530"/>
      <c r="BF223" s="530"/>
      <c r="BG223" s="530"/>
      <c r="BH223" s="530"/>
      <c r="BI2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5-3'!$D$11:$Q319,BI$4,BI$5)"),"")</f>
        <v/>
      </c>
      <c r="BJ223" s="535"/>
      <c r="BK2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5-3'!$D$11:$Q319,BK$4,BK$5)"),"")</f>
        <v/>
      </c>
      <c r="BL223" s="534"/>
      <c r="BM2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5-3'!$D$11:$Q319,BM$4,BM$5)"),"")</f>
        <v/>
      </c>
      <c r="BN223" s="534"/>
      <c r="BO2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5-3'!$D$11:$Q319,BO$4,BO$5)"),"")</f>
        <v/>
      </c>
      <c r="BP223" s="534"/>
      <c r="BQ2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5-3'!$D$11:$Q319,BQ$4,BQ$5)"),"")</f>
        <v/>
      </c>
      <c r="BR223" s="536"/>
      <c r="BS22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5-3'!$D$11:$Q319,BS$4,BS$5)"),"")</f>
        <v/>
      </c>
      <c r="BT223" s="534"/>
      <c r="BU223" s="534"/>
      <c r="BV223" s="534"/>
      <c r="BW223" s="534"/>
      <c r="BX2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5-3'!$D$11:$Q319,BX$4,BX$5)"),"")</f>
        <v/>
      </c>
      <c r="BY223" s="538"/>
      <c r="BZ2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5-3'!$D$11:$Q319,BZ$4,BZ$5)"),"")</f>
        <v/>
      </c>
      <c r="CA223" s="537"/>
      <c r="CB2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5-3'!$D$11:$Q319,CB$4,CB$5)"),"")</f>
        <v/>
      </c>
      <c r="CC223" s="537"/>
      <c r="CD2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5-3'!$D$11:$Q319,CD$4,CD$5)"),"")</f>
        <v/>
      </c>
      <c r="CE223" s="537"/>
      <c r="CF2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5-3'!$D$11:$Q319,CF$4,CF$5)"),"")</f>
        <v/>
      </c>
      <c r="CG223" s="539"/>
      <c r="CH22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5-3'!$D$11:$Q319,CH$4,CH$5)"),"")</f>
        <v/>
      </c>
      <c r="CI223" s="537"/>
      <c r="CJ223" s="537"/>
      <c r="CK223" s="537"/>
      <c r="CL223" s="537"/>
      <c r="CM2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5-3'!$D$11:$Q319,CM$4,CM$5)"),"")</f>
        <v/>
      </c>
      <c r="CN223" s="541"/>
      <c r="CO2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5-3'!$D$11:$Q319,CO$4,CO$5)"),"")</f>
        <v/>
      </c>
      <c r="CP223" s="540"/>
      <c r="CQ2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5-3'!$D$11:$Q319,CQ$4,CQ$5)"),"")</f>
        <v/>
      </c>
      <c r="CR223" s="540"/>
      <c r="CS2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5-3'!$D$11:$Q319,CS$4,CS$5)"),"")</f>
        <v/>
      </c>
      <c r="CT223" s="540"/>
      <c r="CU2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5-3'!$D$11:$Q319,CU$4,CU$5)"),"")</f>
        <v/>
      </c>
      <c r="CV223" s="545"/>
      <c r="CW22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5-3'!$D$11:$Q319,CW$4,CW$5)"),"")</f>
        <v/>
      </c>
      <c r="CX223" s="540"/>
      <c r="CY223" s="540"/>
      <c r="CZ223" s="540"/>
      <c r="DA223" s="540"/>
      <c r="DB2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5-3'!$D$11:$Q319,DB$4,DB$5)"),"")</f>
        <v/>
      </c>
      <c r="DC223" s="555"/>
      <c r="DD2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5-3'!$D$11:$Q319,DD$4,DD$5)"),"")</f>
        <v/>
      </c>
      <c r="DE223" s="554"/>
      <c r="DF2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5-3'!$D$11:$Q319,DF$4,DF$5)"),"")</f>
        <v/>
      </c>
      <c r="DG223" s="554"/>
      <c r="DH2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5-3'!$D$11:$Q319,DH$4,DH$5)"),"")</f>
        <v/>
      </c>
      <c r="DI223" s="554"/>
      <c r="DJ2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5-3'!$D$11:$Q319,DJ$4,DJ$5)"),"")</f>
        <v/>
      </c>
      <c r="DK223" s="566"/>
      <c r="DL22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5-3'!$D$11:$Q319,DL$4,DL$5)"),"")</f>
        <v/>
      </c>
      <c r="DM223" s="554"/>
      <c r="DN223" s="554"/>
      <c r="DO223" s="554"/>
      <c r="DP223" s="554"/>
      <c r="DQ2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5-3'!$D$11:$Q319,DQ$4,DQ$5)"),"")</f>
        <v/>
      </c>
      <c r="DR223" s="569"/>
      <c r="DS2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5-3'!$D$11:$Q319,DS$4,DS$5)"),"")</f>
        <v/>
      </c>
      <c r="DT223" s="568"/>
      <c r="DU2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5-3'!$D$11:$Q319,DU$4,DU$5)"),"")</f>
        <v/>
      </c>
      <c r="DV223" s="568"/>
      <c r="DW2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5-3'!$D$11:$Q319,DW$4,DW$5)"),"")</f>
        <v/>
      </c>
      <c r="DX223" s="568"/>
      <c r="DY2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5-3'!$D$11:$Q319,DY$4,DY$5)"),"")</f>
        <v/>
      </c>
      <c r="DZ223" s="578"/>
      <c r="EA22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$C223, 'S-10 Топ 5-3'!$D$11:$Q319,EA$4,EA$5)"),"")</f>
        <v/>
      </c>
      <c r="EB223" s="568"/>
      <c r="EC223" s="568"/>
      <c r="ED223" s="568"/>
      <c r="EE223" s="568"/>
    </row>
    <row r="224">
      <c r="A224" s="519" t="str">
        <f t="shared" si="1"/>
        <v/>
      </c>
      <c r="B224" s="520" t="str">
        <f>'5-0 Товары'!B224</f>
        <v/>
      </c>
      <c r="C224" s="521" t="str">
        <f>'5-1 Сбор КП Закупки'!C224</f>
        <v/>
      </c>
      <c r="D224" s="521" t="str">
        <f>'5-1 Сбор КП Закупки'!D224</f>
        <v/>
      </c>
      <c r="E224" s="521" t="str">
        <f>'5-1 Сбор КП Закупки'!E224</f>
        <v/>
      </c>
      <c r="F224" s="521" t="str">
        <f>'5-1 Сбор КП Закупки'!F224</f>
        <v/>
      </c>
      <c r="G224" s="522" t="str">
        <f>'5-1 Сбор КП Закупки'!G224</f>
        <v/>
      </c>
      <c r="H224" s="522" t="str">
        <f>'5-1 Сбор КП Закупки'!H224</f>
        <v/>
      </c>
      <c r="I224" s="522" t="str">
        <f>'5-1 Сбор КП Закупки'!I224</f>
        <v/>
      </c>
      <c r="J224" s="197"/>
      <c r="K224" s="522" t="str">
        <f>'5-1 Сбор КП Закупки'!G224</f>
        <v/>
      </c>
      <c r="L224" s="523" t="str">
        <f>IF(A224="Да",'5-1 Сбор КП Закупки'!K224,)</f>
        <v/>
      </c>
      <c r="M224" s="197"/>
      <c r="N224" s="197"/>
      <c r="O224" s="197"/>
      <c r="P224" s="525" t="str">
        <f>'5-1 Сбор КП Закупки'!P224</f>
        <v/>
      </c>
      <c r="Q224" s="197"/>
      <c r="R224" s="197"/>
      <c r="S224" s="197"/>
      <c r="T224" s="197"/>
      <c r="U224" s="197"/>
      <c r="V224" s="197"/>
      <c r="W224" s="522" t="str">
        <f>'5-1 Сбор КП Закупки'!O224</f>
        <v/>
      </c>
      <c r="X224" s="197"/>
      <c r="Y224" s="197"/>
      <c r="Z224" s="197"/>
      <c r="AA224" s="197"/>
      <c r="AB224" s="197">
        <v>0.0</v>
      </c>
      <c r="AC224" s="197"/>
      <c r="AD224" s="197"/>
      <c r="AE2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5-3'!$D$11:$Q319,AE$4,AE$5)"),"")</f>
        <v/>
      </c>
      <c r="AF224" s="528"/>
      <c r="AG2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5-3'!$D$11:$Q319,AG$4,AG$5)"),"")</f>
        <v/>
      </c>
      <c r="AH224" s="527"/>
      <c r="AI2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5-3'!$D$11:$Q319,AI$4,AI$5)"),"")</f>
        <v/>
      </c>
      <c r="AJ224" s="527"/>
      <c r="AK2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5-3'!$D$11:$Q319,AK$4,AK$5)"),"")</f>
        <v/>
      </c>
      <c r="AL224" s="527"/>
      <c r="AM2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5-3'!$D$11:$Q319,AM$4,AM$5)"),"")</f>
        <v/>
      </c>
      <c r="AN224" s="529"/>
      <c r="AO22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5-3'!$D$11:$Q319,AO$4,AO$5)"),"")</f>
        <v/>
      </c>
      <c r="AP224" s="527"/>
      <c r="AQ224" s="527"/>
      <c r="AR224" s="527"/>
      <c r="AS224" s="527"/>
      <c r="AT2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5-3'!$D$11:$Q319,AT$4,AT$5)"),"")</f>
        <v/>
      </c>
      <c r="AU224" s="531"/>
      <c r="AV2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5-3'!$D$11:$Q319,AV$4,AV$5)"),"")</f>
        <v/>
      </c>
      <c r="AW224" s="530"/>
      <c r="AX2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5-3'!$D$11:$Q319,AX$4,AX$5)"),"")</f>
        <v/>
      </c>
      <c r="AY224" s="530"/>
      <c r="AZ2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5-3'!$D$11:$Q319,AZ$4,AZ$5)"),"")</f>
        <v/>
      </c>
      <c r="BA224" s="530"/>
      <c r="BB2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5-3'!$D$11:$Q319,BB$4,BB$5)"),"")</f>
        <v/>
      </c>
      <c r="BC224" s="532"/>
      <c r="BD22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5-3'!$D$11:$Q319,BD$4,BD$5)"),"")</f>
        <v/>
      </c>
      <c r="BE224" s="530"/>
      <c r="BF224" s="530"/>
      <c r="BG224" s="530"/>
      <c r="BH224" s="530"/>
      <c r="BI2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5-3'!$D$11:$Q319,BI$4,BI$5)"),"")</f>
        <v/>
      </c>
      <c r="BJ224" s="535"/>
      <c r="BK2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5-3'!$D$11:$Q319,BK$4,BK$5)"),"")</f>
        <v/>
      </c>
      <c r="BL224" s="534"/>
      <c r="BM2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5-3'!$D$11:$Q319,BM$4,BM$5)"),"")</f>
        <v/>
      </c>
      <c r="BN224" s="534"/>
      <c r="BO2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5-3'!$D$11:$Q319,BO$4,BO$5)"),"")</f>
        <v/>
      </c>
      <c r="BP224" s="534"/>
      <c r="BQ2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5-3'!$D$11:$Q319,BQ$4,BQ$5)"),"")</f>
        <v/>
      </c>
      <c r="BR224" s="536"/>
      <c r="BS22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5-3'!$D$11:$Q319,BS$4,BS$5)"),"")</f>
        <v/>
      </c>
      <c r="BT224" s="534"/>
      <c r="BU224" s="534"/>
      <c r="BV224" s="534"/>
      <c r="BW224" s="534"/>
      <c r="BX2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5-3'!$D$11:$Q319,BX$4,BX$5)"),"")</f>
        <v/>
      </c>
      <c r="BY224" s="538"/>
      <c r="BZ2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5-3'!$D$11:$Q319,BZ$4,BZ$5)"),"")</f>
        <v/>
      </c>
      <c r="CA224" s="537"/>
      <c r="CB2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5-3'!$D$11:$Q319,CB$4,CB$5)"),"")</f>
        <v/>
      </c>
      <c r="CC224" s="537"/>
      <c r="CD2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5-3'!$D$11:$Q319,CD$4,CD$5)"),"")</f>
        <v/>
      </c>
      <c r="CE224" s="537"/>
      <c r="CF2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5-3'!$D$11:$Q319,CF$4,CF$5)"),"")</f>
        <v/>
      </c>
      <c r="CG224" s="539"/>
      <c r="CH22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5-3'!$D$11:$Q319,CH$4,CH$5)"),"")</f>
        <v/>
      </c>
      <c r="CI224" s="537"/>
      <c r="CJ224" s="537"/>
      <c r="CK224" s="537"/>
      <c r="CL224" s="537"/>
      <c r="CM2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5-3'!$D$11:$Q319,CM$4,CM$5)"),"")</f>
        <v/>
      </c>
      <c r="CN224" s="541"/>
      <c r="CO2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5-3'!$D$11:$Q319,CO$4,CO$5)"),"")</f>
        <v/>
      </c>
      <c r="CP224" s="540"/>
      <c r="CQ2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5-3'!$D$11:$Q319,CQ$4,CQ$5)"),"")</f>
        <v/>
      </c>
      <c r="CR224" s="540"/>
      <c r="CS2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5-3'!$D$11:$Q319,CS$4,CS$5)"),"")</f>
        <v/>
      </c>
      <c r="CT224" s="540"/>
      <c r="CU2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5-3'!$D$11:$Q319,CU$4,CU$5)"),"")</f>
        <v/>
      </c>
      <c r="CV224" s="545"/>
      <c r="CW22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5-3'!$D$11:$Q319,CW$4,CW$5)"),"")</f>
        <v/>
      </c>
      <c r="CX224" s="540"/>
      <c r="CY224" s="540"/>
      <c r="CZ224" s="540"/>
      <c r="DA224" s="540"/>
      <c r="DB2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5-3'!$D$11:$Q319,DB$4,DB$5)"),"")</f>
        <v/>
      </c>
      <c r="DC224" s="555"/>
      <c r="DD2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5-3'!$D$11:$Q319,DD$4,DD$5)"),"")</f>
        <v/>
      </c>
      <c r="DE224" s="554"/>
      <c r="DF2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5-3'!$D$11:$Q319,DF$4,DF$5)"),"")</f>
        <v/>
      </c>
      <c r="DG224" s="554"/>
      <c r="DH2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5-3'!$D$11:$Q319,DH$4,DH$5)"),"")</f>
        <v/>
      </c>
      <c r="DI224" s="554"/>
      <c r="DJ2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5-3'!$D$11:$Q319,DJ$4,DJ$5)"),"")</f>
        <v/>
      </c>
      <c r="DK224" s="566"/>
      <c r="DL22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5-3'!$D$11:$Q319,DL$4,DL$5)"),"")</f>
        <v/>
      </c>
      <c r="DM224" s="554"/>
      <c r="DN224" s="554"/>
      <c r="DO224" s="554"/>
      <c r="DP224" s="554"/>
      <c r="DQ2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5-3'!$D$11:$Q319,DQ$4,DQ$5)"),"")</f>
        <v/>
      </c>
      <c r="DR224" s="569"/>
      <c r="DS2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5-3'!$D$11:$Q319,DS$4,DS$5)"),"")</f>
        <v/>
      </c>
      <c r="DT224" s="568"/>
      <c r="DU2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5-3'!$D$11:$Q319,DU$4,DU$5)"),"")</f>
        <v/>
      </c>
      <c r="DV224" s="568"/>
      <c r="DW2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5-3'!$D$11:$Q319,DW$4,DW$5)"),"")</f>
        <v/>
      </c>
      <c r="DX224" s="568"/>
      <c r="DY2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5-3'!$D$11:$Q319,DY$4,DY$5)"),"")</f>
        <v/>
      </c>
      <c r="DZ224" s="578"/>
      <c r="EA22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$C224, 'S-10 Топ 5-3'!$D$11:$Q319,EA$4,EA$5)"),"")</f>
        <v/>
      </c>
      <c r="EB224" s="568"/>
      <c r="EC224" s="568"/>
      <c r="ED224" s="568"/>
      <c r="EE224" s="568"/>
    </row>
    <row r="225">
      <c r="A225" s="519" t="str">
        <f t="shared" si="1"/>
        <v/>
      </c>
      <c r="B225" s="520" t="str">
        <f>'5-0 Товары'!B225</f>
        <v/>
      </c>
      <c r="C225" s="521" t="str">
        <f>'5-1 Сбор КП Закупки'!C225</f>
        <v/>
      </c>
      <c r="D225" s="521" t="str">
        <f>'5-1 Сбор КП Закупки'!D225</f>
        <v/>
      </c>
      <c r="E225" s="521" t="str">
        <f>'5-1 Сбор КП Закупки'!E225</f>
        <v/>
      </c>
      <c r="F225" s="521" t="str">
        <f>'5-1 Сбор КП Закупки'!F225</f>
        <v/>
      </c>
      <c r="G225" s="522" t="str">
        <f>'5-1 Сбор КП Закупки'!G225</f>
        <v/>
      </c>
      <c r="H225" s="522" t="str">
        <f>'5-1 Сбор КП Закупки'!H225</f>
        <v/>
      </c>
      <c r="I225" s="522" t="str">
        <f>'5-1 Сбор КП Закупки'!I225</f>
        <v/>
      </c>
      <c r="J225" s="197"/>
      <c r="K225" s="522" t="str">
        <f>'5-1 Сбор КП Закупки'!G225</f>
        <v/>
      </c>
      <c r="L225" s="523" t="str">
        <f>IF(A225="Да",'5-1 Сбор КП Закупки'!K225,)</f>
        <v/>
      </c>
      <c r="M225" s="197"/>
      <c r="N225" s="197"/>
      <c r="O225" s="197"/>
      <c r="P225" s="525" t="str">
        <f>'5-1 Сбор КП Закупки'!P225</f>
        <v/>
      </c>
      <c r="Q225" s="197"/>
      <c r="R225" s="197"/>
      <c r="S225" s="197"/>
      <c r="T225" s="197"/>
      <c r="U225" s="197"/>
      <c r="V225" s="197"/>
      <c r="W225" s="522" t="str">
        <f>'5-1 Сбор КП Закупки'!O225</f>
        <v/>
      </c>
      <c r="X225" s="197"/>
      <c r="Y225" s="197"/>
      <c r="Z225" s="197"/>
      <c r="AA225" s="197"/>
      <c r="AB225" s="197">
        <v>0.0</v>
      </c>
      <c r="AC225" s="197"/>
      <c r="AD225" s="197"/>
      <c r="AE2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5-3'!$D$11:$Q319,AE$4,AE$5)"),"")</f>
        <v/>
      </c>
      <c r="AF225" s="528"/>
      <c r="AG2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5-3'!$D$11:$Q319,AG$4,AG$5)"),"")</f>
        <v/>
      </c>
      <c r="AH225" s="527"/>
      <c r="AI2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5-3'!$D$11:$Q319,AI$4,AI$5)"),"")</f>
        <v/>
      </c>
      <c r="AJ225" s="527"/>
      <c r="AK2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5-3'!$D$11:$Q319,AK$4,AK$5)"),"")</f>
        <v/>
      </c>
      <c r="AL225" s="527"/>
      <c r="AM2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5-3'!$D$11:$Q319,AM$4,AM$5)"),"")</f>
        <v/>
      </c>
      <c r="AN225" s="529"/>
      <c r="AO22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5-3'!$D$11:$Q319,AO$4,AO$5)"),"")</f>
        <v/>
      </c>
      <c r="AP225" s="527"/>
      <c r="AQ225" s="527"/>
      <c r="AR225" s="527"/>
      <c r="AS225" s="527"/>
      <c r="AT2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5-3'!$D$11:$Q319,AT$4,AT$5)"),"")</f>
        <v/>
      </c>
      <c r="AU225" s="531"/>
      <c r="AV2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5-3'!$D$11:$Q319,AV$4,AV$5)"),"")</f>
        <v/>
      </c>
      <c r="AW225" s="530"/>
      <c r="AX2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5-3'!$D$11:$Q319,AX$4,AX$5)"),"")</f>
        <v/>
      </c>
      <c r="AY225" s="530"/>
      <c r="AZ2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5-3'!$D$11:$Q319,AZ$4,AZ$5)"),"")</f>
        <v/>
      </c>
      <c r="BA225" s="530"/>
      <c r="BB2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5-3'!$D$11:$Q319,BB$4,BB$5)"),"")</f>
        <v/>
      </c>
      <c r="BC225" s="532"/>
      <c r="BD22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5-3'!$D$11:$Q319,BD$4,BD$5)"),"")</f>
        <v/>
      </c>
      <c r="BE225" s="530"/>
      <c r="BF225" s="530"/>
      <c r="BG225" s="530"/>
      <c r="BH225" s="530"/>
      <c r="BI2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5-3'!$D$11:$Q319,BI$4,BI$5)"),"")</f>
        <v/>
      </c>
      <c r="BJ225" s="535"/>
      <c r="BK2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5-3'!$D$11:$Q319,BK$4,BK$5)"),"")</f>
        <v/>
      </c>
      <c r="BL225" s="534"/>
      <c r="BM2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5-3'!$D$11:$Q319,BM$4,BM$5)"),"")</f>
        <v/>
      </c>
      <c r="BN225" s="534"/>
      <c r="BO2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5-3'!$D$11:$Q319,BO$4,BO$5)"),"")</f>
        <v/>
      </c>
      <c r="BP225" s="534"/>
      <c r="BQ2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5-3'!$D$11:$Q319,BQ$4,BQ$5)"),"")</f>
        <v/>
      </c>
      <c r="BR225" s="536"/>
      <c r="BS22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5-3'!$D$11:$Q319,BS$4,BS$5)"),"")</f>
        <v/>
      </c>
      <c r="BT225" s="534"/>
      <c r="BU225" s="534"/>
      <c r="BV225" s="534"/>
      <c r="BW225" s="534"/>
      <c r="BX2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5-3'!$D$11:$Q319,BX$4,BX$5)"),"")</f>
        <v/>
      </c>
      <c r="BY225" s="538"/>
      <c r="BZ2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5-3'!$D$11:$Q319,BZ$4,BZ$5)"),"")</f>
        <v/>
      </c>
      <c r="CA225" s="537"/>
      <c r="CB2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5-3'!$D$11:$Q319,CB$4,CB$5)"),"")</f>
        <v/>
      </c>
      <c r="CC225" s="537"/>
      <c r="CD2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5-3'!$D$11:$Q319,CD$4,CD$5)"),"")</f>
        <v/>
      </c>
      <c r="CE225" s="537"/>
      <c r="CF2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5-3'!$D$11:$Q319,CF$4,CF$5)"),"")</f>
        <v/>
      </c>
      <c r="CG225" s="539"/>
      <c r="CH22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5-3'!$D$11:$Q319,CH$4,CH$5)"),"")</f>
        <v/>
      </c>
      <c r="CI225" s="537"/>
      <c r="CJ225" s="537"/>
      <c r="CK225" s="537"/>
      <c r="CL225" s="537"/>
      <c r="CM2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5-3'!$D$11:$Q319,CM$4,CM$5)"),"")</f>
        <v/>
      </c>
      <c r="CN225" s="541"/>
      <c r="CO2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5-3'!$D$11:$Q319,CO$4,CO$5)"),"")</f>
        <v/>
      </c>
      <c r="CP225" s="540"/>
      <c r="CQ2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5-3'!$D$11:$Q319,CQ$4,CQ$5)"),"")</f>
        <v/>
      </c>
      <c r="CR225" s="540"/>
      <c r="CS2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5-3'!$D$11:$Q319,CS$4,CS$5)"),"")</f>
        <v/>
      </c>
      <c r="CT225" s="540"/>
      <c r="CU2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5-3'!$D$11:$Q319,CU$4,CU$5)"),"")</f>
        <v/>
      </c>
      <c r="CV225" s="545"/>
      <c r="CW22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5-3'!$D$11:$Q319,CW$4,CW$5)"),"")</f>
        <v/>
      </c>
      <c r="CX225" s="540"/>
      <c r="CY225" s="540"/>
      <c r="CZ225" s="540"/>
      <c r="DA225" s="540"/>
      <c r="DB2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5-3'!$D$11:$Q319,DB$4,DB$5)"),"")</f>
        <v/>
      </c>
      <c r="DC225" s="555"/>
      <c r="DD2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5-3'!$D$11:$Q319,DD$4,DD$5)"),"")</f>
        <v/>
      </c>
      <c r="DE225" s="554"/>
      <c r="DF2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5-3'!$D$11:$Q319,DF$4,DF$5)"),"")</f>
        <v/>
      </c>
      <c r="DG225" s="554"/>
      <c r="DH2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5-3'!$D$11:$Q319,DH$4,DH$5)"),"")</f>
        <v/>
      </c>
      <c r="DI225" s="554"/>
      <c r="DJ2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5-3'!$D$11:$Q319,DJ$4,DJ$5)"),"")</f>
        <v/>
      </c>
      <c r="DK225" s="566"/>
      <c r="DL22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5-3'!$D$11:$Q319,DL$4,DL$5)"),"")</f>
        <v/>
      </c>
      <c r="DM225" s="554"/>
      <c r="DN225" s="554"/>
      <c r="DO225" s="554"/>
      <c r="DP225" s="554"/>
      <c r="DQ2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5-3'!$D$11:$Q319,DQ$4,DQ$5)"),"")</f>
        <v/>
      </c>
      <c r="DR225" s="569"/>
      <c r="DS2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5-3'!$D$11:$Q319,DS$4,DS$5)"),"")</f>
        <v/>
      </c>
      <c r="DT225" s="568"/>
      <c r="DU2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5-3'!$D$11:$Q319,DU$4,DU$5)"),"")</f>
        <v/>
      </c>
      <c r="DV225" s="568"/>
      <c r="DW2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5-3'!$D$11:$Q319,DW$4,DW$5)"),"")</f>
        <v/>
      </c>
      <c r="DX225" s="568"/>
      <c r="DY2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5-3'!$D$11:$Q319,DY$4,DY$5)"),"")</f>
        <v/>
      </c>
      <c r="DZ225" s="578"/>
      <c r="EA22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$C225, 'S-10 Топ 5-3'!$D$11:$Q319,EA$4,EA$5)"),"")</f>
        <v/>
      </c>
      <c r="EB225" s="568"/>
      <c r="EC225" s="568"/>
      <c r="ED225" s="568"/>
      <c r="EE225" s="568"/>
    </row>
    <row r="226">
      <c r="A226" s="519" t="str">
        <f t="shared" si="1"/>
        <v/>
      </c>
      <c r="B226" s="520" t="str">
        <f>'5-0 Товары'!B226</f>
        <v/>
      </c>
      <c r="C226" s="521" t="str">
        <f>'5-1 Сбор КП Закупки'!C226</f>
        <v/>
      </c>
      <c r="D226" s="521" t="str">
        <f>'5-1 Сбор КП Закупки'!D226</f>
        <v/>
      </c>
      <c r="E226" s="521" t="str">
        <f>'5-1 Сбор КП Закупки'!E226</f>
        <v/>
      </c>
      <c r="F226" s="521" t="str">
        <f>'5-1 Сбор КП Закупки'!F226</f>
        <v/>
      </c>
      <c r="G226" s="522" t="str">
        <f>'5-1 Сбор КП Закупки'!G226</f>
        <v/>
      </c>
      <c r="H226" s="522" t="str">
        <f>'5-1 Сбор КП Закупки'!H226</f>
        <v/>
      </c>
      <c r="I226" s="522" t="str">
        <f>'5-1 Сбор КП Закупки'!I226</f>
        <v/>
      </c>
      <c r="J226" s="197"/>
      <c r="K226" s="522" t="str">
        <f>'5-1 Сбор КП Закупки'!G226</f>
        <v/>
      </c>
      <c r="L226" s="523" t="str">
        <f>IF(A226="Да",'5-1 Сбор КП Закупки'!K226,)</f>
        <v/>
      </c>
      <c r="M226" s="197"/>
      <c r="N226" s="197"/>
      <c r="O226" s="197"/>
      <c r="P226" s="525" t="str">
        <f>'5-1 Сбор КП Закупки'!P226</f>
        <v/>
      </c>
      <c r="Q226" s="197"/>
      <c r="R226" s="197"/>
      <c r="S226" s="197"/>
      <c r="T226" s="197"/>
      <c r="U226" s="197"/>
      <c r="V226" s="197"/>
      <c r="W226" s="522" t="str">
        <f>'5-1 Сбор КП Закупки'!O226</f>
        <v/>
      </c>
      <c r="X226" s="197"/>
      <c r="Y226" s="197"/>
      <c r="Z226" s="197"/>
      <c r="AA226" s="197"/>
      <c r="AB226" s="197">
        <v>0.0</v>
      </c>
      <c r="AC226" s="197"/>
      <c r="AD226" s="197"/>
      <c r="AE2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5-3'!$D$11:$Q319,AE$4,AE$5)"),"")</f>
        <v/>
      </c>
      <c r="AF226" s="528"/>
      <c r="AG2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5-3'!$D$11:$Q319,AG$4,AG$5)"),"")</f>
        <v/>
      </c>
      <c r="AH226" s="527"/>
      <c r="AI2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5-3'!$D$11:$Q319,AI$4,AI$5)"),"")</f>
        <v/>
      </c>
      <c r="AJ226" s="527"/>
      <c r="AK2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5-3'!$D$11:$Q319,AK$4,AK$5)"),"")</f>
        <v/>
      </c>
      <c r="AL226" s="527"/>
      <c r="AM2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5-3'!$D$11:$Q319,AM$4,AM$5)"),"")</f>
        <v/>
      </c>
      <c r="AN226" s="529"/>
      <c r="AO22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5-3'!$D$11:$Q319,AO$4,AO$5)"),"")</f>
        <v/>
      </c>
      <c r="AP226" s="527"/>
      <c r="AQ226" s="527"/>
      <c r="AR226" s="527"/>
      <c r="AS226" s="527"/>
      <c r="AT2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5-3'!$D$11:$Q319,AT$4,AT$5)"),"")</f>
        <v/>
      </c>
      <c r="AU226" s="531"/>
      <c r="AV2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5-3'!$D$11:$Q319,AV$4,AV$5)"),"")</f>
        <v/>
      </c>
      <c r="AW226" s="530"/>
      <c r="AX2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5-3'!$D$11:$Q319,AX$4,AX$5)"),"")</f>
        <v/>
      </c>
      <c r="AY226" s="530"/>
      <c r="AZ2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5-3'!$D$11:$Q319,AZ$4,AZ$5)"),"")</f>
        <v/>
      </c>
      <c r="BA226" s="530"/>
      <c r="BB2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5-3'!$D$11:$Q319,BB$4,BB$5)"),"")</f>
        <v/>
      </c>
      <c r="BC226" s="532"/>
      <c r="BD22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5-3'!$D$11:$Q319,BD$4,BD$5)"),"")</f>
        <v/>
      </c>
      <c r="BE226" s="530"/>
      <c r="BF226" s="530"/>
      <c r="BG226" s="530"/>
      <c r="BH226" s="530"/>
      <c r="BI2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5-3'!$D$11:$Q319,BI$4,BI$5)"),"")</f>
        <v/>
      </c>
      <c r="BJ226" s="535"/>
      <c r="BK2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5-3'!$D$11:$Q319,BK$4,BK$5)"),"")</f>
        <v/>
      </c>
      <c r="BL226" s="534"/>
      <c r="BM2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5-3'!$D$11:$Q319,BM$4,BM$5)"),"")</f>
        <v/>
      </c>
      <c r="BN226" s="534"/>
      <c r="BO2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5-3'!$D$11:$Q319,BO$4,BO$5)"),"")</f>
        <v/>
      </c>
      <c r="BP226" s="534"/>
      <c r="BQ2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5-3'!$D$11:$Q319,BQ$4,BQ$5)"),"")</f>
        <v/>
      </c>
      <c r="BR226" s="536"/>
      <c r="BS22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5-3'!$D$11:$Q319,BS$4,BS$5)"),"")</f>
        <v/>
      </c>
      <c r="BT226" s="534"/>
      <c r="BU226" s="534"/>
      <c r="BV226" s="534"/>
      <c r="BW226" s="534"/>
      <c r="BX2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5-3'!$D$11:$Q319,BX$4,BX$5)"),"")</f>
        <v/>
      </c>
      <c r="BY226" s="538"/>
      <c r="BZ2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5-3'!$D$11:$Q319,BZ$4,BZ$5)"),"")</f>
        <v/>
      </c>
      <c r="CA226" s="537"/>
      <c r="CB2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5-3'!$D$11:$Q319,CB$4,CB$5)"),"")</f>
        <v/>
      </c>
      <c r="CC226" s="537"/>
      <c r="CD2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5-3'!$D$11:$Q319,CD$4,CD$5)"),"")</f>
        <v/>
      </c>
      <c r="CE226" s="537"/>
      <c r="CF2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5-3'!$D$11:$Q319,CF$4,CF$5)"),"")</f>
        <v/>
      </c>
      <c r="CG226" s="539"/>
      <c r="CH22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5-3'!$D$11:$Q319,CH$4,CH$5)"),"")</f>
        <v/>
      </c>
      <c r="CI226" s="537"/>
      <c r="CJ226" s="537"/>
      <c r="CK226" s="537"/>
      <c r="CL226" s="537"/>
      <c r="CM2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5-3'!$D$11:$Q319,CM$4,CM$5)"),"")</f>
        <v/>
      </c>
      <c r="CN226" s="541"/>
      <c r="CO2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5-3'!$D$11:$Q319,CO$4,CO$5)"),"")</f>
        <v/>
      </c>
      <c r="CP226" s="540"/>
      <c r="CQ2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5-3'!$D$11:$Q319,CQ$4,CQ$5)"),"")</f>
        <v/>
      </c>
      <c r="CR226" s="540"/>
      <c r="CS2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5-3'!$D$11:$Q319,CS$4,CS$5)"),"")</f>
        <v/>
      </c>
      <c r="CT226" s="540"/>
      <c r="CU2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5-3'!$D$11:$Q319,CU$4,CU$5)"),"")</f>
        <v/>
      </c>
      <c r="CV226" s="545"/>
      <c r="CW22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5-3'!$D$11:$Q319,CW$4,CW$5)"),"")</f>
        <v/>
      </c>
      <c r="CX226" s="540"/>
      <c r="CY226" s="540"/>
      <c r="CZ226" s="540"/>
      <c r="DA226" s="540"/>
      <c r="DB2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5-3'!$D$11:$Q319,DB$4,DB$5)"),"")</f>
        <v/>
      </c>
      <c r="DC226" s="555"/>
      <c r="DD2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5-3'!$D$11:$Q319,DD$4,DD$5)"),"")</f>
        <v/>
      </c>
      <c r="DE226" s="554"/>
      <c r="DF2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5-3'!$D$11:$Q319,DF$4,DF$5)"),"")</f>
        <v/>
      </c>
      <c r="DG226" s="554"/>
      <c r="DH2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5-3'!$D$11:$Q319,DH$4,DH$5)"),"")</f>
        <v/>
      </c>
      <c r="DI226" s="554"/>
      <c r="DJ2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5-3'!$D$11:$Q319,DJ$4,DJ$5)"),"")</f>
        <v/>
      </c>
      <c r="DK226" s="566"/>
      <c r="DL22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5-3'!$D$11:$Q319,DL$4,DL$5)"),"")</f>
        <v/>
      </c>
      <c r="DM226" s="554"/>
      <c r="DN226" s="554"/>
      <c r="DO226" s="554"/>
      <c r="DP226" s="554"/>
      <c r="DQ2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5-3'!$D$11:$Q319,DQ$4,DQ$5)"),"")</f>
        <v/>
      </c>
      <c r="DR226" s="569"/>
      <c r="DS2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5-3'!$D$11:$Q319,DS$4,DS$5)"),"")</f>
        <v/>
      </c>
      <c r="DT226" s="568"/>
      <c r="DU2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5-3'!$D$11:$Q319,DU$4,DU$5)"),"")</f>
        <v/>
      </c>
      <c r="DV226" s="568"/>
      <c r="DW2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5-3'!$D$11:$Q319,DW$4,DW$5)"),"")</f>
        <v/>
      </c>
      <c r="DX226" s="568"/>
      <c r="DY2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5-3'!$D$11:$Q319,DY$4,DY$5)"),"")</f>
        <v/>
      </c>
      <c r="DZ226" s="578"/>
      <c r="EA22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$C226, 'S-10 Топ 5-3'!$D$11:$Q319,EA$4,EA$5)"),"")</f>
        <v/>
      </c>
      <c r="EB226" s="568"/>
      <c r="EC226" s="568"/>
      <c r="ED226" s="568"/>
      <c r="EE226" s="568"/>
    </row>
    <row r="227">
      <c r="A227" s="519" t="str">
        <f t="shared" si="1"/>
        <v/>
      </c>
      <c r="B227" s="520" t="str">
        <f>'5-0 Товары'!B227</f>
        <v/>
      </c>
      <c r="C227" s="521" t="str">
        <f>'5-1 Сбор КП Закупки'!C227</f>
        <v/>
      </c>
      <c r="D227" s="521" t="str">
        <f>'5-1 Сбор КП Закупки'!D227</f>
        <v/>
      </c>
      <c r="E227" s="521" t="str">
        <f>'5-1 Сбор КП Закупки'!E227</f>
        <v/>
      </c>
      <c r="F227" s="521" t="str">
        <f>'5-1 Сбор КП Закупки'!F227</f>
        <v/>
      </c>
      <c r="G227" s="522" t="str">
        <f>'5-1 Сбор КП Закупки'!G227</f>
        <v/>
      </c>
      <c r="H227" s="522" t="str">
        <f>'5-1 Сбор КП Закупки'!H227</f>
        <v/>
      </c>
      <c r="I227" s="522" t="str">
        <f>'5-1 Сбор КП Закупки'!I227</f>
        <v/>
      </c>
      <c r="J227" s="197"/>
      <c r="K227" s="522" t="str">
        <f>'5-1 Сбор КП Закупки'!G227</f>
        <v/>
      </c>
      <c r="L227" s="523" t="str">
        <f>IF(A227="Да",'5-1 Сбор КП Закупки'!K227,)</f>
        <v/>
      </c>
      <c r="M227" s="197"/>
      <c r="N227" s="197"/>
      <c r="O227" s="197"/>
      <c r="P227" s="525" t="str">
        <f>'5-1 Сбор КП Закупки'!P227</f>
        <v/>
      </c>
      <c r="Q227" s="197"/>
      <c r="R227" s="197"/>
      <c r="S227" s="197"/>
      <c r="T227" s="197"/>
      <c r="U227" s="197"/>
      <c r="V227" s="197"/>
      <c r="W227" s="522" t="str">
        <f>'5-1 Сбор КП Закупки'!O227</f>
        <v/>
      </c>
      <c r="X227" s="197"/>
      <c r="Y227" s="197"/>
      <c r="Z227" s="197"/>
      <c r="AA227" s="197"/>
      <c r="AB227" s="197">
        <v>0.0</v>
      </c>
      <c r="AC227" s="197"/>
      <c r="AD227" s="197"/>
      <c r="AE2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5-3'!$D$11:$Q319,AE$4,AE$5)"),"")</f>
        <v/>
      </c>
      <c r="AF227" s="528"/>
      <c r="AG2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5-3'!$D$11:$Q319,AG$4,AG$5)"),"")</f>
        <v/>
      </c>
      <c r="AH227" s="527"/>
      <c r="AI2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5-3'!$D$11:$Q319,AI$4,AI$5)"),"")</f>
        <v/>
      </c>
      <c r="AJ227" s="527"/>
      <c r="AK2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5-3'!$D$11:$Q319,AK$4,AK$5)"),"")</f>
        <v/>
      </c>
      <c r="AL227" s="527"/>
      <c r="AM2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5-3'!$D$11:$Q319,AM$4,AM$5)"),"")</f>
        <v/>
      </c>
      <c r="AN227" s="529"/>
      <c r="AO22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5-3'!$D$11:$Q319,AO$4,AO$5)"),"")</f>
        <v/>
      </c>
      <c r="AP227" s="527"/>
      <c r="AQ227" s="527"/>
      <c r="AR227" s="527"/>
      <c r="AS227" s="527"/>
      <c r="AT2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5-3'!$D$11:$Q319,AT$4,AT$5)"),"")</f>
        <v/>
      </c>
      <c r="AU227" s="531"/>
      <c r="AV2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5-3'!$D$11:$Q319,AV$4,AV$5)"),"")</f>
        <v/>
      </c>
      <c r="AW227" s="530"/>
      <c r="AX2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5-3'!$D$11:$Q319,AX$4,AX$5)"),"")</f>
        <v/>
      </c>
      <c r="AY227" s="530"/>
      <c r="AZ2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5-3'!$D$11:$Q319,AZ$4,AZ$5)"),"")</f>
        <v/>
      </c>
      <c r="BA227" s="530"/>
      <c r="BB2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5-3'!$D$11:$Q319,BB$4,BB$5)"),"")</f>
        <v/>
      </c>
      <c r="BC227" s="532"/>
      <c r="BD22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5-3'!$D$11:$Q319,BD$4,BD$5)"),"")</f>
        <v/>
      </c>
      <c r="BE227" s="530"/>
      <c r="BF227" s="530"/>
      <c r="BG227" s="530"/>
      <c r="BH227" s="530"/>
      <c r="BI2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5-3'!$D$11:$Q319,BI$4,BI$5)"),"")</f>
        <v/>
      </c>
      <c r="BJ227" s="535"/>
      <c r="BK2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5-3'!$D$11:$Q319,BK$4,BK$5)"),"")</f>
        <v/>
      </c>
      <c r="BL227" s="534"/>
      <c r="BM2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5-3'!$D$11:$Q319,BM$4,BM$5)"),"")</f>
        <v/>
      </c>
      <c r="BN227" s="534"/>
      <c r="BO2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5-3'!$D$11:$Q319,BO$4,BO$5)"),"")</f>
        <v/>
      </c>
      <c r="BP227" s="534"/>
      <c r="BQ2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5-3'!$D$11:$Q319,BQ$4,BQ$5)"),"")</f>
        <v/>
      </c>
      <c r="BR227" s="536"/>
      <c r="BS22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5-3'!$D$11:$Q319,BS$4,BS$5)"),"")</f>
        <v/>
      </c>
      <c r="BT227" s="534"/>
      <c r="BU227" s="534"/>
      <c r="BV227" s="534"/>
      <c r="BW227" s="534"/>
      <c r="BX2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5-3'!$D$11:$Q319,BX$4,BX$5)"),"")</f>
        <v/>
      </c>
      <c r="BY227" s="538"/>
      <c r="BZ2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5-3'!$D$11:$Q319,BZ$4,BZ$5)"),"")</f>
        <v/>
      </c>
      <c r="CA227" s="537"/>
      <c r="CB2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5-3'!$D$11:$Q319,CB$4,CB$5)"),"")</f>
        <v/>
      </c>
      <c r="CC227" s="537"/>
      <c r="CD2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5-3'!$D$11:$Q319,CD$4,CD$5)"),"")</f>
        <v/>
      </c>
      <c r="CE227" s="537"/>
      <c r="CF2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5-3'!$D$11:$Q319,CF$4,CF$5)"),"")</f>
        <v/>
      </c>
      <c r="CG227" s="539"/>
      <c r="CH22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5-3'!$D$11:$Q319,CH$4,CH$5)"),"")</f>
        <v/>
      </c>
      <c r="CI227" s="537"/>
      <c r="CJ227" s="537"/>
      <c r="CK227" s="537"/>
      <c r="CL227" s="537"/>
      <c r="CM2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5-3'!$D$11:$Q319,CM$4,CM$5)"),"")</f>
        <v/>
      </c>
      <c r="CN227" s="541"/>
      <c r="CO2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5-3'!$D$11:$Q319,CO$4,CO$5)"),"")</f>
        <v/>
      </c>
      <c r="CP227" s="540"/>
      <c r="CQ2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5-3'!$D$11:$Q319,CQ$4,CQ$5)"),"")</f>
        <v/>
      </c>
      <c r="CR227" s="540"/>
      <c r="CS2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5-3'!$D$11:$Q319,CS$4,CS$5)"),"")</f>
        <v/>
      </c>
      <c r="CT227" s="540"/>
      <c r="CU2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5-3'!$D$11:$Q319,CU$4,CU$5)"),"")</f>
        <v/>
      </c>
      <c r="CV227" s="545"/>
      <c r="CW22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5-3'!$D$11:$Q319,CW$4,CW$5)"),"")</f>
        <v/>
      </c>
      <c r="CX227" s="540"/>
      <c r="CY227" s="540"/>
      <c r="CZ227" s="540"/>
      <c r="DA227" s="540"/>
      <c r="DB2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5-3'!$D$11:$Q319,DB$4,DB$5)"),"")</f>
        <v/>
      </c>
      <c r="DC227" s="555"/>
      <c r="DD2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5-3'!$D$11:$Q319,DD$4,DD$5)"),"")</f>
        <v/>
      </c>
      <c r="DE227" s="554"/>
      <c r="DF2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5-3'!$D$11:$Q319,DF$4,DF$5)"),"")</f>
        <v/>
      </c>
      <c r="DG227" s="554"/>
      <c r="DH2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5-3'!$D$11:$Q319,DH$4,DH$5)"),"")</f>
        <v/>
      </c>
      <c r="DI227" s="554"/>
      <c r="DJ2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5-3'!$D$11:$Q319,DJ$4,DJ$5)"),"")</f>
        <v/>
      </c>
      <c r="DK227" s="566"/>
      <c r="DL22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5-3'!$D$11:$Q319,DL$4,DL$5)"),"")</f>
        <v/>
      </c>
      <c r="DM227" s="554"/>
      <c r="DN227" s="554"/>
      <c r="DO227" s="554"/>
      <c r="DP227" s="554"/>
      <c r="DQ2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5-3'!$D$11:$Q319,DQ$4,DQ$5)"),"")</f>
        <v/>
      </c>
      <c r="DR227" s="569"/>
      <c r="DS2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5-3'!$D$11:$Q319,DS$4,DS$5)"),"")</f>
        <v/>
      </c>
      <c r="DT227" s="568"/>
      <c r="DU2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5-3'!$D$11:$Q319,DU$4,DU$5)"),"")</f>
        <v/>
      </c>
      <c r="DV227" s="568"/>
      <c r="DW2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5-3'!$D$11:$Q319,DW$4,DW$5)"),"")</f>
        <v/>
      </c>
      <c r="DX227" s="568"/>
      <c r="DY2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5-3'!$D$11:$Q319,DY$4,DY$5)"),"")</f>
        <v/>
      </c>
      <c r="DZ227" s="578"/>
      <c r="EA22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$C227, 'S-10 Топ 5-3'!$D$11:$Q319,EA$4,EA$5)"),"")</f>
        <v/>
      </c>
      <c r="EB227" s="568"/>
      <c r="EC227" s="568"/>
      <c r="ED227" s="568"/>
      <c r="EE227" s="568"/>
    </row>
    <row r="228">
      <c r="A228" s="519" t="str">
        <f t="shared" si="1"/>
        <v/>
      </c>
      <c r="B228" s="520" t="str">
        <f>'5-0 Товары'!B228</f>
        <v/>
      </c>
      <c r="C228" s="521" t="str">
        <f>'5-1 Сбор КП Закупки'!C228</f>
        <v/>
      </c>
      <c r="D228" s="521" t="str">
        <f>'5-1 Сбор КП Закупки'!D228</f>
        <v/>
      </c>
      <c r="E228" s="521" t="str">
        <f>'5-1 Сбор КП Закупки'!E228</f>
        <v/>
      </c>
      <c r="F228" s="521" t="str">
        <f>'5-1 Сбор КП Закупки'!F228</f>
        <v/>
      </c>
      <c r="G228" s="522" t="str">
        <f>'5-1 Сбор КП Закупки'!G228</f>
        <v/>
      </c>
      <c r="H228" s="522" t="str">
        <f>'5-1 Сбор КП Закупки'!H228</f>
        <v/>
      </c>
      <c r="I228" s="522" t="str">
        <f>'5-1 Сбор КП Закупки'!I228</f>
        <v/>
      </c>
      <c r="J228" s="197"/>
      <c r="K228" s="522" t="str">
        <f>'5-1 Сбор КП Закупки'!G228</f>
        <v/>
      </c>
      <c r="L228" s="523" t="str">
        <f>IF(A228="Да",'5-1 Сбор КП Закупки'!K228,)</f>
        <v/>
      </c>
      <c r="M228" s="197"/>
      <c r="N228" s="197"/>
      <c r="O228" s="197"/>
      <c r="P228" s="525" t="str">
        <f>'5-1 Сбор КП Закупки'!P228</f>
        <v/>
      </c>
      <c r="Q228" s="197"/>
      <c r="R228" s="197"/>
      <c r="S228" s="197"/>
      <c r="T228" s="197"/>
      <c r="U228" s="197"/>
      <c r="V228" s="197"/>
      <c r="W228" s="522" t="str">
        <f>'5-1 Сбор КП Закупки'!O228</f>
        <v/>
      </c>
      <c r="X228" s="197"/>
      <c r="Y228" s="197"/>
      <c r="Z228" s="197"/>
      <c r="AA228" s="197"/>
      <c r="AB228" s="197">
        <v>0.0</v>
      </c>
      <c r="AC228" s="197"/>
      <c r="AD228" s="197"/>
      <c r="AE2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5-3'!$D$11:$Q319,AE$4,AE$5)"),"")</f>
        <v/>
      </c>
      <c r="AF228" s="528"/>
      <c r="AG2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5-3'!$D$11:$Q319,AG$4,AG$5)"),"")</f>
        <v/>
      </c>
      <c r="AH228" s="527"/>
      <c r="AI2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5-3'!$D$11:$Q319,AI$4,AI$5)"),"")</f>
        <v/>
      </c>
      <c r="AJ228" s="527"/>
      <c r="AK2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5-3'!$D$11:$Q319,AK$4,AK$5)"),"")</f>
        <v/>
      </c>
      <c r="AL228" s="527"/>
      <c r="AM2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5-3'!$D$11:$Q319,AM$4,AM$5)"),"")</f>
        <v/>
      </c>
      <c r="AN228" s="529"/>
      <c r="AO22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5-3'!$D$11:$Q319,AO$4,AO$5)"),"")</f>
        <v/>
      </c>
      <c r="AP228" s="527"/>
      <c r="AQ228" s="527"/>
      <c r="AR228" s="527"/>
      <c r="AS228" s="527"/>
      <c r="AT2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5-3'!$D$11:$Q319,AT$4,AT$5)"),"")</f>
        <v/>
      </c>
      <c r="AU228" s="531"/>
      <c r="AV2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5-3'!$D$11:$Q319,AV$4,AV$5)"),"")</f>
        <v/>
      </c>
      <c r="AW228" s="530"/>
      <c r="AX2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5-3'!$D$11:$Q319,AX$4,AX$5)"),"")</f>
        <v/>
      </c>
      <c r="AY228" s="530"/>
      <c r="AZ2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5-3'!$D$11:$Q319,AZ$4,AZ$5)"),"")</f>
        <v/>
      </c>
      <c r="BA228" s="530"/>
      <c r="BB2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5-3'!$D$11:$Q319,BB$4,BB$5)"),"")</f>
        <v/>
      </c>
      <c r="BC228" s="532"/>
      <c r="BD22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5-3'!$D$11:$Q319,BD$4,BD$5)"),"")</f>
        <v/>
      </c>
      <c r="BE228" s="530"/>
      <c r="BF228" s="530"/>
      <c r="BG228" s="530"/>
      <c r="BH228" s="530"/>
      <c r="BI2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5-3'!$D$11:$Q319,BI$4,BI$5)"),"")</f>
        <v/>
      </c>
      <c r="BJ228" s="535"/>
      <c r="BK2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5-3'!$D$11:$Q319,BK$4,BK$5)"),"")</f>
        <v/>
      </c>
      <c r="BL228" s="534"/>
      <c r="BM2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5-3'!$D$11:$Q319,BM$4,BM$5)"),"")</f>
        <v/>
      </c>
      <c r="BN228" s="534"/>
      <c r="BO2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5-3'!$D$11:$Q319,BO$4,BO$5)"),"")</f>
        <v/>
      </c>
      <c r="BP228" s="534"/>
      <c r="BQ2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5-3'!$D$11:$Q319,BQ$4,BQ$5)"),"")</f>
        <v/>
      </c>
      <c r="BR228" s="536"/>
      <c r="BS22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5-3'!$D$11:$Q319,BS$4,BS$5)"),"")</f>
        <v/>
      </c>
      <c r="BT228" s="534"/>
      <c r="BU228" s="534"/>
      <c r="BV228" s="534"/>
      <c r="BW228" s="534"/>
      <c r="BX2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5-3'!$D$11:$Q319,BX$4,BX$5)"),"")</f>
        <v/>
      </c>
      <c r="BY228" s="538"/>
      <c r="BZ2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5-3'!$D$11:$Q319,BZ$4,BZ$5)"),"")</f>
        <v/>
      </c>
      <c r="CA228" s="537"/>
      <c r="CB2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5-3'!$D$11:$Q319,CB$4,CB$5)"),"")</f>
        <v/>
      </c>
      <c r="CC228" s="537"/>
      <c r="CD2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5-3'!$D$11:$Q319,CD$4,CD$5)"),"")</f>
        <v/>
      </c>
      <c r="CE228" s="537"/>
      <c r="CF2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5-3'!$D$11:$Q319,CF$4,CF$5)"),"")</f>
        <v/>
      </c>
      <c r="CG228" s="539"/>
      <c r="CH22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5-3'!$D$11:$Q319,CH$4,CH$5)"),"")</f>
        <v/>
      </c>
      <c r="CI228" s="537"/>
      <c r="CJ228" s="537"/>
      <c r="CK228" s="537"/>
      <c r="CL228" s="537"/>
      <c r="CM2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5-3'!$D$11:$Q319,CM$4,CM$5)"),"")</f>
        <v/>
      </c>
      <c r="CN228" s="541"/>
      <c r="CO2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5-3'!$D$11:$Q319,CO$4,CO$5)"),"")</f>
        <v/>
      </c>
      <c r="CP228" s="540"/>
      <c r="CQ2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5-3'!$D$11:$Q319,CQ$4,CQ$5)"),"")</f>
        <v/>
      </c>
      <c r="CR228" s="540"/>
      <c r="CS2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5-3'!$D$11:$Q319,CS$4,CS$5)"),"")</f>
        <v/>
      </c>
      <c r="CT228" s="540"/>
      <c r="CU2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5-3'!$D$11:$Q319,CU$4,CU$5)"),"")</f>
        <v/>
      </c>
      <c r="CV228" s="545"/>
      <c r="CW22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5-3'!$D$11:$Q319,CW$4,CW$5)"),"")</f>
        <v/>
      </c>
      <c r="CX228" s="540"/>
      <c r="CY228" s="540"/>
      <c r="CZ228" s="540"/>
      <c r="DA228" s="540"/>
      <c r="DB2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5-3'!$D$11:$Q319,DB$4,DB$5)"),"")</f>
        <v/>
      </c>
      <c r="DC228" s="555"/>
      <c r="DD2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5-3'!$D$11:$Q319,DD$4,DD$5)"),"")</f>
        <v/>
      </c>
      <c r="DE228" s="554"/>
      <c r="DF2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5-3'!$D$11:$Q319,DF$4,DF$5)"),"")</f>
        <v/>
      </c>
      <c r="DG228" s="554"/>
      <c r="DH2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5-3'!$D$11:$Q319,DH$4,DH$5)"),"")</f>
        <v/>
      </c>
      <c r="DI228" s="554"/>
      <c r="DJ2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5-3'!$D$11:$Q319,DJ$4,DJ$5)"),"")</f>
        <v/>
      </c>
      <c r="DK228" s="566"/>
      <c r="DL22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5-3'!$D$11:$Q319,DL$4,DL$5)"),"")</f>
        <v/>
      </c>
      <c r="DM228" s="554"/>
      <c r="DN228" s="554"/>
      <c r="DO228" s="554"/>
      <c r="DP228" s="554"/>
      <c r="DQ2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5-3'!$D$11:$Q319,DQ$4,DQ$5)"),"")</f>
        <v/>
      </c>
      <c r="DR228" s="569"/>
      <c r="DS2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5-3'!$D$11:$Q319,DS$4,DS$5)"),"")</f>
        <v/>
      </c>
      <c r="DT228" s="568"/>
      <c r="DU2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5-3'!$D$11:$Q319,DU$4,DU$5)"),"")</f>
        <v/>
      </c>
      <c r="DV228" s="568"/>
      <c r="DW2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5-3'!$D$11:$Q319,DW$4,DW$5)"),"")</f>
        <v/>
      </c>
      <c r="DX228" s="568"/>
      <c r="DY2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5-3'!$D$11:$Q319,DY$4,DY$5)"),"")</f>
        <v/>
      </c>
      <c r="DZ228" s="578"/>
      <c r="EA22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$C228, 'S-10 Топ 5-3'!$D$11:$Q319,EA$4,EA$5)"),"")</f>
        <v/>
      </c>
      <c r="EB228" s="568"/>
      <c r="EC228" s="568"/>
      <c r="ED228" s="568"/>
      <c r="EE228" s="568"/>
    </row>
    <row r="229">
      <c r="A229" s="519" t="str">
        <f t="shared" si="1"/>
        <v/>
      </c>
      <c r="B229" s="520" t="str">
        <f>'5-0 Товары'!B229</f>
        <v/>
      </c>
      <c r="C229" s="521" t="str">
        <f>'5-1 Сбор КП Закупки'!C229</f>
        <v/>
      </c>
      <c r="D229" s="521" t="str">
        <f>'5-1 Сбор КП Закупки'!D229</f>
        <v/>
      </c>
      <c r="E229" s="521" t="str">
        <f>'5-1 Сбор КП Закупки'!E229</f>
        <v/>
      </c>
      <c r="F229" s="521" t="str">
        <f>'5-1 Сбор КП Закупки'!F229</f>
        <v/>
      </c>
      <c r="G229" s="522" t="str">
        <f>'5-1 Сбор КП Закупки'!G229</f>
        <v/>
      </c>
      <c r="H229" s="522" t="str">
        <f>'5-1 Сбор КП Закупки'!H229</f>
        <v/>
      </c>
      <c r="I229" s="522" t="str">
        <f>'5-1 Сбор КП Закупки'!I229</f>
        <v/>
      </c>
      <c r="J229" s="197"/>
      <c r="K229" s="522" t="str">
        <f>'5-1 Сбор КП Закупки'!G229</f>
        <v/>
      </c>
      <c r="L229" s="523" t="str">
        <f>IF(A229="Да",'5-1 Сбор КП Закупки'!K229,)</f>
        <v/>
      </c>
      <c r="M229" s="197"/>
      <c r="N229" s="197"/>
      <c r="O229" s="197"/>
      <c r="P229" s="525" t="str">
        <f>'5-1 Сбор КП Закупки'!P229</f>
        <v/>
      </c>
      <c r="Q229" s="197"/>
      <c r="R229" s="197"/>
      <c r="S229" s="197"/>
      <c r="T229" s="197"/>
      <c r="U229" s="197"/>
      <c r="V229" s="197"/>
      <c r="W229" s="522" t="str">
        <f>'5-1 Сбор КП Закупки'!O229</f>
        <v/>
      </c>
      <c r="X229" s="197"/>
      <c r="Y229" s="197"/>
      <c r="Z229" s="197"/>
      <c r="AA229" s="197"/>
      <c r="AB229" s="197">
        <v>0.0</v>
      </c>
      <c r="AC229" s="197"/>
      <c r="AD229" s="197"/>
      <c r="AE2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5-3'!$D$11:$Q319,AE$4,AE$5)"),"")</f>
        <v/>
      </c>
      <c r="AF229" s="528"/>
      <c r="AG2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5-3'!$D$11:$Q319,AG$4,AG$5)"),"")</f>
        <v/>
      </c>
      <c r="AH229" s="527"/>
      <c r="AI2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5-3'!$D$11:$Q319,AI$4,AI$5)"),"")</f>
        <v/>
      </c>
      <c r="AJ229" s="527"/>
      <c r="AK2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5-3'!$D$11:$Q319,AK$4,AK$5)"),"")</f>
        <v/>
      </c>
      <c r="AL229" s="527"/>
      <c r="AM2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5-3'!$D$11:$Q319,AM$4,AM$5)"),"")</f>
        <v/>
      </c>
      <c r="AN229" s="529"/>
      <c r="AO22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5-3'!$D$11:$Q319,AO$4,AO$5)"),"")</f>
        <v/>
      </c>
      <c r="AP229" s="527"/>
      <c r="AQ229" s="527"/>
      <c r="AR229" s="527"/>
      <c r="AS229" s="527"/>
      <c r="AT2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5-3'!$D$11:$Q319,AT$4,AT$5)"),"")</f>
        <v/>
      </c>
      <c r="AU229" s="531"/>
      <c r="AV2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5-3'!$D$11:$Q319,AV$4,AV$5)"),"")</f>
        <v/>
      </c>
      <c r="AW229" s="530"/>
      <c r="AX2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5-3'!$D$11:$Q319,AX$4,AX$5)"),"")</f>
        <v/>
      </c>
      <c r="AY229" s="530"/>
      <c r="AZ2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5-3'!$D$11:$Q319,AZ$4,AZ$5)"),"")</f>
        <v/>
      </c>
      <c r="BA229" s="530"/>
      <c r="BB2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5-3'!$D$11:$Q319,BB$4,BB$5)"),"")</f>
        <v/>
      </c>
      <c r="BC229" s="532"/>
      <c r="BD22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5-3'!$D$11:$Q319,BD$4,BD$5)"),"")</f>
        <v/>
      </c>
      <c r="BE229" s="530"/>
      <c r="BF229" s="530"/>
      <c r="BG229" s="530"/>
      <c r="BH229" s="530"/>
      <c r="BI2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5-3'!$D$11:$Q319,BI$4,BI$5)"),"")</f>
        <v/>
      </c>
      <c r="BJ229" s="535"/>
      <c r="BK2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5-3'!$D$11:$Q319,BK$4,BK$5)"),"")</f>
        <v/>
      </c>
      <c r="BL229" s="534"/>
      <c r="BM2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5-3'!$D$11:$Q319,BM$4,BM$5)"),"")</f>
        <v/>
      </c>
      <c r="BN229" s="534"/>
      <c r="BO2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5-3'!$D$11:$Q319,BO$4,BO$5)"),"")</f>
        <v/>
      </c>
      <c r="BP229" s="534"/>
      <c r="BQ2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5-3'!$D$11:$Q319,BQ$4,BQ$5)"),"")</f>
        <v/>
      </c>
      <c r="BR229" s="536"/>
      <c r="BS22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5-3'!$D$11:$Q319,BS$4,BS$5)"),"")</f>
        <v/>
      </c>
      <c r="BT229" s="534"/>
      <c r="BU229" s="534"/>
      <c r="BV229" s="534"/>
      <c r="BW229" s="534"/>
      <c r="BX2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5-3'!$D$11:$Q319,BX$4,BX$5)"),"")</f>
        <v/>
      </c>
      <c r="BY229" s="538"/>
      <c r="BZ2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5-3'!$D$11:$Q319,BZ$4,BZ$5)"),"")</f>
        <v/>
      </c>
      <c r="CA229" s="537"/>
      <c r="CB2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5-3'!$D$11:$Q319,CB$4,CB$5)"),"")</f>
        <v/>
      </c>
      <c r="CC229" s="537"/>
      <c r="CD2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5-3'!$D$11:$Q319,CD$4,CD$5)"),"")</f>
        <v/>
      </c>
      <c r="CE229" s="537"/>
      <c r="CF2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5-3'!$D$11:$Q319,CF$4,CF$5)"),"")</f>
        <v/>
      </c>
      <c r="CG229" s="539"/>
      <c r="CH22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5-3'!$D$11:$Q319,CH$4,CH$5)"),"")</f>
        <v/>
      </c>
      <c r="CI229" s="537"/>
      <c r="CJ229" s="537"/>
      <c r="CK229" s="537"/>
      <c r="CL229" s="537"/>
      <c r="CM2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5-3'!$D$11:$Q319,CM$4,CM$5)"),"")</f>
        <v/>
      </c>
      <c r="CN229" s="541"/>
      <c r="CO2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5-3'!$D$11:$Q319,CO$4,CO$5)"),"")</f>
        <v/>
      </c>
      <c r="CP229" s="540"/>
      <c r="CQ2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5-3'!$D$11:$Q319,CQ$4,CQ$5)"),"")</f>
        <v/>
      </c>
      <c r="CR229" s="540"/>
      <c r="CS2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5-3'!$D$11:$Q319,CS$4,CS$5)"),"")</f>
        <v/>
      </c>
      <c r="CT229" s="540"/>
      <c r="CU2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5-3'!$D$11:$Q319,CU$4,CU$5)"),"")</f>
        <v/>
      </c>
      <c r="CV229" s="545"/>
      <c r="CW22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5-3'!$D$11:$Q319,CW$4,CW$5)"),"")</f>
        <v/>
      </c>
      <c r="CX229" s="540"/>
      <c r="CY229" s="540"/>
      <c r="CZ229" s="540"/>
      <c r="DA229" s="540"/>
      <c r="DB2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5-3'!$D$11:$Q319,DB$4,DB$5)"),"")</f>
        <v/>
      </c>
      <c r="DC229" s="555"/>
      <c r="DD2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5-3'!$D$11:$Q319,DD$4,DD$5)"),"")</f>
        <v/>
      </c>
      <c r="DE229" s="554"/>
      <c r="DF2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5-3'!$D$11:$Q319,DF$4,DF$5)"),"")</f>
        <v/>
      </c>
      <c r="DG229" s="554"/>
      <c r="DH2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5-3'!$D$11:$Q319,DH$4,DH$5)"),"")</f>
        <v/>
      </c>
      <c r="DI229" s="554"/>
      <c r="DJ2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5-3'!$D$11:$Q319,DJ$4,DJ$5)"),"")</f>
        <v/>
      </c>
      <c r="DK229" s="566"/>
      <c r="DL22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5-3'!$D$11:$Q319,DL$4,DL$5)"),"")</f>
        <v/>
      </c>
      <c r="DM229" s="554"/>
      <c r="DN229" s="554"/>
      <c r="DO229" s="554"/>
      <c r="DP229" s="554"/>
      <c r="DQ2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5-3'!$D$11:$Q319,DQ$4,DQ$5)"),"")</f>
        <v/>
      </c>
      <c r="DR229" s="569"/>
      <c r="DS2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5-3'!$D$11:$Q319,DS$4,DS$5)"),"")</f>
        <v/>
      </c>
      <c r="DT229" s="568"/>
      <c r="DU2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5-3'!$D$11:$Q319,DU$4,DU$5)"),"")</f>
        <v/>
      </c>
      <c r="DV229" s="568"/>
      <c r="DW2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5-3'!$D$11:$Q319,DW$4,DW$5)"),"")</f>
        <v/>
      </c>
      <c r="DX229" s="568"/>
      <c r="DY2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5-3'!$D$11:$Q319,DY$4,DY$5)"),"")</f>
        <v/>
      </c>
      <c r="DZ229" s="578"/>
      <c r="EA22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$C229, 'S-10 Топ 5-3'!$D$11:$Q319,EA$4,EA$5)"),"")</f>
        <v/>
      </c>
      <c r="EB229" s="568"/>
      <c r="EC229" s="568"/>
      <c r="ED229" s="568"/>
      <c r="EE229" s="568"/>
    </row>
    <row r="230">
      <c r="A230" s="519" t="str">
        <f t="shared" si="1"/>
        <v/>
      </c>
      <c r="B230" s="520" t="str">
        <f>'5-0 Товары'!B230</f>
        <v/>
      </c>
      <c r="C230" s="521" t="str">
        <f>'5-1 Сбор КП Закупки'!C230</f>
        <v/>
      </c>
      <c r="D230" s="521" t="str">
        <f>'5-1 Сбор КП Закупки'!D230</f>
        <v/>
      </c>
      <c r="E230" s="521" t="str">
        <f>'5-1 Сбор КП Закупки'!E230</f>
        <v/>
      </c>
      <c r="F230" s="521" t="str">
        <f>'5-1 Сбор КП Закупки'!F230</f>
        <v/>
      </c>
      <c r="G230" s="522" t="str">
        <f>'5-1 Сбор КП Закупки'!G230</f>
        <v/>
      </c>
      <c r="H230" s="522" t="str">
        <f>'5-1 Сбор КП Закупки'!H230</f>
        <v/>
      </c>
      <c r="I230" s="522" t="str">
        <f>'5-1 Сбор КП Закупки'!I230</f>
        <v/>
      </c>
      <c r="J230" s="197"/>
      <c r="K230" s="522" t="str">
        <f>'5-1 Сбор КП Закупки'!G230</f>
        <v/>
      </c>
      <c r="L230" s="523" t="str">
        <f>IF(A230="Да",'5-1 Сбор КП Закупки'!K230,)</f>
        <v/>
      </c>
      <c r="M230" s="197"/>
      <c r="N230" s="197"/>
      <c r="O230" s="197"/>
      <c r="P230" s="525" t="str">
        <f>'5-1 Сбор КП Закупки'!P230</f>
        <v/>
      </c>
      <c r="Q230" s="197"/>
      <c r="R230" s="197"/>
      <c r="S230" s="197"/>
      <c r="T230" s="197"/>
      <c r="U230" s="197"/>
      <c r="V230" s="197"/>
      <c r="W230" s="522" t="str">
        <f>'5-1 Сбор КП Закупки'!O230</f>
        <v/>
      </c>
      <c r="X230" s="197"/>
      <c r="Y230" s="197"/>
      <c r="Z230" s="197"/>
      <c r="AA230" s="197"/>
      <c r="AB230" s="197">
        <v>0.0</v>
      </c>
      <c r="AC230" s="197"/>
      <c r="AD230" s="197"/>
      <c r="AE2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5-3'!$D$11:$Q319,AE$4,AE$5)"),"")</f>
        <v/>
      </c>
      <c r="AF230" s="528"/>
      <c r="AG2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5-3'!$D$11:$Q319,AG$4,AG$5)"),"")</f>
        <v/>
      </c>
      <c r="AH230" s="527"/>
      <c r="AI2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5-3'!$D$11:$Q319,AI$4,AI$5)"),"")</f>
        <v/>
      </c>
      <c r="AJ230" s="527"/>
      <c r="AK2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5-3'!$D$11:$Q319,AK$4,AK$5)"),"")</f>
        <v/>
      </c>
      <c r="AL230" s="527"/>
      <c r="AM2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5-3'!$D$11:$Q319,AM$4,AM$5)"),"")</f>
        <v/>
      </c>
      <c r="AN230" s="529"/>
      <c r="AO23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5-3'!$D$11:$Q319,AO$4,AO$5)"),"")</f>
        <v/>
      </c>
      <c r="AP230" s="527"/>
      <c r="AQ230" s="527"/>
      <c r="AR230" s="527"/>
      <c r="AS230" s="527"/>
      <c r="AT2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5-3'!$D$11:$Q319,AT$4,AT$5)"),"")</f>
        <v/>
      </c>
      <c r="AU230" s="531"/>
      <c r="AV2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5-3'!$D$11:$Q319,AV$4,AV$5)"),"")</f>
        <v/>
      </c>
      <c r="AW230" s="530"/>
      <c r="AX2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5-3'!$D$11:$Q319,AX$4,AX$5)"),"")</f>
        <v/>
      </c>
      <c r="AY230" s="530"/>
      <c r="AZ2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5-3'!$D$11:$Q319,AZ$4,AZ$5)"),"")</f>
        <v/>
      </c>
      <c r="BA230" s="530"/>
      <c r="BB2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5-3'!$D$11:$Q319,BB$4,BB$5)"),"")</f>
        <v/>
      </c>
      <c r="BC230" s="532"/>
      <c r="BD23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5-3'!$D$11:$Q319,BD$4,BD$5)"),"")</f>
        <v/>
      </c>
      <c r="BE230" s="530"/>
      <c r="BF230" s="530"/>
      <c r="BG230" s="530"/>
      <c r="BH230" s="530"/>
      <c r="BI2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5-3'!$D$11:$Q319,BI$4,BI$5)"),"")</f>
        <v/>
      </c>
      <c r="BJ230" s="535"/>
      <c r="BK2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5-3'!$D$11:$Q319,BK$4,BK$5)"),"")</f>
        <v/>
      </c>
      <c r="BL230" s="534"/>
      <c r="BM2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5-3'!$D$11:$Q319,BM$4,BM$5)"),"")</f>
        <v/>
      </c>
      <c r="BN230" s="534"/>
      <c r="BO2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5-3'!$D$11:$Q319,BO$4,BO$5)"),"")</f>
        <v/>
      </c>
      <c r="BP230" s="534"/>
      <c r="BQ2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5-3'!$D$11:$Q319,BQ$4,BQ$5)"),"")</f>
        <v/>
      </c>
      <c r="BR230" s="536"/>
      <c r="BS23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5-3'!$D$11:$Q319,BS$4,BS$5)"),"")</f>
        <v/>
      </c>
      <c r="BT230" s="534"/>
      <c r="BU230" s="534"/>
      <c r="BV230" s="534"/>
      <c r="BW230" s="534"/>
      <c r="BX2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5-3'!$D$11:$Q319,BX$4,BX$5)"),"")</f>
        <v/>
      </c>
      <c r="BY230" s="538"/>
      <c r="BZ2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5-3'!$D$11:$Q319,BZ$4,BZ$5)"),"")</f>
        <v/>
      </c>
      <c r="CA230" s="537"/>
      <c r="CB2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5-3'!$D$11:$Q319,CB$4,CB$5)"),"")</f>
        <v/>
      </c>
      <c r="CC230" s="537"/>
      <c r="CD2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5-3'!$D$11:$Q319,CD$4,CD$5)"),"")</f>
        <v/>
      </c>
      <c r="CE230" s="537"/>
      <c r="CF2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5-3'!$D$11:$Q319,CF$4,CF$5)"),"")</f>
        <v/>
      </c>
      <c r="CG230" s="539"/>
      <c r="CH23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5-3'!$D$11:$Q319,CH$4,CH$5)"),"")</f>
        <v/>
      </c>
      <c r="CI230" s="537"/>
      <c r="CJ230" s="537"/>
      <c r="CK230" s="537"/>
      <c r="CL230" s="537"/>
      <c r="CM2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5-3'!$D$11:$Q319,CM$4,CM$5)"),"")</f>
        <v/>
      </c>
      <c r="CN230" s="541"/>
      <c r="CO2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5-3'!$D$11:$Q319,CO$4,CO$5)"),"")</f>
        <v/>
      </c>
      <c r="CP230" s="540"/>
      <c r="CQ2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5-3'!$D$11:$Q319,CQ$4,CQ$5)"),"")</f>
        <v/>
      </c>
      <c r="CR230" s="540"/>
      <c r="CS2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5-3'!$D$11:$Q319,CS$4,CS$5)"),"")</f>
        <v/>
      </c>
      <c r="CT230" s="540"/>
      <c r="CU2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5-3'!$D$11:$Q319,CU$4,CU$5)"),"")</f>
        <v/>
      </c>
      <c r="CV230" s="545"/>
      <c r="CW23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5-3'!$D$11:$Q319,CW$4,CW$5)"),"")</f>
        <v/>
      </c>
      <c r="CX230" s="540"/>
      <c r="CY230" s="540"/>
      <c r="CZ230" s="540"/>
      <c r="DA230" s="540"/>
      <c r="DB2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5-3'!$D$11:$Q319,DB$4,DB$5)"),"")</f>
        <v/>
      </c>
      <c r="DC230" s="555"/>
      <c r="DD2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5-3'!$D$11:$Q319,DD$4,DD$5)"),"")</f>
        <v/>
      </c>
      <c r="DE230" s="554"/>
      <c r="DF2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5-3'!$D$11:$Q319,DF$4,DF$5)"),"")</f>
        <v/>
      </c>
      <c r="DG230" s="554"/>
      <c r="DH2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5-3'!$D$11:$Q319,DH$4,DH$5)"),"")</f>
        <v/>
      </c>
      <c r="DI230" s="554"/>
      <c r="DJ2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5-3'!$D$11:$Q319,DJ$4,DJ$5)"),"")</f>
        <v/>
      </c>
      <c r="DK230" s="566"/>
      <c r="DL23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5-3'!$D$11:$Q319,DL$4,DL$5)"),"")</f>
        <v/>
      </c>
      <c r="DM230" s="554"/>
      <c r="DN230" s="554"/>
      <c r="DO230" s="554"/>
      <c r="DP230" s="554"/>
      <c r="DQ2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5-3'!$D$11:$Q319,DQ$4,DQ$5)"),"")</f>
        <v/>
      </c>
      <c r="DR230" s="569"/>
      <c r="DS2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5-3'!$D$11:$Q319,DS$4,DS$5)"),"")</f>
        <v/>
      </c>
      <c r="DT230" s="568"/>
      <c r="DU2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5-3'!$D$11:$Q319,DU$4,DU$5)"),"")</f>
        <v/>
      </c>
      <c r="DV230" s="568"/>
      <c r="DW2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5-3'!$D$11:$Q319,DW$4,DW$5)"),"")</f>
        <v/>
      </c>
      <c r="DX230" s="568"/>
      <c r="DY2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5-3'!$D$11:$Q319,DY$4,DY$5)"),"")</f>
        <v/>
      </c>
      <c r="DZ230" s="578"/>
      <c r="EA23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$C230, 'S-10 Топ 5-3'!$D$11:$Q319,EA$4,EA$5)"),"")</f>
        <v/>
      </c>
      <c r="EB230" s="568"/>
      <c r="EC230" s="568"/>
      <c r="ED230" s="568"/>
      <c r="EE230" s="568"/>
    </row>
    <row r="231">
      <c r="A231" s="519" t="str">
        <f t="shared" si="1"/>
        <v/>
      </c>
      <c r="B231" s="520" t="str">
        <f>'5-0 Товары'!B231</f>
        <v/>
      </c>
      <c r="C231" s="521" t="str">
        <f>'5-1 Сбор КП Закупки'!C231</f>
        <v/>
      </c>
      <c r="D231" s="521" t="str">
        <f>'5-1 Сбор КП Закупки'!D231</f>
        <v/>
      </c>
      <c r="E231" s="521" t="str">
        <f>'5-1 Сбор КП Закупки'!E231</f>
        <v/>
      </c>
      <c r="F231" s="521" t="str">
        <f>'5-1 Сбор КП Закупки'!F231</f>
        <v/>
      </c>
      <c r="G231" s="522" t="str">
        <f>'5-1 Сбор КП Закупки'!G231</f>
        <v/>
      </c>
      <c r="H231" s="522" t="str">
        <f>'5-1 Сбор КП Закупки'!H231</f>
        <v/>
      </c>
      <c r="I231" s="522" t="str">
        <f>'5-1 Сбор КП Закупки'!I231</f>
        <v/>
      </c>
      <c r="J231" s="197"/>
      <c r="K231" s="522" t="str">
        <f>'5-1 Сбор КП Закупки'!G231</f>
        <v/>
      </c>
      <c r="L231" s="523" t="str">
        <f>IF(A231="Да",'5-1 Сбор КП Закупки'!K231,)</f>
        <v/>
      </c>
      <c r="M231" s="197"/>
      <c r="N231" s="197"/>
      <c r="O231" s="197"/>
      <c r="P231" s="525" t="str">
        <f>'5-1 Сбор КП Закупки'!P231</f>
        <v/>
      </c>
      <c r="Q231" s="197"/>
      <c r="R231" s="197"/>
      <c r="S231" s="197"/>
      <c r="T231" s="197"/>
      <c r="U231" s="197"/>
      <c r="V231" s="197"/>
      <c r="W231" s="522" t="str">
        <f>'5-1 Сбор КП Закупки'!O231</f>
        <v/>
      </c>
      <c r="X231" s="197"/>
      <c r="Y231" s="197"/>
      <c r="Z231" s="197"/>
      <c r="AA231" s="197"/>
      <c r="AB231" s="197">
        <v>0.0</v>
      </c>
      <c r="AC231" s="197"/>
      <c r="AD231" s="197"/>
      <c r="AE2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5-3'!$D$11:$Q319,AE$4,AE$5)"),"")</f>
        <v/>
      </c>
      <c r="AF231" s="528"/>
      <c r="AG2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5-3'!$D$11:$Q319,AG$4,AG$5)"),"")</f>
        <v/>
      </c>
      <c r="AH231" s="527"/>
      <c r="AI2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5-3'!$D$11:$Q319,AI$4,AI$5)"),"")</f>
        <v/>
      </c>
      <c r="AJ231" s="527"/>
      <c r="AK2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5-3'!$D$11:$Q319,AK$4,AK$5)"),"")</f>
        <v/>
      </c>
      <c r="AL231" s="527"/>
      <c r="AM2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5-3'!$D$11:$Q319,AM$4,AM$5)"),"")</f>
        <v/>
      </c>
      <c r="AN231" s="529"/>
      <c r="AO23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5-3'!$D$11:$Q319,AO$4,AO$5)"),"")</f>
        <v/>
      </c>
      <c r="AP231" s="527"/>
      <c r="AQ231" s="527"/>
      <c r="AR231" s="527"/>
      <c r="AS231" s="527"/>
      <c r="AT2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5-3'!$D$11:$Q319,AT$4,AT$5)"),"")</f>
        <v/>
      </c>
      <c r="AU231" s="531"/>
      <c r="AV2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5-3'!$D$11:$Q319,AV$4,AV$5)"),"")</f>
        <v/>
      </c>
      <c r="AW231" s="530"/>
      <c r="AX2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5-3'!$D$11:$Q319,AX$4,AX$5)"),"")</f>
        <v/>
      </c>
      <c r="AY231" s="530"/>
      <c r="AZ2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5-3'!$D$11:$Q319,AZ$4,AZ$5)"),"")</f>
        <v/>
      </c>
      <c r="BA231" s="530"/>
      <c r="BB2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5-3'!$D$11:$Q319,BB$4,BB$5)"),"")</f>
        <v/>
      </c>
      <c r="BC231" s="532"/>
      <c r="BD23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5-3'!$D$11:$Q319,BD$4,BD$5)"),"")</f>
        <v/>
      </c>
      <c r="BE231" s="530"/>
      <c r="BF231" s="530"/>
      <c r="BG231" s="530"/>
      <c r="BH231" s="530"/>
      <c r="BI2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5-3'!$D$11:$Q319,BI$4,BI$5)"),"")</f>
        <v/>
      </c>
      <c r="BJ231" s="535"/>
      <c r="BK2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5-3'!$D$11:$Q319,BK$4,BK$5)"),"")</f>
        <v/>
      </c>
      <c r="BL231" s="534"/>
      <c r="BM2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5-3'!$D$11:$Q319,BM$4,BM$5)"),"")</f>
        <v/>
      </c>
      <c r="BN231" s="534"/>
      <c r="BO2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5-3'!$D$11:$Q319,BO$4,BO$5)"),"")</f>
        <v/>
      </c>
      <c r="BP231" s="534"/>
      <c r="BQ2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5-3'!$D$11:$Q319,BQ$4,BQ$5)"),"")</f>
        <v/>
      </c>
      <c r="BR231" s="536"/>
      <c r="BS23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5-3'!$D$11:$Q319,BS$4,BS$5)"),"")</f>
        <v/>
      </c>
      <c r="BT231" s="534"/>
      <c r="BU231" s="534"/>
      <c r="BV231" s="534"/>
      <c r="BW231" s="534"/>
      <c r="BX2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5-3'!$D$11:$Q319,BX$4,BX$5)"),"")</f>
        <v/>
      </c>
      <c r="BY231" s="538"/>
      <c r="BZ2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5-3'!$D$11:$Q319,BZ$4,BZ$5)"),"")</f>
        <v/>
      </c>
      <c r="CA231" s="537"/>
      <c r="CB2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5-3'!$D$11:$Q319,CB$4,CB$5)"),"")</f>
        <v/>
      </c>
      <c r="CC231" s="537"/>
      <c r="CD2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5-3'!$D$11:$Q319,CD$4,CD$5)"),"")</f>
        <v/>
      </c>
      <c r="CE231" s="537"/>
      <c r="CF2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5-3'!$D$11:$Q319,CF$4,CF$5)"),"")</f>
        <v/>
      </c>
      <c r="CG231" s="539"/>
      <c r="CH23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5-3'!$D$11:$Q319,CH$4,CH$5)"),"")</f>
        <v/>
      </c>
      <c r="CI231" s="537"/>
      <c r="CJ231" s="537"/>
      <c r="CK231" s="537"/>
      <c r="CL231" s="537"/>
      <c r="CM2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5-3'!$D$11:$Q319,CM$4,CM$5)"),"")</f>
        <v/>
      </c>
      <c r="CN231" s="541"/>
      <c r="CO2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5-3'!$D$11:$Q319,CO$4,CO$5)"),"")</f>
        <v/>
      </c>
      <c r="CP231" s="540"/>
      <c r="CQ2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5-3'!$D$11:$Q319,CQ$4,CQ$5)"),"")</f>
        <v/>
      </c>
      <c r="CR231" s="540"/>
      <c r="CS2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5-3'!$D$11:$Q319,CS$4,CS$5)"),"")</f>
        <v/>
      </c>
      <c r="CT231" s="540"/>
      <c r="CU2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5-3'!$D$11:$Q319,CU$4,CU$5)"),"")</f>
        <v/>
      </c>
      <c r="CV231" s="545"/>
      <c r="CW23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5-3'!$D$11:$Q319,CW$4,CW$5)"),"")</f>
        <v/>
      </c>
      <c r="CX231" s="540"/>
      <c r="CY231" s="540"/>
      <c r="CZ231" s="540"/>
      <c r="DA231" s="540"/>
      <c r="DB2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5-3'!$D$11:$Q319,DB$4,DB$5)"),"")</f>
        <v/>
      </c>
      <c r="DC231" s="555"/>
      <c r="DD2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5-3'!$D$11:$Q319,DD$4,DD$5)"),"")</f>
        <v/>
      </c>
      <c r="DE231" s="554"/>
      <c r="DF2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5-3'!$D$11:$Q319,DF$4,DF$5)"),"")</f>
        <v/>
      </c>
      <c r="DG231" s="554"/>
      <c r="DH2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5-3'!$D$11:$Q319,DH$4,DH$5)"),"")</f>
        <v/>
      </c>
      <c r="DI231" s="554"/>
      <c r="DJ2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5-3'!$D$11:$Q319,DJ$4,DJ$5)"),"")</f>
        <v/>
      </c>
      <c r="DK231" s="566"/>
      <c r="DL23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5-3'!$D$11:$Q319,DL$4,DL$5)"),"")</f>
        <v/>
      </c>
      <c r="DM231" s="554"/>
      <c r="DN231" s="554"/>
      <c r="DO231" s="554"/>
      <c r="DP231" s="554"/>
      <c r="DQ2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5-3'!$D$11:$Q319,DQ$4,DQ$5)"),"")</f>
        <v/>
      </c>
      <c r="DR231" s="569"/>
      <c r="DS2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5-3'!$D$11:$Q319,DS$4,DS$5)"),"")</f>
        <v/>
      </c>
      <c r="DT231" s="568"/>
      <c r="DU2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5-3'!$D$11:$Q319,DU$4,DU$5)"),"")</f>
        <v/>
      </c>
      <c r="DV231" s="568"/>
      <c r="DW2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5-3'!$D$11:$Q319,DW$4,DW$5)"),"")</f>
        <v/>
      </c>
      <c r="DX231" s="568"/>
      <c r="DY2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5-3'!$D$11:$Q319,DY$4,DY$5)"),"")</f>
        <v/>
      </c>
      <c r="DZ231" s="578"/>
      <c r="EA23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$C231, 'S-10 Топ 5-3'!$D$11:$Q319,EA$4,EA$5)"),"")</f>
        <v/>
      </c>
      <c r="EB231" s="568"/>
      <c r="EC231" s="568"/>
      <c r="ED231" s="568"/>
      <c r="EE231" s="568"/>
    </row>
    <row r="232">
      <c r="A232" s="519" t="str">
        <f t="shared" si="1"/>
        <v/>
      </c>
      <c r="B232" s="520" t="str">
        <f>'5-0 Товары'!B232</f>
        <v/>
      </c>
      <c r="C232" s="521" t="str">
        <f>'5-1 Сбор КП Закупки'!C232</f>
        <v/>
      </c>
      <c r="D232" s="521" t="str">
        <f>'5-1 Сбор КП Закупки'!D232</f>
        <v/>
      </c>
      <c r="E232" s="521" t="str">
        <f>'5-1 Сбор КП Закупки'!E232</f>
        <v/>
      </c>
      <c r="F232" s="521" t="str">
        <f>'5-1 Сбор КП Закупки'!F232</f>
        <v/>
      </c>
      <c r="G232" s="522" t="str">
        <f>'5-1 Сбор КП Закупки'!G232</f>
        <v/>
      </c>
      <c r="H232" s="522" t="str">
        <f>'5-1 Сбор КП Закупки'!H232</f>
        <v/>
      </c>
      <c r="I232" s="522" t="str">
        <f>'5-1 Сбор КП Закупки'!I232</f>
        <v/>
      </c>
      <c r="J232" s="197"/>
      <c r="K232" s="522" t="str">
        <f>'5-1 Сбор КП Закупки'!G232</f>
        <v/>
      </c>
      <c r="L232" s="523" t="str">
        <f>IF(A232="Да",'5-1 Сбор КП Закупки'!K232,)</f>
        <v/>
      </c>
      <c r="M232" s="197"/>
      <c r="N232" s="197"/>
      <c r="O232" s="197"/>
      <c r="P232" s="525" t="str">
        <f>'5-1 Сбор КП Закупки'!P232</f>
        <v/>
      </c>
      <c r="Q232" s="197"/>
      <c r="R232" s="197"/>
      <c r="S232" s="197"/>
      <c r="T232" s="197"/>
      <c r="U232" s="197"/>
      <c r="V232" s="197"/>
      <c r="W232" s="522" t="str">
        <f>'5-1 Сбор КП Закупки'!O232</f>
        <v/>
      </c>
      <c r="X232" s="197"/>
      <c r="Y232" s="197"/>
      <c r="Z232" s="197"/>
      <c r="AA232" s="197"/>
      <c r="AB232" s="197">
        <v>0.0</v>
      </c>
      <c r="AC232" s="197"/>
      <c r="AD232" s="197"/>
      <c r="AE2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5-3'!$D$11:$Q319,AE$4,AE$5)"),"")</f>
        <v/>
      </c>
      <c r="AF232" s="528"/>
      <c r="AG2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5-3'!$D$11:$Q319,AG$4,AG$5)"),"")</f>
        <v/>
      </c>
      <c r="AH232" s="527"/>
      <c r="AI2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5-3'!$D$11:$Q319,AI$4,AI$5)"),"")</f>
        <v/>
      </c>
      <c r="AJ232" s="527"/>
      <c r="AK2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5-3'!$D$11:$Q319,AK$4,AK$5)"),"")</f>
        <v/>
      </c>
      <c r="AL232" s="527"/>
      <c r="AM2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5-3'!$D$11:$Q319,AM$4,AM$5)"),"")</f>
        <v/>
      </c>
      <c r="AN232" s="529"/>
      <c r="AO23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5-3'!$D$11:$Q319,AO$4,AO$5)"),"")</f>
        <v/>
      </c>
      <c r="AP232" s="527"/>
      <c r="AQ232" s="527"/>
      <c r="AR232" s="527"/>
      <c r="AS232" s="527"/>
      <c r="AT2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5-3'!$D$11:$Q319,AT$4,AT$5)"),"")</f>
        <v/>
      </c>
      <c r="AU232" s="531"/>
      <c r="AV2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5-3'!$D$11:$Q319,AV$4,AV$5)"),"")</f>
        <v/>
      </c>
      <c r="AW232" s="530"/>
      <c r="AX2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5-3'!$D$11:$Q319,AX$4,AX$5)"),"")</f>
        <v/>
      </c>
      <c r="AY232" s="530"/>
      <c r="AZ2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5-3'!$D$11:$Q319,AZ$4,AZ$5)"),"")</f>
        <v/>
      </c>
      <c r="BA232" s="530"/>
      <c r="BB2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5-3'!$D$11:$Q319,BB$4,BB$5)"),"")</f>
        <v/>
      </c>
      <c r="BC232" s="532"/>
      <c r="BD23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5-3'!$D$11:$Q319,BD$4,BD$5)"),"")</f>
        <v/>
      </c>
      <c r="BE232" s="530"/>
      <c r="BF232" s="530"/>
      <c r="BG232" s="530"/>
      <c r="BH232" s="530"/>
      <c r="BI2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5-3'!$D$11:$Q319,BI$4,BI$5)"),"")</f>
        <v/>
      </c>
      <c r="BJ232" s="535"/>
      <c r="BK2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5-3'!$D$11:$Q319,BK$4,BK$5)"),"")</f>
        <v/>
      </c>
      <c r="BL232" s="534"/>
      <c r="BM2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5-3'!$D$11:$Q319,BM$4,BM$5)"),"")</f>
        <v/>
      </c>
      <c r="BN232" s="534"/>
      <c r="BO2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5-3'!$D$11:$Q319,BO$4,BO$5)"),"")</f>
        <v/>
      </c>
      <c r="BP232" s="534"/>
      <c r="BQ2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5-3'!$D$11:$Q319,BQ$4,BQ$5)"),"")</f>
        <v/>
      </c>
      <c r="BR232" s="536"/>
      <c r="BS23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5-3'!$D$11:$Q319,BS$4,BS$5)"),"")</f>
        <v/>
      </c>
      <c r="BT232" s="534"/>
      <c r="BU232" s="534"/>
      <c r="BV232" s="534"/>
      <c r="BW232" s="534"/>
      <c r="BX2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5-3'!$D$11:$Q319,BX$4,BX$5)"),"")</f>
        <v/>
      </c>
      <c r="BY232" s="538"/>
      <c r="BZ2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5-3'!$D$11:$Q319,BZ$4,BZ$5)"),"")</f>
        <v/>
      </c>
      <c r="CA232" s="537"/>
      <c r="CB2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5-3'!$D$11:$Q319,CB$4,CB$5)"),"")</f>
        <v/>
      </c>
      <c r="CC232" s="537"/>
      <c r="CD2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5-3'!$D$11:$Q319,CD$4,CD$5)"),"")</f>
        <v/>
      </c>
      <c r="CE232" s="537"/>
      <c r="CF2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5-3'!$D$11:$Q319,CF$4,CF$5)"),"")</f>
        <v/>
      </c>
      <c r="CG232" s="539"/>
      <c r="CH23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5-3'!$D$11:$Q319,CH$4,CH$5)"),"")</f>
        <v/>
      </c>
      <c r="CI232" s="537"/>
      <c r="CJ232" s="537"/>
      <c r="CK232" s="537"/>
      <c r="CL232" s="537"/>
      <c r="CM2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5-3'!$D$11:$Q319,CM$4,CM$5)"),"")</f>
        <v/>
      </c>
      <c r="CN232" s="541"/>
      <c r="CO2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5-3'!$D$11:$Q319,CO$4,CO$5)"),"")</f>
        <v/>
      </c>
      <c r="CP232" s="540"/>
      <c r="CQ2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5-3'!$D$11:$Q319,CQ$4,CQ$5)"),"")</f>
        <v/>
      </c>
      <c r="CR232" s="540"/>
      <c r="CS2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5-3'!$D$11:$Q319,CS$4,CS$5)"),"")</f>
        <v/>
      </c>
      <c r="CT232" s="540"/>
      <c r="CU2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5-3'!$D$11:$Q319,CU$4,CU$5)"),"")</f>
        <v/>
      </c>
      <c r="CV232" s="545"/>
      <c r="CW23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5-3'!$D$11:$Q319,CW$4,CW$5)"),"")</f>
        <v/>
      </c>
      <c r="CX232" s="540"/>
      <c r="CY232" s="540"/>
      <c r="CZ232" s="540"/>
      <c r="DA232" s="540"/>
      <c r="DB2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5-3'!$D$11:$Q319,DB$4,DB$5)"),"")</f>
        <v/>
      </c>
      <c r="DC232" s="555"/>
      <c r="DD2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5-3'!$D$11:$Q319,DD$4,DD$5)"),"")</f>
        <v/>
      </c>
      <c r="DE232" s="554"/>
      <c r="DF2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5-3'!$D$11:$Q319,DF$4,DF$5)"),"")</f>
        <v/>
      </c>
      <c r="DG232" s="554"/>
      <c r="DH2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5-3'!$D$11:$Q319,DH$4,DH$5)"),"")</f>
        <v/>
      </c>
      <c r="DI232" s="554"/>
      <c r="DJ2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5-3'!$D$11:$Q319,DJ$4,DJ$5)"),"")</f>
        <v/>
      </c>
      <c r="DK232" s="566"/>
      <c r="DL23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5-3'!$D$11:$Q319,DL$4,DL$5)"),"")</f>
        <v/>
      </c>
      <c r="DM232" s="554"/>
      <c r="DN232" s="554"/>
      <c r="DO232" s="554"/>
      <c r="DP232" s="554"/>
      <c r="DQ2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5-3'!$D$11:$Q319,DQ$4,DQ$5)"),"")</f>
        <v/>
      </c>
      <c r="DR232" s="569"/>
      <c r="DS2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5-3'!$D$11:$Q319,DS$4,DS$5)"),"")</f>
        <v/>
      </c>
      <c r="DT232" s="568"/>
      <c r="DU2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5-3'!$D$11:$Q319,DU$4,DU$5)"),"")</f>
        <v/>
      </c>
      <c r="DV232" s="568"/>
      <c r="DW2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5-3'!$D$11:$Q319,DW$4,DW$5)"),"")</f>
        <v/>
      </c>
      <c r="DX232" s="568"/>
      <c r="DY2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5-3'!$D$11:$Q319,DY$4,DY$5)"),"")</f>
        <v/>
      </c>
      <c r="DZ232" s="578"/>
      <c r="EA23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$C232, 'S-10 Топ 5-3'!$D$11:$Q319,EA$4,EA$5)"),"")</f>
        <v/>
      </c>
      <c r="EB232" s="568"/>
      <c r="EC232" s="568"/>
      <c r="ED232" s="568"/>
      <c r="EE232" s="568"/>
    </row>
    <row r="233">
      <c r="A233" s="519" t="str">
        <f t="shared" si="1"/>
        <v/>
      </c>
      <c r="B233" s="520" t="str">
        <f>'5-0 Товары'!B233</f>
        <v/>
      </c>
      <c r="C233" s="521" t="str">
        <f>'5-1 Сбор КП Закупки'!C233</f>
        <v/>
      </c>
      <c r="D233" s="521" t="str">
        <f>'5-1 Сбор КП Закупки'!D233</f>
        <v/>
      </c>
      <c r="E233" s="521" t="str">
        <f>'5-1 Сбор КП Закупки'!E233</f>
        <v/>
      </c>
      <c r="F233" s="521" t="str">
        <f>'5-1 Сбор КП Закупки'!F233</f>
        <v/>
      </c>
      <c r="G233" s="522" t="str">
        <f>'5-1 Сбор КП Закупки'!G233</f>
        <v/>
      </c>
      <c r="H233" s="522" t="str">
        <f>'5-1 Сбор КП Закупки'!H233</f>
        <v/>
      </c>
      <c r="I233" s="522" t="str">
        <f>'5-1 Сбор КП Закупки'!I233</f>
        <v/>
      </c>
      <c r="J233" s="197"/>
      <c r="K233" s="522" t="str">
        <f>'5-1 Сбор КП Закупки'!G233</f>
        <v/>
      </c>
      <c r="L233" s="523" t="str">
        <f>IF(A233="Да",'5-1 Сбор КП Закупки'!K233,)</f>
        <v/>
      </c>
      <c r="M233" s="197"/>
      <c r="N233" s="197"/>
      <c r="O233" s="197"/>
      <c r="P233" s="525" t="str">
        <f>'5-1 Сбор КП Закупки'!P233</f>
        <v/>
      </c>
      <c r="Q233" s="197"/>
      <c r="R233" s="197"/>
      <c r="S233" s="197"/>
      <c r="T233" s="197"/>
      <c r="U233" s="197"/>
      <c r="V233" s="197"/>
      <c r="W233" s="522" t="str">
        <f>'5-1 Сбор КП Закупки'!O233</f>
        <v/>
      </c>
      <c r="X233" s="197"/>
      <c r="Y233" s="197"/>
      <c r="Z233" s="197"/>
      <c r="AA233" s="197"/>
      <c r="AB233" s="197">
        <v>0.0</v>
      </c>
      <c r="AC233" s="197"/>
      <c r="AD233" s="197"/>
      <c r="AE2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5-3'!$D$11:$Q319,AE$4,AE$5)"),"")</f>
        <v/>
      </c>
      <c r="AF233" s="528"/>
      <c r="AG2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5-3'!$D$11:$Q319,AG$4,AG$5)"),"")</f>
        <v/>
      </c>
      <c r="AH233" s="527"/>
      <c r="AI2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5-3'!$D$11:$Q319,AI$4,AI$5)"),"")</f>
        <v/>
      </c>
      <c r="AJ233" s="527"/>
      <c r="AK2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5-3'!$D$11:$Q319,AK$4,AK$5)"),"")</f>
        <v/>
      </c>
      <c r="AL233" s="527"/>
      <c r="AM2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5-3'!$D$11:$Q319,AM$4,AM$5)"),"")</f>
        <v/>
      </c>
      <c r="AN233" s="529"/>
      <c r="AO23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5-3'!$D$11:$Q319,AO$4,AO$5)"),"")</f>
        <v/>
      </c>
      <c r="AP233" s="527"/>
      <c r="AQ233" s="527"/>
      <c r="AR233" s="527"/>
      <c r="AS233" s="527"/>
      <c r="AT2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5-3'!$D$11:$Q319,AT$4,AT$5)"),"")</f>
        <v/>
      </c>
      <c r="AU233" s="531"/>
      <c r="AV2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5-3'!$D$11:$Q319,AV$4,AV$5)"),"")</f>
        <v/>
      </c>
      <c r="AW233" s="530"/>
      <c r="AX2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5-3'!$D$11:$Q319,AX$4,AX$5)"),"")</f>
        <v/>
      </c>
      <c r="AY233" s="530"/>
      <c r="AZ2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5-3'!$D$11:$Q319,AZ$4,AZ$5)"),"")</f>
        <v/>
      </c>
      <c r="BA233" s="530"/>
      <c r="BB2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5-3'!$D$11:$Q319,BB$4,BB$5)"),"")</f>
        <v/>
      </c>
      <c r="BC233" s="532"/>
      <c r="BD23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5-3'!$D$11:$Q319,BD$4,BD$5)"),"")</f>
        <v/>
      </c>
      <c r="BE233" s="530"/>
      <c r="BF233" s="530"/>
      <c r="BG233" s="530"/>
      <c r="BH233" s="530"/>
      <c r="BI2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5-3'!$D$11:$Q319,BI$4,BI$5)"),"")</f>
        <v/>
      </c>
      <c r="BJ233" s="535"/>
      <c r="BK2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5-3'!$D$11:$Q319,BK$4,BK$5)"),"")</f>
        <v/>
      </c>
      <c r="BL233" s="534"/>
      <c r="BM2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5-3'!$D$11:$Q319,BM$4,BM$5)"),"")</f>
        <v/>
      </c>
      <c r="BN233" s="534"/>
      <c r="BO2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5-3'!$D$11:$Q319,BO$4,BO$5)"),"")</f>
        <v/>
      </c>
      <c r="BP233" s="534"/>
      <c r="BQ2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5-3'!$D$11:$Q319,BQ$4,BQ$5)"),"")</f>
        <v/>
      </c>
      <c r="BR233" s="536"/>
      <c r="BS23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5-3'!$D$11:$Q319,BS$4,BS$5)"),"")</f>
        <v/>
      </c>
      <c r="BT233" s="534"/>
      <c r="BU233" s="534"/>
      <c r="BV233" s="534"/>
      <c r="BW233" s="534"/>
      <c r="BX2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5-3'!$D$11:$Q319,BX$4,BX$5)"),"")</f>
        <v/>
      </c>
      <c r="BY233" s="538"/>
      <c r="BZ2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5-3'!$D$11:$Q319,BZ$4,BZ$5)"),"")</f>
        <v/>
      </c>
      <c r="CA233" s="537"/>
      <c r="CB2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5-3'!$D$11:$Q319,CB$4,CB$5)"),"")</f>
        <v/>
      </c>
      <c r="CC233" s="537"/>
      <c r="CD2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5-3'!$D$11:$Q319,CD$4,CD$5)"),"")</f>
        <v/>
      </c>
      <c r="CE233" s="537"/>
      <c r="CF2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5-3'!$D$11:$Q319,CF$4,CF$5)"),"")</f>
        <v/>
      </c>
      <c r="CG233" s="539"/>
      <c r="CH23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5-3'!$D$11:$Q319,CH$4,CH$5)"),"")</f>
        <v/>
      </c>
      <c r="CI233" s="537"/>
      <c r="CJ233" s="537"/>
      <c r="CK233" s="537"/>
      <c r="CL233" s="537"/>
      <c r="CM2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5-3'!$D$11:$Q319,CM$4,CM$5)"),"")</f>
        <v/>
      </c>
      <c r="CN233" s="541"/>
      <c r="CO2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5-3'!$D$11:$Q319,CO$4,CO$5)"),"")</f>
        <v/>
      </c>
      <c r="CP233" s="540"/>
      <c r="CQ2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5-3'!$D$11:$Q319,CQ$4,CQ$5)"),"")</f>
        <v/>
      </c>
      <c r="CR233" s="540"/>
      <c r="CS2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5-3'!$D$11:$Q319,CS$4,CS$5)"),"")</f>
        <v/>
      </c>
      <c r="CT233" s="540"/>
      <c r="CU2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5-3'!$D$11:$Q319,CU$4,CU$5)"),"")</f>
        <v/>
      </c>
      <c r="CV233" s="545"/>
      <c r="CW23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5-3'!$D$11:$Q319,CW$4,CW$5)"),"")</f>
        <v/>
      </c>
      <c r="CX233" s="540"/>
      <c r="CY233" s="540"/>
      <c r="CZ233" s="540"/>
      <c r="DA233" s="540"/>
      <c r="DB2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5-3'!$D$11:$Q319,DB$4,DB$5)"),"")</f>
        <v/>
      </c>
      <c r="DC233" s="555"/>
      <c r="DD2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5-3'!$D$11:$Q319,DD$4,DD$5)"),"")</f>
        <v/>
      </c>
      <c r="DE233" s="554"/>
      <c r="DF2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5-3'!$D$11:$Q319,DF$4,DF$5)"),"")</f>
        <v/>
      </c>
      <c r="DG233" s="554"/>
      <c r="DH2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5-3'!$D$11:$Q319,DH$4,DH$5)"),"")</f>
        <v/>
      </c>
      <c r="DI233" s="554"/>
      <c r="DJ2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5-3'!$D$11:$Q319,DJ$4,DJ$5)"),"")</f>
        <v/>
      </c>
      <c r="DK233" s="566"/>
      <c r="DL23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5-3'!$D$11:$Q319,DL$4,DL$5)"),"")</f>
        <v/>
      </c>
      <c r="DM233" s="554"/>
      <c r="DN233" s="554"/>
      <c r="DO233" s="554"/>
      <c r="DP233" s="554"/>
      <c r="DQ2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5-3'!$D$11:$Q319,DQ$4,DQ$5)"),"")</f>
        <v/>
      </c>
      <c r="DR233" s="569"/>
      <c r="DS2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5-3'!$D$11:$Q319,DS$4,DS$5)"),"")</f>
        <v/>
      </c>
      <c r="DT233" s="568"/>
      <c r="DU2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5-3'!$D$11:$Q319,DU$4,DU$5)"),"")</f>
        <v/>
      </c>
      <c r="DV233" s="568"/>
      <c r="DW2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5-3'!$D$11:$Q319,DW$4,DW$5)"),"")</f>
        <v/>
      </c>
      <c r="DX233" s="568"/>
      <c r="DY2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5-3'!$D$11:$Q319,DY$4,DY$5)"),"")</f>
        <v/>
      </c>
      <c r="DZ233" s="578"/>
      <c r="EA23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$C233, 'S-10 Топ 5-3'!$D$11:$Q319,EA$4,EA$5)"),"")</f>
        <v/>
      </c>
      <c r="EB233" s="568"/>
      <c r="EC233" s="568"/>
      <c r="ED233" s="568"/>
      <c r="EE233" s="568"/>
    </row>
    <row r="234">
      <c r="A234" s="519" t="str">
        <f t="shared" si="1"/>
        <v/>
      </c>
      <c r="B234" s="520" t="str">
        <f>'5-0 Товары'!B234</f>
        <v/>
      </c>
      <c r="C234" s="521" t="str">
        <f>'5-1 Сбор КП Закупки'!C234</f>
        <v/>
      </c>
      <c r="D234" s="521" t="str">
        <f>'5-1 Сбор КП Закупки'!D234</f>
        <v/>
      </c>
      <c r="E234" s="521" t="str">
        <f>'5-1 Сбор КП Закупки'!E234</f>
        <v/>
      </c>
      <c r="F234" s="521" t="str">
        <f>'5-1 Сбор КП Закупки'!F234</f>
        <v/>
      </c>
      <c r="G234" s="522" t="str">
        <f>'5-1 Сбор КП Закупки'!G234</f>
        <v/>
      </c>
      <c r="H234" s="522" t="str">
        <f>'5-1 Сбор КП Закупки'!H234</f>
        <v/>
      </c>
      <c r="I234" s="522" t="str">
        <f>'5-1 Сбор КП Закупки'!I234</f>
        <v/>
      </c>
      <c r="J234" s="197"/>
      <c r="K234" s="522" t="str">
        <f>'5-1 Сбор КП Закупки'!G234</f>
        <v/>
      </c>
      <c r="L234" s="523" t="str">
        <f>IF(A234="Да",'5-1 Сбор КП Закупки'!K234,)</f>
        <v/>
      </c>
      <c r="M234" s="197"/>
      <c r="N234" s="197"/>
      <c r="O234" s="197"/>
      <c r="P234" s="525" t="str">
        <f>'5-1 Сбор КП Закупки'!P234</f>
        <v/>
      </c>
      <c r="Q234" s="197"/>
      <c r="R234" s="197"/>
      <c r="S234" s="197"/>
      <c r="T234" s="197"/>
      <c r="U234" s="197"/>
      <c r="V234" s="197"/>
      <c r="W234" s="522" t="str">
        <f>'5-1 Сбор КП Закупки'!O234</f>
        <v/>
      </c>
      <c r="X234" s="197"/>
      <c r="Y234" s="197"/>
      <c r="Z234" s="197"/>
      <c r="AA234" s="197"/>
      <c r="AB234" s="197">
        <v>0.0</v>
      </c>
      <c r="AC234" s="197"/>
      <c r="AD234" s="197"/>
      <c r="AE2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5-3'!$D$11:$Q319,AE$4,AE$5)"),"")</f>
        <v/>
      </c>
      <c r="AF234" s="528"/>
      <c r="AG2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5-3'!$D$11:$Q319,AG$4,AG$5)"),"")</f>
        <v/>
      </c>
      <c r="AH234" s="527"/>
      <c r="AI2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5-3'!$D$11:$Q319,AI$4,AI$5)"),"")</f>
        <v/>
      </c>
      <c r="AJ234" s="527"/>
      <c r="AK2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5-3'!$D$11:$Q319,AK$4,AK$5)"),"")</f>
        <v/>
      </c>
      <c r="AL234" s="527"/>
      <c r="AM2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5-3'!$D$11:$Q319,AM$4,AM$5)"),"")</f>
        <v/>
      </c>
      <c r="AN234" s="529"/>
      <c r="AO23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5-3'!$D$11:$Q319,AO$4,AO$5)"),"")</f>
        <v/>
      </c>
      <c r="AP234" s="527"/>
      <c r="AQ234" s="527"/>
      <c r="AR234" s="527"/>
      <c r="AS234" s="527"/>
      <c r="AT2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5-3'!$D$11:$Q319,AT$4,AT$5)"),"")</f>
        <v/>
      </c>
      <c r="AU234" s="531"/>
      <c r="AV2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5-3'!$D$11:$Q319,AV$4,AV$5)"),"")</f>
        <v/>
      </c>
      <c r="AW234" s="530"/>
      <c r="AX2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5-3'!$D$11:$Q319,AX$4,AX$5)"),"")</f>
        <v/>
      </c>
      <c r="AY234" s="530"/>
      <c r="AZ2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5-3'!$D$11:$Q319,AZ$4,AZ$5)"),"")</f>
        <v/>
      </c>
      <c r="BA234" s="530"/>
      <c r="BB2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5-3'!$D$11:$Q319,BB$4,BB$5)"),"")</f>
        <v/>
      </c>
      <c r="BC234" s="532"/>
      <c r="BD23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5-3'!$D$11:$Q319,BD$4,BD$5)"),"")</f>
        <v/>
      </c>
      <c r="BE234" s="530"/>
      <c r="BF234" s="530"/>
      <c r="BG234" s="530"/>
      <c r="BH234" s="530"/>
      <c r="BI2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5-3'!$D$11:$Q319,BI$4,BI$5)"),"")</f>
        <v/>
      </c>
      <c r="BJ234" s="535"/>
      <c r="BK2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5-3'!$D$11:$Q319,BK$4,BK$5)"),"")</f>
        <v/>
      </c>
      <c r="BL234" s="534"/>
      <c r="BM2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5-3'!$D$11:$Q319,BM$4,BM$5)"),"")</f>
        <v/>
      </c>
      <c r="BN234" s="534"/>
      <c r="BO2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5-3'!$D$11:$Q319,BO$4,BO$5)"),"")</f>
        <v/>
      </c>
      <c r="BP234" s="534"/>
      <c r="BQ2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5-3'!$D$11:$Q319,BQ$4,BQ$5)"),"")</f>
        <v/>
      </c>
      <c r="BR234" s="536"/>
      <c r="BS23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5-3'!$D$11:$Q319,BS$4,BS$5)"),"")</f>
        <v/>
      </c>
      <c r="BT234" s="534"/>
      <c r="BU234" s="534"/>
      <c r="BV234" s="534"/>
      <c r="BW234" s="534"/>
      <c r="BX2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5-3'!$D$11:$Q319,BX$4,BX$5)"),"")</f>
        <v/>
      </c>
      <c r="BY234" s="538"/>
      <c r="BZ2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5-3'!$D$11:$Q319,BZ$4,BZ$5)"),"")</f>
        <v/>
      </c>
      <c r="CA234" s="537"/>
      <c r="CB2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5-3'!$D$11:$Q319,CB$4,CB$5)"),"")</f>
        <v/>
      </c>
      <c r="CC234" s="537"/>
      <c r="CD2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5-3'!$D$11:$Q319,CD$4,CD$5)"),"")</f>
        <v/>
      </c>
      <c r="CE234" s="537"/>
      <c r="CF2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5-3'!$D$11:$Q319,CF$4,CF$5)"),"")</f>
        <v/>
      </c>
      <c r="CG234" s="539"/>
      <c r="CH23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5-3'!$D$11:$Q319,CH$4,CH$5)"),"")</f>
        <v/>
      </c>
      <c r="CI234" s="537"/>
      <c r="CJ234" s="537"/>
      <c r="CK234" s="537"/>
      <c r="CL234" s="537"/>
      <c r="CM2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5-3'!$D$11:$Q319,CM$4,CM$5)"),"")</f>
        <v/>
      </c>
      <c r="CN234" s="541"/>
      <c r="CO2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5-3'!$D$11:$Q319,CO$4,CO$5)"),"")</f>
        <v/>
      </c>
      <c r="CP234" s="540"/>
      <c r="CQ2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5-3'!$D$11:$Q319,CQ$4,CQ$5)"),"")</f>
        <v/>
      </c>
      <c r="CR234" s="540"/>
      <c r="CS2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5-3'!$D$11:$Q319,CS$4,CS$5)"),"")</f>
        <v/>
      </c>
      <c r="CT234" s="540"/>
      <c r="CU2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5-3'!$D$11:$Q319,CU$4,CU$5)"),"")</f>
        <v/>
      </c>
      <c r="CV234" s="545"/>
      <c r="CW23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5-3'!$D$11:$Q319,CW$4,CW$5)"),"")</f>
        <v/>
      </c>
      <c r="CX234" s="540"/>
      <c r="CY234" s="540"/>
      <c r="CZ234" s="540"/>
      <c r="DA234" s="540"/>
      <c r="DB2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5-3'!$D$11:$Q319,DB$4,DB$5)"),"")</f>
        <v/>
      </c>
      <c r="DC234" s="555"/>
      <c r="DD2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5-3'!$D$11:$Q319,DD$4,DD$5)"),"")</f>
        <v/>
      </c>
      <c r="DE234" s="554"/>
      <c r="DF2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5-3'!$D$11:$Q319,DF$4,DF$5)"),"")</f>
        <v/>
      </c>
      <c r="DG234" s="554"/>
      <c r="DH2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5-3'!$D$11:$Q319,DH$4,DH$5)"),"")</f>
        <v/>
      </c>
      <c r="DI234" s="554"/>
      <c r="DJ2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5-3'!$D$11:$Q319,DJ$4,DJ$5)"),"")</f>
        <v/>
      </c>
      <c r="DK234" s="566"/>
      <c r="DL23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5-3'!$D$11:$Q319,DL$4,DL$5)"),"")</f>
        <v/>
      </c>
      <c r="DM234" s="554"/>
      <c r="DN234" s="554"/>
      <c r="DO234" s="554"/>
      <c r="DP234" s="554"/>
      <c r="DQ2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5-3'!$D$11:$Q319,DQ$4,DQ$5)"),"")</f>
        <v/>
      </c>
      <c r="DR234" s="569"/>
      <c r="DS2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5-3'!$D$11:$Q319,DS$4,DS$5)"),"")</f>
        <v/>
      </c>
      <c r="DT234" s="568"/>
      <c r="DU2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5-3'!$D$11:$Q319,DU$4,DU$5)"),"")</f>
        <v/>
      </c>
      <c r="DV234" s="568"/>
      <c r="DW2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5-3'!$D$11:$Q319,DW$4,DW$5)"),"")</f>
        <v/>
      </c>
      <c r="DX234" s="568"/>
      <c r="DY2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5-3'!$D$11:$Q319,DY$4,DY$5)"),"")</f>
        <v/>
      </c>
      <c r="DZ234" s="578"/>
      <c r="EA23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$C234, 'S-10 Топ 5-3'!$D$11:$Q319,EA$4,EA$5)"),"")</f>
        <v/>
      </c>
      <c r="EB234" s="568"/>
      <c r="EC234" s="568"/>
      <c r="ED234" s="568"/>
      <c r="EE234" s="568"/>
    </row>
    <row r="235">
      <c r="A235" s="519" t="str">
        <f t="shared" si="1"/>
        <v/>
      </c>
      <c r="B235" s="520" t="str">
        <f>'5-0 Товары'!B235</f>
        <v/>
      </c>
      <c r="C235" s="521" t="str">
        <f>'5-1 Сбор КП Закупки'!C235</f>
        <v/>
      </c>
      <c r="D235" s="521" t="str">
        <f>'5-1 Сбор КП Закупки'!D235</f>
        <v/>
      </c>
      <c r="E235" s="521" t="str">
        <f>'5-1 Сбор КП Закупки'!E235</f>
        <v/>
      </c>
      <c r="F235" s="521" t="str">
        <f>'5-1 Сбор КП Закупки'!F235</f>
        <v/>
      </c>
      <c r="G235" s="522" t="str">
        <f>'5-1 Сбор КП Закупки'!G235</f>
        <v/>
      </c>
      <c r="H235" s="522" t="str">
        <f>'5-1 Сбор КП Закупки'!H235</f>
        <v/>
      </c>
      <c r="I235" s="522" t="str">
        <f>'5-1 Сбор КП Закупки'!I235</f>
        <v/>
      </c>
      <c r="J235" s="197"/>
      <c r="K235" s="522" t="str">
        <f>'5-1 Сбор КП Закупки'!G235</f>
        <v/>
      </c>
      <c r="L235" s="523" t="str">
        <f>IF(A235="Да",'5-1 Сбор КП Закупки'!K235,)</f>
        <v/>
      </c>
      <c r="M235" s="197"/>
      <c r="N235" s="197"/>
      <c r="O235" s="197"/>
      <c r="P235" s="525" t="str">
        <f>'5-1 Сбор КП Закупки'!P235</f>
        <v/>
      </c>
      <c r="Q235" s="197"/>
      <c r="R235" s="197"/>
      <c r="S235" s="197"/>
      <c r="T235" s="197"/>
      <c r="U235" s="197"/>
      <c r="V235" s="197"/>
      <c r="W235" s="522" t="str">
        <f>'5-1 Сбор КП Закупки'!O235</f>
        <v/>
      </c>
      <c r="X235" s="197"/>
      <c r="Y235" s="197"/>
      <c r="Z235" s="197"/>
      <c r="AA235" s="197"/>
      <c r="AB235" s="197">
        <v>0.0</v>
      </c>
      <c r="AC235" s="197"/>
      <c r="AD235" s="197"/>
      <c r="AE2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5-3'!$D$11:$Q319,AE$4,AE$5)"),"")</f>
        <v/>
      </c>
      <c r="AF235" s="528"/>
      <c r="AG2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5-3'!$D$11:$Q319,AG$4,AG$5)"),"")</f>
        <v/>
      </c>
      <c r="AH235" s="527"/>
      <c r="AI2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5-3'!$D$11:$Q319,AI$4,AI$5)"),"")</f>
        <v/>
      </c>
      <c r="AJ235" s="527"/>
      <c r="AK2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5-3'!$D$11:$Q319,AK$4,AK$5)"),"")</f>
        <v/>
      </c>
      <c r="AL235" s="527"/>
      <c r="AM2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5-3'!$D$11:$Q319,AM$4,AM$5)"),"")</f>
        <v/>
      </c>
      <c r="AN235" s="529"/>
      <c r="AO23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5-3'!$D$11:$Q319,AO$4,AO$5)"),"")</f>
        <v/>
      </c>
      <c r="AP235" s="527"/>
      <c r="AQ235" s="527"/>
      <c r="AR235" s="527"/>
      <c r="AS235" s="527"/>
      <c r="AT2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5-3'!$D$11:$Q319,AT$4,AT$5)"),"")</f>
        <v/>
      </c>
      <c r="AU235" s="531"/>
      <c r="AV2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5-3'!$D$11:$Q319,AV$4,AV$5)"),"")</f>
        <v/>
      </c>
      <c r="AW235" s="530"/>
      <c r="AX2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5-3'!$D$11:$Q319,AX$4,AX$5)"),"")</f>
        <v/>
      </c>
      <c r="AY235" s="530"/>
      <c r="AZ2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5-3'!$D$11:$Q319,AZ$4,AZ$5)"),"")</f>
        <v/>
      </c>
      <c r="BA235" s="530"/>
      <c r="BB2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5-3'!$D$11:$Q319,BB$4,BB$5)"),"")</f>
        <v/>
      </c>
      <c r="BC235" s="532"/>
      <c r="BD23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5-3'!$D$11:$Q319,BD$4,BD$5)"),"")</f>
        <v/>
      </c>
      <c r="BE235" s="530"/>
      <c r="BF235" s="530"/>
      <c r="BG235" s="530"/>
      <c r="BH235" s="530"/>
      <c r="BI2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5-3'!$D$11:$Q319,BI$4,BI$5)"),"")</f>
        <v/>
      </c>
      <c r="BJ235" s="535"/>
      <c r="BK2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5-3'!$D$11:$Q319,BK$4,BK$5)"),"")</f>
        <v/>
      </c>
      <c r="BL235" s="534"/>
      <c r="BM2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5-3'!$D$11:$Q319,BM$4,BM$5)"),"")</f>
        <v/>
      </c>
      <c r="BN235" s="534"/>
      <c r="BO2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5-3'!$D$11:$Q319,BO$4,BO$5)"),"")</f>
        <v/>
      </c>
      <c r="BP235" s="534"/>
      <c r="BQ2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5-3'!$D$11:$Q319,BQ$4,BQ$5)"),"")</f>
        <v/>
      </c>
      <c r="BR235" s="536"/>
      <c r="BS23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5-3'!$D$11:$Q319,BS$4,BS$5)"),"")</f>
        <v/>
      </c>
      <c r="BT235" s="534"/>
      <c r="BU235" s="534"/>
      <c r="BV235" s="534"/>
      <c r="BW235" s="534"/>
      <c r="BX2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5-3'!$D$11:$Q319,BX$4,BX$5)"),"")</f>
        <v/>
      </c>
      <c r="BY235" s="538"/>
      <c r="BZ2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5-3'!$D$11:$Q319,BZ$4,BZ$5)"),"")</f>
        <v/>
      </c>
      <c r="CA235" s="537"/>
      <c r="CB2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5-3'!$D$11:$Q319,CB$4,CB$5)"),"")</f>
        <v/>
      </c>
      <c r="CC235" s="537"/>
      <c r="CD2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5-3'!$D$11:$Q319,CD$4,CD$5)"),"")</f>
        <v/>
      </c>
      <c r="CE235" s="537"/>
      <c r="CF2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5-3'!$D$11:$Q319,CF$4,CF$5)"),"")</f>
        <v/>
      </c>
      <c r="CG235" s="539"/>
      <c r="CH23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5-3'!$D$11:$Q319,CH$4,CH$5)"),"")</f>
        <v/>
      </c>
      <c r="CI235" s="537"/>
      <c r="CJ235" s="537"/>
      <c r="CK235" s="537"/>
      <c r="CL235" s="537"/>
      <c r="CM2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5-3'!$D$11:$Q319,CM$4,CM$5)"),"")</f>
        <v/>
      </c>
      <c r="CN235" s="541"/>
      <c r="CO2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5-3'!$D$11:$Q319,CO$4,CO$5)"),"")</f>
        <v/>
      </c>
      <c r="CP235" s="540"/>
      <c r="CQ2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5-3'!$D$11:$Q319,CQ$4,CQ$5)"),"")</f>
        <v/>
      </c>
      <c r="CR235" s="540"/>
      <c r="CS2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5-3'!$D$11:$Q319,CS$4,CS$5)"),"")</f>
        <v/>
      </c>
      <c r="CT235" s="540"/>
      <c r="CU2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5-3'!$D$11:$Q319,CU$4,CU$5)"),"")</f>
        <v/>
      </c>
      <c r="CV235" s="545"/>
      <c r="CW23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5-3'!$D$11:$Q319,CW$4,CW$5)"),"")</f>
        <v/>
      </c>
      <c r="CX235" s="540"/>
      <c r="CY235" s="540"/>
      <c r="CZ235" s="540"/>
      <c r="DA235" s="540"/>
      <c r="DB2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5-3'!$D$11:$Q319,DB$4,DB$5)"),"")</f>
        <v/>
      </c>
      <c r="DC235" s="555"/>
      <c r="DD2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5-3'!$D$11:$Q319,DD$4,DD$5)"),"")</f>
        <v/>
      </c>
      <c r="DE235" s="554"/>
      <c r="DF2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5-3'!$D$11:$Q319,DF$4,DF$5)"),"")</f>
        <v/>
      </c>
      <c r="DG235" s="554"/>
      <c r="DH2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5-3'!$D$11:$Q319,DH$4,DH$5)"),"")</f>
        <v/>
      </c>
      <c r="DI235" s="554"/>
      <c r="DJ2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5-3'!$D$11:$Q319,DJ$4,DJ$5)"),"")</f>
        <v/>
      </c>
      <c r="DK235" s="566"/>
      <c r="DL23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5-3'!$D$11:$Q319,DL$4,DL$5)"),"")</f>
        <v/>
      </c>
      <c r="DM235" s="554"/>
      <c r="DN235" s="554"/>
      <c r="DO235" s="554"/>
      <c r="DP235" s="554"/>
      <c r="DQ2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5-3'!$D$11:$Q319,DQ$4,DQ$5)"),"")</f>
        <v/>
      </c>
      <c r="DR235" s="569"/>
      <c r="DS2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5-3'!$D$11:$Q319,DS$4,DS$5)"),"")</f>
        <v/>
      </c>
      <c r="DT235" s="568"/>
      <c r="DU2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5-3'!$D$11:$Q319,DU$4,DU$5)"),"")</f>
        <v/>
      </c>
      <c r="DV235" s="568"/>
      <c r="DW2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5-3'!$D$11:$Q319,DW$4,DW$5)"),"")</f>
        <v/>
      </c>
      <c r="DX235" s="568"/>
      <c r="DY2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5-3'!$D$11:$Q319,DY$4,DY$5)"),"")</f>
        <v/>
      </c>
      <c r="DZ235" s="578"/>
      <c r="EA23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$C235, 'S-10 Топ 5-3'!$D$11:$Q319,EA$4,EA$5)"),"")</f>
        <v/>
      </c>
      <c r="EB235" s="568"/>
      <c r="EC235" s="568"/>
      <c r="ED235" s="568"/>
      <c r="EE235" s="568"/>
    </row>
    <row r="236">
      <c r="A236" s="519" t="str">
        <f t="shared" si="1"/>
        <v/>
      </c>
      <c r="B236" s="520" t="str">
        <f>'5-0 Товары'!B236</f>
        <v/>
      </c>
      <c r="C236" s="521" t="str">
        <f>'5-1 Сбор КП Закупки'!C236</f>
        <v/>
      </c>
      <c r="D236" s="521" t="str">
        <f>'5-1 Сбор КП Закупки'!D236</f>
        <v/>
      </c>
      <c r="E236" s="521" t="str">
        <f>'5-1 Сбор КП Закупки'!E236</f>
        <v/>
      </c>
      <c r="F236" s="521" t="str">
        <f>'5-1 Сбор КП Закупки'!F236</f>
        <v/>
      </c>
      <c r="G236" s="522" t="str">
        <f>'5-1 Сбор КП Закупки'!G236</f>
        <v/>
      </c>
      <c r="H236" s="522" t="str">
        <f>'5-1 Сбор КП Закупки'!H236</f>
        <v/>
      </c>
      <c r="I236" s="522" t="str">
        <f>'5-1 Сбор КП Закупки'!I236</f>
        <v/>
      </c>
      <c r="J236" s="197"/>
      <c r="K236" s="522" t="str">
        <f>'5-1 Сбор КП Закупки'!G236</f>
        <v/>
      </c>
      <c r="L236" s="523" t="str">
        <f>IF(A236="Да",'5-1 Сбор КП Закупки'!K236,)</f>
        <v/>
      </c>
      <c r="M236" s="197"/>
      <c r="N236" s="197"/>
      <c r="O236" s="197"/>
      <c r="P236" s="525" t="str">
        <f>'5-1 Сбор КП Закупки'!P236</f>
        <v/>
      </c>
      <c r="Q236" s="197"/>
      <c r="R236" s="197"/>
      <c r="S236" s="197"/>
      <c r="T236" s="197"/>
      <c r="U236" s="197"/>
      <c r="V236" s="197"/>
      <c r="W236" s="522" t="str">
        <f>'5-1 Сбор КП Закупки'!O236</f>
        <v/>
      </c>
      <c r="X236" s="197"/>
      <c r="Y236" s="197"/>
      <c r="Z236" s="197"/>
      <c r="AA236" s="197"/>
      <c r="AB236" s="197">
        <v>0.0</v>
      </c>
      <c r="AC236" s="197"/>
      <c r="AD236" s="197"/>
      <c r="AE2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5-3'!$D$11:$Q319,AE$4,AE$5)"),"")</f>
        <v/>
      </c>
      <c r="AF236" s="528"/>
      <c r="AG2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5-3'!$D$11:$Q319,AG$4,AG$5)"),"")</f>
        <v/>
      </c>
      <c r="AH236" s="527"/>
      <c r="AI2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5-3'!$D$11:$Q319,AI$4,AI$5)"),"")</f>
        <v/>
      </c>
      <c r="AJ236" s="527"/>
      <c r="AK2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5-3'!$D$11:$Q319,AK$4,AK$5)"),"")</f>
        <v/>
      </c>
      <c r="AL236" s="527"/>
      <c r="AM2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5-3'!$D$11:$Q319,AM$4,AM$5)"),"")</f>
        <v/>
      </c>
      <c r="AN236" s="529"/>
      <c r="AO23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5-3'!$D$11:$Q319,AO$4,AO$5)"),"")</f>
        <v/>
      </c>
      <c r="AP236" s="527"/>
      <c r="AQ236" s="527"/>
      <c r="AR236" s="527"/>
      <c r="AS236" s="527"/>
      <c r="AT2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5-3'!$D$11:$Q319,AT$4,AT$5)"),"")</f>
        <v/>
      </c>
      <c r="AU236" s="531"/>
      <c r="AV2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5-3'!$D$11:$Q319,AV$4,AV$5)"),"")</f>
        <v/>
      </c>
      <c r="AW236" s="530"/>
      <c r="AX2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5-3'!$D$11:$Q319,AX$4,AX$5)"),"")</f>
        <v/>
      </c>
      <c r="AY236" s="530"/>
      <c r="AZ2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5-3'!$D$11:$Q319,AZ$4,AZ$5)"),"")</f>
        <v/>
      </c>
      <c r="BA236" s="530"/>
      <c r="BB2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5-3'!$D$11:$Q319,BB$4,BB$5)"),"")</f>
        <v/>
      </c>
      <c r="BC236" s="532"/>
      <c r="BD23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5-3'!$D$11:$Q319,BD$4,BD$5)"),"")</f>
        <v/>
      </c>
      <c r="BE236" s="530"/>
      <c r="BF236" s="530"/>
      <c r="BG236" s="530"/>
      <c r="BH236" s="530"/>
      <c r="BI2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5-3'!$D$11:$Q319,BI$4,BI$5)"),"")</f>
        <v/>
      </c>
      <c r="BJ236" s="535"/>
      <c r="BK2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5-3'!$D$11:$Q319,BK$4,BK$5)"),"")</f>
        <v/>
      </c>
      <c r="BL236" s="534"/>
      <c r="BM2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5-3'!$D$11:$Q319,BM$4,BM$5)"),"")</f>
        <v/>
      </c>
      <c r="BN236" s="534"/>
      <c r="BO2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5-3'!$D$11:$Q319,BO$4,BO$5)"),"")</f>
        <v/>
      </c>
      <c r="BP236" s="534"/>
      <c r="BQ2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5-3'!$D$11:$Q319,BQ$4,BQ$5)"),"")</f>
        <v/>
      </c>
      <c r="BR236" s="536"/>
      <c r="BS23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5-3'!$D$11:$Q319,BS$4,BS$5)"),"")</f>
        <v/>
      </c>
      <c r="BT236" s="534"/>
      <c r="BU236" s="534"/>
      <c r="BV236" s="534"/>
      <c r="BW236" s="534"/>
      <c r="BX2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5-3'!$D$11:$Q319,BX$4,BX$5)"),"")</f>
        <v/>
      </c>
      <c r="BY236" s="538"/>
      <c r="BZ2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5-3'!$D$11:$Q319,BZ$4,BZ$5)"),"")</f>
        <v/>
      </c>
      <c r="CA236" s="537"/>
      <c r="CB2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5-3'!$D$11:$Q319,CB$4,CB$5)"),"")</f>
        <v/>
      </c>
      <c r="CC236" s="537"/>
      <c r="CD2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5-3'!$D$11:$Q319,CD$4,CD$5)"),"")</f>
        <v/>
      </c>
      <c r="CE236" s="537"/>
      <c r="CF2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5-3'!$D$11:$Q319,CF$4,CF$5)"),"")</f>
        <v/>
      </c>
      <c r="CG236" s="539"/>
      <c r="CH23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5-3'!$D$11:$Q319,CH$4,CH$5)"),"")</f>
        <v/>
      </c>
      <c r="CI236" s="537"/>
      <c r="CJ236" s="537"/>
      <c r="CK236" s="537"/>
      <c r="CL236" s="537"/>
      <c r="CM2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5-3'!$D$11:$Q319,CM$4,CM$5)"),"")</f>
        <v/>
      </c>
      <c r="CN236" s="541"/>
      <c r="CO2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5-3'!$D$11:$Q319,CO$4,CO$5)"),"")</f>
        <v/>
      </c>
      <c r="CP236" s="540"/>
      <c r="CQ2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5-3'!$D$11:$Q319,CQ$4,CQ$5)"),"")</f>
        <v/>
      </c>
      <c r="CR236" s="540"/>
      <c r="CS2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5-3'!$D$11:$Q319,CS$4,CS$5)"),"")</f>
        <v/>
      </c>
      <c r="CT236" s="540"/>
      <c r="CU2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5-3'!$D$11:$Q319,CU$4,CU$5)"),"")</f>
        <v/>
      </c>
      <c r="CV236" s="545"/>
      <c r="CW23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5-3'!$D$11:$Q319,CW$4,CW$5)"),"")</f>
        <v/>
      </c>
      <c r="CX236" s="540"/>
      <c r="CY236" s="540"/>
      <c r="CZ236" s="540"/>
      <c r="DA236" s="540"/>
      <c r="DB2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5-3'!$D$11:$Q319,DB$4,DB$5)"),"")</f>
        <v/>
      </c>
      <c r="DC236" s="555"/>
      <c r="DD2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5-3'!$D$11:$Q319,DD$4,DD$5)"),"")</f>
        <v/>
      </c>
      <c r="DE236" s="554"/>
      <c r="DF2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5-3'!$D$11:$Q319,DF$4,DF$5)"),"")</f>
        <v/>
      </c>
      <c r="DG236" s="554"/>
      <c r="DH2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5-3'!$D$11:$Q319,DH$4,DH$5)"),"")</f>
        <v/>
      </c>
      <c r="DI236" s="554"/>
      <c r="DJ2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5-3'!$D$11:$Q319,DJ$4,DJ$5)"),"")</f>
        <v/>
      </c>
      <c r="DK236" s="566"/>
      <c r="DL23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5-3'!$D$11:$Q319,DL$4,DL$5)"),"")</f>
        <v/>
      </c>
      <c r="DM236" s="554"/>
      <c r="DN236" s="554"/>
      <c r="DO236" s="554"/>
      <c r="DP236" s="554"/>
      <c r="DQ2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5-3'!$D$11:$Q319,DQ$4,DQ$5)"),"")</f>
        <v/>
      </c>
      <c r="DR236" s="569"/>
      <c r="DS2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5-3'!$D$11:$Q319,DS$4,DS$5)"),"")</f>
        <v/>
      </c>
      <c r="DT236" s="568"/>
      <c r="DU2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5-3'!$D$11:$Q319,DU$4,DU$5)"),"")</f>
        <v/>
      </c>
      <c r="DV236" s="568"/>
      <c r="DW2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5-3'!$D$11:$Q319,DW$4,DW$5)"),"")</f>
        <v/>
      </c>
      <c r="DX236" s="568"/>
      <c r="DY2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5-3'!$D$11:$Q319,DY$4,DY$5)"),"")</f>
        <v/>
      </c>
      <c r="DZ236" s="578"/>
      <c r="EA23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$C236, 'S-10 Топ 5-3'!$D$11:$Q319,EA$4,EA$5)"),"")</f>
        <v/>
      </c>
      <c r="EB236" s="568"/>
      <c r="EC236" s="568"/>
      <c r="ED236" s="568"/>
      <c r="EE236" s="568"/>
    </row>
    <row r="237">
      <c r="A237" s="519" t="str">
        <f t="shared" si="1"/>
        <v/>
      </c>
      <c r="B237" s="520" t="str">
        <f>'5-0 Товары'!B237</f>
        <v/>
      </c>
      <c r="C237" s="521" t="str">
        <f>'5-1 Сбор КП Закупки'!C237</f>
        <v/>
      </c>
      <c r="D237" s="521" t="str">
        <f>'5-1 Сбор КП Закупки'!D237</f>
        <v/>
      </c>
      <c r="E237" s="521" t="str">
        <f>'5-1 Сбор КП Закупки'!E237</f>
        <v/>
      </c>
      <c r="F237" s="521" t="str">
        <f>'5-1 Сбор КП Закупки'!F237</f>
        <v/>
      </c>
      <c r="G237" s="522" t="str">
        <f>'5-1 Сбор КП Закупки'!G237</f>
        <v/>
      </c>
      <c r="H237" s="522" t="str">
        <f>'5-1 Сбор КП Закупки'!H237</f>
        <v/>
      </c>
      <c r="I237" s="522" t="str">
        <f>'5-1 Сбор КП Закупки'!I237</f>
        <v/>
      </c>
      <c r="J237" s="197"/>
      <c r="K237" s="522" t="str">
        <f>'5-1 Сбор КП Закупки'!G237</f>
        <v/>
      </c>
      <c r="L237" s="523" t="str">
        <f>IF(A237="Да",'5-1 Сбор КП Закупки'!K237,)</f>
        <v/>
      </c>
      <c r="M237" s="197"/>
      <c r="N237" s="197"/>
      <c r="O237" s="197"/>
      <c r="P237" s="525" t="str">
        <f>'5-1 Сбор КП Закупки'!P237</f>
        <v/>
      </c>
      <c r="Q237" s="197"/>
      <c r="R237" s="197"/>
      <c r="S237" s="197"/>
      <c r="T237" s="197"/>
      <c r="U237" s="197"/>
      <c r="V237" s="197"/>
      <c r="W237" s="522" t="str">
        <f>'5-1 Сбор КП Закупки'!O237</f>
        <v/>
      </c>
      <c r="X237" s="197"/>
      <c r="Y237" s="197"/>
      <c r="Z237" s="197"/>
      <c r="AA237" s="197"/>
      <c r="AB237" s="197">
        <v>0.0</v>
      </c>
      <c r="AC237" s="197"/>
      <c r="AD237" s="197"/>
      <c r="AE2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5-3'!$D$11:$Q319,AE$4,AE$5)"),"")</f>
        <v/>
      </c>
      <c r="AF237" s="528"/>
      <c r="AG2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5-3'!$D$11:$Q319,AG$4,AG$5)"),"")</f>
        <v/>
      </c>
      <c r="AH237" s="527"/>
      <c r="AI2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5-3'!$D$11:$Q319,AI$4,AI$5)"),"")</f>
        <v/>
      </c>
      <c r="AJ237" s="527"/>
      <c r="AK2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5-3'!$D$11:$Q319,AK$4,AK$5)"),"")</f>
        <v/>
      </c>
      <c r="AL237" s="527"/>
      <c r="AM2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5-3'!$D$11:$Q319,AM$4,AM$5)"),"")</f>
        <v/>
      </c>
      <c r="AN237" s="529"/>
      <c r="AO23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5-3'!$D$11:$Q319,AO$4,AO$5)"),"")</f>
        <v/>
      </c>
      <c r="AP237" s="527"/>
      <c r="AQ237" s="527"/>
      <c r="AR237" s="527"/>
      <c r="AS237" s="527"/>
      <c r="AT2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5-3'!$D$11:$Q319,AT$4,AT$5)"),"")</f>
        <v/>
      </c>
      <c r="AU237" s="531"/>
      <c r="AV2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5-3'!$D$11:$Q319,AV$4,AV$5)"),"")</f>
        <v/>
      </c>
      <c r="AW237" s="530"/>
      <c r="AX2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5-3'!$D$11:$Q319,AX$4,AX$5)"),"")</f>
        <v/>
      </c>
      <c r="AY237" s="530"/>
      <c r="AZ2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5-3'!$D$11:$Q319,AZ$4,AZ$5)"),"")</f>
        <v/>
      </c>
      <c r="BA237" s="530"/>
      <c r="BB2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5-3'!$D$11:$Q319,BB$4,BB$5)"),"")</f>
        <v/>
      </c>
      <c r="BC237" s="532"/>
      <c r="BD23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5-3'!$D$11:$Q319,BD$4,BD$5)"),"")</f>
        <v/>
      </c>
      <c r="BE237" s="530"/>
      <c r="BF237" s="530"/>
      <c r="BG237" s="530"/>
      <c r="BH237" s="530"/>
      <c r="BI2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5-3'!$D$11:$Q319,BI$4,BI$5)"),"")</f>
        <v/>
      </c>
      <c r="BJ237" s="535"/>
      <c r="BK2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5-3'!$D$11:$Q319,BK$4,BK$5)"),"")</f>
        <v/>
      </c>
      <c r="BL237" s="534"/>
      <c r="BM2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5-3'!$D$11:$Q319,BM$4,BM$5)"),"")</f>
        <v/>
      </c>
      <c r="BN237" s="534"/>
      <c r="BO2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5-3'!$D$11:$Q319,BO$4,BO$5)"),"")</f>
        <v/>
      </c>
      <c r="BP237" s="534"/>
      <c r="BQ2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5-3'!$D$11:$Q319,BQ$4,BQ$5)"),"")</f>
        <v/>
      </c>
      <c r="BR237" s="536"/>
      <c r="BS23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5-3'!$D$11:$Q319,BS$4,BS$5)"),"")</f>
        <v/>
      </c>
      <c r="BT237" s="534"/>
      <c r="BU237" s="534"/>
      <c r="BV237" s="534"/>
      <c r="BW237" s="534"/>
      <c r="BX2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5-3'!$D$11:$Q319,BX$4,BX$5)"),"")</f>
        <v/>
      </c>
      <c r="BY237" s="538"/>
      <c r="BZ2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5-3'!$D$11:$Q319,BZ$4,BZ$5)"),"")</f>
        <v/>
      </c>
      <c r="CA237" s="537"/>
      <c r="CB2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5-3'!$D$11:$Q319,CB$4,CB$5)"),"")</f>
        <v/>
      </c>
      <c r="CC237" s="537"/>
      <c r="CD2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5-3'!$D$11:$Q319,CD$4,CD$5)"),"")</f>
        <v/>
      </c>
      <c r="CE237" s="537"/>
      <c r="CF2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5-3'!$D$11:$Q319,CF$4,CF$5)"),"")</f>
        <v/>
      </c>
      <c r="CG237" s="539"/>
      <c r="CH23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5-3'!$D$11:$Q319,CH$4,CH$5)"),"")</f>
        <v/>
      </c>
      <c r="CI237" s="537"/>
      <c r="CJ237" s="537"/>
      <c r="CK237" s="537"/>
      <c r="CL237" s="537"/>
      <c r="CM2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5-3'!$D$11:$Q319,CM$4,CM$5)"),"")</f>
        <v/>
      </c>
      <c r="CN237" s="541"/>
      <c r="CO2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5-3'!$D$11:$Q319,CO$4,CO$5)"),"")</f>
        <v/>
      </c>
      <c r="CP237" s="540"/>
      <c r="CQ2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5-3'!$D$11:$Q319,CQ$4,CQ$5)"),"")</f>
        <v/>
      </c>
      <c r="CR237" s="540"/>
      <c r="CS2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5-3'!$D$11:$Q319,CS$4,CS$5)"),"")</f>
        <v/>
      </c>
      <c r="CT237" s="540"/>
      <c r="CU2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5-3'!$D$11:$Q319,CU$4,CU$5)"),"")</f>
        <v/>
      </c>
      <c r="CV237" s="545"/>
      <c r="CW23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5-3'!$D$11:$Q319,CW$4,CW$5)"),"")</f>
        <v/>
      </c>
      <c r="CX237" s="540"/>
      <c r="CY237" s="540"/>
      <c r="CZ237" s="540"/>
      <c r="DA237" s="540"/>
      <c r="DB2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5-3'!$D$11:$Q319,DB$4,DB$5)"),"")</f>
        <v/>
      </c>
      <c r="DC237" s="555"/>
      <c r="DD2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5-3'!$D$11:$Q319,DD$4,DD$5)"),"")</f>
        <v/>
      </c>
      <c r="DE237" s="554"/>
      <c r="DF2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5-3'!$D$11:$Q319,DF$4,DF$5)"),"")</f>
        <v/>
      </c>
      <c r="DG237" s="554"/>
      <c r="DH2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5-3'!$D$11:$Q319,DH$4,DH$5)"),"")</f>
        <v/>
      </c>
      <c r="DI237" s="554"/>
      <c r="DJ2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5-3'!$D$11:$Q319,DJ$4,DJ$5)"),"")</f>
        <v/>
      </c>
      <c r="DK237" s="566"/>
      <c r="DL23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5-3'!$D$11:$Q319,DL$4,DL$5)"),"")</f>
        <v/>
      </c>
      <c r="DM237" s="554"/>
      <c r="DN237" s="554"/>
      <c r="DO237" s="554"/>
      <c r="DP237" s="554"/>
      <c r="DQ2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5-3'!$D$11:$Q319,DQ$4,DQ$5)"),"")</f>
        <v/>
      </c>
      <c r="DR237" s="569"/>
      <c r="DS2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5-3'!$D$11:$Q319,DS$4,DS$5)"),"")</f>
        <v/>
      </c>
      <c r="DT237" s="568"/>
      <c r="DU2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5-3'!$D$11:$Q319,DU$4,DU$5)"),"")</f>
        <v/>
      </c>
      <c r="DV237" s="568"/>
      <c r="DW2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5-3'!$D$11:$Q319,DW$4,DW$5)"),"")</f>
        <v/>
      </c>
      <c r="DX237" s="568"/>
      <c r="DY2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5-3'!$D$11:$Q319,DY$4,DY$5)"),"")</f>
        <v/>
      </c>
      <c r="DZ237" s="578"/>
      <c r="EA23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$C237, 'S-10 Топ 5-3'!$D$11:$Q319,EA$4,EA$5)"),"")</f>
        <v/>
      </c>
      <c r="EB237" s="568"/>
      <c r="EC237" s="568"/>
      <c r="ED237" s="568"/>
      <c r="EE237" s="568"/>
    </row>
    <row r="238">
      <c r="A238" s="519" t="str">
        <f t="shared" si="1"/>
        <v/>
      </c>
      <c r="B238" s="520" t="str">
        <f>'5-0 Товары'!B238</f>
        <v/>
      </c>
      <c r="C238" s="521" t="str">
        <f>'5-1 Сбор КП Закупки'!C238</f>
        <v/>
      </c>
      <c r="D238" s="521" t="str">
        <f>'5-1 Сбор КП Закупки'!D238</f>
        <v/>
      </c>
      <c r="E238" s="521" t="str">
        <f>'5-1 Сбор КП Закупки'!E238</f>
        <v/>
      </c>
      <c r="F238" s="521" t="str">
        <f>'5-1 Сбор КП Закупки'!F238</f>
        <v/>
      </c>
      <c r="G238" s="522" t="str">
        <f>'5-1 Сбор КП Закупки'!G238</f>
        <v/>
      </c>
      <c r="H238" s="522" t="str">
        <f>'5-1 Сбор КП Закупки'!H238</f>
        <v/>
      </c>
      <c r="I238" s="522" t="str">
        <f>'5-1 Сбор КП Закупки'!I238</f>
        <v/>
      </c>
      <c r="J238" s="197"/>
      <c r="K238" s="522" t="str">
        <f>'5-1 Сбор КП Закупки'!G238</f>
        <v/>
      </c>
      <c r="L238" s="523" t="str">
        <f>IF(A238="Да",'5-1 Сбор КП Закупки'!K238,)</f>
        <v/>
      </c>
      <c r="M238" s="197"/>
      <c r="N238" s="197"/>
      <c r="O238" s="197"/>
      <c r="P238" s="525" t="str">
        <f>'5-1 Сбор КП Закупки'!P238</f>
        <v/>
      </c>
      <c r="Q238" s="197"/>
      <c r="R238" s="197"/>
      <c r="S238" s="197"/>
      <c r="T238" s="197"/>
      <c r="U238" s="197"/>
      <c r="V238" s="197"/>
      <c r="W238" s="522" t="str">
        <f>'5-1 Сбор КП Закупки'!O238</f>
        <v/>
      </c>
      <c r="X238" s="197"/>
      <c r="Y238" s="197"/>
      <c r="Z238" s="197"/>
      <c r="AA238" s="197"/>
      <c r="AB238" s="197">
        <v>0.0</v>
      </c>
      <c r="AC238" s="197"/>
      <c r="AD238" s="197"/>
      <c r="AE2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5-3'!$D$11:$Q319,AE$4,AE$5)"),"")</f>
        <v/>
      </c>
      <c r="AF238" s="528"/>
      <c r="AG2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5-3'!$D$11:$Q319,AG$4,AG$5)"),"")</f>
        <v/>
      </c>
      <c r="AH238" s="527"/>
      <c r="AI2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5-3'!$D$11:$Q319,AI$4,AI$5)"),"")</f>
        <v/>
      </c>
      <c r="AJ238" s="527"/>
      <c r="AK2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5-3'!$D$11:$Q319,AK$4,AK$5)"),"")</f>
        <v/>
      </c>
      <c r="AL238" s="527"/>
      <c r="AM2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5-3'!$D$11:$Q319,AM$4,AM$5)"),"")</f>
        <v/>
      </c>
      <c r="AN238" s="529"/>
      <c r="AO23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5-3'!$D$11:$Q319,AO$4,AO$5)"),"")</f>
        <v/>
      </c>
      <c r="AP238" s="527"/>
      <c r="AQ238" s="527"/>
      <c r="AR238" s="527"/>
      <c r="AS238" s="527"/>
      <c r="AT2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5-3'!$D$11:$Q319,AT$4,AT$5)"),"")</f>
        <v/>
      </c>
      <c r="AU238" s="531"/>
      <c r="AV2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5-3'!$D$11:$Q319,AV$4,AV$5)"),"")</f>
        <v/>
      </c>
      <c r="AW238" s="530"/>
      <c r="AX2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5-3'!$D$11:$Q319,AX$4,AX$5)"),"")</f>
        <v/>
      </c>
      <c r="AY238" s="530"/>
      <c r="AZ2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5-3'!$D$11:$Q319,AZ$4,AZ$5)"),"")</f>
        <v/>
      </c>
      <c r="BA238" s="530"/>
      <c r="BB2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5-3'!$D$11:$Q319,BB$4,BB$5)"),"")</f>
        <v/>
      </c>
      <c r="BC238" s="532"/>
      <c r="BD23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5-3'!$D$11:$Q319,BD$4,BD$5)"),"")</f>
        <v/>
      </c>
      <c r="BE238" s="530"/>
      <c r="BF238" s="530"/>
      <c r="BG238" s="530"/>
      <c r="BH238" s="530"/>
      <c r="BI2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5-3'!$D$11:$Q319,BI$4,BI$5)"),"")</f>
        <v/>
      </c>
      <c r="BJ238" s="535"/>
      <c r="BK2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5-3'!$D$11:$Q319,BK$4,BK$5)"),"")</f>
        <v/>
      </c>
      <c r="BL238" s="534"/>
      <c r="BM2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5-3'!$D$11:$Q319,BM$4,BM$5)"),"")</f>
        <v/>
      </c>
      <c r="BN238" s="534"/>
      <c r="BO2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5-3'!$D$11:$Q319,BO$4,BO$5)"),"")</f>
        <v/>
      </c>
      <c r="BP238" s="534"/>
      <c r="BQ2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5-3'!$D$11:$Q319,BQ$4,BQ$5)"),"")</f>
        <v/>
      </c>
      <c r="BR238" s="536"/>
      <c r="BS23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5-3'!$D$11:$Q319,BS$4,BS$5)"),"")</f>
        <v/>
      </c>
      <c r="BT238" s="534"/>
      <c r="BU238" s="534"/>
      <c r="BV238" s="534"/>
      <c r="BW238" s="534"/>
      <c r="BX2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5-3'!$D$11:$Q319,BX$4,BX$5)"),"")</f>
        <v/>
      </c>
      <c r="BY238" s="538"/>
      <c r="BZ2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5-3'!$D$11:$Q319,BZ$4,BZ$5)"),"")</f>
        <v/>
      </c>
      <c r="CA238" s="537"/>
      <c r="CB2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5-3'!$D$11:$Q319,CB$4,CB$5)"),"")</f>
        <v/>
      </c>
      <c r="CC238" s="537"/>
      <c r="CD2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5-3'!$D$11:$Q319,CD$4,CD$5)"),"")</f>
        <v/>
      </c>
      <c r="CE238" s="537"/>
      <c r="CF2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5-3'!$D$11:$Q319,CF$4,CF$5)"),"")</f>
        <v/>
      </c>
      <c r="CG238" s="539"/>
      <c r="CH23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5-3'!$D$11:$Q319,CH$4,CH$5)"),"")</f>
        <v/>
      </c>
      <c r="CI238" s="537"/>
      <c r="CJ238" s="537"/>
      <c r="CK238" s="537"/>
      <c r="CL238" s="537"/>
      <c r="CM2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5-3'!$D$11:$Q319,CM$4,CM$5)"),"")</f>
        <v/>
      </c>
      <c r="CN238" s="541"/>
      <c r="CO2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5-3'!$D$11:$Q319,CO$4,CO$5)"),"")</f>
        <v/>
      </c>
      <c r="CP238" s="540"/>
      <c r="CQ2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5-3'!$D$11:$Q319,CQ$4,CQ$5)"),"")</f>
        <v/>
      </c>
      <c r="CR238" s="540"/>
      <c r="CS2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5-3'!$D$11:$Q319,CS$4,CS$5)"),"")</f>
        <v/>
      </c>
      <c r="CT238" s="540"/>
      <c r="CU2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5-3'!$D$11:$Q319,CU$4,CU$5)"),"")</f>
        <v/>
      </c>
      <c r="CV238" s="545"/>
      <c r="CW23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5-3'!$D$11:$Q319,CW$4,CW$5)"),"")</f>
        <v/>
      </c>
      <c r="CX238" s="540"/>
      <c r="CY238" s="540"/>
      <c r="CZ238" s="540"/>
      <c r="DA238" s="540"/>
      <c r="DB2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5-3'!$D$11:$Q319,DB$4,DB$5)"),"")</f>
        <v/>
      </c>
      <c r="DC238" s="555"/>
      <c r="DD2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5-3'!$D$11:$Q319,DD$4,DD$5)"),"")</f>
        <v/>
      </c>
      <c r="DE238" s="554"/>
      <c r="DF2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5-3'!$D$11:$Q319,DF$4,DF$5)"),"")</f>
        <v/>
      </c>
      <c r="DG238" s="554"/>
      <c r="DH2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5-3'!$D$11:$Q319,DH$4,DH$5)"),"")</f>
        <v/>
      </c>
      <c r="DI238" s="554"/>
      <c r="DJ2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5-3'!$D$11:$Q319,DJ$4,DJ$5)"),"")</f>
        <v/>
      </c>
      <c r="DK238" s="566"/>
      <c r="DL23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5-3'!$D$11:$Q319,DL$4,DL$5)"),"")</f>
        <v/>
      </c>
      <c r="DM238" s="554"/>
      <c r="DN238" s="554"/>
      <c r="DO238" s="554"/>
      <c r="DP238" s="554"/>
      <c r="DQ2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5-3'!$D$11:$Q319,DQ$4,DQ$5)"),"")</f>
        <v/>
      </c>
      <c r="DR238" s="569"/>
      <c r="DS2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5-3'!$D$11:$Q319,DS$4,DS$5)"),"")</f>
        <v/>
      </c>
      <c r="DT238" s="568"/>
      <c r="DU2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5-3'!$D$11:$Q319,DU$4,DU$5)"),"")</f>
        <v/>
      </c>
      <c r="DV238" s="568"/>
      <c r="DW2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5-3'!$D$11:$Q319,DW$4,DW$5)"),"")</f>
        <v/>
      </c>
      <c r="DX238" s="568"/>
      <c r="DY2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5-3'!$D$11:$Q319,DY$4,DY$5)"),"")</f>
        <v/>
      </c>
      <c r="DZ238" s="578"/>
      <c r="EA23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$C238, 'S-10 Топ 5-3'!$D$11:$Q319,EA$4,EA$5)"),"")</f>
        <v/>
      </c>
      <c r="EB238" s="568"/>
      <c r="EC238" s="568"/>
      <c r="ED238" s="568"/>
      <c r="EE238" s="568"/>
    </row>
    <row r="239">
      <c r="A239" s="519" t="str">
        <f t="shared" si="1"/>
        <v/>
      </c>
      <c r="B239" s="520" t="str">
        <f>'5-0 Товары'!B239</f>
        <v/>
      </c>
      <c r="C239" s="521" t="str">
        <f>'5-1 Сбор КП Закупки'!C239</f>
        <v/>
      </c>
      <c r="D239" s="521" t="str">
        <f>'5-1 Сбор КП Закупки'!D239</f>
        <v/>
      </c>
      <c r="E239" s="521" t="str">
        <f>'5-1 Сбор КП Закупки'!E239</f>
        <v/>
      </c>
      <c r="F239" s="521" t="str">
        <f>'5-1 Сбор КП Закупки'!F239</f>
        <v/>
      </c>
      <c r="G239" s="522" t="str">
        <f>'5-1 Сбор КП Закупки'!G239</f>
        <v/>
      </c>
      <c r="H239" s="522" t="str">
        <f>'5-1 Сбор КП Закупки'!H239</f>
        <v/>
      </c>
      <c r="I239" s="522" t="str">
        <f>'5-1 Сбор КП Закупки'!I239</f>
        <v/>
      </c>
      <c r="J239" s="197"/>
      <c r="K239" s="522" t="str">
        <f>'5-1 Сбор КП Закупки'!G239</f>
        <v/>
      </c>
      <c r="L239" s="523" t="str">
        <f>IF(A239="Да",'5-1 Сбор КП Закупки'!K239,)</f>
        <v/>
      </c>
      <c r="M239" s="197"/>
      <c r="N239" s="197"/>
      <c r="O239" s="197"/>
      <c r="P239" s="525" t="str">
        <f>'5-1 Сбор КП Закупки'!P239</f>
        <v/>
      </c>
      <c r="Q239" s="197"/>
      <c r="R239" s="197"/>
      <c r="S239" s="197"/>
      <c r="T239" s="197"/>
      <c r="U239" s="197"/>
      <c r="V239" s="197"/>
      <c r="W239" s="522" t="str">
        <f>'5-1 Сбор КП Закупки'!O239</f>
        <v/>
      </c>
      <c r="X239" s="197"/>
      <c r="Y239" s="197"/>
      <c r="Z239" s="197"/>
      <c r="AA239" s="197"/>
      <c r="AB239" s="197">
        <v>0.0</v>
      </c>
      <c r="AC239" s="197"/>
      <c r="AD239" s="197"/>
      <c r="AE2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5-3'!$D$11:$Q319,AE$4,AE$5)"),"")</f>
        <v/>
      </c>
      <c r="AF239" s="528"/>
      <c r="AG2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5-3'!$D$11:$Q319,AG$4,AG$5)"),"")</f>
        <v/>
      </c>
      <c r="AH239" s="527"/>
      <c r="AI2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5-3'!$D$11:$Q319,AI$4,AI$5)"),"")</f>
        <v/>
      </c>
      <c r="AJ239" s="527"/>
      <c r="AK2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5-3'!$D$11:$Q319,AK$4,AK$5)"),"")</f>
        <v/>
      </c>
      <c r="AL239" s="527"/>
      <c r="AM2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5-3'!$D$11:$Q319,AM$4,AM$5)"),"")</f>
        <v/>
      </c>
      <c r="AN239" s="529"/>
      <c r="AO23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5-3'!$D$11:$Q319,AO$4,AO$5)"),"")</f>
        <v/>
      </c>
      <c r="AP239" s="527"/>
      <c r="AQ239" s="527"/>
      <c r="AR239" s="527"/>
      <c r="AS239" s="527"/>
      <c r="AT2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5-3'!$D$11:$Q319,AT$4,AT$5)"),"")</f>
        <v/>
      </c>
      <c r="AU239" s="531"/>
      <c r="AV2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5-3'!$D$11:$Q319,AV$4,AV$5)"),"")</f>
        <v/>
      </c>
      <c r="AW239" s="530"/>
      <c r="AX2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5-3'!$D$11:$Q319,AX$4,AX$5)"),"")</f>
        <v/>
      </c>
      <c r="AY239" s="530"/>
      <c r="AZ2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5-3'!$D$11:$Q319,AZ$4,AZ$5)"),"")</f>
        <v/>
      </c>
      <c r="BA239" s="530"/>
      <c r="BB2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5-3'!$D$11:$Q319,BB$4,BB$5)"),"")</f>
        <v/>
      </c>
      <c r="BC239" s="532"/>
      <c r="BD23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5-3'!$D$11:$Q319,BD$4,BD$5)"),"")</f>
        <v/>
      </c>
      <c r="BE239" s="530"/>
      <c r="BF239" s="530"/>
      <c r="BG239" s="530"/>
      <c r="BH239" s="530"/>
      <c r="BI2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5-3'!$D$11:$Q319,BI$4,BI$5)"),"")</f>
        <v/>
      </c>
      <c r="BJ239" s="535"/>
      <c r="BK2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5-3'!$D$11:$Q319,BK$4,BK$5)"),"")</f>
        <v/>
      </c>
      <c r="BL239" s="534"/>
      <c r="BM2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5-3'!$D$11:$Q319,BM$4,BM$5)"),"")</f>
        <v/>
      </c>
      <c r="BN239" s="534"/>
      <c r="BO2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5-3'!$D$11:$Q319,BO$4,BO$5)"),"")</f>
        <v/>
      </c>
      <c r="BP239" s="534"/>
      <c r="BQ2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5-3'!$D$11:$Q319,BQ$4,BQ$5)"),"")</f>
        <v/>
      </c>
      <c r="BR239" s="536"/>
      <c r="BS23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5-3'!$D$11:$Q319,BS$4,BS$5)"),"")</f>
        <v/>
      </c>
      <c r="BT239" s="534"/>
      <c r="BU239" s="534"/>
      <c r="BV239" s="534"/>
      <c r="BW239" s="534"/>
      <c r="BX2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5-3'!$D$11:$Q319,BX$4,BX$5)"),"")</f>
        <v/>
      </c>
      <c r="BY239" s="538"/>
      <c r="BZ2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5-3'!$D$11:$Q319,BZ$4,BZ$5)"),"")</f>
        <v/>
      </c>
      <c r="CA239" s="537"/>
      <c r="CB2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5-3'!$D$11:$Q319,CB$4,CB$5)"),"")</f>
        <v/>
      </c>
      <c r="CC239" s="537"/>
      <c r="CD2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5-3'!$D$11:$Q319,CD$4,CD$5)"),"")</f>
        <v/>
      </c>
      <c r="CE239" s="537"/>
      <c r="CF2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5-3'!$D$11:$Q319,CF$4,CF$5)"),"")</f>
        <v/>
      </c>
      <c r="CG239" s="539"/>
      <c r="CH23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5-3'!$D$11:$Q319,CH$4,CH$5)"),"")</f>
        <v/>
      </c>
      <c r="CI239" s="537"/>
      <c r="CJ239" s="537"/>
      <c r="CK239" s="537"/>
      <c r="CL239" s="537"/>
      <c r="CM2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5-3'!$D$11:$Q319,CM$4,CM$5)"),"")</f>
        <v/>
      </c>
      <c r="CN239" s="541"/>
      <c r="CO2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5-3'!$D$11:$Q319,CO$4,CO$5)"),"")</f>
        <v/>
      </c>
      <c r="CP239" s="540"/>
      <c r="CQ2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5-3'!$D$11:$Q319,CQ$4,CQ$5)"),"")</f>
        <v/>
      </c>
      <c r="CR239" s="540"/>
      <c r="CS2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5-3'!$D$11:$Q319,CS$4,CS$5)"),"")</f>
        <v/>
      </c>
      <c r="CT239" s="540"/>
      <c r="CU2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5-3'!$D$11:$Q319,CU$4,CU$5)"),"")</f>
        <v/>
      </c>
      <c r="CV239" s="545"/>
      <c r="CW23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5-3'!$D$11:$Q319,CW$4,CW$5)"),"")</f>
        <v/>
      </c>
      <c r="CX239" s="540"/>
      <c r="CY239" s="540"/>
      <c r="CZ239" s="540"/>
      <c r="DA239" s="540"/>
      <c r="DB2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5-3'!$D$11:$Q319,DB$4,DB$5)"),"")</f>
        <v/>
      </c>
      <c r="DC239" s="555"/>
      <c r="DD2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5-3'!$D$11:$Q319,DD$4,DD$5)"),"")</f>
        <v/>
      </c>
      <c r="DE239" s="554"/>
      <c r="DF2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5-3'!$D$11:$Q319,DF$4,DF$5)"),"")</f>
        <v/>
      </c>
      <c r="DG239" s="554"/>
      <c r="DH2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5-3'!$D$11:$Q319,DH$4,DH$5)"),"")</f>
        <v/>
      </c>
      <c r="DI239" s="554"/>
      <c r="DJ2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5-3'!$D$11:$Q319,DJ$4,DJ$5)"),"")</f>
        <v/>
      </c>
      <c r="DK239" s="566"/>
      <c r="DL23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5-3'!$D$11:$Q319,DL$4,DL$5)"),"")</f>
        <v/>
      </c>
      <c r="DM239" s="554"/>
      <c r="DN239" s="554"/>
      <c r="DO239" s="554"/>
      <c r="DP239" s="554"/>
      <c r="DQ2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5-3'!$D$11:$Q319,DQ$4,DQ$5)"),"")</f>
        <v/>
      </c>
      <c r="DR239" s="569"/>
      <c r="DS2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5-3'!$D$11:$Q319,DS$4,DS$5)"),"")</f>
        <v/>
      </c>
      <c r="DT239" s="568"/>
      <c r="DU2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5-3'!$D$11:$Q319,DU$4,DU$5)"),"")</f>
        <v/>
      </c>
      <c r="DV239" s="568"/>
      <c r="DW2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5-3'!$D$11:$Q319,DW$4,DW$5)"),"")</f>
        <v/>
      </c>
      <c r="DX239" s="568"/>
      <c r="DY2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5-3'!$D$11:$Q319,DY$4,DY$5)"),"")</f>
        <v/>
      </c>
      <c r="DZ239" s="578"/>
      <c r="EA23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$C239, 'S-10 Топ 5-3'!$D$11:$Q319,EA$4,EA$5)"),"")</f>
        <v/>
      </c>
      <c r="EB239" s="568"/>
      <c r="EC239" s="568"/>
      <c r="ED239" s="568"/>
      <c r="EE239" s="568"/>
    </row>
    <row r="240">
      <c r="A240" s="519" t="str">
        <f t="shared" si="1"/>
        <v/>
      </c>
      <c r="B240" s="520" t="str">
        <f>'5-0 Товары'!B240</f>
        <v/>
      </c>
      <c r="C240" s="521" t="str">
        <f>'5-1 Сбор КП Закупки'!C240</f>
        <v/>
      </c>
      <c r="D240" s="521" t="str">
        <f>'5-1 Сбор КП Закупки'!D240</f>
        <v/>
      </c>
      <c r="E240" s="521" t="str">
        <f>'5-1 Сбор КП Закупки'!E240</f>
        <v/>
      </c>
      <c r="F240" s="521" t="str">
        <f>'5-1 Сбор КП Закупки'!F240</f>
        <v/>
      </c>
      <c r="G240" s="522" t="str">
        <f>'5-1 Сбор КП Закупки'!G240</f>
        <v/>
      </c>
      <c r="H240" s="522" t="str">
        <f>'5-1 Сбор КП Закупки'!H240</f>
        <v/>
      </c>
      <c r="I240" s="522" t="str">
        <f>'5-1 Сбор КП Закупки'!I240</f>
        <v/>
      </c>
      <c r="J240" s="197"/>
      <c r="K240" s="522" t="str">
        <f>'5-1 Сбор КП Закупки'!G240</f>
        <v/>
      </c>
      <c r="L240" s="523" t="str">
        <f>IF(A240="Да",'5-1 Сбор КП Закупки'!K240,)</f>
        <v/>
      </c>
      <c r="M240" s="197"/>
      <c r="N240" s="197"/>
      <c r="O240" s="197"/>
      <c r="P240" s="525" t="str">
        <f>'5-1 Сбор КП Закупки'!P240</f>
        <v/>
      </c>
      <c r="Q240" s="197"/>
      <c r="R240" s="197"/>
      <c r="S240" s="197"/>
      <c r="T240" s="197"/>
      <c r="U240" s="197"/>
      <c r="V240" s="197"/>
      <c r="W240" s="522" t="str">
        <f>'5-1 Сбор КП Закупки'!O240</f>
        <v/>
      </c>
      <c r="X240" s="197"/>
      <c r="Y240" s="197"/>
      <c r="Z240" s="197"/>
      <c r="AA240" s="197"/>
      <c r="AB240" s="197">
        <v>0.0</v>
      </c>
      <c r="AC240" s="197"/>
      <c r="AD240" s="197"/>
      <c r="AE2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5-3'!$D$11:$Q319,AE$4,AE$5)"),"")</f>
        <v/>
      </c>
      <c r="AF240" s="528"/>
      <c r="AG2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5-3'!$D$11:$Q319,AG$4,AG$5)"),"")</f>
        <v/>
      </c>
      <c r="AH240" s="527"/>
      <c r="AI2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5-3'!$D$11:$Q319,AI$4,AI$5)"),"")</f>
        <v/>
      </c>
      <c r="AJ240" s="527"/>
      <c r="AK2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5-3'!$D$11:$Q319,AK$4,AK$5)"),"")</f>
        <v/>
      </c>
      <c r="AL240" s="527"/>
      <c r="AM2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5-3'!$D$11:$Q319,AM$4,AM$5)"),"")</f>
        <v/>
      </c>
      <c r="AN240" s="529"/>
      <c r="AO24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5-3'!$D$11:$Q319,AO$4,AO$5)"),"")</f>
        <v/>
      </c>
      <c r="AP240" s="527"/>
      <c r="AQ240" s="527"/>
      <c r="AR240" s="527"/>
      <c r="AS240" s="527"/>
      <c r="AT2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5-3'!$D$11:$Q319,AT$4,AT$5)"),"")</f>
        <v/>
      </c>
      <c r="AU240" s="531"/>
      <c r="AV2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5-3'!$D$11:$Q319,AV$4,AV$5)"),"")</f>
        <v/>
      </c>
      <c r="AW240" s="530"/>
      <c r="AX2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5-3'!$D$11:$Q319,AX$4,AX$5)"),"")</f>
        <v/>
      </c>
      <c r="AY240" s="530"/>
      <c r="AZ2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5-3'!$D$11:$Q319,AZ$4,AZ$5)"),"")</f>
        <v/>
      </c>
      <c r="BA240" s="530"/>
      <c r="BB2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5-3'!$D$11:$Q319,BB$4,BB$5)"),"")</f>
        <v/>
      </c>
      <c r="BC240" s="532"/>
      <c r="BD24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5-3'!$D$11:$Q319,BD$4,BD$5)"),"")</f>
        <v/>
      </c>
      <c r="BE240" s="530"/>
      <c r="BF240" s="530"/>
      <c r="BG240" s="530"/>
      <c r="BH240" s="530"/>
      <c r="BI2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5-3'!$D$11:$Q319,BI$4,BI$5)"),"")</f>
        <v/>
      </c>
      <c r="BJ240" s="535"/>
      <c r="BK2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5-3'!$D$11:$Q319,BK$4,BK$5)"),"")</f>
        <v/>
      </c>
      <c r="BL240" s="534"/>
      <c r="BM2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5-3'!$D$11:$Q319,BM$4,BM$5)"),"")</f>
        <v/>
      </c>
      <c r="BN240" s="534"/>
      <c r="BO2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5-3'!$D$11:$Q319,BO$4,BO$5)"),"")</f>
        <v/>
      </c>
      <c r="BP240" s="534"/>
      <c r="BQ2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5-3'!$D$11:$Q319,BQ$4,BQ$5)"),"")</f>
        <v/>
      </c>
      <c r="BR240" s="536"/>
      <c r="BS24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5-3'!$D$11:$Q319,BS$4,BS$5)"),"")</f>
        <v/>
      </c>
      <c r="BT240" s="534"/>
      <c r="BU240" s="534"/>
      <c r="BV240" s="534"/>
      <c r="BW240" s="534"/>
      <c r="BX2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5-3'!$D$11:$Q319,BX$4,BX$5)"),"")</f>
        <v/>
      </c>
      <c r="BY240" s="538"/>
      <c r="BZ2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5-3'!$D$11:$Q319,BZ$4,BZ$5)"),"")</f>
        <v/>
      </c>
      <c r="CA240" s="537"/>
      <c r="CB2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5-3'!$D$11:$Q319,CB$4,CB$5)"),"")</f>
        <v/>
      </c>
      <c r="CC240" s="537"/>
      <c r="CD2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5-3'!$D$11:$Q319,CD$4,CD$5)"),"")</f>
        <v/>
      </c>
      <c r="CE240" s="537"/>
      <c r="CF2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5-3'!$D$11:$Q319,CF$4,CF$5)"),"")</f>
        <v/>
      </c>
      <c r="CG240" s="539"/>
      <c r="CH24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5-3'!$D$11:$Q319,CH$4,CH$5)"),"")</f>
        <v/>
      </c>
      <c r="CI240" s="537"/>
      <c r="CJ240" s="537"/>
      <c r="CK240" s="537"/>
      <c r="CL240" s="537"/>
      <c r="CM2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5-3'!$D$11:$Q319,CM$4,CM$5)"),"")</f>
        <v/>
      </c>
      <c r="CN240" s="541"/>
      <c r="CO2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5-3'!$D$11:$Q319,CO$4,CO$5)"),"")</f>
        <v/>
      </c>
      <c r="CP240" s="540"/>
      <c r="CQ2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5-3'!$D$11:$Q319,CQ$4,CQ$5)"),"")</f>
        <v/>
      </c>
      <c r="CR240" s="540"/>
      <c r="CS2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5-3'!$D$11:$Q319,CS$4,CS$5)"),"")</f>
        <v/>
      </c>
      <c r="CT240" s="540"/>
      <c r="CU2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5-3'!$D$11:$Q319,CU$4,CU$5)"),"")</f>
        <v/>
      </c>
      <c r="CV240" s="545"/>
      <c r="CW24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5-3'!$D$11:$Q319,CW$4,CW$5)"),"")</f>
        <v/>
      </c>
      <c r="CX240" s="540"/>
      <c r="CY240" s="540"/>
      <c r="CZ240" s="540"/>
      <c r="DA240" s="540"/>
      <c r="DB2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5-3'!$D$11:$Q319,DB$4,DB$5)"),"")</f>
        <v/>
      </c>
      <c r="DC240" s="555"/>
      <c r="DD2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5-3'!$D$11:$Q319,DD$4,DD$5)"),"")</f>
        <v/>
      </c>
      <c r="DE240" s="554"/>
      <c r="DF2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5-3'!$D$11:$Q319,DF$4,DF$5)"),"")</f>
        <v/>
      </c>
      <c r="DG240" s="554"/>
      <c r="DH2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5-3'!$D$11:$Q319,DH$4,DH$5)"),"")</f>
        <v/>
      </c>
      <c r="DI240" s="554"/>
      <c r="DJ2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5-3'!$D$11:$Q319,DJ$4,DJ$5)"),"")</f>
        <v/>
      </c>
      <c r="DK240" s="566"/>
      <c r="DL24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5-3'!$D$11:$Q319,DL$4,DL$5)"),"")</f>
        <v/>
      </c>
      <c r="DM240" s="554"/>
      <c r="DN240" s="554"/>
      <c r="DO240" s="554"/>
      <c r="DP240" s="554"/>
      <c r="DQ2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5-3'!$D$11:$Q319,DQ$4,DQ$5)"),"")</f>
        <v/>
      </c>
      <c r="DR240" s="569"/>
      <c r="DS2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5-3'!$D$11:$Q319,DS$4,DS$5)"),"")</f>
        <v/>
      </c>
      <c r="DT240" s="568"/>
      <c r="DU2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5-3'!$D$11:$Q319,DU$4,DU$5)"),"")</f>
        <v/>
      </c>
      <c r="DV240" s="568"/>
      <c r="DW2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5-3'!$D$11:$Q319,DW$4,DW$5)"),"")</f>
        <v/>
      </c>
      <c r="DX240" s="568"/>
      <c r="DY2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5-3'!$D$11:$Q319,DY$4,DY$5)"),"")</f>
        <v/>
      </c>
      <c r="DZ240" s="578"/>
      <c r="EA24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$C240, 'S-10 Топ 5-3'!$D$11:$Q319,EA$4,EA$5)"),"")</f>
        <v/>
      </c>
      <c r="EB240" s="568"/>
      <c r="EC240" s="568"/>
      <c r="ED240" s="568"/>
      <c r="EE240" s="568"/>
    </row>
    <row r="241">
      <c r="A241" s="519" t="str">
        <f t="shared" si="1"/>
        <v/>
      </c>
      <c r="B241" s="520" t="str">
        <f>'5-0 Товары'!B241</f>
        <v/>
      </c>
      <c r="C241" s="521" t="str">
        <f>'5-1 Сбор КП Закупки'!C241</f>
        <v/>
      </c>
      <c r="D241" s="521" t="str">
        <f>'5-1 Сбор КП Закупки'!D241</f>
        <v/>
      </c>
      <c r="E241" s="521" t="str">
        <f>'5-1 Сбор КП Закупки'!E241</f>
        <v/>
      </c>
      <c r="F241" s="521" t="str">
        <f>'5-1 Сбор КП Закупки'!F241</f>
        <v/>
      </c>
      <c r="G241" s="522" t="str">
        <f>'5-1 Сбор КП Закупки'!G241</f>
        <v/>
      </c>
      <c r="H241" s="522" t="str">
        <f>'5-1 Сбор КП Закупки'!H241</f>
        <v/>
      </c>
      <c r="I241" s="522" t="str">
        <f>'5-1 Сбор КП Закупки'!I241</f>
        <v/>
      </c>
      <c r="J241" s="197"/>
      <c r="K241" s="522" t="str">
        <f>'5-1 Сбор КП Закупки'!G241</f>
        <v/>
      </c>
      <c r="L241" s="523" t="str">
        <f>IF(A241="Да",'5-1 Сбор КП Закупки'!K241,)</f>
        <v/>
      </c>
      <c r="M241" s="197"/>
      <c r="N241" s="197"/>
      <c r="O241" s="197"/>
      <c r="P241" s="525" t="str">
        <f>'5-1 Сбор КП Закупки'!P241</f>
        <v/>
      </c>
      <c r="Q241" s="197"/>
      <c r="R241" s="197"/>
      <c r="S241" s="197"/>
      <c r="T241" s="197"/>
      <c r="U241" s="197"/>
      <c r="V241" s="197"/>
      <c r="W241" s="522" t="str">
        <f>'5-1 Сбор КП Закупки'!O241</f>
        <v/>
      </c>
      <c r="X241" s="197"/>
      <c r="Y241" s="197"/>
      <c r="Z241" s="197"/>
      <c r="AA241" s="197"/>
      <c r="AB241" s="197">
        <v>0.0</v>
      </c>
      <c r="AC241" s="197"/>
      <c r="AD241" s="197"/>
      <c r="AE2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5-3'!$D$11:$Q319,AE$4,AE$5)"),"")</f>
        <v/>
      </c>
      <c r="AF241" s="528"/>
      <c r="AG2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5-3'!$D$11:$Q319,AG$4,AG$5)"),"")</f>
        <v/>
      </c>
      <c r="AH241" s="527"/>
      <c r="AI2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5-3'!$D$11:$Q319,AI$4,AI$5)"),"")</f>
        <v/>
      </c>
      <c r="AJ241" s="527"/>
      <c r="AK2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5-3'!$D$11:$Q319,AK$4,AK$5)"),"")</f>
        <v/>
      </c>
      <c r="AL241" s="527"/>
      <c r="AM2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5-3'!$D$11:$Q319,AM$4,AM$5)"),"")</f>
        <v/>
      </c>
      <c r="AN241" s="529"/>
      <c r="AO24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5-3'!$D$11:$Q319,AO$4,AO$5)"),"")</f>
        <v/>
      </c>
      <c r="AP241" s="527"/>
      <c r="AQ241" s="527"/>
      <c r="AR241" s="527"/>
      <c r="AS241" s="527"/>
      <c r="AT2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5-3'!$D$11:$Q319,AT$4,AT$5)"),"")</f>
        <v/>
      </c>
      <c r="AU241" s="531"/>
      <c r="AV2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5-3'!$D$11:$Q319,AV$4,AV$5)"),"")</f>
        <v/>
      </c>
      <c r="AW241" s="530"/>
      <c r="AX2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5-3'!$D$11:$Q319,AX$4,AX$5)"),"")</f>
        <v/>
      </c>
      <c r="AY241" s="530"/>
      <c r="AZ2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5-3'!$D$11:$Q319,AZ$4,AZ$5)"),"")</f>
        <v/>
      </c>
      <c r="BA241" s="530"/>
      <c r="BB2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5-3'!$D$11:$Q319,BB$4,BB$5)"),"")</f>
        <v/>
      </c>
      <c r="BC241" s="532"/>
      <c r="BD24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5-3'!$D$11:$Q319,BD$4,BD$5)"),"")</f>
        <v/>
      </c>
      <c r="BE241" s="530"/>
      <c r="BF241" s="530"/>
      <c r="BG241" s="530"/>
      <c r="BH241" s="530"/>
      <c r="BI2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5-3'!$D$11:$Q319,BI$4,BI$5)"),"")</f>
        <v/>
      </c>
      <c r="BJ241" s="535"/>
      <c r="BK2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5-3'!$D$11:$Q319,BK$4,BK$5)"),"")</f>
        <v/>
      </c>
      <c r="BL241" s="534"/>
      <c r="BM2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5-3'!$D$11:$Q319,BM$4,BM$5)"),"")</f>
        <v/>
      </c>
      <c r="BN241" s="534"/>
      <c r="BO2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5-3'!$D$11:$Q319,BO$4,BO$5)"),"")</f>
        <v/>
      </c>
      <c r="BP241" s="534"/>
      <c r="BQ2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5-3'!$D$11:$Q319,BQ$4,BQ$5)"),"")</f>
        <v/>
      </c>
      <c r="BR241" s="536"/>
      <c r="BS24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5-3'!$D$11:$Q319,BS$4,BS$5)"),"")</f>
        <v/>
      </c>
      <c r="BT241" s="534"/>
      <c r="BU241" s="534"/>
      <c r="BV241" s="534"/>
      <c r="BW241" s="534"/>
      <c r="BX2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5-3'!$D$11:$Q319,BX$4,BX$5)"),"")</f>
        <v/>
      </c>
      <c r="BY241" s="538"/>
      <c r="BZ2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5-3'!$D$11:$Q319,BZ$4,BZ$5)"),"")</f>
        <v/>
      </c>
      <c r="CA241" s="537"/>
      <c r="CB2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5-3'!$D$11:$Q319,CB$4,CB$5)"),"")</f>
        <v/>
      </c>
      <c r="CC241" s="537"/>
      <c r="CD2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5-3'!$D$11:$Q319,CD$4,CD$5)"),"")</f>
        <v/>
      </c>
      <c r="CE241" s="537"/>
      <c r="CF2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5-3'!$D$11:$Q319,CF$4,CF$5)"),"")</f>
        <v/>
      </c>
      <c r="CG241" s="539"/>
      <c r="CH24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5-3'!$D$11:$Q319,CH$4,CH$5)"),"")</f>
        <v/>
      </c>
      <c r="CI241" s="537"/>
      <c r="CJ241" s="537"/>
      <c r="CK241" s="537"/>
      <c r="CL241" s="537"/>
      <c r="CM2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5-3'!$D$11:$Q319,CM$4,CM$5)"),"")</f>
        <v/>
      </c>
      <c r="CN241" s="541"/>
      <c r="CO2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5-3'!$D$11:$Q319,CO$4,CO$5)"),"")</f>
        <v/>
      </c>
      <c r="CP241" s="540"/>
      <c r="CQ2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5-3'!$D$11:$Q319,CQ$4,CQ$5)"),"")</f>
        <v/>
      </c>
      <c r="CR241" s="540"/>
      <c r="CS2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5-3'!$D$11:$Q319,CS$4,CS$5)"),"")</f>
        <v/>
      </c>
      <c r="CT241" s="540"/>
      <c r="CU2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5-3'!$D$11:$Q319,CU$4,CU$5)"),"")</f>
        <v/>
      </c>
      <c r="CV241" s="545"/>
      <c r="CW24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5-3'!$D$11:$Q319,CW$4,CW$5)"),"")</f>
        <v/>
      </c>
      <c r="CX241" s="540"/>
      <c r="CY241" s="540"/>
      <c r="CZ241" s="540"/>
      <c r="DA241" s="540"/>
      <c r="DB2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5-3'!$D$11:$Q319,DB$4,DB$5)"),"")</f>
        <v/>
      </c>
      <c r="DC241" s="555"/>
      <c r="DD2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5-3'!$D$11:$Q319,DD$4,DD$5)"),"")</f>
        <v/>
      </c>
      <c r="DE241" s="554"/>
      <c r="DF2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5-3'!$D$11:$Q319,DF$4,DF$5)"),"")</f>
        <v/>
      </c>
      <c r="DG241" s="554"/>
      <c r="DH2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5-3'!$D$11:$Q319,DH$4,DH$5)"),"")</f>
        <v/>
      </c>
      <c r="DI241" s="554"/>
      <c r="DJ2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5-3'!$D$11:$Q319,DJ$4,DJ$5)"),"")</f>
        <v/>
      </c>
      <c r="DK241" s="566"/>
      <c r="DL24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5-3'!$D$11:$Q319,DL$4,DL$5)"),"")</f>
        <v/>
      </c>
      <c r="DM241" s="554"/>
      <c r="DN241" s="554"/>
      <c r="DO241" s="554"/>
      <c r="DP241" s="554"/>
      <c r="DQ2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5-3'!$D$11:$Q319,DQ$4,DQ$5)"),"")</f>
        <v/>
      </c>
      <c r="DR241" s="569"/>
      <c r="DS2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5-3'!$D$11:$Q319,DS$4,DS$5)"),"")</f>
        <v/>
      </c>
      <c r="DT241" s="568"/>
      <c r="DU2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5-3'!$D$11:$Q319,DU$4,DU$5)"),"")</f>
        <v/>
      </c>
      <c r="DV241" s="568"/>
      <c r="DW2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5-3'!$D$11:$Q319,DW$4,DW$5)"),"")</f>
        <v/>
      </c>
      <c r="DX241" s="568"/>
      <c r="DY2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5-3'!$D$11:$Q319,DY$4,DY$5)"),"")</f>
        <v/>
      </c>
      <c r="DZ241" s="578"/>
      <c r="EA24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$C241, 'S-10 Топ 5-3'!$D$11:$Q319,EA$4,EA$5)"),"")</f>
        <v/>
      </c>
      <c r="EB241" s="568"/>
      <c r="EC241" s="568"/>
      <c r="ED241" s="568"/>
      <c r="EE241" s="568"/>
    </row>
    <row r="242">
      <c r="A242" s="519" t="str">
        <f t="shared" si="1"/>
        <v/>
      </c>
      <c r="B242" s="520" t="str">
        <f>'5-0 Товары'!B242</f>
        <v/>
      </c>
      <c r="C242" s="521" t="str">
        <f>'5-1 Сбор КП Закупки'!C242</f>
        <v/>
      </c>
      <c r="D242" s="521" t="str">
        <f>'5-1 Сбор КП Закупки'!D242</f>
        <v/>
      </c>
      <c r="E242" s="521" t="str">
        <f>'5-1 Сбор КП Закупки'!E242</f>
        <v/>
      </c>
      <c r="F242" s="521" t="str">
        <f>'5-1 Сбор КП Закупки'!F242</f>
        <v/>
      </c>
      <c r="G242" s="522" t="str">
        <f>'5-1 Сбор КП Закупки'!G242</f>
        <v/>
      </c>
      <c r="H242" s="522" t="str">
        <f>'5-1 Сбор КП Закупки'!H242</f>
        <v/>
      </c>
      <c r="I242" s="522" t="str">
        <f>'5-1 Сбор КП Закупки'!I242</f>
        <v/>
      </c>
      <c r="J242" s="197"/>
      <c r="K242" s="522" t="str">
        <f>'5-1 Сбор КП Закупки'!G242</f>
        <v/>
      </c>
      <c r="L242" s="523" t="str">
        <f>IF(A242="Да",'5-1 Сбор КП Закупки'!K242,)</f>
        <v/>
      </c>
      <c r="M242" s="197"/>
      <c r="N242" s="197"/>
      <c r="O242" s="197"/>
      <c r="P242" s="525" t="str">
        <f>'5-1 Сбор КП Закупки'!P242</f>
        <v/>
      </c>
      <c r="Q242" s="197"/>
      <c r="R242" s="197"/>
      <c r="S242" s="197"/>
      <c r="T242" s="197"/>
      <c r="U242" s="197"/>
      <c r="V242" s="197"/>
      <c r="W242" s="522" t="str">
        <f>'5-1 Сбор КП Закупки'!O242</f>
        <v/>
      </c>
      <c r="X242" s="197"/>
      <c r="Y242" s="197"/>
      <c r="Z242" s="197"/>
      <c r="AA242" s="197"/>
      <c r="AB242" s="197">
        <v>0.0</v>
      </c>
      <c r="AC242" s="197"/>
      <c r="AD242" s="197"/>
      <c r="AE2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5-3'!$D$11:$Q319,AE$4,AE$5)"),"")</f>
        <v/>
      </c>
      <c r="AF242" s="528"/>
      <c r="AG2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5-3'!$D$11:$Q319,AG$4,AG$5)"),"")</f>
        <v/>
      </c>
      <c r="AH242" s="527"/>
      <c r="AI2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5-3'!$D$11:$Q319,AI$4,AI$5)"),"")</f>
        <v/>
      </c>
      <c r="AJ242" s="527"/>
      <c r="AK2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5-3'!$D$11:$Q319,AK$4,AK$5)"),"")</f>
        <v/>
      </c>
      <c r="AL242" s="527"/>
      <c r="AM2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5-3'!$D$11:$Q319,AM$4,AM$5)"),"")</f>
        <v/>
      </c>
      <c r="AN242" s="529"/>
      <c r="AO24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5-3'!$D$11:$Q319,AO$4,AO$5)"),"")</f>
        <v/>
      </c>
      <c r="AP242" s="527"/>
      <c r="AQ242" s="527"/>
      <c r="AR242" s="527"/>
      <c r="AS242" s="527"/>
      <c r="AT2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5-3'!$D$11:$Q319,AT$4,AT$5)"),"")</f>
        <v/>
      </c>
      <c r="AU242" s="531"/>
      <c r="AV2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5-3'!$D$11:$Q319,AV$4,AV$5)"),"")</f>
        <v/>
      </c>
      <c r="AW242" s="530"/>
      <c r="AX2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5-3'!$D$11:$Q319,AX$4,AX$5)"),"")</f>
        <v/>
      </c>
      <c r="AY242" s="530"/>
      <c r="AZ2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5-3'!$D$11:$Q319,AZ$4,AZ$5)"),"")</f>
        <v/>
      </c>
      <c r="BA242" s="530"/>
      <c r="BB2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5-3'!$D$11:$Q319,BB$4,BB$5)"),"")</f>
        <v/>
      </c>
      <c r="BC242" s="532"/>
      <c r="BD24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5-3'!$D$11:$Q319,BD$4,BD$5)"),"")</f>
        <v/>
      </c>
      <c r="BE242" s="530"/>
      <c r="BF242" s="530"/>
      <c r="BG242" s="530"/>
      <c r="BH242" s="530"/>
      <c r="BI2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5-3'!$D$11:$Q319,BI$4,BI$5)"),"")</f>
        <v/>
      </c>
      <c r="BJ242" s="535"/>
      <c r="BK2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5-3'!$D$11:$Q319,BK$4,BK$5)"),"")</f>
        <v/>
      </c>
      <c r="BL242" s="534"/>
      <c r="BM2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5-3'!$D$11:$Q319,BM$4,BM$5)"),"")</f>
        <v/>
      </c>
      <c r="BN242" s="534"/>
      <c r="BO2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5-3'!$D$11:$Q319,BO$4,BO$5)"),"")</f>
        <v/>
      </c>
      <c r="BP242" s="534"/>
      <c r="BQ2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5-3'!$D$11:$Q319,BQ$4,BQ$5)"),"")</f>
        <v/>
      </c>
      <c r="BR242" s="536"/>
      <c r="BS24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5-3'!$D$11:$Q319,BS$4,BS$5)"),"")</f>
        <v/>
      </c>
      <c r="BT242" s="534"/>
      <c r="BU242" s="534"/>
      <c r="BV242" s="534"/>
      <c r="BW242" s="534"/>
      <c r="BX2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5-3'!$D$11:$Q319,BX$4,BX$5)"),"")</f>
        <v/>
      </c>
      <c r="BY242" s="538"/>
      <c r="BZ2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5-3'!$D$11:$Q319,BZ$4,BZ$5)"),"")</f>
        <v/>
      </c>
      <c r="CA242" s="537"/>
      <c r="CB2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5-3'!$D$11:$Q319,CB$4,CB$5)"),"")</f>
        <v/>
      </c>
      <c r="CC242" s="537"/>
      <c r="CD2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5-3'!$D$11:$Q319,CD$4,CD$5)"),"")</f>
        <v/>
      </c>
      <c r="CE242" s="537"/>
      <c r="CF2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5-3'!$D$11:$Q319,CF$4,CF$5)"),"")</f>
        <v/>
      </c>
      <c r="CG242" s="539"/>
      <c r="CH24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5-3'!$D$11:$Q319,CH$4,CH$5)"),"")</f>
        <v/>
      </c>
      <c r="CI242" s="537"/>
      <c r="CJ242" s="537"/>
      <c r="CK242" s="537"/>
      <c r="CL242" s="537"/>
      <c r="CM2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5-3'!$D$11:$Q319,CM$4,CM$5)"),"")</f>
        <v/>
      </c>
      <c r="CN242" s="541"/>
      <c r="CO2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5-3'!$D$11:$Q319,CO$4,CO$5)"),"")</f>
        <v/>
      </c>
      <c r="CP242" s="540"/>
      <c r="CQ2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5-3'!$D$11:$Q319,CQ$4,CQ$5)"),"")</f>
        <v/>
      </c>
      <c r="CR242" s="540"/>
      <c r="CS2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5-3'!$D$11:$Q319,CS$4,CS$5)"),"")</f>
        <v/>
      </c>
      <c r="CT242" s="540"/>
      <c r="CU2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5-3'!$D$11:$Q319,CU$4,CU$5)"),"")</f>
        <v/>
      </c>
      <c r="CV242" s="545"/>
      <c r="CW24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5-3'!$D$11:$Q319,CW$4,CW$5)"),"")</f>
        <v/>
      </c>
      <c r="CX242" s="540"/>
      <c r="CY242" s="540"/>
      <c r="CZ242" s="540"/>
      <c r="DA242" s="540"/>
      <c r="DB2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5-3'!$D$11:$Q319,DB$4,DB$5)"),"")</f>
        <v/>
      </c>
      <c r="DC242" s="555"/>
      <c r="DD2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5-3'!$D$11:$Q319,DD$4,DD$5)"),"")</f>
        <v/>
      </c>
      <c r="DE242" s="554"/>
      <c r="DF2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5-3'!$D$11:$Q319,DF$4,DF$5)"),"")</f>
        <v/>
      </c>
      <c r="DG242" s="554"/>
      <c r="DH2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5-3'!$D$11:$Q319,DH$4,DH$5)"),"")</f>
        <v/>
      </c>
      <c r="DI242" s="554"/>
      <c r="DJ2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5-3'!$D$11:$Q319,DJ$4,DJ$5)"),"")</f>
        <v/>
      </c>
      <c r="DK242" s="566"/>
      <c r="DL24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5-3'!$D$11:$Q319,DL$4,DL$5)"),"")</f>
        <v/>
      </c>
      <c r="DM242" s="554"/>
      <c r="DN242" s="554"/>
      <c r="DO242" s="554"/>
      <c r="DP242" s="554"/>
      <c r="DQ2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5-3'!$D$11:$Q319,DQ$4,DQ$5)"),"")</f>
        <v/>
      </c>
      <c r="DR242" s="569"/>
      <c r="DS2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5-3'!$D$11:$Q319,DS$4,DS$5)"),"")</f>
        <v/>
      </c>
      <c r="DT242" s="568"/>
      <c r="DU2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5-3'!$D$11:$Q319,DU$4,DU$5)"),"")</f>
        <v/>
      </c>
      <c r="DV242" s="568"/>
      <c r="DW2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5-3'!$D$11:$Q319,DW$4,DW$5)"),"")</f>
        <v/>
      </c>
      <c r="DX242" s="568"/>
      <c r="DY2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5-3'!$D$11:$Q319,DY$4,DY$5)"),"")</f>
        <v/>
      </c>
      <c r="DZ242" s="578"/>
      <c r="EA24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$C242, 'S-10 Топ 5-3'!$D$11:$Q319,EA$4,EA$5)"),"")</f>
        <v/>
      </c>
      <c r="EB242" s="568"/>
      <c r="EC242" s="568"/>
      <c r="ED242" s="568"/>
      <c r="EE242" s="568"/>
    </row>
    <row r="243">
      <c r="A243" s="519" t="str">
        <f t="shared" si="1"/>
        <v/>
      </c>
      <c r="B243" s="520" t="str">
        <f>'5-0 Товары'!B243</f>
        <v/>
      </c>
      <c r="C243" s="521" t="str">
        <f>'5-1 Сбор КП Закупки'!C243</f>
        <v/>
      </c>
      <c r="D243" s="521" t="str">
        <f>'5-1 Сбор КП Закупки'!D243</f>
        <v/>
      </c>
      <c r="E243" s="521" t="str">
        <f>'5-1 Сбор КП Закупки'!E243</f>
        <v/>
      </c>
      <c r="F243" s="521" t="str">
        <f>'5-1 Сбор КП Закупки'!F243</f>
        <v/>
      </c>
      <c r="G243" s="522" t="str">
        <f>'5-1 Сбор КП Закупки'!G243</f>
        <v/>
      </c>
      <c r="H243" s="522" t="str">
        <f>'5-1 Сбор КП Закупки'!H243</f>
        <v/>
      </c>
      <c r="I243" s="522" t="str">
        <f>'5-1 Сбор КП Закупки'!I243</f>
        <v/>
      </c>
      <c r="J243" s="197"/>
      <c r="K243" s="522" t="str">
        <f>'5-1 Сбор КП Закупки'!G243</f>
        <v/>
      </c>
      <c r="L243" s="523" t="str">
        <f>IF(A243="Да",'5-1 Сбор КП Закупки'!K243,)</f>
        <v/>
      </c>
      <c r="M243" s="197"/>
      <c r="N243" s="197"/>
      <c r="O243" s="197"/>
      <c r="P243" s="525" t="str">
        <f>'5-1 Сбор КП Закупки'!P243</f>
        <v/>
      </c>
      <c r="Q243" s="197"/>
      <c r="R243" s="197"/>
      <c r="S243" s="197"/>
      <c r="T243" s="197"/>
      <c r="U243" s="197"/>
      <c r="V243" s="197"/>
      <c r="W243" s="522" t="str">
        <f>'5-1 Сбор КП Закупки'!O243</f>
        <v/>
      </c>
      <c r="X243" s="197"/>
      <c r="Y243" s="197"/>
      <c r="Z243" s="197"/>
      <c r="AA243" s="197"/>
      <c r="AB243" s="197">
        <v>0.0</v>
      </c>
      <c r="AC243" s="197"/>
      <c r="AD243" s="197"/>
      <c r="AE2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5-3'!$D$11:$Q319,AE$4,AE$5)"),"")</f>
        <v/>
      </c>
      <c r="AF243" s="528"/>
      <c r="AG2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5-3'!$D$11:$Q319,AG$4,AG$5)"),"")</f>
        <v/>
      </c>
      <c r="AH243" s="527"/>
      <c r="AI2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5-3'!$D$11:$Q319,AI$4,AI$5)"),"")</f>
        <v/>
      </c>
      <c r="AJ243" s="527"/>
      <c r="AK2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5-3'!$D$11:$Q319,AK$4,AK$5)"),"")</f>
        <v/>
      </c>
      <c r="AL243" s="527"/>
      <c r="AM2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5-3'!$D$11:$Q319,AM$4,AM$5)"),"")</f>
        <v/>
      </c>
      <c r="AN243" s="529"/>
      <c r="AO24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5-3'!$D$11:$Q319,AO$4,AO$5)"),"")</f>
        <v/>
      </c>
      <c r="AP243" s="527"/>
      <c r="AQ243" s="527"/>
      <c r="AR243" s="527"/>
      <c r="AS243" s="527"/>
      <c r="AT2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5-3'!$D$11:$Q319,AT$4,AT$5)"),"")</f>
        <v/>
      </c>
      <c r="AU243" s="531"/>
      <c r="AV2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5-3'!$D$11:$Q319,AV$4,AV$5)"),"")</f>
        <v/>
      </c>
      <c r="AW243" s="530"/>
      <c r="AX2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5-3'!$D$11:$Q319,AX$4,AX$5)"),"")</f>
        <v/>
      </c>
      <c r="AY243" s="530"/>
      <c r="AZ2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5-3'!$D$11:$Q319,AZ$4,AZ$5)"),"")</f>
        <v/>
      </c>
      <c r="BA243" s="530"/>
      <c r="BB2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5-3'!$D$11:$Q319,BB$4,BB$5)"),"")</f>
        <v/>
      </c>
      <c r="BC243" s="532"/>
      <c r="BD24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5-3'!$D$11:$Q319,BD$4,BD$5)"),"")</f>
        <v/>
      </c>
      <c r="BE243" s="530"/>
      <c r="BF243" s="530"/>
      <c r="BG243" s="530"/>
      <c r="BH243" s="530"/>
      <c r="BI2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5-3'!$D$11:$Q319,BI$4,BI$5)"),"")</f>
        <v/>
      </c>
      <c r="BJ243" s="535"/>
      <c r="BK2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5-3'!$D$11:$Q319,BK$4,BK$5)"),"")</f>
        <v/>
      </c>
      <c r="BL243" s="534"/>
      <c r="BM2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5-3'!$D$11:$Q319,BM$4,BM$5)"),"")</f>
        <v/>
      </c>
      <c r="BN243" s="534"/>
      <c r="BO2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5-3'!$D$11:$Q319,BO$4,BO$5)"),"")</f>
        <v/>
      </c>
      <c r="BP243" s="534"/>
      <c r="BQ2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5-3'!$D$11:$Q319,BQ$4,BQ$5)"),"")</f>
        <v/>
      </c>
      <c r="BR243" s="536"/>
      <c r="BS24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5-3'!$D$11:$Q319,BS$4,BS$5)"),"")</f>
        <v/>
      </c>
      <c r="BT243" s="534"/>
      <c r="BU243" s="534"/>
      <c r="BV243" s="534"/>
      <c r="BW243" s="534"/>
      <c r="BX2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5-3'!$D$11:$Q319,BX$4,BX$5)"),"")</f>
        <v/>
      </c>
      <c r="BY243" s="538"/>
      <c r="BZ2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5-3'!$D$11:$Q319,BZ$4,BZ$5)"),"")</f>
        <v/>
      </c>
      <c r="CA243" s="537"/>
      <c r="CB2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5-3'!$D$11:$Q319,CB$4,CB$5)"),"")</f>
        <v/>
      </c>
      <c r="CC243" s="537"/>
      <c r="CD2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5-3'!$D$11:$Q319,CD$4,CD$5)"),"")</f>
        <v/>
      </c>
      <c r="CE243" s="537"/>
      <c r="CF2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5-3'!$D$11:$Q319,CF$4,CF$5)"),"")</f>
        <v/>
      </c>
      <c r="CG243" s="539"/>
      <c r="CH24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5-3'!$D$11:$Q319,CH$4,CH$5)"),"")</f>
        <v/>
      </c>
      <c r="CI243" s="537"/>
      <c r="CJ243" s="537"/>
      <c r="CK243" s="537"/>
      <c r="CL243" s="537"/>
      <c r="CM2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5-3'!$D$11:$Q319,CM$4,CM$5)"),"")</f>
        <v/>
      </c>
      <c r="CN243" s="541"/>
      <c r="CO2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5-3'!$D$11:$Q319,CO$4,CO$5)"),"")</f>
        <v/>
      </c>
      <c r="CP243" s="540"/>
      <c r="CQ2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5-3'!$D$11:$Q319,CQ$4,CQ$5)"),"")</f>
        <v/>
      </c>
      <c r="CR243" s="540"/>
      <c r="CS2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5-3'!$D$11:$Q319,CS$4,CS$5)"),"")</f>
        <v/>
      </c>
      <c r="CT243" s="540"/>
      <c r="CU2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5-3'!$D$11:$Q319,CU$4,CU$5)"),"")</f>
        <v/>
      </c>
      <c r="CV243" s="545"/>
      <c r="CW24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5-3'!$D$11:$Q319,CW$4,CW$5)"),"")</f>
        <v/>
      </c>
      <c r="CX243" s="540"/>
      <c r="CY243" s="540"/>
      <c r="CZ243" s="540"/>
      <c r="DA243" s="540"/>
      <c r="DB2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5-3'!$D$11:$Q319,DB$4,DB$5)"),"")</f>
        <v/>
      </c>
      <c r="DC243" s="555"/>
      <c r="DD2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5-3'!$D$11:$Q319,DD$4,DD$5)"),"")</f>
        <v/>
      </c>
      <c r="DE243" s="554"/>
      <c r="DF2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5-3'!$D$11:$Q319,DF$4,DF$5)"),"")</f>
        <v/>
      </c>
      <c r="DG243" s="554"/>
      <c r="DH2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5-3'!$D$11:$Q319,DH$4,DH$5)"),"")</f>
        <v/>
      </c>
      <c r="DI243" s="554"/>
      <c r="DJ2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5-3'!$D$11:$Q319,DJ$4,DJ$5)"),"")</f>
        <v/>
      </c>
      <c r="DK243" s="566"/>
      <c r="DL24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5-3'!$D$11:$Q319,DL$4,DL$5)"),"")</f>
        <v/>
      </c>
      <c r="DM243" s="554"/>
      <c r="DN243" s="554"/>
      <c r="DO243" s="554"/>
      <c r="DP243" s="554"/>
      <c r="DQ2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5-3'!$D$11:$Q319,DQ$4,DQ$5)"),"")</f>
        <v/>
      </c>
      <c r="DR243" s="569"/>
      <c r="DS2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5-3'!$D$11:$Q319,DS$4,DS$5)"),"")</f>
        <v/>
      </c>
      <c r="DT243" s="568"/>
      <c r="DU2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5-3'!$D$11:$Q319,DU$4,DU$5)"),"")</f>
        <v/>
      </c>
      <c r="DV243" s="568"/>
      <c r="DW2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5-3'!$D$11:$Q319,DW$4,DW$5)"),"")</f>
        <v/>
      </c>
      <c r="DX243" s="568"/>
      <c r="DY2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5-3'!$D$11:$Q319,DY$4,DY$5)"),"")</f>
        <v/>
      </c>
      <c r="DZ243" s="578"/>
      <c r="EA24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$C243, 'S-10 Топ 5-3'!$D$11:$Q319,EA$4,EA$5)"),"")</f>
        <v/>
      </c>
      <c r="EB243" s="568"/>
      <c r="EC243" s="568"/>
      <c r="ED243" s="568"/>
      <c r="EE243" s="568"/>
    </row>
    <row r="244">
      <c r="A244" s="519" t="str">
        <f t="shared" si="1"/>
        <v/>
      </c>
      <c r="B244" s="520" t="str">
        <f>'5-0 Товары'!B244</f>
        <v/>
      </c>
      <c r="C244" s="521" t="str">
        <f>'5-1 Сбор КП Закупки'!C244</f>
        <v/>
      </c>
      <c r="D244" s="521" t="str">
        <f>'5-1 Сбор КП Закупки'!D244</f>
        <v/>
      </c>
      <c r="E244" s="521" t="str">
        <f>'5-1 Сбор КП Закупки'!E244</f>
        <v/>
      </c>
      <c r="F244" s="521" t="str">
        <f>'5-1 Сбор КП Закупки'!F244</f>
        <v/>
      </c>
      <c r="G244" s="522" t="str">
        <f>'5-1 Сбор КП Закупки'!G244</f>
        <v/>
      </c>
      <c r="H244" s="522" t="str">
        <f>'5-1 Сбор КП Закупки'!H244</f>
        <v/>
      </c>
      <c r="I244" s="522" t="str">
        <f>'5-1 Сбор КП Закупки'!I244</f>
        <v/>
      </c>
      <c r="J244" s="197"/>
      <c r="K244" s="522" t="str">
        <f>'5-1 Сбор КП Закупки'!G244</f>
        <v/>
      </c>
      <c r="L244" s="523" t="str">
        <f>IF(A244="Да",'5-1 Сбор КП Закупки'!K244,)</f>
        <v/>
      </c>
      <c r="M244" s="197"/>
      <c r="N244" s="197"/>
      <c r="O244" s="197"/>
      <c r="P244" s="525" t="str">
        <f>'5-1 Сбор КП Закупки'!P244</f>
        <v/>
      </c>
      <c r="Q244" s="197"/>
      <c r="R244" s="197"/>
      <c r="S244" s="197"/>
      <c r="T244" s="197"/>
      <c r="U244" s="197"/>
      <c r="V244" s="197"/>
      <c r="W244" s="522" t="str">
        <f>'5-1 Сбор КП Закупки'!O244</f>
        <v/>
      </c>
      <c r="X244" s="197"/>
      <c r="Y244" s="197"/>
      <c r="Z244" s="197"/>
      <c r="AA244" s="197"/>
      <c r="AB244" s="197">
        <v>0.0</v>
      </c>
      <c r="AC244" s="197"/>
      <c r="AD244" s="197"/>
      <c r="AE2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5-3'!$D$11:$Q319,AE$4,AE$5)"),"")</f>
        <v/>
      </c>
      <c r="AF244" s="528"/>
      <c r="AG2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5-3'!$D$11:$Q319,AG$4,AG$5)"),"")</f>
        <v/>
      </c>
      <c r="AH244" s="527"/>
      <c r="AI2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5-3'!$D$11:$Q319,AI$4,AI$5)"),"")</f>
        <v/>
      </c>
      <c r="AJ244" s="527"/>
      <c r="AK2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5-3'!$D$11:$Q319,AK$4,AK$5)"),"")</f>
        <v/>
      </c>
      <c r="AL244" s="527"/>
      <c r="AM2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5-3'!$D$11:$Q319,AM$4,AM$5)"),"")</f>
        <v/>
      </c>
      <c r="AN244" s="529"/>
      <c r="AO24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5-3'!$D$11:$Q319,AO$4,AO$5)"),"")</f>
        <v/>
      </c>
      <c r="AP244" s="527"/>
      <c r="AQ244" s="527"/>
      <c r="AR244" s="527"/>
      <c r="AS244" s="527"/>
      <c r="AT2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5-3'!$D$11:$Q319,AT$4,AT$5)"),"")</f>
        <v/>
      </c>
      <c r="AU244" s="531"/>
      <c r="AV2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5-3'!$D$11:$Q319,AV$4,AV$5)"),"")</f>
        <v/>
      </c>
      <c r="AW244" s="530"/>
      <c r="AX2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5-3'!$D$11:$Q319,AX$4,AX$5)"),"")</f>
        <v/>
      </c>
      <c r="AY244" s="530"/>
      <c r="AZ2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5-3'!$D$11:$Q319,AZ$4,AZ$5)"),"")</f>
        <v/>
      </c>
      <c r="BA244" s="530"/>
      <c r="BB2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5-3'!$D$11:$Q319,BB$4,BB$5)"),"")</f>
        <v/>
      </c>
      <c r="BC244" s="532"/>
      <c r="BD24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5-3'!$D$11:$Q319,BD$4,BD$5)"),"")</f>
        <v/>
      </c>
      <c r="BE244" s="530"/>
      <c r="BF244" s="530"/>
      <c r="BG244" s="530"/>
      <c r="BH244" s="530"/>
      <c r="BI2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5-3'!$D$11:$Q319,BI$4,BI$5)"),"")</f>
        <v/>
      </c>
      <c r="BJ244" s="535"/>
      <c r="BK2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5-3'!$D$11:$Q319,BK$4,BK$5)"),"")</f>
        <v/>
      </c>
      <c r="BL244" s="534"/>
      <c r="BM2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5-3'!$D$11:$Q319,BM$4,BM$5)"),"")</f>
        <v/>
      </c>
      <c r="BN244" s="534"/>
      <c r="BO2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5-3'!$D$11:$Q319,BO$4,BO$5)"),"")</f>
        <v/>
      </c>
      <c r="BP244" s="534"/>
      <c r="BQ2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5-3'!$D$11:$Q319,BQ$4,BQ$5)"),"")</f>
        <v/>
      </c>
      <c r="BR244" s="536"/>
      <c r="BS24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5-3'!$D$11:$Q319,BS$4,BS$5)"),"")</f>
        <v/>
      </c>
      <c r="BT244" s="534"/>
      <c r="BU244" s="534"/>
      <c r="BV244" s="534"/>
      <c r="BW244" s="534"/>
      <c r="BX2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5-3'!$D$11:$Q319,BX$4,BX$5)"),"")</f>
        <v/>
      </c>
      <c r="BY244" s="538"/>
      <c r="BZ2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5-3'!$D$11:$Q319,BZ$4,BZ$5)"),"")</f>
        <v/>
      </c>
      <c r="CA244" s="537"/>
      <c r="CB2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5-3'!$D$11:$Q319,CB$4,CB$5)"),"")</f>
        <v/>
      </c>
      <c r="CC244" s="537"/>
      <c r="CD2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5-3'!$D$11:$Q319,CD$4,CD$5)"),"")</f>
        <v/>
      </c>
      <c r="CE244" s="537"/>
      <c r="CF2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5-3'!$D$11:$Q319,CF$4,CF$5)"),"")</f>
        <v/>
      </c>
      <c r="CG244" s="539"/>
      <c r="CH24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5-3'!$D$11:$Q319,CH$4,CH$5)"),"")</f>
        <v/>
      </c>
      <c r="CI244" s="537"/>
      <c r="CJ244" s="537"/>
      <c r="CK244" s="537"/>
      <c r="CL244" s="537"/>
      <c r="CM2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5-3'!$D$11:$Q319,CM$4,CM$5)"),"")</f>
        <v/>
      </c>
      <c r="CN244" s="541"/>
      <c r="CO2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5-3'!$D$11:$Q319,CO$4,CO$5)"),"")</f>
        <v/>
      </c>
      <c r="CP244" s="540"/>
      <c r="CQ2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5-3'!$D$11:$Q319,CQ$4,CQ$5)"),"")</f>
        <v/>
      </c>
      <c r="CR244" s="540"/>
      <c r="CS2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5-3'!$D$11:$Q319,CS$4,CS$5)"),"")</f>
        <v/>
      </c>
      <c r="CT244" s="540"/>
      <c r="CU2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5-3'!$D$11:$Q319,CU$4,CU$5)"),"")</f>
        <v/>
      </c>
      <c r="CV244" s="545"/>
      <c r="CW24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5-3'!$D$11:$Q319,CW$4,CW$5)"),"")</f>
        <v/>
      </c>
      <c r="CX244" s="540"/>
      <c r="CY244" s="540"/>
      <c r="CZ244" s="540"/>
      <c r="DA244" s="540"/>
      <c r="DB2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5-3'!$D$11:$Q319,DB$4,DB$5)"),"")</f>
        <v/>
      </c>
      <c r="DC244" s="555"/>
      <c r="DD2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5-3'!$D$11:$Q319,DD$4,DD$5)"),"")</f>
        <v/>
      </c>
      <c r="DE244" s="554"/>
      <c r="DF2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5-3'!$D$11:$Q319,DF$4,DF$5)"),"")</f>
        <v/>
      </c>
      <c r="DG244" s="554"/>
      <c r="DH2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5-3'!$D$11:$Q319,DH$4,DH$5)"),"")</f>
        <v/>
      </c>
      <c r="DI244" s="554"/>
      <c r="DJ2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5-3'!$D$11:$Q319,DJ$4,DJ$5)"),"")</f>
        <v/>
      </c>
      <c r="DK244" s="566"/>
      <c r="DL24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5-3'!$D$11:$Q319,DL$4,DL$5)"),"")</f>
        <v/>
      </c>
      <c r="DM244" s="554"/>
      <c r="DN244" s="554"/>
      <c r="DO244" s="554"/>
      <c r="DP244" s="554"/>
      <c r="DQ2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5-3'!$D$11:$Q319,DQ$4,DQ$5)"),"")</f>
        <v/>
      </c>
      <c r="DR244" s="569"/>
      <c r="DS2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5-3'!$D$11:$Q319,DS$4,DS$5)"),"")</f>
        <v/>
      </c>
      <c r="DT244" s="568"/>
      <c r="DU2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5-3'!$D$11:$Q319,DU$4,DU$5)"),"")</f>
        <v/>
      </c>
      <c r="DV244" s="568"/>
      <c r="DW2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5-3'!$D$11:$Q319,DW$4,DW$5)"),"")</f>
        <v/>
      </c>
      <c r="DX244" s="568"/>
      <c r="DY2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5-3'!$D$11:$Q319,DY$4,DY$5)"),"")</f>
        <v/>
      </c>
      <c r="DZ244" s="578"/>
      <c r="EA24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$C244, 'S-10 Топ 5-3'!$D$11:$Q319,EA$4,EA$5)"),"")</f>
        <v/>
      </c>
      <c r="EB244" s="568"/>
      <c r="EC244" s="568"/>
      <c r="ED244" s="568"/>
      <c r="EE244" s="568"/>
    </row>
    <row r="245">
      <c r="A245" s="519" t="str">
        <f t="shared" si="1"/>
        <v/>
      </c>
      <c r="B245" s="520" t="str">
        <f>'5-0 Товары'!B245</f>
        <v/>
      </c>
      <c r="C245" s="521" t="str">
        <f>'5-1 Сбор КП Закупки'!C245</f>
        <v/>
      </c>
      <c r="D245" s="521" t="str">
        <f>'5-1 Сбор КП Закупки'!D245</f>
        <v/>
      </c>
      <c r="E245" s="521" t="str">
        <f>'5-1 Сбор КП Закупки'!E245</f>
        <v/>
      </c>
      <c r="F245" s="521" t="str">
        <f>'5-1 Сбор КП Закупки'!F245</f>
        <v/>
      </c>
      <c r="G245" s="522" t="str">
        <f>'5-1 Сбор КП Закупки'!G245</f>
        <v/>
      </c>
      <c r="H245" s="522" t="str">
        <f>'5-1 Сбор КП Закупки'!H245</f>
        <v/>
      </c>
      <c r="I245" s="522" t="str">
        <f>'5-1 Сбор КП Закупки'!I245</f>
        <v/>
      </c>
      <c r="J245" s="197"/>
      <c r="K245" s="522" t="str">
        <f>'5-1 Сбор КП Закупки'!G245</f>
        <v/>
      </c>
      <c r="L245" s="523" t="str">
        <f>IF(A245="Да",'5-1 Сбор КП Закупки'!K245,)</f>
        <v/>
      </c>
      <c r="M245" s="197"/>
      <c r="N245" s="197"/>
      <c r="O245" s="197"/>
      <c r="P245" s="525" t="str">
        <f>'5-1 Сбор КП Закупки'!P245</f>
        <v/>
      </c>
      <c r="Q245" s="197"/>
      <c r="R245" s="197"/>
      <c r="S245" s="197"/>
      <c r="T245" s="197"/>
      <c r="U245" s="197"/>
      <c r="V245" s="197"/>
      <c r="W245" s="522" t="str">
        <f>'5-1 Сбор КП Закупки'!O245</f>
        <v/>
      </c>
      <c r="X245" s="197"/>
      <c r="Y245" s="197"/>
      <c r="Z245" s="197"/>
      <c r="AA245" s="197"/>
      <c r="AB245" s="197">
        <v>0.0</v>
      </c>
      <c r="AC245" s="197"/>
      <c r="AD245" s="197"/>
      <c r="AE2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5-3'!$D$11:$Q319,AE$4,AE$5)"),"")</f>
        <v/>
      </c>
      <c r="AF245" s="528"/>
      <c r="AG2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5-3'!$D$11:$Q319,AG$4,AG$5)"),"")</f>
        <v/>
      </c>
      <c r="AH245" s="527"/>
      <c r="AI2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5-3'!$D$11:$Q319,AI$4,AI$5)"),"")</f>
        <v/>
      </c>
      <c r="AJ245" s="527"/>
      <c r="AK2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5-3'!$D$11:$Q319,AK$4,AK$5)"),"")</f>
        <v/>
      </c>
      <c r="AL245" s="527"/>
      <c r="AM2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5-3'!$D$11:$Q319,AM$4,AM$5)"),"")</f>
        <v/>
      </c>
      <c r="AN245" s="529"/>
      <c r="AO24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5-3'!$D$11:$Q319,AO$4,AO$5)"),"")</f>
        <v/>
      </c>
      <c r="AP245" s="527"/>
      <c r="AQ245" s="527"/>
      <c r="AR245" s="527"/>
      <c r="AS245" s="527"/>
      <c r="AT2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5-3'!$D$11:$Q319,AT$4,AT$5)"),"")</f>
        <v/>
      </c>
      <c r="AU245" s="531"/>
      <c r="AV2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5-3'!$D$11:$Q319,AV$4,AV$5)"),"")</f>
        <v/>
      </c>
      <c r="AW245" s="530"/>
      <c r="AX2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5-3'!$D$11:$Q319,AX$4,AX$5)"),"")</f>
        <v/>
      </c>
      <c r="AY245" s="530"/>
      <c r="AZ2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5-3'!$D$11:$Q319,AZ$4,AZ$5)"),"")</f>
        <v/>
      </c>
      <c r="BA245" s="530"/>
      <c r="BB2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5-3'!$D$11:$Q319,BB$4,BB$5)"),"")</f>
        <v/>
      </c>
      <c r="BC245" s="532"/>
      <c r="BD24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5-3'!$D$11:$Q319,BD$4,BD$5)"),"")</f>
        <v/>
      </c>
      <c r="BE245" s="530"/>
      <c r="BF245" s="530"/>
      <c r="BG245" s="530"/>
      <c r="BH245" s="530"/>
      <c r="BI2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5-3'!$D$11:$Q319,BI$4,BI$5)"),"")</f>
        <v/>
      </c>
      <c r="BJ245" s="535"/>
      <c r="BK2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5-3'!$D$11:$Q319,BK$4,BK$5)"),"")</f>
        <v/>
      </c>
      <c r="BL245" s="534"/>
      <c r="BM2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5-3'!$D$11:$Q319,BM$4,BM$5)"),"")</f>
        <v/>
      </c>
      <c r="BN245" s="534"/>
      <c r="BO2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5-3'!$D$11:$Q319,BO$4,BO$5)"),"")</f>
        <v/>
      </c>
      <c r="BP245" s="534"/>
      <c r="BQ2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5-3'!$D$11:$Q319,BQ$4,BQ$5)"),"")</f>
        <v/>
      </c>
      <c r="BR245" s="536"/>
      <c r="BS24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5-3'!$D$11:$Q319,BS$4,BS$5)"),"")</f>
        <v/>
      </c>
      <c r="BT245" s="534"/>
      <c r="BU245" s="534"/>
      <c r="BV245" s="534"/>
      <c r="BW245" s="534"/>
      <c r="BX2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5-3'!$D$11:$Q319,BX$4,BX$5)"),"")</f>
        <v/>
      </c>
      <c r="BY245" s="538"/>
      <c r="BZ2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5-3'!$D$11:$Q319,BZ$4,BZ$5)"),"")</f>
        <v/>
      </c>
      <c r="CA245" s="537"/>
      <c r="CB2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5-3'!$D$11:$Q319,CB$4,CB$5)"),"")</f>
        <v/>
      </c>
      <c r="CC245" s="537"/>
      <c r="CD2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5-3'!$D$11:$Q319,CD$4,CD$5)"),"")</f>
        <v/>
      </c>
      <c r="CE245" s="537"/>
      <c r="CF2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5-3'!$D$11:$Q319,CF$4,CF$5)"),"")</f>
        <v/>
      </c>
      <c r="CG245" s="539"/>
      <c r="CH24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5-3'!$D$11:$Q319,CH$4,CH$5)"),"")</f>
        <v/>
      </c>
      <c r="CI245" s="537"/>
      <c r="CJ245" s="537"/>
      <c r="CK245" s="537"/>
      <c r="CL245" s="537"/>
      <c r="CM2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5-3'!$D$11:$Q319,CM$4,CM$5)"),"")</f>
        <v/>
      </c>
      <c r="CN245" s="541"/>
      <c r="CO2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5-3'!$D$11:$Q319,CO$4,CO$5)"),"")</f>
        <v/>
      </c>
      <c r="CP245" s="540"/>
      <c r="CQ2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5-3'!$D$11:$Q319,CQ$4,CQ$5)"),"")</f>
        <v/>
      </c>
      <c r="CR245" s="540"/>
      <c r="CS2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5-3'!$D$11:$Q319,CS$4,CS$5)"),"")</f>
        <v/>
      </c>
      <c r="CT245" s="540"/>
      <c r="CU2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5-3'!$D$11:$Q319,CU$4,CU$5)"),"")</f>
        <v/>
      </c>
      <c r="CV245" s="545"/>
      <c r="CW24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5-3'!$D$11:$Q319,CW$4,CW$5)"),"")</f>
        <v/>
      </c>
      <c r="CX245" s="540"/>
      <c r="CY245" s="540"/>
      <c r="CZ245" s="540"/>
      <c r="DA245" s="540"/>
      <c r="DB2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5-3'!$D$11:$Q319,DB$4,DB$5)"),"")</f>
        <v/>
      </c>
      <c r="DC245" s="555"/>
      <c r="DD2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5-3'!$D$11:$Q319,DD$4,DD$5)"),"")</f>
        <v/>
      </c>
      <c r="DE245" s="554"/>
      <c r="DF2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5-3'!$D$11:$Q319,DF$4,DF$5)"),"")</f>
        <v/>
      </c>
      <c r="DG245" s="554"/>
      <c r="DH2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5-3'!$D$11:$Q319,DH$4,DH$5)"),"")</f>
        <v/>
      </c>
      <c r="DI245" s="554"/>
      <c r="DJ2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5-3'!$D$11:$Q319,DJ$4,DJ$5)"),"")</f>
        <v/>
      </c>
      <c r="DK245" s="566"/>
      <c r="DL24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5-3'!$D$11:$Q319,DL$4,DL$5)"),"")</f>
        <v/>
      </c>
      <c r="DM245" s="554"/>
      <c r="DN245" s="554"/>
      <c r="DO245" s="554"/>
      <c r="DP245" s="554"/>
      <c r="DQ2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5-3'!$D$11:$Q319,DQ$4,DQ$5)"),"")</f>
        <v/>
      </c>
      <c r="DR245" s="569"/>
      <c r="DS2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5-3'!$D$11:$Q319,DS$4,DS$5)"),"")</f>
        <v/>
      </c>
      <c r="DT245" s="568"/>
      <c r="DU2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5-3'!$D$11:$Q319,DU$4,DU$5)"),"")</f>
        <v/>
      </c>
      <c r="DV245" s="568"/>
      <c r="DW2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5-3'!$D$11:$Q319,DW$4,DW$5)"),"")</f>
        <v/>
      </c>
      <c r="DX245" s="568"/>
      <c r="DY2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5-3'!$D$11:$Q319,DY$4,DY$5)"),"")</f>
        <v/>
      </c>
      <c r="DZ245" s="578"/>
      <c r="EA24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$C245, 'S-10 Топ 5-3'!$D$11:$Q319,EA$4,EA$5)"),"")</f>
        <v/>
      </c>
      <c r="EB245" s="568"/>
      <c r="EC245" s="568"/>
      <c r="ED245" s="568"/>
      <c r="EE245" s="568"/>
    </row>
    <row r="246">
      <c r="A246" s="519" t="str">
        <f t="shared" si="1"/>
        <v/>
      </c>
      <c r="B246" s="520" t="str">
        <f>'5-0 Товары'!B246</f>
        <v/>
      </c>
      <c r="C246" s="521" t="str">
        <f>'5-1 Сбор КП Закупки'!C246</f>
        <v/>
      </c>
      <c r="D246" s="521" t="str">
        <f>'5-1 Сбор КП Закупки'!D246</f>
        <v/>
      </c>
      <c r="E246" s="521" t="str">
        <f>'5-1 Сбор КП Закупки'!E246</f>
        <v/>
      </c>
      <c r="F246" s="521" t="str">
        <f>'5-1 Сбор КП Закупки'!F246</f>
        <v/>
      </c>
      <c r="G246" s="522" t="str">
        <f>'5-1 Сбор КП Закупки'!G246</f>
        <v/>
      </c>
      <c r="H246" s="522" t="str">
        <f>'5-1 Сбор КП Закупки'!H246</f>
        <v/>
      </c>
      <c r="I246" s="522" t="str">
        <f>'5-1 Сбор КП Закупки'!I246</f>
        <v/>
      </c>
      <c r="J246" s="197"/>
      <c r="K246" s="522" t="str">
        <f>'5-1 Сбор КП Закупки'!G246</f>
        <v/>
      </c>
      <c r="L246" s="523" t="str">
        <f>IF(A246="Да",'5-1 Сбор КП Закупки'!K246,)</f>
        <v/>
      </c>
      <c r="M246" s="197"/>
      <c r="N246" s="197"/>
      <c r="O246" s="197"/>
      <c r="P246" s="525" t="str">
        <f>'5-1 Сбор КП Закупки'!P246</f>
        <v/>
      </c>
      <c r="Q246" s="197"/>
      <c r="R246" s="197"/>
      <c r="S246" s="197"/>
      <c r="T246" s="197"/>
      <c r="U246" s="197"/>
      <c r="V246" s="197"/>
      <c r="W246" s="522" t="str">
        <f>'5-1 Сбор КП Закупки'!O246</f>
        <v/>
      </c>
      <c r="X246" s="197"/>
      <c r="Y246" s="197"/>
      <c r="Z246" s="197"/>
      <c r="AA246" s="197"/>
      <c r="AB246" s="197">
        <v>0.0</v>
      </c>
      <c r="AC246" s="197"/>
      <c r="AD246" s="197"/>
      <c r="AE2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5-3'!$D$11:$Q319,AE$4,AE$5)"),"")</f>
        <v/>
      </c>
      <c r="AF246" s="528"/>
      <c r="AG2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5-3'!$D$11:$Q319,AG$4,AG$5)"),"")</f>
        <v/>
      </c>
      <c r="AH246" s="527"/>
      <c r="AI2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5-3'!$D$11:$Q319,AI$4,AI$5)"),"")</f>
        <v/>
      </c>
      <c r="AJ246" s="527"/>
      <c r="AK2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5-3'!$D$11:$Q319,AK$4,AK$5)"),"")</f>
        <v/>
      </c>
      <c r="AL246" s="527"/>
      <c r="AM2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5-3'!$D$11:$Q319,AM$4,AM$5)"),"")</f>
        <v/>
      </c>
      <c r="AN246" s="529"/>
      <c r="AO24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5-3'!$D$11:$Q319,AO$4,AO$5)"),"")</f>
        <v/>
      </c>
      <c r="AP246" s="527"/>
      <c r="AQ246" s="527"/>
      <c r="AR246" s="527"/>
      <c r="AS246" s="527"/>
      <c r="AT2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5-3'!$D$11:$Q319,AT$4,AT$5)"),"")</f>
        <v/>
      </c>
      <c r="AU246" s="531"/>
      <c r="AV2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5-3'!$D$11:$Q319,AV$4,AV$5)"),"")</f>
        <v/>
      </c>
      <c r="AW246" s="530"/>
      <c r="AX2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5-3'!$D$11:$Q319,AX$4,AX$5)"),"")</f>
        <v/>
      </c>
      <c r="AY246" s="530"/>
      <c r="AZ2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5-3'!$D$11:$Q319,AZ$4,AZ$5)"),"")</f>
        <v/>
      </c>
      <c r="BA246" s="530"/>
      <c r="BB2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5-3'!$D$11:$Q319,BB$4,BB$5)"),"")</f>
        <v/>
      </c>
      <c r="BC246" s="532"/>
      <c r="BD24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5-3'!$D$11:$Q319,BD$4,BD$5)"),"")</f>
        <v/>
      </c>
      <c r="BE246" s="530"/>
      <c r="BF246" s="530"/>
      <c r="BG246" s="530"/>
      <c r="BH246" s="530"/>
      <c r="BI2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5-3'!$D$11:$Q319,BI$4,BI$5)"),"")</f>
        <v/>
      </c>
      <c r="BJ246" s="535"/>
      <c r="BK2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5-3'!$D$11:$Q319,BK$4,BK$5)"),"")</f>
        <v/>
      </c>
      <c r="BL246" s="534"/>
      <c r="BM2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5-3'!$D$11:$Q319,BM$4,BM$5)"),"")</f>
        <v/>
      </c>
      <c r="BN246" s="534"/>
      <c r="BO2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5-3'!$D$11:$Q319,BO$4,BO$5)"),"")</f>
        <v/>
      </c>
      <c r="BP246" s="534"/>
      <c r="BQ2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5-3'!$D$11:$Q319,BQ$4,BQ$5)"),"")</f>
        <v/>
      </c>
      <c r="BR246" s="536"/>
      <c r="BS24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5-3'!$D$11:$Q319,BS$4,BS$5)"),"")</f>
        <v/>
      </c>
      <c r="BT246" s="534"/>
      <c r="BU246" s="534"/>
      <c r="BV246" s="534"/>
      <c r="BW246" s="534"/>
      <c r="BX2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5-3'!$D$11:$Q319,BX$4,BX$5)"),"")</f>
        <v/>
      </c>
      <c r="BY246" s="538"/>
      <c r="BZ2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5-3'!$D$11:$Q319,BZ$4,BZ$5)"),"")</f>
        <v/>
      </c>
      <c r="CA246" s="537"/>
      <c r="CB2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5-3'!$D$11:$Q319,CB$4,CB$5)"),"")</f>
        <v/>
      </c>
      <c r="CC246" s="537"/>
      <c r="CD2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5-3'!$D$11:$Q319,CD$4,CD$5)"),"")</f>
        <v/>
      </c>
      <c r="CE246" s="537"/>
      <c r="CF2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5-3'!$D$11:$Q319,CF$4,CF$5)"),"")</f>
        <v/>
      </c>
      <c r="CG246" s="539"/>
      <c r="CH24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5-3'!$D$11:$Q319,CH$4,CH$5)"),"")</f>
        <v/>
      </c>
      <c r="CI246" s="537"/>
      <c r="CJ246" s="537"/>
      <c r="CK246" s="537"/>
      <c r="CL246" s="537"/>
      <c r="CM2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5-3'!$D$11:$Q319,CM$4,CM$5)"),"")</f>
        <v/>
      </c>
      <c r="CN246" s="541"/>
      <c r="CO2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5-3'!$D$11:$Q319,CO$4,CO$5)"),"")</f>
        <v/>
      </c>
      <c r="CP246" s="540"/>
      <c r="CQ2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5-3'!$D$11:$Q319,CQ$4,CQ$5)"),"")</f>
        <v/>
      </c>
      <c r="CR246" s="540"/>
      <c r="CS2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5-3'!$D$11:$Q319,CS$4,CS$5)"),"")</f>
        <v/>
      </c>
      <c r="CT246" s="540"/>
      <c r="CU2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5-3'!$D$11:$Q319,CU$4,CU$5)"),"")</f>
        <v/>
      </c>
      <c r="CV246" s="545"/>
      <c r="CW24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5-3'!$D$11:$Q319,CW$4,CW$5)"),"")</f>
        <v/>
      </c>
      <c r="CX246" s="540"/>
      <c r="CY246" s="540"/>
      <c r="CZ246" s="540"/>
      <c r="DA246" s="540"/>
      <c r="DB2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5-3'!$D$11:$Q319,DB$4,DB$5)"),"")</f>
        <v/>
      </c>
      <c r="DC246" s="555"/>
      <c r="DD2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5-3'!$D$11:$Q319,DD$4,DD$5)"),"")</f>
        <v/>
      </c>
      <c r="DE246" s="554"/>
      <c r="DF2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5-3'!$D$11:$Q319,DF$4,DF$5)"),"")</f>
        <v/>
      </c>
      <c r="DG246" s="554"/>
      <c r="DH2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5-3'!$D$11:$Q319,DH$4,DH$5)"),"")</f>
        <v/>
      </c>
      <c r="DI246" s="554"/>
      <c r="DJ2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5-3'!$D$11:$Q319,DJ$4,DJ$5)"),"")</f>
        <v/>
      </c>
      <c r="DK246" s="566"/>
      <c r="DL24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5-3'!$D$11:$Q319,DL$4,DL$5)"),"")</f>
        <v/>
      </c>
      <c r="DM246" s="554"/>
      <c r="DN246" s="554"/>
      <c r="DO246" s="554"/>
      <c r="DP246" s="554"/>
      <c r="DQ2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5-3'!$D$11:$Q319,DQ$4,DQ$5)"),"")</f>
        <v/>
      </c>
      <c r="DR246" s="569"/>
      <c r="DS2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5-3'!$D$11:$Q319,DS$4,DS$5)"),"")</f>
        <v/>
      </c>
      <c r="DT246" s="568"/>
      <c r="DU2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5-3'!$D$11:$Q319,DU$4,DU$5)"),"")</f>
        <v/>
      </c>
      <c r="DV246" s="568"/>
      <c r="DW2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5-3'!$D$11:$Q319,DW$4,DW$5)"),"")</f>
        <v/>
      </c>
      <c r="DX246" s="568"/>
      <c r="DY2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5-3'!$D$11:$Q319,DY$4,DY$5)"),"")</f>
        <v/>
      </c>
      <c r="DZ246" s="578"/>
      <c r="EA24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$C246, 'S-10 Топ 5-3'!$D$11:$Q319,EA$4,EA$5)"),"")</f>
        <v/>
      </c>
      <c r="EB246" s="568"/>
      <c r="EC246" s="568"/>
      <c r="ED246" s="568"/>
      <c r="EE246" s="568"/>
    </row>
    <row r="247">
      <c r="A247" s="519" t="str">
        <f t="shared" si="1"/>
        <v/>
      </c>
      <c r="B247" s="520" t="str">
        <f>'5-0 Товары'!B247</f>
        <v/>
      </c>
      <c r="C247" s="521" t="str">
        <f>'5-1 Сбор КП Закупки'!C247</f>
        <v/>
      </c>
      <c r="D247" s="521" t="str">
        <f>'5-1 Сбор КП Закупки'!D247</f>
        <v/>
      </c>
      <c r="E247" s="521" t="str">
        <f>'5-1 Сбор КП Закупки'!E247</f>
        <v/>
      </c>
      <c r="F247" s="521" t="str">
        <f>'5-1 Сбор КП Закупки'!F247</f>
        <v/>
      </c>
      <c r="G247" s="522" t="str">
        <f>'5-1 Сбор КП Закупки'!G247</f>
        <v/>
      </c>
      <c r="H247" s="522" t="str">
        <f>'5-1 Сбор КП Закупки'!H247</f>
        <v/>
      </c>
      <c r="I247" s="522" t="str">
        <f>'5-1 Сбор КП Закупки'!I247</f>
        <v/>
      </c>
      <c r="J247" s="197"/>
      <c r="K247" s="522" t="str">
        <f>'5-1 Сбор КП Закупки'!G247</f>
        <v/>
      </c>
      <c r="L247" s="523" t="str">
        <f>IF(A247="Да",'5-1 Сбор КП Закупки'!K247,)</f>
        <v/>
      </c>
      <c r="M247" s="197"/>
      <c r="N247" s="197"/>
      <c r="O247" s="197"/>
      <c r="P247" s="525" t="str">
        <f>'5-1 Сбор КП Закупки'!P247</f>
        <v/>
      </c>
      <c r="Q247" s="197"/>
      <c r="R247" s="197"/>
      <c r="S247" s="197"/>
      <c r="T247" s="197"/>
      <c r="U247" s="197"/>
      <c r="V247" s="197"/>
      <c r="W247" s="522" t="str">
        <f>'5-1 Сбор КП Закупки'!O247</f>
        <v/>
      </c>
      <c r="X247" s="197"/>
      <c r="Y247" s="197"/>
      <c r="Z247" s="197"/>
      <c r="AA247" s="197"/>
      <c r="AB247" s="197">
        <v>0.0</v>
      </c>
      <c r="AC247" s="197"/>
      <c r="AD247" s="197"/>
      <c r="AE2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5-3'!$D$11:$Q319,AE$4,AE$5)"),"")</f>
        <v/>
      </c>
      <c r="AF247" s="528"/>
      <c r="AG2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5-3'!$D$11:$Q319,AG$4,AG$5)"),"")</f>
        <v/>
      </c>
      <c r="AH247" s="527"/>
      <c r="AI2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5-3'!$D$11:$Q319,AI$4,AI$5)"),"")</f>
        <v/>
      </c>
      <c r="AJ247" s="527"/>
      <c r="AK2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5-3'!$D$11:$Q319,AK$4,AK$5)"),"")</f>
        <v/>
      </c>
      <c r="AL247" s="527"/>
      <c r="AM2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5-3'!$D$11:$Q319,AM$4,AM$5)"),"")</f>
        <v/>
      </c>
      <c r="AN247" s="529"/>
      <c r="AO24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5-3'!$D$11:$Q319,AO$4,AO$5)"),"")</f>
        <v/>
      </c>
      <c r="AP247" s="527"/>
      <c r="AQ247" s="527"/>
      <c r="AR247" s="527"/>
      <c r="AS247" s="527"/>
      <c r="AT2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5-3'!$D$11:$Q319,AT$4,AT$5)"),"")</f>
        <v/>
      </c>
      <c r="AU247" s="531"/>
      <c r="AV2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5-3'!$D$11:$Q319,AV$4,AV$5)"),"")</f>
        <v/>
      </c>
      <c r="AW247" s="530"/>
      <c r="AX2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5-3'!$D$11:$Q319,AX$4,AX$5)"),"")</f>
        <v/>
      </c>
      <c r="AY247" s="530"/>
      <c r="AZ2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5-3'!$D$11:$Q319,AZ$4,AZ$5)"),"")</f>
        <v/>
      </c>
      <c r="BA247" s="530"/>
      <c r="BB2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5-3'!$D$11:$Q319,BB$4,BB$5)"),"")</f>
        <v/>
      </c>
      <c r="BC247" s="532"/>
      <c r="BD24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5-3'!$D$11:$Q319,BD$4,BD$5)"),"")</f>
        <v/>
      </c>
      <c r="BE247" s="530"/>
      <c r="BF247" s="530"/>
      <c r="BG247" s="530"/>
      <c r="BH247" s="530"/>
      <c r="BI2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5-3'!$D$11:$Q319,BI$4,BI$5)"),"")</f>
        <v/>
      </c>
      <c r="BJ247" s="535"/>
      <c r="BK2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5-3'!$D$11:$Q319,BK$4,BK$5)"),"")</f>
        <v/>
      </c>
      <c r="BL247" s="534"/>
      <c r="BM2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5-3'!$D$11:$Q319,BM$4,BM$5)"),"")</f>
        <v/>
      </c>
      <c r="BN247" s="534"/>
      <c r="BO2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5-3'!$D$11:$Q319,BO$4,BO$5)"),"")</f>
        <v/>
      </c>
      <c r="BP247" s="534"/>
      <c r="BQ2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5-3'!$D$11:$Q319,BQ$4,BQ$5)"),"")</f>
        <v/>
      </c>
      <c r="BR247" s="536"/>
      <c r="BS24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5-3'!$D$11:$Q319,BS$4,BS$5)"),"")</f>
        <v/>
      </c>
      <c r="BT247" s="534"/>
      <c r="BU247" s="534"/>
      <c r="BV247" s="534"/>
      <c r="BW247" s="534"/>
      <c r="BX2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5-3'!$D$11:$Q319,BX$4,BX$5)"),"")</f>
        <v/>
      </c>
      <c r="BY247" s="538"/>
      <c r="BZ2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5-3'!$D$11:$Q319,BZ$4,BZ$5)"),"")</f>
        <v/>
      </c>
      <c r="CA247" s="537"/>
      <c r="CB2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5-3'!$D$11:$Q319,CB$4,CB$5)"),"")</f>
        <v/>
      </c>
      <c r="CC247" s="537"/>
      <c r="CD2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5-3'!$D$11:$Q319,CD$4,CD$5)"),"")</f>
        <v/>
      </c>
      <c r="CE247" s="537"/>
      <c r="CF2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5-3'!$D$11:$Q319,CF$4,CF$5)"),"")</f>
        <v/>
      </c>
      <c r="CG247" s="539"/>
      <c r="CH24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5-3'!$D$11:$Q319,CH$4,CH$5)"),"")</f>
        <v/>
      </c>
      <c r="CI247" s="537"/>
      <c r="CJ247" s="537"/>
      <c r="CK247" s="537"/>
      <c r="CL247" s="537"/>
      <c r="CM2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5-3'!$D$11:$Q319,CM$4,CM$5)"),"")</f>
        <v/>
      </c>
      <c r="CN247" s="541"/>
      <c r="CO2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5-3'!$D$11:$Q319,CO$4,CO$5)"),"")</f>
        <v/>
      </c>
      <c r="CP247" s="540"/>
      <c r="CQ2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5-3'!$D$11:$Q319,CQ$4,CQ$5)"),"")</f>
        <v/>
      </c>
      <c r="CR247" s="540"/>
      <c r="CS2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5-3'!$D$11:$Q319,CS$4,CS$5)"),"")</f>
        <v/>
      </c>
      <c r="CT247" s="540"/>
      <c r="CU2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5-3'!$D$11:$Q319,CU$4,CU$5)"),"")</f>
        <v/>
      </c>
      <c r="CV247" s="545"/>
      <c r="CW24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5-3'!$D$11:$Q319,CW$4,CW$5)"),"")</f>
        <v/>
      </c>
      <c r="CX247" s="540"/>
      <c r="CY247" s="540"/>
      <c r="CZ247" s="540"/>
      <c r="DA247" s="540"/>
      <c r="DB2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5-3'!$D$11:$Q319,DB$4,DB$5)"),"")</f>
        <v/>
      </c>
      <c r="DC247" s="555"/>
      <c r="DD2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5-3'!$D$11:$Q319,DD$4,DD$5)"),"")</f>
        <v/>
      </c>
      <c r="DE247" s="554"/>
      <c r="DF2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5-3'!$D$11:$Q319,DF$4,DF$5)"),"")</f>
        <v/>
      </c>
      <c r="DG247" s="554"/>
      <c r="DH2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5-3'!$D$11:$Q319,DH$4,DH$5)"),"")</f>
        <v/>
      </c>
      <c r="DI247" s="554"/>
      <c r="DJ2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5-3'!$D$11:$Q319,DJ$4,DJ$5)"),"")</f>
        <v/>
      </c>
      <c r="DK247" s="566"/>
      <c r="DL24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5-3'!$D$11:$Q319,DL$4,DL$5)"),"")</f>
        <v/>
      </c>
      <c r="DM247" s="554"/>
      <c r="DN247" s="554"/>
      <c r="DO247" s="554"/>
      <c r="DP247" s="554"/>
      <c r="DQ2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5-3'!$D$11:$Q319,DQ$4,DQ$5)"),"")</f>
        <v/>
      </c>
      <c r="DR247" s="569"/>
      <c r="DS2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5-3'!$D$11:$Q319,DS$4,DS$5)"),"")</f>
        <v/>
      </c>
      <c r="DT247" s="568"/>
      <c r="DU2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5-3'!$D$11:$Q319,DU$4,DU$5)"),"")</f>
        <v/>
      </c>
      <c r="DV247" s="568"/>
      <c r="DW2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5-3'!$D$11:$Q319,DW$4,DW$5)"),"")</f>
        <v/>
      </c>
      <c r="DX247" s="568"/>
      <c r="DY2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5-3'!$D$11:$Q319,DY$4,DY$5)"),"")</f>
        <v/>
      </c>
      <c r="DZ247" s="578"/>
      <c r="EA24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$C247, 'S-10 Топ 5-3'!$D$11:$Q319,EA$4,EA$5)"),"")</f>
        <v/>
      </c>
      <c r="EB247" s="568"/>
      <c r="EC247" s="568"/>
      <c r="ED247" s="568"/>
      <c r="EE247" s="568"/>
    </row>
    <row r="248">
      <c r="A248" s="519" t="str">
        <f t="shared" si="1"/>
        <v/>
      </c>
      <c r="B248" s="520" t="str">
        <f>'5-0 Товары'!B248</f>
        <v/>
      </c>
      <c r="C248" s="521" t="str">
        <f>'5-1 Сбор КП Закупки'!C248</f>
        <v/>
      </c>
      <c r="D248" s="521" t="str">
        <f>'5-1 Сбор КП Закупки'!D248</f>
        <v/>
      </c>
      <c r="E248" s="521" t="str">
        <f>'5-1 Сбор КП Закупки'!E248</f>
        <v/>
      </c>
      <c r="F248" s="521" t="str">
        <f>'5-1 Сбор КП Закупки'!F248</f>
        <v/>
      </c>
      <c r="G248" s="522" t="str">
        <f>'5-1 Сбор КП Закупки'!G248</f>
        <v/>
      </c>
      <c r="H248" s="522" t="str">
        <f>'5-1 Сбор КП Закупки'!H248</f>
        <v/>
      </c>
      <c r="I248" s="522" t="str">
        <f>'5-1 Сбор КП Закупки'!I248</f>
        <v/>
      </c>
      <c r="J248" s="197"/>
      <c r="K248" s="522" t="str">
        <f>'5-1 Сбор КП Закупки'!G248</f>
        <v/>
      </c>
      <c r="L248" s="523" t="str">
        <f>IF(A248="Да",'5-1 Сбор КП Закупки'!K248,)</f>
        <v/>
      </c>
      <c r="M248" s="197"/>
      <c r="N248" s="197"/>
      <c r="O248" s="197"/>
      <c r="P248" s="525" t="str">
        <f>'5-1 Сбор КП Закупки'!P248</f>
        <v/>
      </c>
      <c r="Q248" s="197"/>
      <c r="R248" s="197"/>
      <c r="S248" s="197"/>
      <c r="T248" s="197"/>
      <c r="U248" s="197"/>
      <c r="V248" s="197"/>
      <c r="W248" s="522" t="str">
        <f>'5-1 Сбор КП Закупки'!O248</f>
        <v/>
      </c>
      <c r="X248" s="197"/>
      <c r="Y248" s="197"/>
      <c r="Z248" s="197"/>
      <c r="AA248" s="197"/>
      <c r="AB248" s="197">
        <v>0.0</v>
      </c>
      <c r="AC248" s="197"/>
      <c r="AD248" s="197"/>
      <c r="AE2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5-3'!$D$11:$Q319,AE$4,AE$5)"),"")</f>
        <v/>
      </c>
      <c r="AF248" s="528"/>
      <c r="AG2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5-3'!$D$11:$Q319,AG$4,AG$5)"),"")</f>
        <v/>
      </c>
      <c r="AH248" s="527"/>
      <c r="AI2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5-3'!$D$11:$Q319,AI$4,AI$5)"),"")</f>
        <v/>
      </c>
      <c r="AJ248" s="527"/>
      <c r="AK2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5-3'!$D$11:$Q319,AK$4,AK$5)"),"")</f>
        <v/>
      </c>
      <c r="AL248" s="527"/>
      <c r="AM2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5-3'!$D$11:$Q319,AM$4,AM$5)"),"")</f>
        <v/>
      </c>
      <c r="AN248" s="529"/>
      <c r="AO24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5-3'!$D$11:$Q319,AO$4,AO$5)"),"")</f>
        <v/>
      </c>
      <c r="AP248" s="527"/>
      <c r="AQ248" s="527"/>
      <c r="AR248" s="527"/>
      <c r="AS248" s="527"/>
      <c r="AT2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5-3'!$D$11:$Q319,AT$4,AT$5)"),"")</f>
        <v/>
      </c>
      <c r="AU248" s="531"/>
      <c r="AV2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5-3'!$D$11:$Q319,AV$4,AV$5)"),"")</f>
        <v/>
      </c>
      <c r="AW248" s="530"/>
      <c r="AX2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5-3'!$D$11:$Q319,AX$4,AX$5)"),"")</f>
        <v/>
      </c>
      <c r="AY248" s="530"/>
      <c r="AZ2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5-3'!$D$11:$Q319,AZ$4,AZ$5)"),"")</f>
        <v/>
      </c>
      <c r="BA248" s="530"/>
      <c r="BB2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5-3'!$D$11:$Q319,BB$4,BB$5)"),"")</f>
        <v/>
      </c>
      <c r="BC248" s="532"/>
      <c r="BD24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5-3'!$D$11:$Q319,BD$4,BD$5)"),"")</f>
        <v/>
      </c>
      <c r="BE248" s="530"/>
      <c r="BF248" s="530"/>
      <c r="BG248" s="530"/>
      <c r="BH248" s="530"/>
      <c r="BI2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5-3'!$D$11:$Q319,BI$4,BI$5)"),"")</f>
        <v/>
      </c>
      <c r="BJ248" s="535"/>
      <c r="BK2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5-3'!$D$11:$Q319,BK$4,BK$5)"),"")</f>
        <v/>
      </c>
      <c r="BL248" s="534"/>
      <c r="BM2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5-3'!$D$11:$Q319,BM$4,BM$5)"),"")</f>
        <v/>
      </c>
      <c r="BN248" s="534"/>
      <c r="BO2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5-3'!$D$11:$Q319,BO$4,BO$5)"),"")</f>
        <v/>
      </c>
      <c r="BP248" s="534"/>
      <c r="BQ2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5-3'!$D$11:$Q319,BQ$4,BQ$5)"),"")</f>
        <v/>
      </c>
      <c r="BR248" s="536"/>
      <c r="BS24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5-3'!$D$11:$Q319,BS$4,BS$5)"),"")</f>
        <v/>
      </c>
      <c r="BT248" s="534"/>
      <c r="BU248" s="534"/>
      <c r="BV248" s="534"/>
      <c r="BW248" s="534"/>
      <c r="BX2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5-3'!$D$11:$Q319,BX$4,BX$5)"),"")</f>
        <v/>
      </c>
      <c r="BY248" s="538"/>
      <c r="BZ2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5-3'!$D$11:$Q319,BZ$4,BZ$5)"),"")</f>
        <v/>
      </c>
      <c r="CA248" s="537"/>
      <c r="CB2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5-3'!$D$11:$Q319,CB$4,CB$5)"),"")</f>
        <v/>
      </c>
      <c r="CC248" s="537"/>
      <c r="CD2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5-3'!$D$11:$Q319,CD$4,CD$5)"),"")</f>
        <v/>
      </c>
      <c r="CE248" s="537"/>
      <c r="CF2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5-3'!$D$11:$Q319,CF$4,CF$5)"),"")</f>
        <v/>
      </c>
      <c r="CG248" s="539"/>
      <c r="CH24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5-3'!$D$11:$Q319,CH$4,CH$5)"),"")</f>
        <v/>
      </c>
      <c r="CI248" s="537"/>
      <c r="CJ248" s="537"/>
      <c r="CK248" s="537"/>
      <c r="CL248" s="537"/>
      <c r="CM2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5-3'!$D$11:$Q319,CM$4,CM$5)"),"")</f>
        <v/>
      </c>
      <c r="CN248" s="541"/>
      <c r="CO2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5-3'!$D$11:$Q319,CO$4,CO$5)"),"")</f>
        <v/>
      </c>
      <c r="CP248" s="540"/>
      <c r="CQ2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5-3'!$D$11:$Q319,CQ$4,CQ$5)"),"")</f>
        <v/>
      </c>
      <c r="CR248" s="540"/>
      <c r="CS2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5-3'!$D$11:$Q319,CS$4,CS$5)"),"")</f>
        <v/>
      </c>
      <c r="CT248" s="540"/>
      <c r="CU2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5-3'!$D$11:$Q319,CU$4,CU$5)"),"")</f>
        <v/>
      </c>
      <c r="CV248" s="545"/>
      <c r="CW24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5-3'!$D$11:$Q319,CW$4,CW$5)"),"")</f>
        <v/>
      </c>
      <c r="CX248" s="540"/>
      <c r="CY248" s="540"/>
      <c r="CZ248" s="540"/>
      <c r="DA248" s="540"/>
      <c r="DB2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5-3'!$D$11:$Q319,DB$4,DB$5)"),"")</f>
        <v/>
      </c>
      <c r="DC248" s="555"/>
      <c r="DD2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5-3'!$D$11:$Q319,DD$4,DD$5)"),"")</f>
        <v/>
      </c>
      <c r="DE248" s="554"/>
      <c r="DF2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5-3'!$D$11:$Q319,DF$4,DF$5)"),"")</f>
        <v/>
      </c>
      <c r="DG248" s="554"/>
      <c r="DH2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5-3'!$D$11:$Q319,DH$4,DH$5)"),"")</f>
        <v/>
      </c>
      <c r="DI248" s="554"/>
      <c r="DJ2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5-3'!$D$11:$Q319,DJ$4,DJ$5)"),"")</f>
        <v/>
      </c>
      <c r="DK248" s="566"/>
      <c r="DL24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5-3'!$D$11:$Q319,DL$4,DL$5)"),"")</f>
        <v/>
      </c>
      <c r="DM248" s="554"/>
      <c r="DN248" s="554"/>
      <c r="DO248" s="554"/>
      <c r="DP248" s="554"/>
      <c r="DQ2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5-3'!$D$11:$Q319,DQ$4,DQ$5)"),"")</f>
        <v/>
      </c>
      <c r="DR248" s="569"/>
      <c r="DS2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5-3'!$D$11:$Q319,DS$4,DS$5)"),"")</f>
        <v/>
      </c>
      <c r="DT248" s="568"/>
      <c r="DU2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5-3'!$D$11:$Q319,DU$4,DU$5)"),"")</f>
        <v/>
      </c>
      <c r="DV248" s="568"/>
      <c r="DW2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5-3'!$D$11:$Q319,DW$4,DW$5)"),"")</f>
        <v/>
      </c>
      <c r="DX248" s="568"/>
      <c r="DY2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5-3'!$D$11:$Q319,DY$4,DY$5)"),"")</f>
        <v/>
      </c>
      <c r="DZ248" s="578"/>
      <c r="EA24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$C248, 'S-10 Топ 5-3'!$D$11:$Q319,EA$4,EA$5)"),"")</f>
        <v/>
      </c>
      <c r="EB248" s="568"/>
      <c r="EC248" s="568"/>
      <c r="ED248" s="568"/>
      <c r="EE248" s="568"/>
    </row>
    <row r="249">
      <c r="A249" s="519" t="str">
        <f t="shared" si="1"/>
        <v/>
      </c>
      <c r="B249" s="520" t="str">
        <f>'5-0 Товары'!B249</f>
        <v/>
      </c>
      <c r="C249" s="521" t="str">
        <f>'5-1 Сбор КП Закупки'!C249</f>
        <v/>
      </c>
      <c r="D249" s="521" t="str">
        <f>'5-1 Сбор КП Закупки'!D249</f>
        <v/>
      </c>
      <c r="E249" s="521" t="str">
        <f>'5-1 Сбор КП Закупки'!E249</f>
        <v/>
      </c>
      <c r="F249" s="521" t="str">
        <f>'5-1 Сбор КП Закупки'!F249</f>
        <v/>
      </c>
      <c r="G249" s="522" t="str">
        <f>'5-1 Сбор КП Закупки'!G249</f>
        <v/>
      </c>
      <c r="H249" s="522" t="str">
        <f>'5-1 Сбор КП Закупки'!H249</f>
        <v/>
      </c>
      <c r="I249" s="522" t="str">
        <f>'5-1 Сбор КП Закупки'!I249</f>
        <v/>
      </c>
      <c r="J249" s="197"/>
      <c r="K249" s="522" t="str">
        <f>'5-1 Сбор КП Закупки'!G249</f>
        <v/>
      </c>
      <c r="L249" s="523" t="str">
        <f>IF(A249="Да",'5-1 Сбор КП Закупки'!K249,)</f>
        <v/>
      </c>
      <c r="M249" s="197"/>
      <c r="N249" s="197"/>
      <c r="O249" s="197"/>
      <c r="P249" s="525" t="str">
        <f>'5-1 Сбор КП Закупки'!P249</f>
        <v/>
      </c>
      <c r="Q249" s="197"/>
      <c r="R249" s="197"/>
      <c r="S249" s="197"/>
      <c r="T249" s="197"/>
      <c r="U249" s="197"/>
      <c r="V249" s="197"/>
      <c r="W249" s="522" t="str">
        <f>'5-1 Сбор КП Закупки'!O249</f>
        <v/>
      </c>
      <c r="X249" s="197"/>
      <c r="Y249" s="197"/>
      <c r="Z249" s="197"/>
      <c r="AA249" s="197"/>
      <c r="AB249" s="197">
        <v>0.0</v>
      </c>
      <c r="AC249" s="197"/>
      <c r="AD249" s="197"/>
      <c r="AE2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5-3'!$D$11:$Q319,AE$4,AE$5)"),"")</f>
        <v/>
      </c>
      <c r="AF249" s="528"/>
      <c r="AG2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5-3'!$D$11:$Q319,AG$4,AG$5)"),"")</f>
        <v/>
      </c>
      <c r="AH249" s="527"/>
      <c r="AI2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5-3'!$D$11:$Q319,AI$4,AI$5)"),"")</f>
        <v/>
      </c>
      <c r="AJ249" s="527"/>
      <c r="AK2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5-3'!$D$11:$Q319,AK$4,AK$5)"),"")</f>
        <v/>
      </c>
      <c r="AL249" s="527"/>
      <c r="AM2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5-3'!$D$11:$Q319,AM$4,AM$5)"),"")</f>
        <v/>
      </c>
      <c r="AN249" s="529"/>
      <c r="AO24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5-3'!$D$11:$Q319,AO$4,AO$5)"),"")</f>
        <v/>
      </c>
      <c r="AP249" s="527"/>
      <c r="AQ249" s="527"/>
      <c r="AR249" s="527"/>
      <c r="AS249" s="527"/>
      <c r="AT2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5-3'!$D$11:$Q319,AT$4,AT$5)"),"")</f>
        <v/>
      </c>
      <c r="AU249" s="531"/>
      <c r="AV2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5-3'!$D$11:$Q319,AV$4,AV$5)"),"")</f>
        <v/>
      </c>
      <c r="AW249" s="530"/>
      <c r="AX2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5-3'!$D$11:$Q319,AX$4,AX$5)"),"")</f>
        <v/>
      </c>
      <c r="AY249" s="530"/>
      <c r="AZ2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5-3'!$D$11:$Q319,AZ$4,AZ$5)"),"")</f>
        <v/>
      </c>
      <c r="BA249" s="530"/>
      <c r="BB2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5-3'!$D$11:$Q319,BB$4,BB$5)"),"")</f>
        <v/>
      </c>
      <c r="BC249" s="532"/>
      <c r="BD24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5-3'!$D$11:$Q319,BD$4,BD$5)"),"")</f>
        <v/>
      </c>
      <c r="BE249" s="530"/>
      <c r="BF249" s="530"/>
      <c r="BG249" s="530"/>
      <c r="BH249" s="530"/>
      <c r="BI2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5-3'!$D$11:$Q319,BI$4,BI$5)"),"")</f>
        <v/>
      </c>
      <c r="BJ249" s="535"/>
      <c r="BK2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5-3'!$D$11:$Q319,BK$4,BK$5)"),"")</f>
        <v/>
      </c>
      <c r="BL249" s="534"/>
      <c r="BM2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5-3'!$D$11:$Q319,BM$4,BM$5)"),"")</f>
        <v/>
      </c>
      <c r="BN249" s="534"/>
      <c r="BO2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5-3'!$D$11:$Q319,BO$4,BO$5)"),"")</f>
        <v/>
      </c>
      <c r="BP249" s="534"/>
      <c r="BQ2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5-3'!$D$11:$Q319,BQ$4,BQ$5)"),"")</f>
        <v/>
      </c>
      <c r="BR249" s="536"/>
      <c r="BS24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5-3'!$D$11:$Q319,BS$4,BS$5)"),"")</f>
        <v/>
      </c>
      <c r="BT249" s="534"/>
      <c r="BU249" s="534"/>
      <c r="BV249" s="534"/>
      <c r="BW249" s="534"/>
      <c r="BX2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5-3'!$D$11:$Q319,BX$4,BX$5)"),"")</f>
        <v/>
      </c>
      <c r="BY249" s="538"/>
      <c r="BZ2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5-3'!$D$11:$Q319,BZ$4,BZ$5)"),"")</f>
        <v/>
      </c>
      <c r="CA249" s="537"/>
      <c r="CB2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5-3'!$D$11:$Q319,CB$4,CB$5)"),"")</f>
        <v/>
      </c>
      <c r="CC249" s="537"/>
      <c r="CD2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5-3'!$D$11:$Q319,CD$4,CD$5)"),"")</f>
        <v/>
      </c>
      <c r="CE249" s="537"/>
      <c r="CF2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5-3'!$D$11:$Q319,CF$4,CF$5)"),"")</f>
        <v/>
      </c>
      <c r="CG249" s="539"/>
      <c r="CH24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5-3'!$D$11:$Q319,CH$4,CH$5)"),"")</f>
        <v/>
      </c>
      <c r="CI249" s="537"/>
      <c r="CJ249" s="537"/>
      <c r="CK249" s="537"/>
      <c r="CL249" s="537"/>
      <c r="CM2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5-3'!$D$11:$Q319,CM$4,CM$5)"),"")</f>
        <v/>
      </c>
      <c r="CN249" s="541"/>
      <c r="CO2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5-3'!$D$11:$Q319,CO$4,CO$5)"),"")</f>
        <v/>
      </c>
      <c r="CP249" s="540"/>
      <c r="CQ2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5-3'!$D$11:$Q319,CQ$4,CQ$5)"),"")</f>
        <v/>
      </c>
      <c r="CR249" s="540"/>
      <c r="CS2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5-3'!$D$11:$Q319,CS$4,CS$5)"),"")</f>
        <v/>
      </c>
      <c r="CT249" s="540"/>
      <c r="CU2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5-3'!$D$11:$Q319,CU$4,CU$5)"),"")</f>
        <v/>
      </c>
      <c r="CV249" s="545"/>
      <c r="CW24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5-3'!$D$11:$Q319,CW$4,CW$5)"),"")</f>
        <v/>
      </c>
      <c r="CX249" s="540"/>
      <c r="CY249" s="540"/>
      <c r="CZ249" s="540"/>
      <c r="DA249" s="540"/>
      <c r="DB2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5-3'!$D$11:$Q319,DB$4,DB$5)"),"")</f>
        <v/>
      </c>
      <c r="DC249" s="555"/>
      <c r="DD2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5-3'!$D$11:$Q319,DD$4,DD$5)"),"")</f>
        <v/>
      </c>
      <c r="DE249" s="554"/>
      <c r="DF2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5-3'!$D$11:$Q319,DF$4,DF$5)"),"")</f>
        <v/>
      </c>
      <c r="DG249" s="554"/>
      <c r="DH2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5-3'!$D$11:$Q319,DH$4,DH$5)"),"")</f>
        <v/>
      </c>
      <c r="DI249" s="554"/>
      <c r="DJ2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5-3'!$D$11:$Q319,DJ$4,DJ$5)"),"")</f>
        <v/>
      </c>
      <c r="DK249" s="566"/>
      <c r="DL24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5-3'!$D$11:$Q319,DL$4,DL$5)"),"")</f>
        <v/>
      </c>
      <c r="DM249" s="554"/>
      <c r="DN249" s="554"/>
      <c r="DO249" s="554"/>
      <c r="DP249" s="554"/>
      <c r="DQ2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5-3'!$D$11:$Q319,DQ$4,DQ$5)"),"")</f>
        <v/>
      </c>
      <c r="DR249" s="569"/>
      <c r="DS2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5-3'!$D$11:$Q319,DS$4,DS$5)"),"")</f>
        <v/>
      </c>
      <c r="DT249" s="568"/>
      <c r="DU2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5-3'!$D$11:$Q319,DU$4,DU$5)"),"")</f>
        <v/>
      </c>
      <c r="DV249" s="568"/>
      <c r="DW2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5-3'!$D$11:$Q319,DW$4,DW$5)"),"")</f>
        <v/>
      </c>
      <c r="DX249" s="568"/>
      <c r="DY2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5-3'!$D$11:$Q319,DY$4,DY$5)"),"")</f>
        <v/>
      </c>
      <c r="DZ249" s="578"/>
      <c r="EA24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$C249, 'S-10 Топ 5-3'!$D$11:$Q319,EA$4,EA$5)"),"")</f>
        <v/>
      </c>
      <c r="EB249" s="568"/>
      <c r="EC249" s="568"/>
      <c r="ED249" s="568"/>
      <c r="EE249" s="568"/>
    </row>
    <row r="250">
      <c r="A250" s="519" t="str">
        <f t="shared" si="1"/>
        <v/>
      </c>
      <c r="B250" s="520" t="str">
        <f>'5-0 Товары'!B250</f>
        <v/>
      </c>
      <c r="C250" s="521" t="str">
        <f>'5-1 Сбор КП Закупки'!C250</f>
        <v/>
      </c>
      <c r="D250" s="521" t="str">
        <f>'5-1 Сбор КП Закупки'!D250</f>
        <v/>
      </c>
      <c r="E250" s="521" t="str">
        <f>'5-1 Сбор КП Закупки'!E250</f>
        <v/>
      </c>
      <c r="F250" s="521" t="str">
        <f>'5-1 Сбор КП Закупки'!F250</f>
        <v/>
      </c>
      <c r="G250" s="522" t="str">
        <f>'5-1 Сбор КП Закупки'!G250</f>
        <v/>
      </c>
      <c r="H250" s="522" t="str">
        <f>'5-1 Сбор КП Закупки'!H250</f>
        <v/>
      </c>
      <c r="I250" s="522" t="str">
        <f>'5-1 Сбор КП Закупки'!I250</f>
        <v/>
      </c>
      <c r="J250" s="197"/>
      <c r="K250" s="522" t="str">
        <f>'5-1 Сбор КП Закупки'!G250</f>
        <v/>
      </c>
      <c r="L250" s="523" t="str">
        <f>IF(A250="Да",'5-1 Сбор КП Закупки'!K250,)</f>
        <v/>
      </c>
      <c r="M250" s="197"/>
      <c r="N250" s="197"/>
      <c r="O250" s="197"/>
      <c r="P250" s="525" t="str">
        <f>'5-1 Сбор КП Закупки'!P250</f>
        <v/>
      </c>
      <c r="Q250" s="197"/>
      <c r="R250" s="197"/>
      <c r="S250" s="197"/>
      <c r="T250" s="197"/>
      <c r="U250" s="197"/>
      <c r="V250" s="197"/>
      <c r="W250" s="522" t="str">
        <f>'5-1 Сбор КП Закупки'!O250</f>
        <v/>
      </c>
      <c r="X250" s="197"/>
      <c r="Y250" s="197"/>
      <c r="Z250" s="197"/>
      <c r="AA250" s="197"/>
      <c r="AB250" s="197">
        <v>0.0</v>
      </c>
      <c r="AC250" s="197"/>
      <c r="AD250" s="197"/>
      <c r="AE2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5-3'!$D$11:$Q319,AE$4,AE$5)"),"")</f>
        <v/>
      </c>
      <c r="AF250" s="528"/>
      <c r="AG2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5-3'!$D$11:$Q319,AG$4,AG$5)"),"")</f>
        <v/>
      </c>
      <c r="AH250" s="527"/>
      <c r="AI2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5-3'!$D$11:$Q319,AI$4,AI$5)"),"")</f>
        <v/>
      </c>
      <c r="AJ250" s="527"/>
      <c r="AK2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5-3'!$D$11:$Q319,AK$4,AK$5)"),"")</f>
        <v/>
      </c>
      <c r="AL250" s="527"/>
      <c r="AM2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5-3'!$D$11:$Q319,AM$4,AM$5)"),"")</f>
        <v/>
      </c>
      <c r="AN250" s="529"/>
      <c r="AO25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5-3'!$D$11:$Q319,AO$4,AO$5)"),"")</f>
        <v/>
      </c>
      <c r="AP250" s="527"/>
      <c r="AQ250" s="527"/>
      <c r="AR250" s="527"/>
      <c r="AS250" s="527"/>
      <c r="AT2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5-3'!$D$11:$Q319,AT$4,AT$5)"),"")</f>
        <v/>
      </c>
      <c r="AU250" s="531"/>
      <c r="AV2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5-3'!$D$11:$Q319,AV$4,AV$5)"),"")</f>
        <v/>
      </c>
      <c r="AW250" s="530"/>
      <c r="AX2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5-3'!$D$11:$Q319,AX$4,AX$5)"),"")</f>
        <v/>
      </c>
      <c r="AY250" s="530"/>
      <c r="AZ2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5-3'!$D$11:$Q319,AZ$4,AZ$5)"),"")</f>
        <v/>
      </c>
      <c r="BA250" s="530"/>
      <c r="BB2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5-3'!$D$11:$Q319,BB$4,BB$5)"),"")</f>
        <v/>
      </c>
      <c r="BC250" s="532"/>
      <c r="BD25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5-3'!$D$11:$Q319,BD$4,BD$5)"),"")</f>
        <v/>
      </c>
      <c r="BE250" s="530"/>
      <c r="BF250" s="530"/>
      <c r="BG250" s="530"/>
      <c r="BH250" s="530"/>
      <c r="BI2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5-3'!$D$11:$Q319,BI$4,BI$5)"),"")</f>
        <v/>
      </c>
      <c r="BJ250" s="535"/>
      <c r="BK2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5-3'!$D$11:$Q319,BK$4,BK$5)"),"")</f>
        <v/>
      </c>
      <c r="BL250" s="534"/>
      <c r="BM2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5-3'!$D$11:$Q319,BM$4,BM$5)"),"")</f>
        <v/>
      </c>
      <c r="BN250" s="534"/>
      <c r="BO2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5-3'!$D$11:$Q319,BO$4,BO$5)"),"")</f>
        <v/>
      </c>
      <c r="BP250" s="534"/>
      <c r="BQ2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5-3'!$D$11:$Q319,BQ$4,BQ$5)"),"")</f>
        <v/>
      </c>
      <c r="BR250" s="536"/>
      <c r="BS25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5-3'!$D$11:$Q319,BS$4,BS$5)"),"")</f>
        <v/>
      </c>
      <c r="BT250" s="534"/>
      <c r="BU250" s="534"/>
      <c r="BV250" s="534"/>
      <c r="BW250" s="534"/>
      <c r="BX2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5-3'!$D$11:$Q319,BX$4,BX$5)"),"")</f>
        <v/>
      </c>
      <c r="BY250" s="538"/>
      <c r="BZ2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5-3'!$D$11:$Q319,BZ$4,BZ$5)"),"")</f>
        <v/>
      </c>
      <c r="CA250" s="537"/>
      <c r="CB2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5-3'!$D$11:$Q319,CB$4,CB$5)"),"")</f>
        <v/>
      </c>
      <c r="CC250" s="537"/>
      <c r="CD2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5-3'!$D$11:$Q319,CD$4,CD$5)"),"")</f>
        <v/>
      </c>
      <c r="CE250" s="537"/>
      <c r="CF2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5-3'!$D$11:$Q319,CF$4,CF$5)"),"")</f>
        <v/>
      </c>
      <c r="CG250" s="539"/>
      <c r="CH25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5-3'!$D$11:$Q319,CH$4,CH$5)"),"")</f>
        <v/>
      </c>
      <c r="CI250" s="537"/>
      <c r="CJ250" s="537"/>
      <c r="CK250" s="537"/>
      <c r="CL250" s="537"/>
      <c r="CM2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5-3'!$D$11:$Q319,CM$4,CM$5)"),"")</f>
        <v/>
      </c>
      <c r="CN250" s="541"/>
      <c r="CO2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5-3'!$D$11:$Q319,CO$4,CO$5)"),"")</f>
        <v/>
      </c>
      <c r="CP250" s="540"/>
      <c r="CQ2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5-3'!$D$11:$Q319,CQ$4,CQ$5)"),"")</f>
        <v/>
      </c>
      <c r="CR250" s="540"/>
      <c r="CS2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5-3'!$D$11:$Q319,CS$4,CS$5)"),"")</f>
        <v/>
      </c>
      <c r="CT250" s="540"/>
      <c r="CU2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5-3'!$D$11:$Q319,CU$4,CU$5)"),"")</f>
        <v/>
      </c>
      <c r="CV250" s="545"/>
      <c r="CW25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5-3'!$D$11:$Q319,CW$4,CW$5)"),"")</f>
        <v/>
      </c>
      <c r="CX250" s="540"/>
      <c r="CY250" s="540"/>
      <c r="CZ250" s="540"/>
      <c r="DA250" s="540"/>
      <c r="DB2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5-3'!$D$11:$Q319,DB$4,DB$5)"),"")</f>
        <v/>
      </c>
      <c r="DC250" s="555"/>
      <c r="DD2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5-3'!$D$11:$Q319,DD$4,DD$5)"),"")</f>
        <v/>
      </c>
      <c r="DE250" s="554"/>
      <c r="DF2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5-3'!$D$11:$Q319,DF$4,DF$5)"),"")</f>
        <v/>
      </c>
      <c r="DG250" s="554"/>
      <c r="DH2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5-3'!$D$11:$Q319,DH$4,DH$5)"),"")</f>
        <v/>
      </c>
      <c r="DI250" s="554"/>
      <c r="DJ2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5-3'!$D$11:$Q319,DJ$4,DJ$5)"),"")</f>
        <v/>
      </c>
      <c r="DK250" s="566"/>
      <c r="DL25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5-3'!$D$11:$Q319,DL$4,DL$5)"),"")</f>
        <v/>
      </c>
      <c r="DM250" s="554"/>
      <c r="DN250" s="554"/>
      <c r="DO250" s="554"/>
      <c r="DP250" s="554"/>
      <c r="DQ2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5-3'!$D$11:$Q319,DQ$4,DQ$5)"),"")</f>
        <v/>
      </c>
      <c r="DR250" s="569"/>
      <c r="DS2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5-3'!$D$11:$Q319,DS$4,DS$5)"),"")</f>
        <v/>
      </c>
      <c r="DT250" s="568"/>
      <c r="DU2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5-3'!$D$11:$Q319,DU$4,DU$5)"),"")</f>
        <v/>
      </c>
      <c r="DV250" s="568"/>
      <c r="DW2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5-3'!$D$11:$Q319,DW$4,DW$5)"),"")</f>
        <v/>
      </c>
      <c r="DX250" s="568"/>
      <c r="DY2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5-3'!$D$11:$Q319,DY$4,DY$5)"),"")</f>
        <v/>
      </c>
      <c r="DZ250" s="578"/>
      <c r="EA25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$C250, 'S-10 Топ 5-3'!$D$11:$Q319,EA$4,EA$5)"),"")</f>
        <v/>
      </c>
      <c r="EB250" s="568"/>
      <c r="EC250" s="568"/>
      <c r="ED250" s="568"/>
      <c r="EE250" s="568"/>
    </row>
    <row r="251">
      <c r="A251" s="519" t="str">
        <f t="shared" si="1"/>
        <v/>
      </c>
      <c r="B251" s="520" t="str">
        <f>'5-0 Товары'!B251</f>
        <v/>
      </c>
      <c r="C251" s="521" t="str">
        <f>'5-1 Сбор КП Закупки'!C251</f>
        <v/>
      </c>
      <c r="D251" s="521" t="str">
        <f>'5-1 Сбор КП Закупки'!D251</f>
        <v/>
      </c>
      <c r="E251" s="521" t="str">
        <f>'5-1 Сбор КП Закупки'!E251</f>
        <v/>
      </c>
      <c r="F251" s="521" t="str">
        <f>'5-1 Сбор КП Закупки'!F251</f>
        <v/>
      </c>
      <c r="G251" s="522" t="str">
        <f>'5-1 Сбор КП Закупки'!G251</f>
        <v/>
      </c>
      <c r="H251" s="522" t="str">
        <f>'5-1 Сбор КП Закупки'!H251</f>
        <v/>
      </c>
      <c r="I251" s="522" t="str">
        <f>'5-1 Сбор КП Закупки'!I251</f>
        <v/>
      </c>
      <c r="J251" s="197"/>
      <c r="K251" s="522" t="str">
        <f>'5-1 Сбор КП Закупки'!G251</f>
        <v/>
      </c>
      <c r="L251" s="523" t="str">
        <f>IF(A251="Да",'5-1 Сбор КП Закупки'!K251,)</f>
        <v/>
      </c>
      <c r="M251" s="197"/>
      <c r="N251" s="197"/>
      <c r="O251" s="197"/>
      <c r="P251" s="525" t="str">
        <f>'5-1 Сбор КП Закупки'!P251</f>
        <v/>
      </c>
      <c r="Q251" s="197"/>
      <c r="R251" s="197"/>
      <c r="S251" s="197"/>
      <c r="T251" s="197"/>
      <c r="U251" s="197"/>
      <c r="V251" s="197"/>
      <c r="W251" s="522" t="str">
        <f>'5-1 Сбор КП Закупки'!O251</f>
        <v/>
      </c>
      <c r="X251" s="197"/>
      <c r="Y251" s="197"/>
      <c r="Z251" s="197"/>
      <c r="AA251" s="197"/>
      <c r="AB251" s="197">
        <v>0.0</v>
      </c>
      <c r="AC251" s="197"/>
      <c r="AD251" s="197"/>
      <c r="AE2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5-3'!$D$11:$Q319,AE$4,AE$5)"),"")</f>
        <v/>
      </c>
      <c r="AF251" s="528"/>
      <c r="AG2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5-3'!$D$11:$Q319,AG$4,AG$5)"),"")</f>
        <v/>
      </c>
      <c r="AH251" s="527"/>
      <c r="AI2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5-3'!$D$11:$Q319,AI$4,AI$5)"),"")</f>
        <v/>
      </c>
      <c r="AJ251" s="527"/>
      <c r="AK2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5-3'!$D$11:$Q319,AK$4,AK$5)"),"")</f>
        <v/>
      </c>
      <c r="AL251" s="527"/>
      <c r="AM2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5-3'!$D$11:$Q319,AM$4,AM$5)"),"")</f>
        <v/>
      </c>
      <c r="AN251" s="529"/>
      <c r="AO25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5-3'!$D$11:$Q319,AO$4,AO$5)"),"")</f>
        <v/>
      </c>
      <c r="AP251" s="527"/>
      <c r="AQ251" s="527"/>
      <c r="AR251" s="527"/>
      <c r="AS251" s="527"/>
      <c r="AT2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5-3'!$D$11:$Q319,AT$4,AT$5)"),"")</f>
        <v/>
      </c>
      <c r="AU251" s="531"/>
      <c r="AV2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5-3'!$D$11:$Q319,AV$4,AV$5)"),"")</f>
        <v/>
      </c>
      <c r="AW251" s="530"/>
      <c r="AX2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5-3'!$D$11:$Q319,AX$4,AX$5)"),"")</f>
        <v/>
      </c>
      <c r="AY251" s="530"/>
      <c r="AZ2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5-3'!$D$11:$Q319,AZ$4,AZ$5)"),"")</f>
        <v/>
      </c>
      <c r="BA251" s="530"/>
      <c r="BB2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5-3'!$D$11:$Q319,BB$4,BB$5)"),"")</f>
        <v/>
      </c>
      <c r="BC251" s="532"/>
      <c r="BD25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5-3'!$D$11:$Q319,BD$4,BD$5)"),"")</f>
        <v/>
      </c>
      <c r="BE251" s="530"/>
      <c r="BF251" s="530"/>
      <c r="BG251" s="530"/>
      <c r="BH251" s="530"/>
      <c r="BI2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5-3'!$D$11:$Q319,BI$4,BI$5)"),"")</f>
        <v/>
      </c>
      <c r="BJ251" s="535"/>
      <c r="BK2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5-3'!$D$11:$Q319,BK$4,BK$5)"),"")</f>
        <v/>
      </c>
      <c r="BL251" s="534"/>
      <c r="BM2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5-3'!$D$11:$Q319,BM$4,BM$5)"),"")</f>
        <v/>
      </c>
      <c r="BN251" s="534"/>
      <c r="BO2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5-3'!$D$11:$Q319,BO$4,BO$5)"),"")</f>
        <v/>
      </c>
      <c r="BP251" s="534"/>
      <c r="BQ2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5-3'!$D$11:$Q319,BQ$4,BQ$5)"),"")</f>
        <v/>
      </c>
      <c r="BR251" s="536"/>
      <c r="BS25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5-3'!$D$11:$Q319,BS$4,BS$5)"),"")</f>
        <v/>
      </c>
      <c r="BT251" s="534"/>
      <c r="BU251" s="534"/>
      <c r="BV251" s="534"/>
      <c r="BW251" s="534"/>
      <c r="BX2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5-3'!$D$11:$Q319,BX$4,BX$5)"),"")</f>
        <v/>
      </c>
      <c r="BY251" s="538"/>
      <c r="BZ2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5-3'!$D$11:$Q319,BZ$4,BZ$5)"),"")</f>
        <v/>
      </c>
      <c r="CA251" s="537"/>
      <c r="CB2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5-3'!$D$11:$Q319,CB$4,CB$5)"),"")</f>
        <v/>
      </c>
      <c r="CC251" s="537"/>
      <c r="CD2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5-3'!$D$11:$Q319,CD$4,CD$5)"),"")</f>
        <v/>
      </c>
      <c r="CE251" s="537"/>
      <c r="CF2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5-3'!$D$11:$Q319,CF$4,CF$5)"),"")</f>
        <v/>
      </c>
      <c r="CG251" s="539"/>
      <c r="CH25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5-3'!$D$11:$Q319,CH$4,CH$5)"),"")</f>
        <v/>
      </c>
      <c r="CI251" s="537"/>
      <c r="CJ251" s="537"/>
      <c r="CK251" s="537"/>
      <c r="CL251" s="537"/>
      <c r="CM2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5-3'!$D$11:$Q319,CM$4,CM$5)"),"")</f>
        <v/>
      </c>
      <c r="CN251" s="541"/>
      <c r="CO2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5-3'!$D$11:$Q319,CO$4,CO$5)"),"")</f>
        <v/>
      </c>
      <c r="CP251" s="540"/>
      <c r="CQ2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5-3'!$D$11:$Q319,CQ$4,CQ$5)"),"")</f>
        <v/>
      </c>
      <c r="CR251" s="540"/>
      <c r="CS2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5-3'!$D$11:$Q319,CS$4,CS$5)"),"")</f>
        <v/>
      </c>
      <c r="CT251" s="540"/>
      <c r="CU2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5-3'!$D$11:$Q319,CU$4,CU$5)"),"")</f>
        <v/>
      </c>
      <c r="CV251" s="545"/>
      <c r="CW25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5-3'!$D$11:$Q319,CW$4,CW$5)"),"")</f>
        <v/>
      </c>
      <c r="CX251" s="540"/>
      <c r="CY251" s="540"/>
      <c r="CZ251" s="540"/>
      <c r="DA251" s="540"/>
      <c r="DB2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5-3'!$D$11:$Q319,DB$4,DB$5)"),"")</f>
        <v/>
      </c>
      <c r="DC251" s="555"/>
      <c r="DD2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5-3'!$D$11:$Q319,DD$4,DD$5)"),"")</f>
        <v/>
      </c>
      <c r="DE251" s="554"/>
      <c r="DF2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5-3'!$D$11:$Q319,DF$4,DF$5)"),"")</f>
        <v/>
      </c>
      <c r="DG251" s="554"/>
      <c r="DH2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5-3'!$D$11:$Q319,DH$4,DH$5)"),"")</f>
        <v/>
      </c>
      <c r="DI251" s="554"/>
      <c r="DJ2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5-3'!$D$11:$Q319,DJ$4,DJ$5)"),"")</f>
        <v/>
      </c>
      <c r="DK251" s="566"/>
      <c r="DL25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5-3'!$D$11:$Q319,DL$4,DL$5)"),"")</f>
        <v/>
      </c>
      <c r="DM251" s="554"/>
      <c r="DN251" s="554"/>
      <c r="DO251" s="554"/>
      <c r="DP251" s="554"/>
      <c r="DQ2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5-3'!$D$11:$Q319,DQ$4,DQ$5)"),"")</f>
        <v/>
      </c>
      <c r="DR251" s="569"/>
      <c r="DS2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5-3'!$D$11:$Q319,DS$4,DS$5)"),"")</f>
        <v/>
      </c>
      <c r="DT251" s="568"/>
      <c r="DU2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5-3'!$D$11:$Q319,DU$4,DU$5)"),"")</f>
        <v/>
      </c>
      <c r="DV251" s="568"/>
      <c r="DW2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5-3'!$D$11:$Q319,DW$4,DW$5)"),"")</f>
        <v/>
      </c>
      <c r="DX251" s="568"/>
      <c r="DY2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5-3'!$D$11:$Q319,DY$4,DY$5)"),"")</f>
        <v/>
      </c>
      <c r="DZ251" s="578"/>
      <c r="EA25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$C251, 'S-10 Топ 5-3'!$D$11:$Q319,EA$4,EA$5)"),"")</f>
        <v/>
      </c>
      <c r="EB251" s="568"/>
      <c r="EC251" s="568"/>
      <c r="ED251" s="568"/>
      <c r="EE251" s="568"/>
    </row>
    <row r="252">
      <c r="A252" s="519" t="str">
        <f t="shared" si="1"/>
        <v/>
      </c>
      <c r="B252" s="520" t="str">
        <f>'5-0 Товары'!B252</f>
        <v/>
      </c>
      <c r="C252" s="521" t="str">
        <f>'5-1 Сбор КП Закупки'!C252</f>
        <v/>
      </c>
      <c r="D252" s="521" t="str">
        <f>'5-1 Сбор КП Закупки'!D252</f>
        <v/>
      </c>
      <c r="E252" s="521" t="str">
        <f>'5-1 Сбор КП Закупки'!E252</f>
        <v/>
      </c>
      <c r="F252" s="521" t="str">
        <f>'5-1 Сбор КП Закупки'!F252</f>
        <v/>
      </c>
      <c r="G252" s="522" t="str">
        <f>'5-1 Сбор КП Закупки'!G252</f>
        <v/>
      </c>
      <c r="H252" s="522" t="str">
        <f>'5-1 Сбор КП Закупки'!H252</f>
        <v/>
      </c>
      <c r="I252" s="522" t="str">
        <f>'5-1 Сбор КП Закупки'!I252</f>
        <v/>
      </c>
      <c r="J252" s="197"/>
      <c r="K252" s="522" t="str">
        <f>'5-1 Сбор КП Закупки'!G252</f>
        <v/>
      </c>
      <c r="L252" s="523" t="str">
        <f>IF(A252="Да",'5-1 Сбор КП Закупки'!K252,)</f>
        <v/>
      </c>
      <c r="M252" s="197"/>
      <c r="N252" s="197"/>
      <c r="O252" s="197"/>
      <c r="P252" s="525" t="str">
        <f>'5-1 Сбор КП Закупки'!P252</f>
        <v/>
      </c>
      <c r="Q252" s="197"/>
      <c r="R252" s="197"/>
      <c r="S252" s="197"/>
      <c r="T252" s="197"/>
      <c r="U252" s="197"/>
      <c r="V252" s="197"/>
      <c r="W252" s="522" t="str">
        <f>'5-1 Сбор КП Закупки'!O252</f>
        <v/>
      </c>
      <c r="X252" s="197"/>
      <c r="Y252" s="197"/>
      <c r="Z252" s="197"/>
      <c r="AA252" s="197"/>
      <c r="AB252" s="197">
        <v>0.0</v>
      </c>
      <c r="AC252" s="197"/>
      <c r="AD252" s="197"/>
      <c r="AE2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5-3'!$D$11:$Q319,AE$4,AE$5)"),"")</f>
        <v/>
      </c>
      <c r="AF252" s="528"/>
      <c r="AG2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5-3'!$D$11:$Q319,AG$4,AG$5)"),"")</f>
        <v/>
      </c>
      <c r="AH252" s="527"/>
      <c r="AI2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5-3'!$D$11:$Q319,AI$4,AI$5)"),"")</f>
        <v/>
      </c>
      <c r="AJ252" s="527"/>
      <c r="AK2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5-3'!$D$11:$Q319,AK$4,AK$5)"),"")</f>
        <v/>
      </c>
      <c r="AL252" s="527"/>
      <c r="AM2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5-3'!$D$11:$Q319,AM$4,AM$5)"),"")</f>
        <v/>
      </c>
      <c r="AN252" s="529"/>
      <c r="AO25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5-3'!$D$11:$Q319,AO$4,AO$5)"),"")</f>
        <v/>
      </c>
      <c r="AP252" s="527"/>
      <c r="AQ252" s="527"/>
      <c r="AR252" s="527"/>
      <c r="AS252" s="527"/>
      <c r="AT2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5-3'!$D$11:$Q319,AT$4,AT$5)"),"")</f>
        <v/>
      </c>
      <c r="AU252" s="531"/>
      <c r="AV2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5-3'!$D$11:$Q319,AV$4,AV$5)"),"")</f>
        <v/>
      </c>
      <c r="AW252" s="530"/>
      <c r="AX2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5-3'!$D$11:$Q319,AX$4,AX$5)"),"")</f>
        <v/>
      </c>
      <c r="AY252" s="530"/>
      <c r="AZ2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5-3'!$D$11:$Q319,AZ$4,AZ$5)"),"")</f>
        <v/>
      </c>
      <c r="BA252" s="530"/>
      <c r="BB2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5-3'!$D$11:$Q319,BB$4,BB$5)"),"")</f>
        <v/>
      </c>
      <c r="BC252" s="532"/>
      <c r="BD25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5-3'!$D$11:$Q319,BD$4,BD$5)"),"")</f>
        <v/>
      </c>
      <c r="BE252" s="530"/>
      <c r="BF252" s="530"/>
      <c r="BG252" s="530"/>
      <c r="BH252" s="530"/>
      <c r="BI2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5-3'!$D$11:$Q319,BI$4,BI$5)"),"")</f>
        <v/>
      </c>
      <c r="BJ252" s="535"/>
      <c r="BK2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5-3'!$D$11:$Q319,BK$4,BK$5)"),"")</f>
        <v/>
      </c>
      <c r="BL252" s="534"/>
      <c r="BM2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5-3'!$D$11:$Q319,BM$4,BM$5)"),"")</f>
        <v/>
      </c>
      <c r="BN252" s="534"/>
      <c r="BO2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5-3'!$D$11:$Q319,BO$4,BO$5)"),"")</f>
        <v/>
      </c>
      <c r="BP252" s="534"/>
      <c r="BQ2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5-3'!$D$11:$Q319,BQ$4,BQ$5)"),"")</f>
        <v/>
      </c>
      <c r="BR252" s="536"/>
      <c r="BS25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5-3'!$D$11:$Q319,BS$4,BS$5)"),"")</f>
        <v/>
      </c>
      <c r="BT252" s="534"/>
      <c r="BU252" s="534"/>
      <c r="BV252" s="534"/>
      <c r="BW252" s="534"/>
      <c r="BX2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5-3'!$D$11:$Q319,BX$4,BX$5)"),"")</f>
        <v/>
      </c>
      <c r="BY252" s="538"/>
      <c r="BZ2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5-3'!$D$11:$Q319,BZ$4,BZ$5)"),"")</f>
        <v/>
      </c>
      <c r="CA252" s="537"/>
      <c r="CB2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5-3'!$D$11:$Q319,CB$4,CB$5)"),"")</f>
        <v/>
      </c>
      <c r="CC252" s="537"/>
      <c r="CD2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5-3'!$D$11:$Q319,CD$4,CD$5)"),"")</f>
        <v/>
      </c>
      <c r="CE252" s="537"/>
      <c r="CF2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5-3'!$D$11:$Q319,CF$4,CF$5)"),"")</f>
        <v/>
      </c>
      <c r="CG252" s="539"/>
      <c r="CH25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5-3'!$D$11:$Q319,CH$4,CH$5)"),"")</f>
        <v/>
      </c>
      <c r="CI252" s="537"/>
      <c r="CJ252" s="537"/>
      <c r="CK252" s="537"/>
      <c r="CL252" s="537"/>
      <c r="CM2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5-3'!$D$11:$Q319,CM$4,CM$5)"),"")</f>
        <v/>
      </c>
      <c r="CN252" s="541"/>
      <c r="CO2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5-3'!$D$11:$Q319,CO$4,CO$5)"),"")</f>
        <v/>
      </c>
      <c r="CP252" s="540"/>
      <c r="CQ2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5-3'!$D$11:$Q319,CQ$4,CQ$5)"),"")</f>
        <v/>
      </c>
      <c r="CR252" s="540"/>
      <c r="CS2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5-3'!$D$11:$Q319,CS$4,CS$5)"),"")</f>
        <v/>
      </c>
      <c r="CT252" s="540"/>
      <c r="CU2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5-3'!$D$11:$Q319,CU$4,CU$5)"),"")</f>
        <v/>
      </c>
      <c r="CV252" s="545"/>
      <c r="CW25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5-3'!$D$11:$Q319,CW$4,CW$5)"),"")</f>
        <v/>
      </c>
      <c r="CX252" s="540"/>
      <c r="CY252" s="540"/>
      <c r="CZ252" s="540"/>
      <c r="DA252" s="540"/>
      <c r="DB2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5-3'!$D$11:$Q319,DB$4,DB$5)"),"")</f>
        <v/>
      </c>
      <c r="DC252" s="555"/>
      <c r="DD2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5-3'!$D$11:$Q319,DD$4,DD$5)"),"")</f>
        <v/>
      </c>
      <c r="DE252" s="554"/>
      <c r="DF2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5-3'!$D$11:$Q319,DF$4,DF$5)"),"")</f>
        <v/>
      </c>
      <c r="DG252" s="554"/>
      <c r="DH2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5-3'!$D$11:$Q319,DH$4,DH$5)"),"")</f>
        <v/>
      </c>
      <c r="DI252" s="554"/>
      <c r="DJ2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5-3'!$D$11:$Q319,DJ$4,DJ$5)"),"")</f>
        <v/>
      </c>
      <c r="DK252" s="566"/>
      <c r="DL25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5-3'!$D$11:$Q319,DL$4,DL$5)"),"")</f>
        <v/>
      </c>
      <c r="DM252" s="554"/>
      <c r="DN252" s="554"/>
      <c r="DO252" s="554"/>
      <c r="DP252" s="554"/>
      <c r="DQ2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5-3'!$D$11:$Q319,DQ$4,DQ$5)"),"")</f>
        <v/>
      </c>
      <c r="DR252" s="569"/>
      <c r="DS2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5-3'!$D$11:$Q319,DS$4,DS$5)"),"")</f>
        <v/>
      </c>
      <c r="DT252" s="568"/>
      <c r="DU2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5-3'!$D$11:$Q319,DU$4,DU$5)"),"")</f>
        <v/>
      </c>
      <c r="DV252" s="568"/>
      <c r="DW2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5-3'!$D$11:$Q319,DW$4,DW$5)"),"")</f>
        <v/>
      </c>
      <c r="DX252" s="568"/>
      <c r="DY2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5-3'!$D$11:$Q319,DY$4,DY$5)"),"")</f>
        <v/>
      </c>
      <c r="DZ252" s="578"/>
      <c r="EA25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$C252, 'S-10 Топ 5-3'!$D$11:$Q319,EA$4,EA$5)"),"")</f>
        <v/>
      </c>
      <c r="EB252" s="568"/>
      <c r="EC252" s="568"/>
      <c r="ED252" s="568"/>
      <c r="EE252" s="568"/>
    </row>
    <row r="253">
      <c r="A253" s="519" t="str">
        <f t="shared" si="1"/>
        <v/>
      </c>
      <c r="B253" s="520" t="str">
        <f>'5-0 Товары'!B253</f>
        <v/>
      </c>
      <c r="C253" s="521" t="str">
        <f>'5-1 Сбор КП Закупки'!C253</f>
        <v/>
      </c>
      <c r="D253" s="521" t="str">
        <f>'5-1 Сбор КП Закупки'!D253</f>
        <v/>
      </c>
      <c r="E253" s="521" t="str">
        <f>'5-1 Сбор КП Закупки'!E253</f>
        <v/>
      </c>
      <c r="F253" s="521" t="str">
        <f>'5-1 Сбор КП Закупки'!F253</f>
        <v/>
      </c>
      <c r="G253" s="522" t="str">
        <f>'5-1 Сбор КП Закупки'!G253</f>
        <v/>
      </c>
      <c r="H253" s="522" t="str">
        <f>'5-1 Сбор КП Закупки'!H253</f>
        <v/>
      </c>
      <c r="I253" s="522" t="str">
        <f>'5-1 Сбор КП Закупки'!I253</f>
        <v/>
      </c>
      <c r="J253" s="197"/>
      <c r="K253" s="522" t="str">
        <f>'5-1 Сбор КП Закупки'!G253</f>
        <v/>
      </c>
      <c r="L253" s="523" t="str">
        <f>IF(A253="Да",'5-1 Сбор КП Закупки'!K253,)</f>
        <v/>
      </c>
      <c r="M253" s="197"/>
      <c r="N253" s="197"/>
      <c r="O253" s="197"/>
      <c r="P253" s="525" t="str">
        <f>'5-1 Сбор КП Закупки'!P253</f>
        <v/>
      </c>
      <c r="Q253" s="197"/>
      <c r="R253" s="197"/>
      <c r="S253" s="197"/>
      <c r="T253" s="197"/>
      <c r="U253" s="197"/>
      <c r="V253" s="197"/>
      <c r="W253" s="522" t="str">
        <f>'5-1 Сбор КП Закупки'!O253</f>
        <v/>
      </c>
      <c r="X253" s="197"/>
      <c r="Y253" s="197"/>
      <c r="Z253" s="197"/>
      <c r="AA253" s="197"/>
      <c r="AB253" s="197">
        <v>0.0</v>
      </c>
      <c r="AC253" s="197"/>
      <c r="AD253" s="197"/>
      <c r="AE2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5-3'!$D$11:$Q319,AE$4,AE$5)"),"")</f>
        <v/>
      </c>
      <c r="AF253" s="528"/>
      <c r="AG2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5-3'!$D$11:$Q319,AG$4,AG$5)"),"")</f>
        <v/>
      </c>
      <c r="AH253" s="527"/>
      <c r="AI2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5-3'!$D$11:$Q319,AI$4,AI$5)"),"")</f>
        <v/>
      </c>
      <c r="AJ253" s="527"/>
      <c r="AK2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5-3'!$D$11:$Q319,AK$4,AK$5)"),"")</f>
        <v/>
      </c>
      <c r="AL253" s="527"/>
      <c r="AM2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5-3'!$D$11:$Q319,AM$4,AM$5)"),"")</f>
        <v/>
      </c>
      <c r="AN253" s="529"/>
      <c r="AO25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5-3'!$D$11:$Q319,AO$4,AO$5)"),"")</f>
        <v/>
      </c>
      <c r="AP253" s="527"/>
      <c r="AQ253" s="527"/>
      <c r="AR253" s="527"/>
      <c r="AS253" s="527"/>
      <c r="AT2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5-3'!$D$11:$Q319,AT$4,AT$5)"),"")</f>
        <v/>
      </c>
      <c r="AU253" s="531"/>
      <c r="AV2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5-3'!$D$11:$Q319,AV$4,AV$5)"),"")</f>
        <v/>
      </c>
      <c r="AW253" s="530"/>
      <c r="AX2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5-3'!$D$11:$Q319,AX$4,AX$5)"),"")</f>
        <v/>
      </c>
      <c r="AY253" s="530"/>
      <c r="AZ2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5-3'!$D$11:$Q319,AZ$4,AZ$5)"),"")</f>
        <v/>
      </c>
      <c r="BA253" s="530"/>
      <c r="BB2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5-3'!$D$11:$Q319,BB$4,BB$5)"),"")</f>
        <v/>
      </c>
      <c r="BC253" s="532"/>
      <c r="BD25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5-3'!$D$11:$Q319,BD$4,BD$5)"),"")</f>
        <v/>
      </c>
      <c r="BE253" s="530"/>
      <c r="BF253" s="530"/>
      <c r="BG253" s="530"/>
      <c r="BH253" s="530"/>
      <c r="BI2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5-3'!$D$11:$Q319,BI$4,BI$5)"),"")</f>
        <v/>
      </c>
      <c r="BJ253" s="535"/>
      <c r="BK2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5-3'!$D$11:$Q319,BK$4,BK$5)"),"")</f>
        <v/>
      </c>
      <c r="BL253" s="534"/>
      <c r="BM2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5-3'!$D$11:$Q319,BM$4,BM$5)"),"")</f>
        <v/>
      </c>
      <c r="BN253" s="534"/>
      <c r="BO2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5-3'!$D$11:$Q319,BO$4,BO$5)"),"")</f>
        <v/>
      </c>
      <c r="BP253" s="534"/>
      <c r="BQ2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5-3'!$D$11:$Q319,BQ$4,BQ$5)"),"")</f>
        <v/>
      </c>
      <c r="BR253" s="536"/>
      <c r="BS25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5-3'!$D$11:$Q319,BS$4,BS$5)"),"")</f>
        <v/>
      </c>
      <c r="BT253" s="534"/>
      <c r="BU253" s="534"/>
      <c r="BV253" s="534"/>
      <c r="BW253" s="534"/>
      <c r="BX2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5-3'!$D$11:$Q319,BX$4,BX$5)"),"")</f>
        <v/>
      </c>
      <c r="BY253" s="538"/>
      <c r="BZ2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5-3'!$D$11:$Q319,BZ$4,BZ$5)"),"")</f>
        <v/>
      </c>
      <c r="CA253" s="537"/>
      <c r="CB2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5-3'!$D$11:$Q319,CB$4,CB$5)"),"")</f>
        <v/>
      </c>
      <c r="CC253" s="537"/>
      <c r="CD2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5-3'!$D$11:$Q319,CD$4,CD$5)"),"")</f>
        <v/>
      </c>
      <c r="CE253" s="537"/>
      <c r="CF2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5-3'!$D$11:$Q319,CF$4,CF$5)"),"")</f>
        <v/>
      </c>
      <c r="CG253" s="539"/>
      <c r="CH25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5-3'!$D$11:$Q319,CH$4,CH$5)"),"")</f>
        <v/>
      </c>
      <c r="CI253" s="537"/>
      <c r="CJ253" s="537"/>
      <c r="CK253" s="537"/>
      <c r="CL253" s="537"/>
      <c r="CM2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5-3'!$D$11:$Q319,CM$4,CM$5)"),"")</f>
        <v/>
      </c>
      <c r="CN253" s="541"/>
      <c r="CO2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5-3'!$D$11:$Q319,CO$4,CO$5)"),"")</f>
        <v/>
      </c>
      <c r="CP253" s="540"/>
      <c r="CQ2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5-3'!$D$11:$Q319,CQ$4,CQ$5)"),"")</f>
        <v/>
      </c>
      <c r="CR253" s="540"/>
      <c r="CS2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5-3'!$D$11:$Q319,CS$4,CS$5)"),"")</f>
        <v/>
      </c>
      <c r="CT253" s="540"/>
      <c r="CU2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5-3'!$D$11:$Q319,CU$4,CU$5)"),"")</f>
        <v/>
      </c>
      <c r="CV253" s="545"/>
      <c r="CW25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5-3'!$D$11:$Q319,CW$4,CW$5)"),"")</f>
        <v/>
      </c>
      <c r="CX253" s="540"/>
      <c r="CY253" s="540"/>
      <c r="CZ253" s="540"/>
      <c r="DA253" s="540"/>
      <c r="DB2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5-3'!$D$11:$Q319,DB$4,DB$5)"),"")</f>
        <v/>
      </c>
      <c r="DC253" s="555"/>
      <c r="DD2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5-3'!$D$11:$Q319,DD$4,DD$5)"),"")</f>
        <v/>
      </c>
      <c r="DE253" s="554"/>
      <c r="DF2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5-3'!$D$11:$Q319,DF$4,DF$5)"),"")</f>
        <v/>
      </c>
      <c r="DG253" s="554"/>
      <c r="DH2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5-3'!$D$11:$Q319,DH$4,DH$5)"),"")</f>
        <v/>
      </c>
      <c r="DI253" s="554"/>
      <c r="DJ2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5-3'!$D$11:$Q319,DJ$4,DJ$5)"),"")</f>
        <v/>
      </c>
      <c r="DK253" s="566"/>
      <c r="DL25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5-3'!$D$11:$Q319,DL$4,DL$5)"),"")</f>
        <v/>
      </c>
      <c r="DM253" s="554"/>
      <c r="DN253" s="554"/>
      <c r="DO253" s="554"/>
      <c r="DP253" s="554"/>
      <c r="DQ2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5-3'!$D$11:$Q319,DQ$4,DQ$5)"),"")</f>
        <v/>
      </c>
      <c r="DR253" s="569"/>
      <c r="DS2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5-3'!$D$11:$Q319,DS$4,DS$5)"),"")</f>
        <v/>
      </c>
      <c r="DT253" s="568"/>
      <c r="DU2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5-3'!$D$11:$Q319,DU$4,DU$5)"),"")</f>
        <v/>
      </c>
      <c r="DV253" s="568"/>
      <c r="DW2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5-3'!$D$11:$Q319,DW$4,DW$5)"),"")</f>
        <v/>
      </c>
      <c r="DX253" s="568"/>
      <c r="DY2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5-3'!$D$11:$Q319,DY$4,DY$5)"),"")</f>
        <v/>
      </c>
      <c r="DZ253" s="578"/>
      <c r="EA25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$C253, 'S-10 Топ 5-3'!$D$11:$Q319,EA$4,EA$5)"),"")</f>
        <v/>
      </c>
      <c r="EB253" s="568"/>
      <c r="EC253" s="568"/>
      <c r="ED253" s="568"/>
      <c r="EE253" s="568"/>
    </row>
    <row r="254">
      <c r="A254" s="519" t="str">
        <f t="shared" si="1"/>
        <v/>
      </c>
      <c r="B254" s="520" t="str">
        <f>'5-0 Товары'!B254</f>
        <v/>
      </c>
      <c r="C254" s="521" t="str">
        <f>'5-1 Сбор КП Закупки'!C254</f>
        <v/>
      </c>
      <c r="D254" s="521" t="str">
        <f>'5-1 Сбор КП Закупки'!D254</f>
        <v/>
      </c>
      <c r="E254" s="521" t="str">
        <f>'5-1 Сбор КП Закупки'!E254</f>
        <v/>
      </c>
      <c r="F254" s="521" t="str">
        <f>'5-1 Сбор КП Закупки'!F254</f>
        <v/>
      </c>
      <c r="G254" s="522" t="str">
        <f>'5-1 Сбор КП Закупки'!G254</f>
        <v/>
      </c>
      <c r="H254" s="522" t="str">
        <f>'5-1 Сбор КП Закупки'!H254</f>
        <v/>
      </c>
      <c r="I254" s="522" t="str">
        <f>'5-1 Сбор КП Закупки'!I254</f>
        <v/>
      </c>
      <c r="J254" s="197"/>
      <c r="K254" s="522" t="str">
        <f>'5-1 Сбор КП Закупки'!G254</f>
        <v/>
      </c>
      <c r="L254" s="523" t="str">
        <f>IF(A254="Да",'5-1 Сбор КП Закупки'!K254,)</f>
        <v/>
      </c>
      <c r="M254" s="197"/>
      <c r="N254" s="197"/>
      <c r="O254" s="197"/>
      <c r="P254" s="525" t="str">
        <f>'5-1 Сбор КП Закупки'!P254</f>
        <v/>
      </c>
      <c r="Q254" s="197"/>
      <c r="R254" s="197"/>
      <c r="S254" s="197"/>
      <c r="T254" s="197"/>
      <c r="U254" s="197"/>
      <c r="V254" s="197"/>
      <c r="W254" s="522" t="str">
        <f>'5-1 Сбор КП Закупки'!O254</f>
        <v/>
      </c>
      <c r="X254" s="197"/>
      <c r="Y254" s="197"/>
      <c r="Z254" s="197"/>
      <c r="AA254" s="197"/>
      <c r="AB254" s="197">
        <v>0.0</v>
      </c>
      <c r="AC254" s="197"/>
      <c r="AD254" s="197"/>
      <c r="AE2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5-3'!$D$11:$Q319,AE$4,AE$5)"),"")</f>
        <v/>
      </c>
      <c r="AF254" s="528"/>
      <c r="AG2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5-3'!$D$11:$Q319,AG$4,AG$5)"),"")</f>
        <v/>
      </c>
      <c r="AH254" s="527"/>
      <c r="AI2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5-3'!$D$11:$Q319,AI$4,AI$5)"),"")</f>
        <v/>
      </c>
      <c r="AJ254" s="527"/>
      <c r="AK2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5-3'!$D$11:$Q319,AK$4,AK$5)"),"")</f>
        <v/>
      </c>
      <c r="AL254" s="527"/>
      <c r="AM2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5-3'!$D$11:$Q319,AM$4,AM$5)"),"")</f>
        <v/>
      </c>
      <c r="AN254" s="529"/>
      <c r="AO25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5-3'!$D$11:$Q319,AO$4,AO$5)"),"")</f>
        <v/>
      </c>
      <c r="AP254" s="527"/>
      <c r="AQ254" s="527"/>
      <c r="AR254" s="527"/>
      <c r="AS254" s="527"/>
      <c r="AT2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5-3'!$D$11:$Q319,AT$4,AT$5)"),"")</f>
        <v/>
      </c>
      <c r="AU254" s="531"/>
      <c r="AV2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5-3'!$D$11:$Q319,AV$4,AV$5)"),"")</f>
        <v/>
      </c>
      <c r="AW254" s="530"/>
      <c r="AX2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5-3'!$D$11:$Q319,AX$4,AX$5)"),"")</f>
        <v/>
      </c>
      <c r="AY254" s="530"/>
      <c r="AZ2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5-3'!$D$11:$Q319,AZ$4,AZ$5)"),"")</f>
        <v/>
      </c>
      <c r="BA254" s="530"/>
      <c r="BB2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5-3'!$D$11:$Q319,BB$4,BB$5)"),"")</f>
        <v/>
      </c>
      <c r="BC254" s="532"/>
      <c r="BD25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5-3'!$D$11:$Q319,BD$4,BD$5)"),"")</f>
        <v/>
      </c>
      <c r="BE254" s="530"/>
      <c r="BF254" s="530"/>
      <c r="BG254" s="530"/>
      <c r="BH254" s="530"/>
      <c r="BI2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5-3'!$D$11:$Q319,BI$4,BI$5)"),"")</f>
        <v/>
      </c>
      <c r="BJ254" s="535"/>
      <c r="BK2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5-3'!$D$11:$Q319,BK$4,BK$5)"),"")</f>
        <v/>
      </c>
      <c r="BL254" s="534"/>
      <c r="BM2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5-3'!$D$11:$Q319,BM$4,BM$5)"),"")</f>
        <v/>
      </c>
      <c r="BN254" s="534"/>
      <c r="BO2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5-3'!$D$11:$Q319,BO$4,BO$5)"),"")</f>
        <v/>
      </c>
      <c r="BP254" s="534"/>
      <c r="BQ2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5-3'!$D$11:$Q319,BQ$4,BQ$5)"),"")</f>
        <v/>
      </c>
      <c r="BR254" s="536"/>
      <c r="BS25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5-3'!$D$11:$Q319,BS$4,BS$5)"),"")</f>
        <v/>
      </c>
      <c r="BT254" s="534"/>
      <c r="BU254" s="534"/>
      <c r="BV254" s="534"/>
      <c r="BW254" s="534"/>
      <c r="BX2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5-3'!$D$11:$Q319,BX$4,BX$5)"),"")</f>
        <v/>
      </c>
      <c r="BY254" s="538"/>
      <c r="BZ2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5-3'!$D$11:$Q319,BZ$4,BZ$5)"),"")</f>
        <v/>
      </c>
      <c r="CA254" s="537"/>
      <c r="CB2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5-3'!$D$11:$Q319,CB$4,CB$5)"),"")</f>
        <v/>
      </c>
      <c r="CC254" s="537"/>
      <c r="CD2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5-3'!$D$11:$Q319,CD$4,CD$5)"),"")</f>
        <v/>
      </c>
      <c r="CE254" s="537"/>
      <c r="CF2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5-3'!$D$11:$Q319,CF$4,CF$5)"),"")</f>
        <v/>
      </c>
      <c r="CG254" s="539"/>
      <c r="CH25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5-3'!$D$11:$Q319,CH$4,CH$5)"),"")</f>
        <v/>
      </c>
      <c r="CI254" s="537"/>
      <c r="CJ254" s="537"/>
      <c r="CK254" s="537"/>
      <c r="CL254" s="537"/>
      <c r="CM2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5-3'!$D$11:$Q319,CM$4,CM$5)"),"")</f>
        <v/>
      </c>
      <c r="CN254" s="541"/>
      <c r="CO2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5-3'!$D$11:$Q319,CO$4,CO$5)"),"")</f>
        <v/>
      </c>
      <c r="CP254" s="540"/>
      <c r="CQ2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5-3'!$D$11:$Q319,CQ$4,CQ$5)"),"")</f>
        <v/>
      </c>
      <c r="CR254" s="540"/>
      <c r="CS2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5-3'!$D$11:$Q319,CS$4,CS$5)"),"")</f>
        <v/>
      </c>
      <c r="CT254" s="540"/>
      <c r="CU2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5-3'!$D$11:$Q319,CU$4,CU$5)"),"")</f>
        <v/>
      </c>
      <c r="CV254" s="545"/>
      <c r="CW25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5-3'!$D$11:$Q319,CW$4,CW$5)"),"")</f>
        <v/>
      </c>
      <c r="CX254" s="540"/>
      <c r="CY254" s="540"/>
      <c r="CZ254" s="540"/>
      <c r="DA254" s="540"/>
      <c r="DB2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5-3'!$D$11:$Q319,DB$4,DB$5)"),"")</f>
        <v/>
      </c>
      <c r="DC254" s="555"/>
      <c r="DD2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5-3'!$D$11:$Q319,DD$4,DD$5)"),"")</f>
        <v/>
      </c>
      <c r="DE254" s="554"/>
      <c r="DF2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5-3'!$D$11:$Q319,DF$4,DF$5)"),"")</f>
        <v/>
      </c>
      <c r="DG254" s="554"/>
      <c r="DH2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5-3'!$D$11:$Q319,DH$4,DH$5)"),"")</f>
        <v/>
      </c>
      <c r="DI254" s="554"/>
      <c r="DJ2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5-3'!$D$11:$Q319,DJ$4,DJ$5)"),"")</f>
        <v/>
      </c>
      <c r="DK254" s="566"/>
      <c r="DL25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5-3'!$D$11:$Q319,DL$4,DL$5)"),"")</f>
        <v/>
      </c>
      <c r="DM254" s="554"/>
      <c r="DN254" s="554"/>
      <c r="DO254" s="554"/>
      <c r="DP254" s="554"/>
      <c r="DQ2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5-3'!$D$11:$Q319,DQ$4,DQ$5)"),"")</f>
        <v/>
      </c>
      <c r="DR254" s="569"/>
      <c r="DS2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5-3'!$D$11:$Q319,DS$4,DS$5)"),"")</f>
        <v/>
      </c>
      <c r="DT254" s="568"/>
      <c r="DU2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5-3'!$D$11:$Q319,DU$4,DU$5)"),"")</f>
        <v/>
      </c>
      <c r="DV254" s="568"/>
      <c r="DW2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5-3'!$D$11:$Q319,DW$4,DW$5)"),"")</f>
        <v/>
      </c>
      <c r="DX254" s="568"/>
      <c r="DY2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5-3'!$D$11:$Q319,DY$4,DY$5)"),"")</f>
        <v/>
      </c>
      <c r="DZ254" s="578"/>
      <c r="EA25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$C254, 'S-10 Топ 5-3'!$D$11:$Q319,EA$4,EA$5)"),"")</f>
        <v/>
      </c>
      <c r="EB254" s="568"/>
      <c r="EC254" s="568"/>
      <c r="ED254" s="568"/>
      <c r="EE254" s="568"/>
    </row>
    <row r="255">
      <c r="A255" s="519" t="str">
        <f t="shared" si="1"/>
        <v/>
      </c>
      <c r="B255" s="520" t="str">
        <f>'5-0 Товары'!B255</f>
        <v/>
      </c>
      <c r="C255" s="521" t="str">
        <f>'5-1 Сбор КП Закупки'!C255</f>
        <v/>
      </c>
      <c r="D255" s="521" t="str">
        <f>'5-1 Сбор КП Закупки'!D255</f>
        <v/>
      </c>
      <c r="E255" s="521" t="str">
        <f>'5-1 Сбор КП Закупки'!E255</f>
        <v/>
      </c>
      <c r="F255" s="521" t="str">
        <f>'5-1 Сбор КП Закупки'!F255</f>
        <v/>
      </c>
      <c r="G255" s="522" t="str">
        <f>'5-1 Сбор КП Закупки'!G255</f>
        <v/>
      </c>
      <c r="H255" s="522" t="str">
        <f>'5-1 Сбор КП Закупки'!H255</f>
        <v/>
      </c>
      <c r="I255" s="522" t="str">
        <f>'5-1 Сбор КП Закупки'!I255</f>
        <v/>
      </c>
      <c r="J255" s="197"/>
      <c r="K255" s="522" t="str">
        <f>'5-1 Сбор КП Закупки'!G255</f>
        <v/>
      </c>
      <c r="L255" s="523" t="str">
        <f>IF(A255="Да",'5-1 Сбор КП Закупки'!K255,)</f>
        <v/>
      </c>
      <c r="M255" s="197"/>
      <c r="N255" s="197"/>
      <c r="O255" s="197"/>
      <c r="P255" s="525" t="str">
        <f>'5-1 Сбор КП Закупки'!P255</f>
        <v/>
      </c>
      <c r="Q255" s="197"/>
      <c r="R255" s="197"/>
      <c r="S255" s="197"/>
      <c r="T255" s="197"/>
      <c r="U255" s="197"/>
      <c r="V255" s="197"/>
      <c r="W255" s="522" t="str">
        <f>'5-1 Сбор КП Закупки'!O255</f>
        <v/>
      </c>
      <c r="X255" s="197"/>
      <c r="Y255" s="197"/>
      <c r="Z255" s="197"/>
      <c r="AA255" s="197"/>
      <c r="AB255" s="197">
        <v>0.0</v>
      </c>
      <c r="AC255" s="197"/>
      <c r="AD255" s="197"/>
      <c r="AE2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5-3'!$D$11:$Q319,AE$4,AE$5)"),"")</f>
        <v/>
      </c>
      <c r="AF255" s="528"/>
      <c r="AG2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5-3'!$D$11:$Q319,AG$4,AG$5)"),"")</f>
        <v/>
      </c>
      <c r="AH255" s="527"/>
      <c r="AI2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5-3'!$D$11:$Q319,AI$4,AI$5)"),"")</f>
        <v/>
      </c>
      <c r="AJ255" s="527"/>
      <c r="AK2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5-3'!$D$11:$Q319,AK$4,AK$5)"),"")</f>
        <v/>
      </c>
      <c r="AL255" s="527"/>
      <c r="AM2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5-3'!$D$11:$Q319,AM$4,AM$5)"),"")</f>
        <v/>
      </c>
      <c r="AN255" s="529"/>
      <c r="AO25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5-3'!$D$11:$Q319,AO$4,AO$5)"),"")</f>
        <v/>
      </c>
      <c r="AP255" s="527"/>
      <c r="AQ255" s="527"/>
      <c r="AR255" s="527"/>
      <c r="AS255" s="527"/>
      <c r="AT2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5-3'!$D$11:$Q319,AT$4,AT$5)"),"")</f>
        <v/>
      </c>
      <c r="AU255" s="531"/>
      <c r="AV2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5-3'!$D$11:$Q319,AV$4,AV$5)"),"")</f>
        <v/>
      </c>
      <c r="AW255" s="530"/>
      <c r="AX2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5-3'!$D$11:$Q319,AX$4,AX$5)"),"")</f>
        <v/>
      </c>
      <c r="AY255" s="530"/>
      <c r="AZ2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5-3'!$D$11:$Q319,AZ$4,AZ$5)"),"")</f>
        <v/>
      </c>
      <c r="BA255" s="530"/>
      <c r="BB2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5-3'!$D$11:$Q319,BB$4,BB$5)"),"")</f>
        <v/>
      </c>
      <c r="BC255" s="532"/>
      <c r="BD25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5-3'!$D$11:$Q319,BD$4,BD$5)"),"")</f>
        <v/>
      </c>
      <c r="BE255" s="530"/>
      <c r="BF255" s="530"/>
      <c r="BG255" s="530"/>
      <c r="BH255" s="530"/>
      <c r="BI2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5-3'!$D$11:$Q319,BI$4,BI$5)"),"")</f>
        <v/>
      </c>
      <c r="BJ255" s="535"/>
      <c r="BK2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5-3'!$D$11:$Q319,BK$4,BK$5)"),"")</f>
        <v/>
      </c>
      <c r="BL255" s="534"/>
      <c r="BM2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5-3'!$D$11:$Q319,BM$4,BM$5)"),"")</f>
        <v/>
      </c>
      <c r="BN255" s="534"/>
      <c r="BO2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5-3'!$D$11:$Q319,BO$4,BO$5)"),"")</f>
        <v/>
      </c>
      <c r="BP255" s="534"/>
      <c r="BQ2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5-3'!$D$11:$Q319,BQ$4,BQ$5)"),"")</f>
        <v/>
      </c>
      <c r="BR255" s="536"/>
      <c r="BS25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5-3'!$D$11:$Q319,BS$4,BS$5)"),"")</f>
        <v/>
      </c>
      <c r="BT255" s="534"/>
      <c r="BU255" s="534"/>
      <c r="BV255" s="534"/>
      <c r="BW255" s="534"/>
      <c r="BX2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5-3'!$D$11:$Q319,BX$4,BX$5)"),"")</f>
        <v/>
      </c>
      <c r="BY255" s="538"/>
      <c r="BZ2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5-3'!$D$11:$Q319,BZ$4,BZ$5)"),"")</f>
        <v/>
      </c>
      <c r="CA255" s="537"/>
      <c r="CB2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5-3'!$D$11:$Q319,CB$4,CB$5)"),"")</f>
        <v/>
      </c>
      <c r="CC255" s="537"/>
      <c r="CD2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5-3'!$D$11:$Q319,CD$4,CD$5)"),"")</f>
        <v/>
      </c>
      <c r="CE255" s="537"/>
      <c r="CF2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5-3'!$D$11:$Q319,CF$4,CF$5)"),"")</f>
        <v/>
      </c>
      <c r="CG255" s="539"/>
      <c r="CH25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5-3'!$D$11:$Q319,CH$4,CH$5)"),"")</f>
        <v/>
      </c>
      <c r="CI255" s="537"/>
      <c r="CJ255" s="537"/>
      <c r="CK255" s="537"/>
      <c r="CL255" s="537"/>
      <c r="CM2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5-3'!$D$11:$Q319,CM$4,CM$5)"),"")</f>
        <v/>
      </c>
      <c r="CN255" s="541"/>
      <c r="CO2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5-3'!$D$11:$Q319,CO$4,CO$5)"),"")</f>
        <v/>
      </c>
      <c r="CP255" s="540"/>
      <c r="CQ2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5-3'!$D$11:$Q319,CQ$4,CQ$5)"),"")</f>
        <v/>
      </c>
      <c r="CR255" s="540"/>
      <c r="CS2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5-3'!$D$11:$Q319,CS$4,CS$5)"),"")</f>
        <v/>
      </c>
      <c r="CT255" s="540"/>
      <c r="CU2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5-3'!$D$11:$Q319,CU$4,CU$5)"),"")</f>
        <v/>
      </c>
      <c r="CV255" s="545"/>
      <c r="CW25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5-3'!$D$11:$Q319,CW$4,CW$5)"),"")</f>
        <v/>
      </c>
      <c r="CX255" s="540"/>
      <c r="CY255" s="540"/>
      <c r="CZ255" s="540"/>
      <c r="DA255" s="540"/>
      <c r="DB2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5-3'!$D$11:$Q319,DB$4,DB$5)"),"")</f>
        <v/>
      </c>
      <c r="DC255" s="555"/>
      <c r="DD2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5-3'!$D$11:$Q319,DD$4,DD$5)"),"")</f>
        <v/>
      </c>
      <c r="DE255" s="554"/>
      <c r="DF2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5-3'!$D$11:$Q319,DF$4,DF$5)"),"")</f>
        <v/>
      </c>
      <c r="DG255" s="554"/>
      <c r="DH2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5-3'!$D$11:$Q319,DH$4,DH$5)"),"")</f>
        <v/>
      </c>
      <c r="DI255" s="554"/>
      <c r="DJ2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5-3'!$D$11:$Q319,DJ$4,DJ$5)"),"")</f>
        <v/>
      </c>
      <c r="DK255" s="566"/>
      <c r="DL25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5-3'!$D$11:$Q319,DL$4,DL$5)"),"")</f>
        <v/>
      </c>
      <c r="DM255" s="554"/>
      <c r="DN255" s="554"/>
      <c r="DO255" s="554"/>
      <c r="DP255" s="554"/>
      <c r="DQ2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5-3'!$D$11:$Q319,DQ$4,DQ$5)"),"")</f>
        <v/>
      </c>
      <c r="DR255" s="569"/>
      <c r="DS2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5-3'!$D$11:$Q319,DS$4,DS$5)"),"")</f>
        <v/>
      </c>
      <c r="DT255" s="568"/>
      <c r="DU2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5-3'!$D$11:$Q319,DU$4,DU$5)"),"")</f>
        <v/>
      </c>
      <c r="DV255" s="568"/>
      <c r="DW2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5-3'!$D$11:$Q319,DW$4,DW$5)"),"")</f>
        <v/>
      </c>
      <c r="DX255" s="568"/>
      <c r="DY2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5-3'!$D$11:$Q319,DY$4,DY$5)"),"")</f>
        <v/>
      </c>
      <c r="DZ255" s="578"/>
      <c r="EA25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$C255, 'S-10 Топ 5-3'!$D$11:$Q319,EA$4,EA$5)"),"")</f>
        <v/>
      </c>
      <c r="EB255" s="568"/>
      <c r="EC255" s="568"/>
      <c r="ED255" s="568"/>
      <c r="EE255" s="568"/>
    </row>
    <row r="256">
      <c r="A256" s="519" t="str">
        <f t="shared" si="1"/>
        <v/>
      </c>
      <c r="B256" s="520" t="str">
        <f>'5-0 Товары'!B256</f>
        <v/>
      </c>
      <c r="C256" s="521" t="str">
        <f>'5-1 Сбор КП Закупки'!C256</f>
        <v/>
      </c>
      <c r="D256" s="521" t="str">
        <f>'5-1 Сбор КП Закупки'!D256</f>
        <v/>
      </c>
      <c r="E256" s="521" t="str">
        <f>'5-1 Сбор КП Закупки'!E256</f>
        <v/>
      </c>
      <c r="F256" s="521" t="str">
        <f>'5-1 Сбор КП Закупки'!F256</f>
        <v/>
      </c>
      <c r="G256" s="522" t="str">
        <f>'5-1 Сбор КП Закупки'!G256</f>
        <v/>
      </c>
      <c r="H256" s="522" t="str">
        <f>'5-1 Сбор КП Закупки'!H256</f>
        <v/>
      </c>
      <c r="I256" s="522" t="str">
        <f>'5-1 Сбор КП Закупки'!I256</f>
        <v/>
      </c>
      <c r="J256" s="197"/>
      <c r="K256" s="522" t="str">
        <f>'5-1 Сбор КП Закупки'!G256</f>
        <v/>
      </c>
      <c r="L256" s="523" t="str">
        <f>IF(A256="Да",'5-1 Сбор КП Закупки'!K256,)</f>
        <v/>
      </c>
      <c r="M256" s="197"/>
      <c r="N256" s="197"/>
      <c r="O256" s="197"/>
      <c r="P256" s="525" t="str">
        <f>'5-1 Сбор КП Закупки'!P256</f>
        <v/>
      </c>
      <c r="Q256" s="197"/>
      <c r="R256" s="197"/>
      <c r="S256" s="197"/>
      <c r="T256" s="197"/>
      <c r="U256" s="197"/>
      <c r="V256" s="197"/>
      <c r="W256" s="522" t="str">
        <f>'5-1 Сбор КП Закупки'!O256</f>
        <v/>
      </c>
      <c r="X256" s="197"/>
      <c r="Y256" s="197"/>
      <c r="Z256" s="197"/>
      <c r="AA256" s="197"/>
      <c r="AB256" s="197">
        <v>0.0</v>
      </c>
      <c r="AC256" s="197"/>
      <c r="AD256" s="197"/>
      <c r="AE2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5-3'!$D$11:$Q319,AE$4,AE$5)"),"")</f>
        <v/>
      </c>
      <c r="AF256" s="528"/>
      <c r="AG2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5-3'!$D$11:$Q319,AG$4,AG$5)"),"")</f>
        <v/>
      </c>
      <c r="AH256" s="527"/>
      <c r="AI2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5-3'!$D$11:$Q319,AI$4,AI$5)"),"")</f>
        <v/>
      </c>
      <c r="AJ256" s="527"/>
      <c r="AK2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5-3'!$D$11:$Q319,AK$4,AK$5)"),"")</f>
        <v/>
      </c>
      <c r="AL256" s="527"/>
      <c r="AM2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5-3'!$D$11:$Q319,AM$4,AM$5)"),"")</f>
        <v/>
      </c>
      <c r="AN256" s="529"/>
      <c r="AO25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5-3'!$D$11:$Q319,AO$4,AO$5)"),"")</f>
        <v/>
      </c>
      <c r="AP256" s="527"/>
      <c r="AQ256" s="527"/>
      <c r="AR256" s="527"/>
      <c r="AS256" s="527"/>
      <c r="AT2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5-3'!$D$11:$Q319,AT$4,AT$5)"),"")</f>
        <v/>
      </c>
      <c r="AU256" s="531"/>
      <c r="AV2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5-3'!$D$11:$Q319,AV$4,AV$5)"),"")</f>
        <v/>
      </c>
      <c r="AW256" s="530"/>
      <c r="AX2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5-3'!$D$11:$Q319,AX$4,AX$5)"),"")</f>
        <v/>
      </c>
      <c r="AY256" s="530"/>
      <c r="AZ2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5-3'!$D$11:$Q319,AZ$4,AZ$5)"),"")</f>
        <v/>
      </c>
      <c r="BA256" s="530"/>
      <c r="BB2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5-3'!$D$11:$Q319,BB$4,BB$5)"),"")</f>
        <v/>
      </c>
      <c r="BC256" s="532"/>
      <c r="BD25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5-3'!$D$11:$Q319,BD$4,BD$5)"),"")</f>
        <v/>
      </c>
      <c r="BE256" s="530"/>
      <c r="BF256" s="530"/>
      <c r="BG256" s="530"/>
      <c r="BH256" s="530"/>
      <c r="BI2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5-3'!$D$11:$Q319,BI$4,BI$5)"),"")</f>
        <v/>
      </c>
      <c r="BJ256" s="535"/>
      <c r="BK2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5-3'!$D$11:$Q319,BK$4,BK$5)"),"")</f>
        <v/>
      </c>
      <c r="BL256" s="534"/>
      <c r="BM2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5-3'!$D$11:$Q319,BM$4,BM$5)"),"")</f>
        <v/>
      </c>
      <c r="BN256" s="534"/>
      <c r="BO2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5-3'!$D$11:$Q319,BO$4,BO$5)"),"")</f>
        <v/>
      </c>
      <c r="BP256" s="534"/>
      <c r="BQ2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5-3'!$D$11:$Q319,BQ$4,BQ$5)"),"")</f>
        <v/>
      </c>
      <c r="BR256" s="536"/>
      <c r="BS25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5-3'!$D$11:$Q319,BS$4,BS$5)"),"")</f>
        <v/>
      </c>
      <c r="BT256" s="534"/>
      <c r="BU256" s="534"/>
      <c r="BV256" s="534"/>
      <c r="BW256" s="534"/>
      <c r="BX2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5-3'!$D$11:$Q319,BX$4,BX$5)"),"")</f>
        <v/>
      </c>
      <c r="BY256" s="538"/>
      <c r="BZ2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5-3'!$D$11:$Q319,BZ$4,BZ$5)"),"")</f>
        <v/>
      </c>
      <c r="CA256" s="537"/>
      <c r="CB2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5-3'!$D$11:$Q319,CB$4,CB$5)"),"")</f>
        <v/>
      </c>
      <c r="CC256" s="537"/>
      <c r="CD2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5-3'!$D$11:$Q319,CD$4,CD$5)"),"")</f>
        <v/>
      </c>
      <c r="CE256" s="537"/>
      <c r="CF2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5-3'!$D$11:$Q319,CF$4,CF$5)"),"")</f>
        <v/>
      </c>
      <c r="CG256" s="539"/>
      <c r="CH25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5-3'!$D$11:$Q319,CH$4,CH$5)"),"")</f>
        <v/>
      </c>
      <c r="CI256" s="537"/>
      <c r="CJ256" s="537"/>
      <c r="CK256" s="537"/>
      <c r="CL256" s="537"/>
      <c r="CM2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5-3'!$D$11:$Q319,CM$4,CM$5)"),"")</f>
        <v/>
      </c>
      <c r="CN256" s="541"/>
      <c r="CO2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5-3'!$D$11:$Q319,CO$4,CO$5)"),"")</f>
        <v/>
      </c>
      <c r="CP256" s="540"/>
      <c r="CQ2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5-3'!$D$11:$Q319,CQ$4,CQ$5)"),"")</f>
        <v/>
      </c>
      <c r="CR256" s="540"/>
      <c r="CS2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5-3'!$D$11:$Q319,CS$4,CS$5)"),"")</f>
        <v/>
      </c>
      <c r="CT256" s="540"/>
      <c r="CU2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5-3'!$D$11:$Q319,CU$4,CU$5)"),"")</f>
        <v/>
      </c>
      <c r="CV256" s="545"/>
      <c r="CW25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5-3'!$D$11:$Q319,CW$4,CW$5)"),"")</f>
        <v/>
      </c>
      <c r="CX256" s="540"/>
      <c r="CY256" s="540"/>
      <c r="CZ256" s="540"/>
      <c r="DA256" s="540"/>
      <c r="DB2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5-3'!$D$11:$Q319,DB$4,DB$5)"),"")</f>
        <v/>
      </c>
      <c r="DC256" s="555"/>
      <c r="DD2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5-3'!$D$11:$Q319,DD$4,DD$5)"),"")</f>
        <v/>
      </c>
      <c r="DE256" s="554"/>
      <c r="DF2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5-3'!$D$11:$Q319,DF$4,DF$5)"),"")</f>
        <v/>
      </c>
      <c r="DG256" s="554"/>
      <c r="DH2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5-3'!$D$11:$Q319,DH$4,DH$5)"),"")</f>
        <v/>
      </c>
      <c r="DI256" s="554"/>
      <c r="DJ2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5-3'!$D$11:$Q319,DJ$4,DJ$5)"),"")</f>
        <v/>
      </c>
      <c r="DK256" s="566"/>
      <c r="DL25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5-3'!$D$11:$Q319,DL$4,DL$5)"),"")</f>
        <v/>
      </c>
      <c r="DM256" s="554"/>
      <c r="DN256" s="554"/>
      <c r="DO256" s="554"/>
      <c r="DP256" s="554"/>
      <c r="DQ2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5-3'!$D$11:$Q319,DQ$4,DQ$5)"),"")</f>
        <v/>
      </c>
      <c r="DR256" s="569"/>
      <c r="DS2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5-3'!$D$11:$Q319,DS$4,DS$5)"),"")</f>
        <v/>
      </c>
      <c r="DT256" s="568"/>
      <c r="DU2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5-3'!$D$11:$Q319,DU$4,DU$5)"),"")</f>
        <v/>
      </c>
      <c r="DV256" s="568"/>
      <c r="DW2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5-3'!$D$11:$Q319,DW$4,DW$5)"),"")</f>
        <v/>
      </c>
      <c r="DX256" s="568"/>
      <c r="DY2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5-3'!$D$11:$Q319,DY$4,DY$5)"),"")</f>
        <v/>
      </c>
      <c r="DZ256" s="578"/>
      <c r="EA25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$C256, 'S-10 Топ 5-3'!$D$11:$Q319,EA$4,EA$5)"),"")</f>
        <v/>
      </c>
      <c r="EB256" s="568"/>
      <c r="EC256" s="568"/>
      <c r="ED256" s="568"/>
      <c r="EE256" s="568"/>
    </row>
    <row r="257">
      <c r="A257" s="519" t="str">
        <f t="shared" si="1"/>
        <v/>
      </c>
      <c r="B257" s="520" t="str">
        <f>'5-0 Товары'!B257</f>
        <v/>
      </c>
      <c r="C257" s="521" t="str">
        <f>'5-1 Сбор КП Закупки'!C257</f>
        <v/>
      </c>
      <c r="D257" s="521" t="str">
        <f>'5-1 Сбор КП Закупки'!D257</f>
        <v/>
      </c>
      <c r="E257" s="521" t="str">
        <f>'5-1 Сбор КП Закупки'!E257</f>
        <v/>
      </c>
      <c r="F257" s="521" t="str">
        <f>'5-1 Сбор КП Закупки'!F257</f>
        <v/>
      </c>
      <c r="G257" s="522" t="str">
        <f>'5-1 Сбор КП Закупки'!G257</f>
        <v/>
      </c>
      <c r="H257" s="522" t="str">
        <f>'5-1 Сбор КП Закупки'!H257</f>
        <v/>
      </c>
      <c r="I257" s="522" t="str">
        <f>'5-1 Сбор КП Закупки'!I257</f>
        <v/>
      </c>
      <c r="J257" s="197"/>
      <c r="K257" s="522" t="str">
        <f>'5-1 Сбор КП Закупки'!G257</f>
        <v/>
      </c>
      <c r="L257" s="523" t="str">
        <f>IF(A257="Да",'5-1 Сбор КП Закупки'!K257,)</f>
        <v/>
      </c>
      <c r="M257" s="197"/>
      <c r="N257" s="197"/>
      <c r="O257" s="197"/>
      <c r="P257" s="525" t="str">
        <f>'5-1 Сбор КП Закупки'!P257</f>
        <v/>
      </c>
      <c r="Q257" s="197"/>
      <c r="R257" s="197"/>
      <c r="S257" s="197"/>
      <c r="T257" s="197"/>
      <c r="U257" s="197"/>
      <c r="V257" s="197"/>
      <c r="W257" s="522" t="str">
        <f>'5-1 Сбор КП Закупки'!O257</f>
        <v/>
      </c>
      <c r="X257" s="197"/>
      <c r="Y257" s="197"/>
      <c r="Z257" s="197"/>
      <c r="AA257" s="197"/>
      <c r="AB257" s="197">
        <v>0.0</v>
      </c>
      <c r="AC257" s="197"/>
      <c r="AD257" s="197"/>
      <c r="AE2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5-3'!$D$11:$Q319,AE$4,AE$5)"),"")</f>
        <v/>
      </c>
      <c r="AF257" s="528"/>
      <c r="AG2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5-3'!$D$11:$Q319,AG$4,AG$5)"),"")</f>
        <v/>
      </c>
      <c r="AH257" s="527"/>
      <c r="AI2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5-3'!$D$11:$Q319,AI$4,AI$5)"),"")</f>
        <v/>
      </c>
      <c r="AJ257" s="527"/>
      <c r="AK2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5-3'!$D$11:$Q319,AK$4,AK$5)"),"")</f>
        <v/>
      </c>
      <c r="AL257" s="527"/>
      <c r="AM2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5-3'!$D$11:$Q319,AM$4,AM$5)"),"")</f>
        <v/>
      </c>
      <c r="AN257" s="529"/>
      <c r="AO25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5-3'!$D$11:$Q319,AO$4,AO$5)"),"")</f>
        <v/>
      </c>
      <c r="AP257" s="527"/>
      <c r="AQ257" s="527"/>
      <c r="AR257" s="527"/>
      <c r="AS257" s="527"/>
      <c r="AT2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5-3'!$D$11:$Q319,AT$4,AT$5)"),"")</f>
        <v/>
      </c>
      <c r="AU257" s="531"/>
      <c r="AV2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5-3'!$D$11:$Q319,AV$4,AV$5)"),"")</f>
        <v/>
      </c>
      <c r="AW257" s="530"/>
      <c r="AX2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5-3'!$D$11:$Q319,AX$4,AX$5)"),"")</f>
        <v/>
      </c>
      <c r="AY257" s="530"/>
      <c r="AZ2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5-3'!$D$11:$Q319,AZ$4,AZ$5)"),"")</f>
        <v/>
      </c>
      <c r="BA257" s="530"/>
      <c r="BB2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5-3'!$D$11:$Q319,BB$4,BB$5)"),"")</f>
        <v/>
      </c>
      <c r="BC257" s="532"/>
      <c r="BD25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5-3'!$D$11:$Q319,BD$4,BD$5)"),"")</f>
        <v/>
      </c>
      <c r="BE257" s="530"/>
      <c r="BF257" s="530"/>
      <c r="BG257" s="530"/>
      <c r="BH257" s="530"/>
      <c r="BI2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5-3'!$D$11:$Q319,BI$4,BI$5)"),"")</f>
        <v/>
      </c>
      <c r="BJ257" s="535"/>
      <c r="BK2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5-3'!$D$11:$Q319,BK$4,BK$5)"),"")</f>
        <v/>
      </c>
      <c r="BL257" s="534"/>
      <c r="BM2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5-3'!$D$11:$Q319,BM$4,BM$5)"),"")</f>
        <v/>
      </c>
      <c r="BN257" s="534"/>
      <c r="BO2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5-3'!$D$11:$Q319,BO$4,BO$5)"),"")</f>
        <v/>
      </c>
      <c r="BP257" s="534"/>
      <c r="BQ2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5-3'!$D$11:$Q319,BQ$4,BQ$5)"),"")</f>
        <v/>
      </c>
      <c r="BR257" s="536"/>
      <c r="BS25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5-3'!$D$11:$Q319,BS$4,BS$5)"),"")</f>
        <v/>
      </c>
      <c r="BT257" s="534"/>
      <c r="BU257" s="534"/>
      <c r="BV257" s="534"/>
      <c r="BW257" s="534"/>
      <c r="BX2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5-3'!$D$11:$Q319,BX$4,BX$5)"),"")</f>
        <v/>
      </c>
      <c r="BY257" s="538"/>
      <c r="BZ2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5-3'!$D$11:$Q319,BZ$4,BZ$5)"),"")</f>
        <v/>
      </c>
      <c r="CA257" s="537"/>
      <c r="CB2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5-3'!$D$11:$Q319,CB$4,CB$5)"),"")</f>
        <v/>
      </c>
      <c r="CC257" s="537"/>
      <c r="CD2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5-3'!$D$11:$Q319,CD$4,CD$5)"),"")</f>
        <v/>
      </c>
      <c r="CE257" s="537"/>
      <c r="CF2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5-3'!$D$11:$Q319,CF$4,CF$5)"),"")</f>
        <v/>
      </c>
      <c r="CG257" s="539"/>
      <c r="CH25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5-3'!$D$11:$Q319,CH$4,CH$5)"),"")</f>
        <v/>
      </c>
      <c r="CI257" s="537"/>
      <c r="CJ257" s="537"/>
      <c r="CK257" s="537"/>
      <c r="CL257" s="537"/>
      <c r="CM2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5-3'!$D$11:$Q319,CM$4,CM$5)"),"")</f>
        <v/>
      </c>
      <c r="CN257" s="541"/>
      <c r="CO2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5-3'!$D$11:$Q319,CO$4,CO$5)"),"")</f>
        <v/>
      </c>
      <c r="CP257" s="540"/>
      <c r="CQ2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5-3'!$D$11:$Q319,CQ$4,CQ$5)"),"")</f>
        <v/>
      </c>
      <c r="CR257" s="540"/>
      <c r="CS2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5-3'!$D$11:$Q319,CS$4,CS$5)"),"")</f>
        <v/>
      </c>
      <c r="CT257" s="540"/>
      <c r="CU2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5-3'!$D$11:$Q319,CU$4,CU$5)"),"")</f>
        <v/>
      </c>
      <c r="CV257" s="545"/>
      <c r="CW25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5-3'!$D$11:$Q319,CW$4,CW$5)"),"")</f>
        <v/>
      </c>
      <c r="CX257" s="540"/>
      <c r="CY257" s="540"/>
      <c r="CZ257" s="540"/>
      <c r="DA257" s="540"/>
      <c r="DB2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5-3'!$D$11:$Q319,DB$4,DB$5)"),"")</f>
        <v/>
      </c>
      <c r="DC257" s="555"/>
      <c r="DD2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5-3'!$D$11:$Q319,DD$4,DD$5)"),"")</f>
        <v/>
      </c>
      <c r="DE257" s="554"/>
      <c r="DF2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5-3'!$D$11:$Q319,DF$4,DF$5)"),"")</f>
        <v/>
      </c>
      <c r="DG257" s="554"/>
      <c r="DH2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5-3'!$D$11:$Q319,DH$4,DH$5)"),"")</f>
        <v/>
      </c>
      <c r="DI257" s="554"/>
      <c r="DJ2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5-3'!$D$11:$Q319,DJ$4,DJ$5)"),"")</f>
        <v/>
      </c>
      <c r="DK257" s="566"/>
      <c r="DL25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5-3'!$D$11:$Q319,DL$4,DL$5)"),"")</f>
        <v/>
      </c>
      <c r="DM257" s="554"/>
      <c r="DN257" s="554"/>
      <c r="DO257" s="554"/>
      <c r="DP257" s="554"/>
      <c r="DQ2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5-3'!$D$11:$Q319,DQ$4,DQ$5)"),"")</f>
        <v/>
      </c>
      <c r="DR257" s="569"/>
      <c r="DS2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5-3'!$D$11:$Q319,DS$4,DS$5)"),"")</f>
        <v/>
      </c>
      <c r="DT257" s="568"/>
      <c r="DU2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5-3'!$D$11:$Q319,DU$4,DU$5)"),"")</f>
        <v/>
      </c>
      <c r="DV257" s="568"/>
      <c r="DW2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5-3'!$D$11:$Q319,DW$4,DW$5)"),"")</f>
        <v/>
      </c>
      <c r="DX257" s="568"/>
      <c r="DY2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5-3'!$D$11:$Q319,DY$4,DY$5)"),"")</f>
        <v/>
      </c>
      <c r="DZ257" s="578"/>
      <c r="EA25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$C257, 'S-10 Топ 5-3'!$D$11:$Q319,EA$4,EA$5)"),"")</f>
        <v/>
      </c>
      <c r="EB257" s="568"/>
      <c r="EC257" s="568"/>
      <c r="ED257" s="568"/>
      <c r="EE257" s="568"/>
    </row>
    <row r="258">
      <c r="A258" s="519" t="str">
        <f t="shared" si="1"/>
        <v/>
      </c>
      <c r="B258" s="520" t="str">
        <f>'5-0 Товары'!B258</f>
        <v/>
      </c>
      <c r="C258" s="521" t="str">
        <f>'5-1 Сбор КП Закупки'!C258</f>
        <v/>
      </c>
      <c r="D258" s="521" t="str">
        <f>'5-1 Сбор КП Закупки'!D258</f>
        <v/>
      </c>
      <c r="E258" s="521" t="str">
        <f>'5-1 Сбор КП Закупки'!E258</f>
        <v/>
      </c>
      <c r="F258" s="521" t="str">
        <f>'5-1 Сбор КП Закупки'!F258</f>
        <v/>
      </c>
      <c r="G258" s="522" t="str">
        <f>'5-1 Сбор КП Закупки'!G258</f>
        <v/>
      </c>
      <c r="H258" s="522" t="str">
        <f>'5-1 Сбор КП Закупки'!H258</f>
        <v/>
      </c>
      <c r="I258" s="522" t="str">
        <f>'5-1 Сбор КП Закупки'!I258</f>
        <v/>
      </c>
      <c r="J258" s="197"/>
      <c r="K258" s="522" t="str">
        <f>'5-1 Сбор КП Закупки'!G258</f>
        <v/>
      </c>
      <c r="L258" s="523" t="str">
        <f>IF(A258="Да",'5-1 Сбор КП Закупки'!K258,)</f>
        <v/>
      </c>
      <c r="M258" s="197"/>
      <c r="N258" s="197"/>
      <c r="O258" s="197"/>
      <c r="P258" s="525" t="str">
        <f>'5-1 Сбор КП Закупки'!P258</f>
        <v/>
      </c>
      <c r="Q258" s="197"/>
      <c r="R258" s="197"/>
      <c r="S258" s="197"/>
      <c r="T258" s="197"/>
      <c r="U258" s="197"/>
      <c r="V258" s="197"/>
      <c r="W258" s="522" t="str">
        <f>'5-1 Сбор КП Закупки'!O258</f>
        <v/>
      </c>
      <c r="X258" s="197"/>
      <c r="Y258" s="197"/>
      <c r="Z258" s="197"/>
      <c r="AA258" s="197"/>
      <c r="AB258" s="197">
        <v>0.0</v>
      </c>
      <c r="AC258" s="197"/>
      <c r="AD258" s="197"/>
      <c r="AE2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5-3'!$D$11:$Q319,AE$4,AE$5)"),"")</f>
        <v/>
      </c>
      <c r="AF258" s="528"/>
      <c r="AG2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5-3'!$D$11:$Q319,AG$4,AG$5)"),"")</f>
        <v/>
      </c>
      <c r="AH258" s="527"/>
      <c r="AI2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5-3'!$D$11:$Q319,AI$4,AI$5)"),"")</f>
        <v/>
      </c>
      <c r="AJ258" s="527"/>
      <c r="AK2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5-3'!$D$11:$Q319,AK$4,AK$5)"),"")</f>
        <v/>
      </c>
      <c r="AL258" s="527"/>
      <c r="AM2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5-3'!$D$11:$Q319,AM$4,AM$5)"),"")</f>
        <v/>
      </c>
      <c r="AN258" s="529"/>
      <c r="AO25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5-3'!$D$11:$Q319,AO$4,AO$5)"),"")</f>
        <v/>
      </c>
      <c r="AP258" s="527"/>
      <c r="AQ258" s="527"/>
      <c r="AR258" s="527"/>
      <c r="AS258" s="527"/>
      <c r="AT2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5-3'!$D$11:$Q319,AT$4,AT$5)"),"")</f>
        <v/>
      </c>
      <c r="AU258" s="531"/>
      <c r="AV2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5-3'!$D$11:$Q319,AV$4,AV$5)"),"")</f>
        <v/>
      </c>
      <c r="AW258" s="530"/>
      <c r="AX2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5-3'!$D$11:$Q319,AX$4,AX$5)"),"")</f>
        <v/>
      </c>
      <c r="AY258" s="530"/>
      <c r="AZ2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5-3'!$D$11:$Q319,AZ$4,AZ$5)"),"")</f>
        <v/>
      </c>
      <c r="BA258" s="530"/>
      <c r="BB2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5-3'!$D$11:$Q319,BB$4,BB$5)"),"")</f>
        <v/>
      </c>
      <c r="BC258" s="532"/>
      <c r="BD25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5-3'!$D$11:$Q319,BD$4,BD$5)"),"")</f>
        <v/>
      </c>
      <c r="BE258" s="530"/>
      <c r="BF258" s="530"/>
      <c r="BG258" s="530"/>
      <c r="BH258" s="530"/>
      <c r="BI2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5-3'!$D$11:$Q319,BI$4,BI$5)"),"")</f>
        <v/>
      </c>
      <c r="BJ258" s="535"/>
      <c r="BK2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5-3'!$D$11:$Q319,BK$4,BK$5)"),"")</f>
        <v/>
      </c>
      <c r="BL258" s="534"/>
      <c r="BM2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5-3'!$D$11:$Q319,BM$4,BM$5)"),"")</f>
        <v/>
      </c>
      <c r="BN258" s="534"/>
      <c r="BO2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5-3'!$D$11:$Q319,BO$4,BO$5)"),"")</f>
        <v/>
      </c>
      <c r="BP258" s="534"/>
      <c r="BQ2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5-3'!$D$11:$Q319,BQ$4,BQ$5)"),"")</f>
        <v/>
      </c>
      <c r="BR258" s="536"/>
      <c r="BS25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5-3'!$D$11:$Q319,BS$4,BS$5)"),"")</f>
        <v/>
      </c>
      <c r="BT258" s="534"/>
      <c r="BU258" s="534"/>
      <c r="BV258" s="534"/>
      <c r="BW258" s="534"/>
      <c r="BX2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5-3'!$D$11:$Q319,BX$4,BX$5)"),"")</f>
        <v/>
      </c>
      <c r="BY258" s="538"/>
      <c r="BZ2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5-3'!$D$11:$Q319,BZ$4,BZ$5)"),"")</f>
        <v/>
      </c>
      <c r="CA258" s="537"/>
      <c r="CB2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5-3'!$D$11:$Q319,CB$4,CB$5)"),"")</f>
        <v/>
      </c>
      <c r="CC258" s="537"/>
      <c r="CD2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5-3'!$D$11:$Q319,CD$4,CD$5)"),"")</f>
        <v/>
      </c>
      <c r="CE258" s="537"/>
      <c r="CF2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5-3'!$D$11:$Q319,CF$4,CF$5)"),"")</f>
        <v/>
      </c>
      <c r="CG258" s="539"/>
      <c r="CH25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5-3'!$D$11:$Q319,CH$4,CH$5)"),"")</f>
        <v/>
      </c>
      <c r="CI258" s="537"/>
      <c r="CJ258" s="537"/>
      <c r="CK258" s="537"/>
      <c r="CL258" s="537"/>
      <c r="CM2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5-3'!$D$11:$Q319,CM$4,CM$5)"),"")</f>
        <v/>
      </c>
      <c r="CN258" s="541"/>
      <c r="CO2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5-3'!$D$11:$Q319,CO$4,CO$5)"),"")</f>
        <v/>
      </c>
      <c r="CP258" s="540"/>
      <c r="CQ2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5-3'!$D$11:$Q319,CQ$4,CQ$5)"),"")</f>
        <v/>
      </c>
      <c r="CR258" s="540"/>
      <c r="CS2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5-3'!$D$11:$Q319,CS$4,CS$5)"),"")</f>
        <v/>
      </c>
      <c r="CT258" s="540"/>
      <c r="CU2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5-3'!$D$11:$Q319,CU$4,CU$5)"),"")</f>
        <v/>
      </c>
      <c r="CV258" s="545"/>
      <c r="CW25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5-3'!$D$11:$Q319,CW$4,CW$5)"),"")</f>
        <v/>
      </c>
      <c r="CX258" s="540"/>
      <c r="CY258" s="540"/>
      <c r="CZ258" s="540"/>
      <c r="DA258" s="540"/>
      <c r="DB2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5-3'!$D$11:$Q319,DB$4,DB$5)"),"")</f>
        <v/>
      </c>
      <c r="DC258" s="555"/>
      <c r="DD2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5-3'!$D$11:$Q319,DD$4,DD$5)"),"")</f>
        <v/>
      </c>
      <c r="DE258" s="554"/>
      <c r="DF2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5-3'!$D$11:$Q319,DF$4,DF$5)"),"")</f>
        <v/>
      </c>
      <c r="DG258" s="554"/>
      <c r="DH2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5-3'!$D$11:$Q319,DH$4,DH$5)"),"")</f>
        <v/>
      </c>
      <c r="DI258" s="554"/>
      <c r="DJ2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5-3'!$D$11:$Q319,DJ$4,DJ$5)"),"")</f>
        <v/>
      </c>
      <c r="DK258" s="566"/>
      <c r="DL25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5-3'!$D$11:$Q319,DL$4,DL$5)"),"")</f>
        <v/>
      </c>
      <c r="DM258" s="554"/>
      <c r="DN258" s="554"/>
      <c r="DO258" s="554"/>
      <c r="DP258" s="554"/>
      <c r="DQ2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5-3'!$D$11:$Q319,DQ$4,DQ$5)"),"")</f>
        <v/>
      </c>
      <c r="DR258" s="569"/>
      <c r="DS2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5-3'!$D$11:$Q319,DS$4,DS$5)"),"")</f>
        <v/>
      </c>
      <c r="DT258" s="568"/>
      <c r="DU2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5-3'!$D$11:$Q319,DU$4,DU$5)"),"")</f>
        <v/>
      </c>
      <c r="DV258" s="568"/>
      <c r="DW2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5-3'!$D$11:$Q319,DW$4,DW$5)"),"")</f>
        <v/>
      </c>
      <c r="DX258" s="568"/>
      <c r="DY2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5-3'!$D$11:$Q319,DY$4,DY$5)"),"")</f>
        <v/>
      </c>
      <c r="DZ258" s="578"/>
      <c r="EA25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$C258, 'S-10 Топ 5-3'!$D$11:$Q319,EA$4,EA$5)"),"")</f>
        <v/>
      </c>
      <c r="EB258" s="568"/>
      <c r="EC258" s="568"/>
      <c r="ED258" s="568"/>
      <c r="EE258" s="568"/>
    </row>
    <row r="259">
      <c r="A259" s="519" t="str">
        <f t="shared" si="1"/>
        <v/>
      </c>
      <c r="B259" s="520" t="str">
        <f>'5-0 Товары'!B259</f>
        <v/>
      </c>
      <c r="C259" s="521" t="str">
        <f>'5-1 Сбор КП Закупки'!C259</f>
        <v/>
      </c>
      <c r="D259" s="521" t="str">
        <f>'5-1 Сбор КП Закупки'!D259</f>
        <v/>
      </c>
      <c r="E259" s="521" t="str">
        <f>'5-1 Сбор КП Закупки'!E259</f>
        <v/>
      </c>
      <c r="F259" s="521" t="str">
        <f>'5-1 Сбор КП Закупки'!F259</f>
        <v/>
      </c>
      <c r="G259" s="522" t="str">
        <f>'5-1 Сбор КП Закупки'!G259</f>
        <v/>
      </c>
      <c r="H259" s="522" t="str">
        <f>'5-1 Сбор КП Закупки'!H259</f>
        <v/>
      </c>
      <c r="I259" s="522" t="str">
        <f>'5-1 Сбор КП Закупки'!I259</f>
        <v/>
      </c>
      <c r="J259" s="197"/>
      <c r="K259" s="522" t="str">
        <f>'5-1 Сбор КП Закупки'!G259</f>
        <v/>
      </c>
      <c r="L259" s="523" t="str">
        <f>IF(A259="Да",'5-1 Сбор КП Закупки'!K259,)</f>
        <v/>
      </c>
      <c r="M259" s="197"/>
      <c r="N259" s="197"/>
      <c r="O259" s="197"/>
      <c r="P259" s="525" t="str">
        <f>'5-1 Сбор КП Закупки'!P259</f>
        <v/>
      </c>
      <c r="Q259" s="197"/>
      <c r="R259" s="197"/>
      <c r="S259" s="197"/>
      <c r="T259" s="197"/>
      <c r="U259" s="197"/>
      <c r="V259" s="197"/>
      <c r="W259" s="522" t="str">
        <f>'5-1 Сбор КП Закупки'!O259</f>
        <v/>
      </c>
      <c r="X259" s="197"/>
      <c r="Y259" s="197"/>
      <c r="Z259" s="197"/>
      <c r="AA259" s="197"/>
      <c r="AB259" s="197">
        <v>0.0</v>
      </c>
      <c r="AC259" s="197"/>
      <c r="AD259" s="197"/>
      <c r="AE2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5-3'!$D$11:$Q319,AE$4,AE$5)"),"")</f>
        <v/>
      </c>
      <c r="AF259" s="528"/>
      <c r="AG2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5-3'!$D$11:$Q319,AG$4,AG$5)"),"")</f>
        <v/>
      </c>
      <c r="AH259" s="527"/>
      <c r="AI2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5-3'!$D$11:$Q319,AI$4,AI$5)"),"")</f>
        <v/>
      </c>
      <c r="AJ259" s="527"/>
      <c r="AK2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5-3'!$D$11:$Q319,AK$4,AK$5)"),"")</f>
        <v/>
      </c>
      <c r="AL259" s="527"/>
      <c r="AM2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5-3'!$D$11:$Q319,AM$4,AM$5)"),"")</f>
        <v/>
      </c>
      <c r="AN259" s="529"/>
      <c r="AO25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5-3'!$D$11:$Q319,AO$4,AO$5)"),"")</f>
        <v/>
      </c>
      <c r="AP259" s="527"/>
      <c r="AQ259" s="527"/>
      <c r="AR259" s="527"/>
      <c r="AS259" s="527"/>
      <c r="AT2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5-3'!$D$11:$Q319,AT$4,AT$5)"),"")</f>
        <v/>
      </c>
      <c r="AU259" s="531"/>
      <c r="AV2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5-3'!$D$11:$Q319,AV$4,AV$5)"),"")</f>
        <v/>
      </c>
      <c r="AW259" s="530"/>
      <c r="AX2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5-3'!$D$11:$Q319,AX$4,AX$5)"),"")</f>
        <v/>
      </c>
      <c r="AY259" s="530"/>
      <c r="AZ2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5-3'!$D$11:$Q319,AZ$4,AZ$5)"),"")</f>
        <v/>
      </c>
      <c r="BA259" s="530"/>
      <c r="BB2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5-3'!$D$11:$Q319,BB$4,BB$5)"),"")</f>
        <v/>
      </c>
      <c r="BC259" s="532"/>
      <c r="BD25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5-3'!$D$11:$Q319,BD$4,BD$5)"),"")</f>
        <v/>
      </c>
      <c r="BE259" s="530"/>
      <c r="BF259" s="530"/>
      <c r="BG259" s="530"/>
      <c r="BH259" s="530"/>
      <c r="BI2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5-3'!$D$11:$Q319,BI$4,BI$5)"),"")</f>
        <v/>
      </c>
      <c r="BJ259" s="535"/>
      <c r="BK2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5-3'!$D$11:$Q319,BK$4,BK$5)"),"")</f>
        <v/>
      </c>
      <c r="BL259" s="534"/>
      <c r="BM2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5-3'!$D$11:$Q319,BM$4,BM$5)"),"")</f>
        <v/>
      </c>
      <c r="BN259" s="534"/>
      <c r="BO2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5-3'!$D$11:$Q319,BO$4,BO$5)"),"")</f>
        <v/>
      </c>
      <c r="BP259" s="534"/>
      <c r="BQ2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5-3'!$D$11:$Q319,BQ$4,BQ$5)"),"")</f>
        <v/>
      </c>
      <c r="BR259" s="536"/>
      <c r="BS25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5-3'!$D$11:$Q319,BS$4,BS$5)"),"")</f>
        <v/>
      </c>
      <c r="BT259" s="534"/>
      <c r="BU259" s="534"/>
      <c r="BV259" s="534"/>
      <c r="BW259" s="534"/>
      <c r="BX2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5-3'!$D$11:$Q319,BX$4,BX$5)"),"")</f>
        <v/>
      </c>
      <c r="BY259" s="538"/>
      <c r="BZ2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5-3'!$D$11:$Q319,BZ$4,BZ$5)"),"")</f>
        <v/>
      </c>
      <c r="CA259" s="537"/>
      <c r="CB2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5-3'!$D$11:$Q319,CB$4,CB$5)"),"")</f>
        <v/>
      </c>
      <c r="CC259" s="537"/>
      <c r="CD2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5-3'!$D$11:$Q319,CD$4,CD$5)"),"")</f>
        <v/>
      </c>
      <c r="CE259" s="537"/>
      <c r="CF2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5-3'!$D$11:$Q319,CF$4,CF$5)"),"")</f>
        <v/>
      </c>
      <c r="CG259" s="539"/>
      <c r="CH25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5-3'!$D$11:$Q319,CH$4,CH$5)"),"")</f>
        <v/>
      </c>
      <c r="CI259" s="537"/>
      <c r="CJ259" s="537"/>
      <c r="CK259" s="537"/>
      <c r="CL259" s="537"/>
      <c r="CM2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5-3'!$D$11:$Q319,CM$4,CM$5)"),"")</f>
        <v/>
      </c>
      <c r="CN259" s="541"/>
      <c r="CO2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5-3'!$D$11:$Q319,CO$4,CO$5)"),"")</f>
        <v/>
      </c>
      <c r="CP259" s="540"/>
      <c r="CQ2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5-3'!$D$11:$Q319,CQ$4,CQ$5)"),"")</f>
        <v/>
      </c>
      <c r="CR259" s="540"/>
      <c r="CS2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5-3'!$D$11:$Q319,CS$4,CS$5)"),"")</f>
        <v/>
      </c>
      <c r="CT259" s="540"/>
      <c r="CU2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5-3'!$D$11:$Q319,CU$4,CU$5)"),"")</f>
        <v/>
      </c>
      <c r="CV259" s="545"/>
      <c r="CW25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5-3'!$D$11:$Q319,CW$4,CW$5)"),"")</f>
        <v/>
      </c>
      <c r="CX259" s="540"/>
      <c r="CY259" s="540"/>
      <c r="CZ259" s="540"/>
      <c r="DA259" s="540"/>
      <c r="DB2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5-3'!$D$11:$Q319,DB$4,DB$5)"),"")</f>
        <v/>
      </c>
      <c r="DC259" s="555"/>
      <c r="DD2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5-3'!$D$11:$Q319,DD$4,DD$5)"),"")</f>
        <v/>
      </c>
      <c r="DE259" s="554"/>
      <c r="DF2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5-3'!$D$11:$Q319,DF$4,DF$5)"),"")</f>
        <v/>
      </c>
      <c r="DG259" s="554"/>
      <c r="DH2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5-3'!$D$11:$Q319,DH$4,DH$5)"),"")</f>
        <v/>
      </c>
      <c r="DI259" s="554"/>
      <c r="DJ2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5-3'!$D$11:$Q319,DJ$4,DJ$5)"),"")</f>
        <v/>
      </c>
      <c r="DK259" s="566"/>
      <c r="DL25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5-3'!$D$11:$Q319,DL$4,DL$5)"),"")</f>
        <v/>
      </c>
      <c r="DM259" s="554"/>
      <c r="DN259" s="554"/>
      <c r="DO259" s="554"/>
      <c r="DP259" s="554"/>
      <c r="DQ2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5-3'!$D$11:$Q319,DQ$4,DQ$5)"),"")</f>
        <v/>
      </c>
      <c r="DR259" s="569"/>
      <c r="DS2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5-3'!$D$11:$Q319,DS$4,DS$5)"),"")</f>
        <v/>
      </c>
      <c r="DT259" s="568"/>
      <c r="DU2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5-3'!$D$11:$Q319,DU$4,DU$5)"),"")</f>
        <v/>
      </c>
      <c r="DV259" s="568"/>
      <c r="DW2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5-3'!$D$11:$Q319,DW$4,DW$5)"),"")</f>
        <v/>
      </c>
      <c r="DX259" s="568"/>
      <c r="DY2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5-3'!$D$11:$Q319,DY$4,DY$5)"),"")</f>
        <v/>
      </c>
      <c r="DZ259" s="578"/>
      <c r="EA25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$C259, 'S-10 Топ 5-3'!$D$11:$Q319,EA$4,EA$5)"),"")</f>
        <v/>
      </c>
      <c r="EB259" s="568"/>
      <c r="EC259" s="568"/>
      <c r="ED259" s="568"/>
      <c r="EE259" s="568"/>
    </row>
    <row r="260">
      <c r="A260" s="519" t="str">
        <f t="shared" si="1"/>
        <v/>
      </c>
      <c r="B260" s="520" t="str">
        <f>'5-0 Товары'!B260</f>
        <v/>
      </c>
      <c r="C260" s="521" t="str">
        <f>'5-1 Сбор КП Закупки'!C260</f>
        <v/>
      </c>
      <c r="D260" s="521" t="str">
        <f>'5-1 Сбор КП Закупки'!D260</f>
        <v/>
      </c>
      <c r="E260" s="521" t="str">
        <f>'5-1 Сбор КП Закупки'!E260</f>
        <v/>
      </c>
      <c r="F260" s="521" t="str">
        <f>'5-1 Сбор КП Закупки'!F260</f>
        <v/>
      </c>
      <c r="G260" s="522" t="str">
        <f>'5-1 Сбор КП Закупки'!G260</f>
        <v/>
      </c>
      <c r="H260" s="522" t="str">
        <f>'5-1 Сбор КП Закупки'!H260</f>
        <v/>
      </c>
      <c r="I260" s="522" t="str">
        <f>'5-1 Сбор КП Закупки'!I260</f>
        <v/>
      </c>
      <c r="J260" s="197"/>
      <c r="K260" s="522" t="str">
        <f>'5-1 Сбор КП Закупки'!G260</f>
        <v/>
      </c>
      <c r="L260" s="523" t="str">
        <f>IF(A260="Да",'5-1 Сбор КП Закупки'!K260,)</f>
        <v/>
      </c>
      <c r="M260" s="197"/>
      <c r="N260" s="197"/>
      <c r="O260" s="197"/>
      <c r="P260" s="525" t="str">
        <f>'5-1 Сбор КП Закупки'!P260</f>
        <v/>
      </c>
      <c r="Q260" s="197"/>
      <c r="R260" s="197"/>
      <c r="S260" s="197"/>
      <c r="T260" s="197"/>
      <c r="U260" s="197"/>
      <c r="V260" s="197"/>
      <c r="W260" s="522" t="str">
        <f>'5-1 Сбор КП Закупки'!O260</f>
        <v/>
      </c>
      <c r="X260" s="197"/>
      <c r="Y260" s="197"/>
      <c r="Z260" s="197"/>
      <c r="AA260" s="197"/>
      <c r="AB260" s="197">
        <v>0.0</v>
      </c>
      <c r="AC260" s="197"/>
      <c r="AD260" s="197"/>
      <c r="AE2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5-3'!$D$11:$Q319,AE$4,AE$5)"),"")</f>
        <v/>
      </c>
      <c r="AF260" s="528"/>
      <c r="AG2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5-3'!$D$11:$Q319,AG$4,AG$5)"),"")</f>
        <v/>
      </c>
      <c r="AH260" s="527"/>
      <c r="AI2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5-3'!$D$11:$Q319,AI$4,AI$5)"),"")</f>
        <v/>
      </c>
      <c r="AJ260" s="527"/>
      <c r="AK2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5-3'!$D$11:$Q319,AK$4,AK$5)"),"")</f>
        <v/>
      </c>
      <c r="AL260" s="527"/>
      <c r="AM2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5-3'!$D$11:$Q319,AM$4,AM$5)"),"")</f>
        <v/>
      </c>
      <c r="AN260" s="529"/>
      <c r="AO26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5-3'!$D$11:$Q319,AO$4,AO$5)"),"")</f>
        <v/>
      </c>
      <c r="AP260" s="527"/>
      <c r="AQ260" s="527"/>
      <c r="AR260" s="527"/>
      <c r="AS260" s="527"/>
      <c r="AT2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5-3'!$D$11:$Q319,AT$4,AT$5)"),"")</f>
        <v/>
      </c>
      <c r="AU260" s="531"/>
      <c r="AV2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5-3'!$D$11:$Q319,AV$4,AV$5)"),"")</f>
        <v/>
      </c>
      <c r="AW260" s="530"/>
      <c r="AX2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5-3'!$D$11:$Q319,AX$4,AX$5)"),"")</f>
        <v/>
      </c>
      <c r="AY260" s="530"/>
      <c r="AZ2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5-3'!$D$11:$Q319,AZ$4,AZ$5)"),"")</f>
        <v/>
      </c>
      <c r="BA260" s="530"/>
      <c r="BB2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5-3'!$D$11:$Q319,BB$4,BB$5)"),"")</f>
        <v/>
      </c>
      <c r="BC260" s="532"/>
      <c r="BD26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5-3'!$D$11:$Q319,BD$4,BD$5)"),"")</f>
        <v/>
      </c>
      <c r="BE260" s="530"/>
      <c r="BF260" s="530"/>
      <c r="BG260" s="530"/>
      <c r="BH260" s="530"/>
      <c r="BI2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5-3'!$D$11:$Q319,BI$4,BI$5)"),"")</f>
        <v/>
      </c>
      <c r="BJ260" s="535"/>
      <c r="BK2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5-3'!$D$11:$Q319,BK$4,BK$5)"),"")</f>
        <v/>
      </c>
      <c r="BL260" s="534"/>
      <c r="BM2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5-3'!$D$11:$Q319,BM$4,BM$5)"),"")</f>
        <v/>
      </c>
      <c r="BN260" s="534"/>
      <c r="BO2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5-3'!$D$11:$Q319,BO$4,BO$5)"),"")</f>
        <v/>
      </c>
      <c r="BP260" s="534"/>
      <c r="BQ2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5-3'!$D$11:$Q319,BQ$4,BQ$5)"),"")</f>
        <v/>
      </c>
      <c r="BR260" s="536"/>
      <c r="BS26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5-3'!$D$11:$Q319,BS$4,BS$5)"),"")</f>
        <v/>
      </c>
      <c r="BT260" s="534"/>
      <c r="BU260" s="534"/>
      <c r="BV260" s="534"/>
      <c r="BW260" s="534"/>
      <c r="BX2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5-3'!$D$11:$Q319,BX$4,BX$5)"),"")</f>
        <v/>
      </c>
      <c r="BY260" s="538"/>
      <c r="BZ2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5-3'!$D$11:$Q319,BZ$4,BZ$5)"),"")</f>
        <v/>
      </c>
      <c r="CA260" s="537"/>
      <c r="CB2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5-3'!$D$11:$Q319,CB$4,CB$5)"),"")</f>
        <v/>
      </c>
      <c r="CC260" s="537"/>
      <c r="CD2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5-3'!$D$11:$Q319,CD$4,CD$5)"),"")</f>
        <v/>
      </c>
      <c r="CE260" s="537"/>
      <c r="CF2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5-3'!$D$11:$Q319,CF$4,CF$5)"),"")</f>
        <v/>
      </c>
      <c r="CG260" s="539"/>
      <c r="CH26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5-3'!$D$11:$Q319,CH$4,CH$5)"),"")</f>
        <v/>
      </c>
      <c r="CI260" s="537"/>
      <c r="CJ260" s="537"/>
      <c r="CK260" s="537"/>
      <c r="CL260" s="537"/>
      <c r="CM2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5-3'!$D$11:$Q319,CM$4,CM$5)"),"")</f>
        <v/>
      </c>
      <c r="CN260" s="541"/>
      <c r="CO2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5-3'!$D$11:$Q319,CO$4,CO$5)"),"")</f>
        <v/>
      </c>
      <c r="CP260" s="540"/>
      <c r="CQ2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5-3'!$D$11:$Q319,CQ$4,CQ$5)"),"")</f>
        <v/>
      </c>
      <c r="CR260" s="540"/>
      <c r="CS2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5-3'!$D$11:$Q319,CS$4,CS$5)"),"")</f>
        <v/>
      </c>
      <c r="CT260" s="540"/>
      <c r="CU2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5-3'!$D$11:$Q319,CU$4,CU$5)"),"")</f>
        <v/>
      </c>
      <c r="CV260" s="545"/>
      <c r="CW26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5-3'!$D$11:$Q319,CW$4,CW$5)"),"")</f>
        <v/>
      </c>
      <c r="CX260" s="540"/>
      <c r="CY260" s="540"/>
      <c r="CZ260" s="540"/>
      <c r="DA260" s="540"/>
      <c r="DB2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5-3'!$D$11:$Q319,DB$4,DB$5)"),"")</f>
        <v/>
      </c>
      <c r="DC260" s="555"/>
      <c r="DD2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5-3'!$D$11:$Q319,DD$4,DD$5)"),"")</f>
        <v/>
      </c>
      <c r="DE260" s="554"/>
      <c r="DF2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5-3'!$D$11:$Q319,DF$4,DF$5)"),"")</f>
        <v/>
      </c>
      <c r="DG260" s="554"/>
      <c r="DH2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5-3'!$D$11:$Q319,DH$4,DH$5)"),"")</f>
        <v/>
      </c>
      <c r="DI260" s="554"/>
      <c r="DJ2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5-3'!$D$11:$Q319,DJ$4,DJ$5)"),"")</f>
        <v/>
      </c>
      <c r="DK260" s="566"/>
      <c r="DL26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5-3'!$D$11:$Q319,DL$4,DL$5)"),"")</f>
        <v/>
      </c>
      <c r="DM260" s="554"/>
      <c r="DN260" s="554"/>
      <c r="DO260" s="554"/>
      <c r="DP260" s="554"/>
      <c r="DQ2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5-3'!$D$11:$Q319,DQ$4,DQ$5)"),"")</f>
        <v/>
      </c>
      <c r="DR260" s="569"/>
      <c r="DS2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5-3'!$D$11:$Q319,DS$4,DS$5)"),"")</f>
        <v/>
      </c>
      <c r="DT260" s="568"/>
      <c r="DU2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5-3'!$D$11:$Q319,DU$4,DU$5)"),"")</f>
        <v/>
      </c>
      <c r="DV260" s="568"/>
      <c r="DW2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5-3'!$D$11:$Q319,DW$4,DW$5)"),"")</f>
        <v/>
      </c>
      <c r="DX260" s="568"/>
      <c r="DY2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5-3'!$D$11:$Q319,DY$4,DY$5)"),"")</f>
        <v/>
      </c>
      <c r="DZ260" s="578"/>
      <c r="EA26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$C260, 'S-10 Топ 5-3'!$D$11:$Q319,EA$4,EA$5)"),"")</f>
        <v/>
      </c>
      <c r="EB260" s="568"/>
      <c r="EC260" s="568"/>
      <c r="ED260" s="568"/>
      <c r="EE260" s="568"/>
    </row>
    <row r="261">
      <c r="A261" s="519" t="str">
        <f t="shared" si="1"/>
        <v/>
      </c>
      <c r="B261" s="520" t="str">
        <f>'5-0 Товары'!B261</f>
        <v/>
      </c>
      <c r="C261" s="521" t="str">
        <f>'5-1 Сбор КП Закупки'!C261</f>
        <v/>
      </c>
      <c r="D261" s="521" t="str">
        <f>'5-1 Сбор КП Закупки'!D261</f>
        <v/>
      </c>
      <c r="E261" s="521" t="str">
        <f>'5-1 Сбор КП Закупки'!E261</f>
        <v/>
      </c>
      <c r="F261" s="521" t="str">
        <f>'5-1 Сбор КП Закупки'!F261</f>
        <v/>
      </c>
      <c r="G261" s="522" t="str">
        <f>'5-1 Сбор КП Закупки'!G261</f>
        <v/>
      </c>
      <c r="H261" s="522" t="str">
        <f>'5-1 Сбор КП Закупки'!H261</f>
        <v/>
      </c>
      <c r="I261" s="522" t="str">
        <f>'5-1 Сбор КП Закупки'!I261</f>
        <v/>
      </c>
      <c r="J261" s="197"/>
      <c r="K261" s="522" t="str">
        <f>'5-1 Сбор КП Закупки'!G261</f>
        <v/>
      </c>
      <c r="L261" s="523" t="str">
        <f>IF(A261="Да",'5-1 Сбор КП Закупки'!K261,)</f>
        <v/>
      </c>
      <c r="M261" s="197"/>
      <c r="N261" s="197"/>
      <c r="O261" s="197"/>
      <c r="P261" s="525" t="str">
        <f>'5-1 Сбор КП Закупки'!P261</f>
        <v/>
      </c>
      <c r="Q261" s="197"/>
      <c r="R261" s="197"/>
      <c r="S261" s="197"/>
      <c r="T261" s="197"/>
      <c r="U261" s="197"/>
      <c r="V261" s="197"/>
      <c r="W261" s="522" t="str">
        <f>'5-1 Сбор КП Закупки'!O261</f>
        <v/>
      </c>
      <c r="X261" s="197"/>
      <c r="Y261" s="197"/>
      <c r="Z261" s="197"/>
      <c r="AA261" s="197"/>
      <c r="AB261" s="197">
        <v>0.0</v>
      </c>
      <c r="AC261" s="197"/>
      <c r="AD261" s="197"/>
      <c r="AE2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5-3'!$D$11:$Q319,AE$4,AE$5)"),"")</f>
        <v/>
      </c>
      <c r="AF261" s="528"/>
      <c r="AG2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5-3'!$D$11:$Q319,AG$4,AG$5)"),"")</f>
        <v/>
      </c>
      <c r="AH261" s="527"/>
      <c r="AI2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5-3'!$D$11:$Q319,AI$4,AI$5)"),"")</f>
        <v/>
      </c>
      <c r="AJ261" s="527"/>
      <c r="AK2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5-3'!$D$11:$Q319,AK$4,AK$5)"),"")</f>
        <v/>
      </c>
      <c r="AL261" s="527"/>
      <c r="AM2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5-3'!$D$11:$Q319,AM$4,AM$5)"),"")</f>
        <v/>
      </c>
      <c r="AN261" s="529"/>
      <c r="AO26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5-3'!$D$11:$Q319,AO$4,AO$5)"),"")</f>
        <v/>
      </c>
      <c r="AP261" s="527"/>
      <c r="AQ261" s="527"/>
      <c r="AR261" s="527"/>
      <c r="AS261" s="527"/>
      <c r="AT2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5-3'!$D$11:$Q319,AT$4,AT$5)"),"")</f>
        <v/>
      </c>
      <c r="AU261" s="531"/>
      <c r="AV2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5-3'!$D$11:$Q319,AV$4,AV$5)"),"")</f>
        <v/>
      </c>
      <c r="AW261" s="530"/>
      <c r="AX2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5-3'!$D$11:$Q319,AX$4,AX$5)"),"")</f>
        <v/>
      </c>
      <c r="AY261" s="530"/>
      <c r="AZ2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5-3'!$D$11:$Q319,AZ$4,AZ$5)"),"")</f>
        <v/>
      </c>
      <c r="BA261" s="530"/>
      <c r="BB2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5-3'!$D$11:$Q319,BB$4,BB$5)"),"")</f>
        <v/>
      </c>
      <c r="BC261" s="532"/>
      <c r="BD26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5-3'!$D$11:$Q319,BD$4,BD$5)"),"")</f>
        <v/>
      </c>
      <c r="BE261" s="530"/>
      <c r="BF261" s="530"/>
      <c r="BG261" s="530"/>
      <c r="BH261" s="530"/>
      <c r="BI2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5-3'!$D$11:$Q319,BI$4,BI$5)"),"")</f>
        <v/>
      </c>
      <c r="BJ261" s="535"/>
      <c r="BK2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5-3'!$D$11:$Q319,BK$4,BK$5)"),"")</f>
        <v/>
      </c>
      <c r="BL261" s="534"/>
      <c r="BM2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5-3'!$D$11:$Q319,BM$4,BM$5)"),"")</f>
        <v/>
      </c>
      <c r="BN261" s="534"/>
      <c r="BO2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5-3'!$D$11:$Q319,BO$4,BO$5)"),"")</f>
        <v/>
      </c>
      <c r="BP261" s="534"/>
      <c r="BQ2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5-3'!$D$11:$Q319,BQ$4,BQ$5)"),"")</f>
        <v/>
      </c>
      <c r="BR261" s="536"/>
      <c r="BS26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5-3'!$D$11:$Q319,BS$4,BS$5)"),"")</f>
        <v/>
      </c>
      <c r="BT261" s="534"/>
      <c r="BU261" s="534"/>
      <c r="BV261" s="534"/>
      <c r="BW261" s="534"/>
      <c r="BX2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5-3'!$D$11:$Q319,BX$4,BX$5)"),"")</f>
        <v/>
      </c>
      <c r="BY261" s="538"/>
      <c r="BZ2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5-3'!$D$11:$Q319,BZ$4,BZ$5)"),"")</f>
        <v/>
      </c>
      <c r="CA261" s="537"/>
      <c r="CB2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5-3'!$D$11:$Q319,CB$4,CB$5)"),"")</f>
        <v/>
      </c>
      <c r="CC261" s="537"/>
      <c r="CD2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5-3'!$D$11:$Q319,CD$4,CD$5)"),"")</f>
        <v/>
      </c>
      <c r="CE261" s="537"/>
      <c r="CF2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5-3'!$D$11:$Q319,CF$4,CF$5)"),"")</f>
        <v/>
      </c>
      <c r="CG261" s="539"/>
      <c r="CH26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5-3'!$D$11:$Q319,CH$4,CH$5)"),"")</f>
        <v/>
      </c>
      <c r="CI261" s="537"/>
      <c r="CJ261" s="537"/>
      <c r="CK261" s="537"/>
      <c r="CL261" s="537"/>
      <c r="CM2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5-3'!$D$11:$Q319,CM$4,CM$5)"),"")</f>
        <v/>
      </c>
      <c r="CN261" s="541"/>
      <c r="CO2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5-3'!$D$11:$Q319,CO$4,CO$5)"),"")</f>
        <v/>
      </c>
      <c r="CP261" s="540"/>
      <c r="CQ2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5-3'!$D$11:$Q319,CQ$4,CQ$5)"),"")</f>
        <v/>
      </c>
      <c r="CR261" s="540"/>
      <c r="CS2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5-3'!$D$11:$Q319,CS$4,CS$5)"),"")</f>
        <v/>
      </c>
      <c r="CT261" s="540"/>
      <c r="CU2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5-3'!$D$11:$Q319,CU$4,CU$5)"),"")</f>
        <v/>
      </c>
      <c r="CV261" s="545"/>
      <c r="CW26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5-3'!$D$11:$Q319,CW$4,CW$5)"),"")</f>
        <v/>
      </c>
      <c r="CX261" s="540"/>
      <c r="CY261" s="540"/>
      <c r="CZ261" s="540"/>
      <c r="DA261" s="540"/>
      <c r="DB2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5-3'!$D$11:$Q319,DB$4,DB$5)"),"")</f>
        <v/>
      </c>
      <c r="DC261" s="555"/>
      <c r="DD2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5-3'!$D$11:$Q319,DD$4,DD$5)"),"")</f>
        <v/>
      </c>
      <c r="DE261" s="554"/>
      <c r="DF2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5-3'!$D$11:$Q319,DF$4,DF$5)"),"")</f>
        <v/>
      </c>
      <c r="DG261" s="554"/>
      <c r="DH2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5-3'!$D$11:$Q319,DH$4,DH$5)"),"")</f>
        <v/>
      </c>
      <c r="DI261" s="554"/>
      <c r="DJ2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5-3'!$D$11:$Q319,DJ$4,DJ$5)"),"")</f>
        <v/>
      </c>
      <c r="DK261" s="566"/>
      <c r="DL26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5-3'!$D$11:$Q319,DL$4,DL$5)"),"")</f>
        <v/>
      </c>
      <c r="DM261" s="554"/>
      <c r="DN261" s="554"/>
      <c r="DO261" s="554"/>
      <c r="DP261" s="554"/>
      <c r="DQ2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5-3'!$D$11:$Q319,DQ$4,DQ$5)"),"")</f>
        <v/>
      </c>
      <c r="DR261" s="569"/>
      <c r="DS2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5-3'!$D$11:$Q319,DS$4,DS$5)"),"")</f>
        <v/>
      </c>
      <c r="DT261" s="568"/>
      <c r="DU2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5-3'!$D$11:$Q319,DU$4,DU$5)"),"")</f>
        <v/>
      </c>
      <c r="DV261" s="568"/>
      <c r="DW2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5-3'!$D$11:$Q319,DW$4,DW$5)"),"")</f>
        <v/>
      </c>
      <c r="DX261" s="568"/>
      <c r="DY2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5-3'!$D$11:$Q319,DY$4,DY$5)"),"")</f>
        <v/>
      </c>
      <c r="DZ261" s="578"/>
      <c r="EA26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$C261, 'S-10 Топ 5-3'!$D$11:$Q319,EA$4,EA$5)"),"")</f>
        <v/>
      </c>
      <c r="EB261" s="568"/>
      <c r="EC261" s="568"/>
      <c r="ED261" s="568"/>
      <c r="EE261" s="568"/>
    </row>
    <row r="262">
      <c r="A262" s="519" t="str">
        <f t="shared" si="1"/>
        <v/>
      </c>
      <c r="B262" s="520" t="str">
        <f>'5-0 Товары'!B262</f>
        <v/>
      </c>
      <c r="C262" s="521" t="str">
        <f>'5-1 Сбор КП Закупки'!C262</f>
        <v/>
      </c>
      <c r="D262" s="521" t="str">
        <f>'5-1 Сбор КП Закупки'!D262</f>
        <v/>
      </c>
      <c r="E262" s="521" t="str">
        <f>'5-1 Сбор КП Закупки'!E262</f>
        <v/>
      </c>
      <c r="F262" s="521" t="str">
        <f>'5-1 Сбор КП Закупки'!F262</f>
        <v/>
      </c>
      <c r="G262" s="522" t="str">
        <f>'5-1 Сбор КП Закупки'!G262</f>
        <v/>
      </c>
      <c r="H262" s="522" t="str">
        <f>'5-1 Сбор КП Закупки'!H262</f>
        <v/>
      </c>
      <c r="I262" s="522" t="str">
        <f>'5-1 Сбор КП Закупки'!I262</f>
        <v/>
      </c>
      <c r="J262" s="197"/>
      <c r="K262" s="522" t="str">
        <f>'5-1 Сбор КП Закупки'!G262</f>
        <v/>
      </c>
      <c r="L262" s="523" t="str">
        <f>IF(A262="Да",'5-1 Сбор КП Закупки'!K262,)</f>
        <v/>
      </c>
      <c r="M262" s="197"/>
      <c r="N262" s="197"/>
      <c r="O262" s="197"/>
      <c r="P262" s="525" t="str">
        <f>'5-1 Сбор КП Закупки'!P262</f>
        <v/>
      </c>
      <c r="Q262" s="197"/>
      <c r="R262" s="197"/>
      <c r="S262" s="197"/>
      <c r="T262" s="197"/>
      <c r="U262" s="197"/>
      <c r="V262" s="197"/>
      <c r="W262" s="522" t="str">
        <f>'5-1 Сбор КП Закупки'!O262</f>
        <v/>
      </c>
      <c r="X262" s="197"/>
      <c r="Y262" s="197"/>
      <c r="Z262" s="197"/>
      <c r="AA262" s="197"/>
      <c r="AB262" s="197">
        <v>0.0</v>
      </c>
      <c r="AC262" s="197"/>
      <c r="AD262" s="197"/>
      <c r="AE2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5-3'!$D$11:$Q319,AE$4,AE$5)"),"")</f>
        <v/>
      </c>
      <c r="AF262" s="528"/>
      <c r="AG2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5-3'!$D$11:$Q319,AG$4,AG$5)"),"")</f>
        <v/>
      </c>
      <c r="AH262" s="527"/>
      <c r="AI2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5-3'!$D$11:$Q319,AI$4,AI$5)"),"")</f>
        <v/>
      </c>
      <c r="AJ262" s="527"/>
      <c r="AK2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5-3'!$D$11:$Q319,AK$4,AK$5)"),"")</f>
        <v/>
      </c>
      <c r="AL262" s="527"/>
      <c r="AM2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5-3'!$D$11:$Q319,AM$4,AM$5)"),"")</f>
        <v/>
      </c>
      <c r="AN262" s="529"/>
      <c r="AO26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5-3'!$D$11:$Q319,AO$4,AO$5)"),"")</f>
        <v/>
      </c>
      <c r="AP262" s="527"/>
      <c r="AQ262" s="527"/>
      <c r="AR262" s="527"/>
      <c r="AS262" s="527"/>
      <c r="AT2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5-3'!$D$11:$Q319,AT$4,AT$5)"),"")</f>
        <v/>
      </c>
      <c r="AU262" s="531"/>
      <c r="AV2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5-3'!$D$11:$Q319,AV$4,AV$5)"),"")</f>
        <v/>
      </c>
      <c r="AW262" s="530"/>
      <c r="AX2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5-3'!$D$11:$Q319,AX$4,AX$5)"),"")</f>
        <v/>
      </c>
      <c r="AY262" s="530"/>
      <c r="AZ2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5-3'!$D$11:$Q319,AZ$4,AZ$5)"),"")</f>
        <v/>
      </c>
      <c r="BA262" s="530"/>
      <c r="BB2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5-3'!$D$11:$Q319,BB$4,BB$5)"),"")</f>
        <v/>
      </c>
      <c r="BC262" s="532"/>
      <c r="BD26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5-3'!$D$11:$Q319,BD$4,BD$5)"),"")</f>
        <v/>
      </c>
      <c r="BE262" s="530"/>
      <c r="BF262" s="530"/>
      <c r="BG262" s="530"/>
      <c r="BH262" s="530"/>
      <c r="BI2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5-3'!$D$11:$Q319,BI$4,BI$5)"),"")</f>
        <v/>
      </c>
      <c r="BJ262" s="535"/>
      <c r="BK2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5-3'!$D$11:$Q319,BK$4,BK$5)"),"")</f>
        <v/>
      </c>
      <c r="BL262" s="534"/>
      <c r="BM2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5-3'!$D$11:$Q319,BM$4,BM$5)"),"")</f>
        <v/>
      </c>
      <c r="BN262" s="534"/>
      <c r="BO2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5-3'!$D$11:$Q319,BO$4,BO$5)"),"")</f>
        <v/>
      </c>
      <c r="BP262" s="534"/>
      <c r="BQ2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5-3'!$D$11:$Q319,BQ$4,BQ$5)"),"")</f>
        <v/>
      </c>
      <c r="BR262" s="536"/>
      <c r="BS26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5-3'!$D$11:$Q319,BS$4,BS$5)"),"")</f>
        <v/>
      </c>
      <c r="BT262" s="534"/>
      <c r="BU262" s="534"/>
      <c r="BV262" s="534"/>
      <c r="BW262" s="534"/>
      <c r="BX2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5-3'!$D$11:$Q319,BX$4,BX$5)"),"")</f>
        <v/>
      </c>
      <c r="BY262" s="538"/>
      <c r="BZ2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5-3'!$D$11:$Q319,BZ$4,BZ$5)"),"")</f>
        <v/>
      </c>
      <c r="CA262" s="537"/>
      <c r="CB2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5-3'!$D$11:$Q319,CB$4,CB$5)"),"")</f>
        <v/>
      </c>
      <c r="CC262" s="537"/>
      <c r="CD2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5-3'!$D$11:$Q319,CD$4,CD$5)"),"")</f>
        <v/>
      </c>
      <c r="CE262" s="537"/>
      <c r="CF2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5-3'!$D$11:$Q319,CF$4,CF$5)"),"")</f>
        <v/>
      </c>
      <c r="CG262" s="539"/>
      <c r="CH26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5-3'!$D$11:$Q319,CH$4,CH$5)"),"")</f>
        <v/>
      </c>
      <c r="CI262" s="537"/>
      <c r="CJ262" s="537"/>
      <c r="CK262" s="537"/>
      <c r="CL262" s="537"/>
      <c r="CM2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5-3'!$D$11:$Q319,CM$4,CM$5)"),"")</f>
        <v/>
      </c>
      <c r="CN262" s="541"/>
      <c r="CO2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5-3'!$D$11:$Q319,CO$4,CO$5)"),"")</f>
        <v/>
      </c>
      <c r="CP262" s="540"/>
      <c r="CQ2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5-3'!$D$11:$Q319,CQ$4,CQ$5)"),"")</f>
        <v/>
      </c>
      <c r="CR262" s="540"/>
      <c r="CS2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5-3'!$D$11:$Q319,CS$4,CS$5)"),"")</f>
        <v/>
      </c>
      <c r="CT262" s="540"/>
      <c r="CU2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5-3'!$D$11:$Q319,CU$4,CU$5)"),"")</f>
        <v/>
      </c>
      <c r="CV262" s="545"/>
      <c r="CW26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5-3'!$D$11:$Q319,CW$4,CW$5)"),"")</f>
        <v/>
      </c>
      <c r="CX262" s="540"/>
      <c r="CY262" s="540"/>
      <c r="CZ262" s="540"/>
      <c r="DA262" s="540"/>
      <c r="DB2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5-3'!$D$11:$Q319,DB$4,DB$5)"),"")</f>
        <v/>
      </c>
      <c r="DC262" s="555"/>
      <c r="DD2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5-3'!$D$11:$Q319,DD$4,DD$5)"),"")</f>
        <v/>
      </c>
      <c r="DE262" s="554"/>
      <c r="DF2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5-3'!$D$11:$Q319,DF$4,DF$5)"),"")</f>
        <v/>
      </c>
      <c r="DG262" s="554"/>
      <c r="DH2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5-3'!$D$11:$Q319,DH$4,DH$5)"),"")</f>
        <v/>
      </c>
      <c r="DI262" s="554"/>
      <c r="DJ2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5-3'!$D$11:$Q319,DJ$4,DJ$5)"),"")</f>
        <v/>
      </c>
      <c r="DK262" s="566"/>
      <c r="DL26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5-3'!$D$11:$Q319,DL$4,DL$5)"),"")</f>
        <v/>
      </c>
      <c r="DM262" s="554"/>
      <c r="DN262" s="554"/>
      <c r="DO262" s="554"/>
      <c r="DP262" s="554"/>
      <c r="DQ2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5-3'!$D$11:$Q319,DQ$4,DQ$5)"),"")</f>
        <v/>
      </c>
      <c r="DR262" s="569"/>
      <c r="DS2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5-3'!$D$11:$Q319,DS$4,DS$5)"),"")</f>
        <v/>
      </c>
      <c r="DT262" s="568"/>
      <c r="DU2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5-3'!$D$11:$Q319,DU$4,DU$5)"),"")</f>
        <v/>
      </c>
      <c r="DV262" s="568"/>
      <c r="DW2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5-3'!$D$11:$Q319,DW$4,DW$5)"),"")</f>
        <v/>
      </c>
      <c r="DX262" s="568"/>
      <c r="DY2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5-3'!$D$11:$Q319,DY$4,DY$5)"),"")</f>
        <v/>
      </c>
      <c r="DZ262" s="578"/>
      <c r="EA26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$C262, 'S-10 Топ 5-3'!$D$11:$Q319,EA$4,EA$5)"),"")</f>
        <v/>
      </c>
      <c r="EB262" s="568"/>
      <c r="EC262" s="568"/>
      <c r="ED262" s="568"/>
      <c r="EE262" s="568"/>
    </row>
    <row r="263">
      <c r="A263" s="519" t="str">
        <f t="shared" si="1"/>
        <v/>
      </c>
      <c r="B263" s="520" t="str">
        <f>'5-0 Товары'!B263</f>
        <v/>
      </c>
      <c r="C263" s="521" t="str">
        <f>'5-1 Сбор КП Закупки'!C263</f>
        <v/>
      </c>
      <c r="D263" s="521" t="str">
        <f>'5-1 Сбор КП Закупки'!D263</f>
        <v/>
      </c>
      <c r="E263" s="521" t="str">
        <f>'5-1 Сбор КП Закупки'!E263</f>
        <v/>
      </c>
      <c r="F263" s="521" t="str">
        <f>'5-1 Сбор КП Закупки'!F263</f>
        <v/>
      </c>
      <c r="G263" s="522" t="str">
        <f>'5-1 Сбор КП Закупки'!G263</f>
        <v/>
      </c>
      <c r="H263" s="522" t="str">
        <f>'5-1 Сбор КП Закупки'!H263</f>
        <v/>
      </c>
      <c r="I263" s="522" t="str">
        <f>'5-1 Сбор КП Закупки'!I263</f>
        <v/>
      </c>
      <c r="J263" s="197"/>
      <c r="K263" s="522" t="str">
        <f>'5-1 Сбор КП Закупки'!G263</f>
        <v/>
      </c>
      <c r="L263" s="523" t="str">
        <f>IF(A263="Да",'5-1 Сбор КП Закупки'!K263,)</f>
        <v/>
      </c>
      <c r="M263" s="197"/>
      <c r="N263" s="197"/>
      <c r="O263" s="197"/>
      <c r="P263" s="525" t="str">
        <f>'5-1 Сбор КП Закупки'!P263</f>
        <v/>
      </c>
      <c r="Q263" s="197"/>
      <c r="R263" s="197"/>
      <c r="S263" s="197"/>
      <c r="T263" s="197"/>
      <c r="U263" s="197"/>
      <c r="V263" s="197"/>
      <c r="W263" s="522" t="str">
        <f>'5-1 Сбор КП Закупки'!O263</f>
        <v/>
      </c>
      <c r="X263" s="197"/>
      <c r="Y263" s="197"/>
      <c r="Z263" s="197"/>
      <c r="AA263" s="197"/>
      <c r="AB263" s="197">
        <v>0.0</v>
      </c>
      <c r="AC263" s="197"/>
      <c r="AD263" s="197"/>
      <c r="AE2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5-3'!$D$11:$Q319,AE$4,AE$5)"),"")</f>
        <v/>
      </c>
      <c r="AF263" s="528"/>
      <c r="AG2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5-3'!$D$11:$Q319,AG$4,AG$5)"),"")</f>
        <v/>
      </c>
      <c r="AH263" s="527"/>
      <c r="AI2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5-3'!$D$11:$Q319,AI$4,AI$5)"),"")</f>
        <v/>
      </c>
      <c r="AJ263" s="527"/>
      <c r="AK2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5-3'!$D$11:$Q319,AK$4,AK$5)"),"")</f>
        <v/>
      </c>
      <c r="AL263" s="527"/>
      <c r="AM2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5-3'!$D$11:$Q319,AM$4,AM$5)"),"")</f>
        <v/>
      </c>
      <c r="AN263" s="529"/>
      <c r="AO26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5-3'!$D$11:$Q319,AO$4,AO$5)"),"")</f>
        <v/>
      </c>
      <c r="AP263" s="527"/>
      <c r="AQ263" s="527"/>
      <c r="AR263" s="527"/>
      <c r="AS263" s="527"/>
      <c r="AT2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5-3'!$D$11:$Q319,AT$4,AT$5)"),"")</f>
        <v/>
      </c>
      <c r="AU263" s="531"/>
      <c r="AV2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5-3'!$D$11:$Q319,AV$4,AV$5)"),"")</f>
        <v/>
      </c>
      <c r="AW263" s="530"/>
      <c r="AX2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5-3'!$D$11:$Q319,AX$4,AX$5)"),"")</f>
        <v/>
      </c>
      <c r="AY263" s="530"/>
      <c r="AZ2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5-3'!$D$11:$Q319,AZ$4,AZ$5)"),"")</f>
        <v/>
      </c>
      <c r="BA263" s="530"/>
      <c r="BB2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5-3'!$D$11:$Q319,BB$4,BB$5)"),"")</f>
        <v/>
      </c>
      <c r="BC263" s="532"/>
      <c r="BD26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5-3'!$D$11:$Q319,BD$4,BD$5)"),"")</f>
        <v/>
      </c>
      <c r="BE263" s="530"/>
      <c r="BF263" s="530"/>
      <c r="BG263" s="530"/>
      <c r="BH263" s="530"/>
      <c r="BI2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5-3'!$D$11:$Q319,BI$4,BI$5)"),"")</f>
        <v/>
      </c>
      <c r="BJ263" s="535"/>
      <c r="BK2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5-3'!$D$11:$Q319,BK$4,BK$5)"),"")</f>
        <v/>
      </c>
      <c r="BL263" s="534"/>
      <c r="BM2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5-3'!$D$11:$Q319,BM$4,BM$5)"),"")</f>
        <v/>
      </c>
      <c r="BN263" s="534"/>
      <c r="BO2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5-3'!$D$11:$Q319,BO$4,BO$5)"),"")</f>
        <v/>
      </c>
      <c r="BP263" s="534"/>
      <c r="BQ2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5-3'!$D$11:$Q319,BQ$4,BQ$5)"),"")</f>
        <v/>
      </c>
      <c r="BR263" s="536"/>
      <c r="BS26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5-3'!$D$11:$Q319,BS$4,BS$5)"),"")</f>
        <v/>
      </c>
      <c r="BT263" s="534"/>
      <c r="BU263" s="534"/>
      <c r="BV263" s="534"/>
      <c r="BW263" s="534"/>
      <c r="BX2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5-3'!$D$11:$Q319,BX$4,BX$5)"),"")</f>
        <v/>
      </c>
      <c r="BY263" s="538"/>
      <c r="BZ2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5-3'!$D$11:$Q319,BZ$4,BZ$5)"),"")</f>
        <v/>
      </c>
      <c r="CA263" s="537"/>
      <c r="CB2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5-3'!$D$11:$Q319,CB$4,CB$5)"),"")</f>
        <v/>
      </c>
      <c r="CC263" s="537"/>
      <c r="CD2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5-3'!$D$11:$Q319,CD$4,CD$5)"),"")</f>
        <v/>
      </c>
      <c r="CE263" s="537"/>
      <c r="CF2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5-3'!$D$11:$Q319,CF$4,CF$5)"),"")</f>
        <v/>
      </c>
      <c r="CG263" s="539"/>
      <c r="CH26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5-3'!$D$11:$Q319,CH$4,CH$5)"),"")</f>
        <v/>
      </c>
      <c r="CI263" s="537"/>
      <c r="CJ263" s="537"/>
      <c r="CK263" s="537"/>
      <c r="CL263" s="537"/>
      <c r="CM2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5-3'!$D$11:$Q319,CM$4,CM$5)"),"")</f>
        <v/>
      </c>
      <c r="CN263" s="541"/>
      <c r="CO2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5-3'!$D$11:$Q319,CO$4,CO$5)"),"")</f>
        <v/>
      </c>
      <c r="CP263" s="540"/>
      <c r="CQ2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5-3'!$D$11:$Q319,CQ$4,CQ$5)"),"")</f>
        <v/>
      </c>
      <c r="CR263" s="540"/>
      <c r="CS2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5-3'!$D$11:$Q319,CS$4,CS$5)"),"")</f>
        <v/>
      </c>
      <c r="CT263" s="540"/>
      <c r="CU2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5-3'!$D$11:$Q319,CU$4,CU$5)"),"")</f>
        <v/>
      </c>
      <c r="CV263" s="545"/>
      <c r="CW26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5-3'!$D$11:$Q319,CW$4,CW$5)"),"")</f>
        <v/>
      </c>
      <c r="CX263" s="540"/>
      <c r="CY263" s="540"/>
      <c r="CZ263" s="540"/>
      <c r="DA263" s="540"/>
      <c r="DB2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5-3'!$D$11:$Q319,DB$4,DB$5)"),"")</f>
        <v/>
      </c>
      <c r="DC263" s="555"/>
      <c r="DD2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5-3'!$D$11:$Q319,DD$4,DD$5)"),"")</f>
        <v/>
      </c>
      <c r="DE263" s="554"/>
      <c r="DF2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5-3'!$D$11:$Q319,DF$4,DF$5)"),"")</f>
        <v/>
      </c>
      <c r="DG263" s="554"/>
      <c r="DH2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5-3'!$D$11:$Q319,DH$4,DH$5)"),"")</f>
        <v/>
      </c>
      <c r="DI263" s="554"/>
      <c r="DJ2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5-3'!$D$11:$Q319,DJ$4,DJ$5)"),"")</f>
        <v/>
      </c>
      <c r="DK263" s="566"/>
      <c r="DL26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5-3'!$D$11:$Q319,DL$4,DL$5)"),"")</f>
        <v/>
      </c>
      <c r="DM263" s="554"/>
      <c r="DN263" s="554"/>
      <c r="DO263" s="554"/>
      <c r="DP263" s="554"/>
      <c r="DQ2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5-3'!$D$11:$Q319,DQ$4,DQ$5)"),"")</f>
        <v/>
      </c>
      <c r="DR263" s="569"/>
      <c r="DS2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5-3'!$D$11:$Q319,DS$4,DS$5)"),"")</f>
        <v/>
      </c>
      <c r="DT263" s="568"/>
      <c r="DU2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5-3'!$D$11:$Q319,DU$4,DU$5)"),"")</f>
        <v/>
      </c>
      <c r="DV263" s="568"/>
      <c r="DW2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5-3'!$D$11:$Q319,DW$4,DW$5)"),"")</f>
        <v/>
      </c>
      <c r="DX263" s="568"/>
      <c r="DY2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5-3'!$D$11:$Q319,DY$4,DY$5)"),"")</f>
        <v/>
      </c>
      <c r="DZ263" s="578"/>
      <c r="EA26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$C263, 'S-10 Топ 5-3'!$D$11:$Q319,EA$4,EA$5)"),"")</f>
        <v/>
      </c>
      <c r="EB263" s="568"/>
      <c r="EC263" s="568"/>
      <c r="ED263" s="568"/>
      <c r="EE263" s="568"/>
    </row>
    <row r="264">
      <c r="A264" s="519" t="str">
        <f t="shared" si="1"/>
        <v/>
      </c>
      <c r="B264" s="520" t="str">
        <f>'5-0 Товары'!B264</f>
        <v/>
      </c>
      <c r="C264" s="521" t="str">
        <f>'5-1 Сбор КП Закупки'!C264</f>
        <v/>
      </c>
      <c r="D264" s="521" t="str">
        <f>'5-1 Сбор КП Закупки'!D264</f>
        <v/>
      </c>
      <c r="E264" s="521" t="str">
        <f>'5-1 Сбор КП Закупки'!E264</f>
        <v/>
      </c>
      <c r="F264" s="521" t="str">
        <f>'5-1 Сбор КП Закупки'!F264</f>
        <v/>
      </c>
      <c r="G264" s="522" t="str">
        <f>'5-1 Сбор КП Закупки'!G264</f>
        <v/>
      </c>
      <c r="H264" s="522" t="str">
        <f>'5-1 Сбор КП Закупки'!H264</f>
        <v/>
      </c>
      <c r="I264" s="522" t="str">
        <f>'5-1 Сбор КП Закупки'!I264</f>
        <v/>
      </c>
      <c r="J264" s="197"/>
      <c r="K264" s="522" t="str">
        <f>'5-1 Сбор КП Закупки'!G264</f>
        <v/>
      </c>
      <c r="L264" s="523" t="str">
        <f>IF(A264="Да",'5-1 Сбор КП Закупки'!K264,)</f>
        <v/>
      </c>
      <c r="M264" s="197"/>
      <c r="N264" s="197"/>
      <c r="O264" s="197"/>
      <c r="P264" s="525" t="str">
        <f>'5-1 Сбор КП Закупки'!P264</f>
        <v/>
      </c>
      <c r="Q264" s="197"/>
      <c r="R264" s="197"/>
      <c r="S264" s="197"/>
      <c r="T264" s="197"/>
      <c r="U264" s="197"/>
      <c r="V264" s="197"/>
      <c r="W264" s="522" t="str">
        <f>'5-1 Сбор КП Закупки'!O264</f>
        <v/>
      </c>
      <c r="X264" s="197"/>
      <c r="Y264" s="197"/>
      <c r="Z264" s="197"/>
      <c r="AA264" s="197"/>
      <c r="AB264" s="197">
        <v>0.0</v>
      </c>
      <c r="AC264" s="197"/>
      <c r="AD264" s="197"/>
      <c r="AE2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5-3'!$D$11:$Q319,AE$4,AE$5)"),"")</f>
        <v/>
      </c>
      <c r="AF264" s="528"/>
      <c r="AG2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5-3'!$D$11:$Q319,AG$4,AG$5)"),"")</f>
        <v/>
      </c>
      <c r="AH264" s="527"/>
      <c r="AI2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5-3'!$D$11:$Q319,AI$4,AI$5)"),"")</f>
        <v/>
      </c>
      <c r="AJ264" s="527"/>
      <c r="AK2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5-3'!$D$11:$Q319,AK$4,AK$5)"),"")</f>
        <v/>
      </c>
      <c r="AL264" s="527"/>
      <c r="AM2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5-3'!$D$11:$Q319,AM$4,AM$5)"),"")</f>
        <v/>
      </c>
      <c r="AN264" s="529"/>
      <c r="AO26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5-3'!$D$11:$Q319,AO$4,AO$5)"),"")</f>
        <v/>
      </c>
      <c r="AP264" s="527"/>
      <c r="AQ264" s="527"/>
      <c r="AR264" s="527"/>
      <c r="AS264" s="527"/>
      <c r="AT2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5-3'!$D$11:$Q319,AT$4,AT$5)"),"")</f>
        <v/>
      </c>
      <c r="AU264" s="531"/>
      <c r="AV2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5-3'!$D$11:$Q319,AV$4,AV$5)"),"")</f>
        <v/>
      </c>
      <c r="AW264" s="530"/>
      <c r="AX2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5-3'!$D$11:$Q319,AX$4,AX$5)"),"")</f>
        <v/>
      </c>
      <c r="AY264" s="530"/>
      <c r="AZ2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5-3'!$D$11:$Q319,AZ$4,AZ$5)"),"")</f>
        <v/>
      </c>
      <c r="BA264" s="530"/>
      <c r="BB2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5-3'!$D$11:$Q319,BB$4,BB$5)"),"")</f>
        <v/>
      </c>
      <c r="BC264" s="532"/>
      <c r="BD26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5-3'!$D$11:$Q319,BD$4,BD$5)"),"")</f>
        <v/>
      </c>
      <c r="BE264" s="530"/>
      <c r="BF264" s="530"/>
      <c r="BG264" s="530"/>
      <c r="BH264" s="530"/>
      <c r="BI2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5-3'!$D$11:$Q319,BI$4,BI$5)"),"")</f>
        <v/>
      </c>
      <c r="BJ264" s="535"/>
      <c r="BK2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5-3'!$D$11:$Q319,BK$4,BK$5)"),"")</f>
        <v/>
      </c>
      <c r="BL264" s="534"/>
      <c r="BM2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5-3'!$D$11:$Q319,BM$4,BM$5)"),"")</f>
        <v/>
      </c>
      <c r="BN264" s="534"/>
      <c r="BO2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5-3'!$D$11:$Q319,BO$4,BO$5)"),"")</f>
        <v/>
      </c>
      <c r="BP264" s="534"/>
      <c r="BQ2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5-3'!$D$11:$Q319,BQ$4,BQ$5)"),"")</f>
        <v/>
      </c>
      <c r="BR264" s="536"/>
      <c r="BS26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5-3'!$D$11:$Q319,BS$4,BS$5)"),"")</f>
        <v/>
      </c>
      <c r="BT264" s="534"/>
      <c r="BU264" s="534"/>
      <c r="BV264" s="534"/>
      <c r="BW264" s="534"/>
      <c r="BX2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5-3'!$D$11:$Q319,BX$4,BX$5)"),"")</f>
        <v/>
      </c>
      <c r="BY264" s="538"/>
      <c r="BZ2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5-3'!$D$11:$Q319,BZ$4,BZ$5)"),"")</f>
        <v/>
      </c>
      <c r="CA264" s="537"/>
      <c r="CB2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5-3'!$D$11:$Q319,CB$4,CB$5)"),"")</f>
        <v/>
      </c>
      <c r="CC264" s="537"/>
      <c r="CD2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5-3'!$D$11:$Q319,CD$4,CD$5)"),"")</f>
        <v/>
      </c>
      <c r="CE264" s="537"/>
      <c r="CF2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5-3'!$D$11:$Q319,CF$4,CF$5)"),"")</f>
        <v/>
      </c>
      <c r="CG264" s="539"/>
      <c r="CH26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5-3'!$D$11:$Q319,CH$4,CH$5)"),"")</f>
        <v/>
      </c>
      <c r="CI264" s="537"/>
      <c r="CJ264" s="537"/>
      <c r="CK264" s="537"/>
      <c r="CL264" s="537"/>
      <c r="CM2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5-3'!$D$11:$Q319,CM$4,CM$5)"),"")</f>
        <v/>
      </c>
      <c r="CN264" s="541"/>
      <c r="CO2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5-3'!$D$11:$Q319,CO$4,CO$5)"),"")</f>
        <v/>
      </c>
      <c r="CP264" s="540"/>
      <c r="CQ2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5-3'!$D$11:$Q319,CQ$4,CQ$5)"),"")</f>
        <v/>
      </c>
      <c r="CR264" s="540"/>
      <c r="CS2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5-3'!$D$11:$Q319,CS$4,CS$5)"),"")</f>
        <v/>
      </c>
      <c r="CT264" s="540"/>
      <c r="CU2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5-3'!$D$11:$Q319,CU$4,CU$5)"),"")</f>
        <v/>
      </c>
      <c r="CV264" s="545"/>
      <c r="CW26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5-3'!$D$11:$Q319,CW$4,CW$5)"),"")</f>
        <v/>
      </c>
      <c r="CX264" s="540"/>
      <c r="CY264" s="540"/>
      <c r="CZ264" s="540"/>
      <c r="DA264" s="540"/>
      <c r="DB2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5-3'!$D$11:$Q319,DB$4,DB$5)"),"")</f>
        <v/>
      </c>
      <c r="DC264" s="555"/>
      <c r="DD2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5-3'!$D$11:$Q319,DD$4,DD$5)"),"")</f>
        <v/>
      </c>
      <c r="DE264" s="554"/>
      <c r="DF2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5-3'!$D$11:$Q319,DF$4,DF$5)"),"")</f>
        <v/>
      </c>
      <c r="DG264" s="554"/>
      <c r="DH2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5-3'!$D$11:$Q319,DH$4,DH$5)"),"")</f>
        <v/>
      </c>
      <c r="DI264" s="554"/>
      <c r="DJ2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5-3'!$D$11:$Q319,DJ$4,DJ$5)"),"")</f>
        <v/>
      </c>
      <c r="DK264" s="566"/>
      <c r="DL26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5-3'!$D$11:$Q319,DL$4,DL$5)"),"")</f>
        <v/>
      </c>
      <c r="DM264" s="554"/>
      <c r="DN264" s="554"/>
      <c r="DO264" s="554"/>
      <c r="DP264" s="554"/>
      <c r="DQ2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5-3'!$D$11:$Q319,DQ$4,DQ$5)"),"")</f>
        <v/>
      </c>
      <c r="DR264" s="569"/>
      <c r="DS2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5-3'!$D$11:$Q319,DS$4,DS$5)"),"")</f>
        <v/>
      </c>
      <c r="DT264" s="568"/>
      <c r="DU2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5-3'!$D$11:$Q319,DU$4,DU$5)"),"")</f>
        <v/>
      </c>
      <c r="DV264" s="568"/>
      <c r="DW2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5-3'!$D$11:$Q319,DW$4,DW$5)"),"")</f>
        <v/>
      </c>
      <c r="DX264" s="568"/>
      <c r="DY2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5-3'!$D$11:$Q319,DY$4,DY$5)"),"")</f>
        <v/>
      </c>
      <c r="DZ264" s="578"/>
      <c r="EA26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$C264, 'S-10 Топ 5-3'!$D$11:$Q319,EA$4,EA$5)"),"")</f>
        <v/>
      </c>
      <c r="EB264" s="568"/>
      <c r="EC264" s="568"/>
      <c r="ED264" s="568"/>
      <c r="EE264" s="568"/>
    </row>
    <row r="265">
      <c r="A265" s="519" t="str">
        <f t="shared" si="1"/>
        <v/>
      </c>
      <c r="B265" s="520" t="str">
        <f>'5-0 Товары'!B265</f>
        <v/>
      </c>
      <c r="C265" s="521" t="str">
        <f>'5-1 Сбор КП Закупки'!C265</f>
        <v/>
      </c>
      <c r="D265" s="521" t="str">
        <f>'5-1 Сбор КП Закупки'!D265</f>
        <v/>
      </c>
      <c r="E265" s="521" t="str">
        <f>'5-1 Сбор КП Закупки'!E265</f>
        <v/>
      </c>
      <c r="F265" s="521" t="str">
        <f>'5-1 Сбор КП Закупки'!F265</f>
        <v/>
      </c>
      <c r="G265" s="522" t="str">
        <f>'5-1 Сбор КП Закупки'!G265</f>
        <v/>
      </c>
      <c r="H265" s="522" t="str">
        <f>'5-1 Сбор КП Закупки'!H265</f>
        <v/>
      </c>
      <c r="I265" s="522" t="str">
        <f>'5-1 Сбор КП Закупки'!I265</f>
        <v/>
      </c>
      <c r="J265" s="197"/>
      <c r="K265" s="522" t="str">
        <f>'5-1 Сбор КП Закупки'!G265</f>
        <v/>
      </c>
      <c r="L265" s="523" t="str">
        <f>IF(A265="Да",'5-1 Сбор КП Закупки'!K265,)</f>
        <v/>
      </c>
      <c r="M265" s="197"/>
      <c r="N265" s="197"/>
      <c r="O265" s="197"/>
      <c r="P265" s="525" t="str">
        <f>'5-1 Сбор КП Закупки'!P265</f>
        <v/>
      </c>
      <c r="Q265" s="197"/>
      <c r="R265" s="197"/>
      <c r="S265" s="197"/>
      <c r="T265" s="197"/>
      <c r="U265" s="197"/>
      <c r="V265" s="197"/>
      <c r="W265" s="522" t="str">
        <f>'5-1 Сбор КП Закупки'!O265</f>
        <v/>
      </c>
      <c r="X265" s="197"/>
      <c r="Y265" s="197"/>
      <c r="Z265" s="197"/>
      <c r="AA265" s="197"/>
      <c r="AB265" s="197">
        <v>0.0</v>
      </c>
      <c r="AC265" s="197"/>
      <c r="AD265" s="197"/>
      <c r="AE2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5-3'!$D$11:$Q319,AE$4,AE$5)"),"")</f>
        <v/>
      </c>
      <c r="AF265" s="528"/>
      <c r="AG2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5-3'!$D$11:$Q319,AG$4,AG$5)"),"")</f>
        <v/>
      </c>
      <c r="AH265" s="527"/>
      <c r="AI2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5-3'!$D$11:$Q319,AI$4,AI$5)"),"")</f>
        <v/>
      </c>
      <c r="AJ265" s="527"/>
      <c r="AK2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5-3'!$D$11:$Q319,AK$4,AK$5)"),"")</f>
        <v/>
      </c>
      <c r="AL265" s="527"/>
      <c r="AM2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5-3'!$D$11:$Q319,AM$4,AM$5)"),"")</f>
        <v/>
      </c>
      <c r="AN265" s="529"/>
      <c r="AO26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5-3'!$D$11:$Q319,AO$4,AO$5)"),"")</f>
        <v/>
      </c>
      <c r="AP265" s="527"/>
      <c r="AQ265" s="527"/>
      <c r="AR265" s="527"/>
      <c r="AS265" s="527"/>
      <c r="AT2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5-3'!$D$11:$Q319,AT$4,AT$5)"),"")</f>
        <v/>
      </c>
      <c r="AU265" s="531"/>
      <c r="AV2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5-3'!$D$11:$Q319,AV$4,AV$5)"),"")</f>
        <v/>
      </c>
      <c r="AW265" s="530"/>
      <c r="AX2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5-3'!$D$11:$Q319,AX$4,AX$5)"),"")</f>
        <v/>
      </c>
      <c r="AY265" s="530"/>
      <c r="AZ2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5-3'!$D$11:$Q319,AZ$4,AZ$5)"),"")</f>
        <v/>
      </c>
      <c r="BA265" s="530"/>
      <c r="BB2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5-3'!$D$11:$Q319,BB$4,BB$5)"),"")</f>
        <v/>
      </c>
      <c r="BC265" s="532"/>
      <c r="BD26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5-3'!$D$11:$Q319,BD$4,BD$5)"),"")</f>
        <v/>
      </c>
      <c r="BE265" s="530"/>
      <c r="BF265" s="530"/>
      <c r="BG265" s="530"/>
      <c r="BH265" s="530"/>
      <c r="BI2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5-3'!$D$11:$Q319,BI$4,BI$5)"),"")</f>
        <v/>
      </c>
      <c r="BJ265" s="535"/>
      <c r="BK2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5-3'!$D$11:$Q319,BK$4,BK$5)"),"")</f>
        <v/>
      </c>
      <c r="BL265" s="534"/>
      <c r="BM2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5-3'!$D$11:$Q319,BM$4,BM$5)"),"")</f>
        <v/>
      </c>
      <c r="BN265" s="534"/>
      <c r="BO2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5-3'!$D$11:$Q319,BO$4,BO$5)"),"")</f>
        <v/>
      </c>
      <c r="BP265" s="534"/>
      <c r="BQ2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5-3'!$D$11:$Q319,BQ$4,BQ$5)"),"")</f>
        <v/>
      </c>
      <c r="BR265" s="536"/>
      <c r="BS26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5-3'!$D$11:$Q319,BS$4,BS$5)"),"")</f>
        <v/>
      </c>
      <c r="BT265" s="534"/>
      <c r="BU265" s="534"/>
      <c r="BV265" s="534"/>
      <c r="BW265" s="534"/>
      <c r="BX2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5-3'!$D$11:$Q319,BX$4,BX$5)"),"")</f>
        <v/>
      </c>
      <c r="BY265" s="538"/>
      <c r="BZ2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5-3'!$D$11:$Q319,BZ$4,BZ$5)"),"")</f>
        <v/>
      </c>
      <c r="CA265" s="537"/>
      <c r="CB2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5-3'!$D$11:$Q319,CB$4,CB$5)"),"")</f>
        <v/>
      </c>
      <c r="CC265" s="537"/>
      <c r="CD2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5-3'!$D$11:$Q319,CD$4,CD$5)"),"")</f>
        <v/>
      </c>
      <c r="CE265" s="537"/>
      <c r="CF2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5-3'!$D$11:$Q319,CF$4,CF$5)"),"")</f>
        <v/>
      </c>
      <c r="CG265" s="539"/>
      <c r="CH26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5-3'!$D$11:$Q319,CH$4,CH$5)"),"")</f>
        <v/>
      </c>
      <c r="CI265" s="537"/>
      <c r="CJ265" s="537"/>
      <c r="CK265" s="537"/>
      <c r="CL265" s="537"/>
      <c r="CM2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5-3'!$D$11:$Q319,CM$4,CM$5)"),"")</f>
        <v/>
      </c>
      <c r="CN265" s="541"/>
      <c r="CO2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5-3'!$D$11:$Q319,CO$4,CO$5)"),"")</f>
        <v/>
      </c>
      <c r="CP265" s="540"/>
      <c r="CQ2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5-3'!$D$11:$Q319,CQ$4,CQ$5)"),"")</f>
        <v/>
      </c>
      <c r="CR265" s="540"/>
      <c r="CS2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5-3'!$D$11:$Q319,CS$4,CS$5)"),"")</f>
        <v/>
      </c>
      <c r="CT265" s="540"/>
      <c r="CU2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5-3'!$D$11:$Q319,CU$4,CU$5)"),"")</f>
        <v/>
      </c>
      <c r="CV265" s="545"/>
      <c r="CW26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5-3'!$D$11:$Q319,CW$4,CW$5)"),"")</f>
        <v/>
      </c>
      <c r="CX265" s="540"/>
      <c r="CY265" s="540"/>
      <c r="CZ265" s="540"/>
      <c r="DA265" s="540"/>
      <c r="DB2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5-3'!$D$11:$Q319,DB$4,DB$5)"),"")</f>
        <v/>
      </c>
      <c r="DC265" s="555"/>
      <c r="DD2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5-3'!$D$11:$Q319,DD$4,DD$5)"),"")</f>
        <v/>
      </c>
      <c r="DE265" s="554"/>
      <c r="DF2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5-3'!$D$11:$Q319,DF$4,DF$5)"),"")</f>
        <v/>
      </c>
      <c r="DG265" s="554"/>
      <c r="DH2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5-3'!$D$11:$Q319,DH$4,DH$5)"),"")</f>
        <v/>
      </c>
      <c r="DI265" s="554"/>
      <c r="DJ2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5-3'!$D$11:$Q319,DJ$4,DJ$5)"),"")</f>
        <v/>
      </c>
      <c r="DK265" s="566"/>
      <c r="DL26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5-3'!$D$11:$Q319,DL$4,DL$5)"),"")</f>
        <v/>
      </c>
      <c r="DM265" s="554"/>
      <c r="DN265" s="554"/>
      <c r="DO265" s="554"/>
      <c r="DP265" s="554"/>
      <c r="DQ2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5-3'!$D$11:$Q319,DQ$4,DQ$5)"),"")</f>
        <v/>
      </c>
      <c r="DR265" s="569"/>
      <c r="DS2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5-3'!$D$11:$Q319,DS$4,DS$5)"),"")</f>
        <v/>
      </c>
      <c r="DT265" s="568"/>
      <c r="DU2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5-3'!$D$11:$Q319,DU$4,DU$5)"),"")</f>
        <v/>
      </c>
      <c r="DV265" s="568"/>
      <c r="DW2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5-3'!$D$11:$Q319,DW$4,DW$5)"),"")</f>
        <v/>
      </c>
      <c r="DX265" s="568"/>
      <c r="DY2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5-3'!$D$11:$Q319,DY$4,DY$5)"),"")</f>
        <v/>
      </c>
      <c r="DZ265" s="578"/>
      <c r="EA26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$C265, 'S-10 Топ 5-3'!$D$11:$Q319,EA$4,EA$5)"),"")</f>
        <v/>
      </c>
      <c r="EB265" s="568"/>
      <c r="EC265" s="568"/>
      <c r="ED265" s="568"/>
      <c r="EE265" s="568"/>
    </row>
    <row r="266">
      <c r="A266" s="519" t="str">
        <f t="shared" si="1"/>
        <v/>
      </c>
      <c r="B266" s="520" t="str">
        <f>'5-0 Товары'!B266</f>
        <v/>
      </c>
      <c r="C266" s="521" t="str">
        <f>'5-1 Сбор КП Закупки'!C266</f>
        <v/>
      </c>
      <c r="D266" s="521" t="str">
        <f>'5-1 Сбор КП Закупки'!D266</f>
        <v/>
      </c>
      <c r="E266" s="521" t="str">
        <f>'5-1 Сбор КП Закупки'!E266</f>
        <v/>
      </c>
      <c r="F266" s="521" t="str">
        <f>'5-1 Сбор КП Закупки'!F266</f>
        <v/>
      </c>
      <c r="G266" s="522" t="str">
        <f>'5-1 Сбор КП Закупки'!G266</f>
        <v/>
      </c>
      <c r="H266" s="522" t="str">
        <f>'5-1 Сбор КП Закупки'!H266</f>
        <v/>
      </c>
      <c r="I266" s="522" t="str">
        <f>'5-1 Сбор КП Закупки'!I266</f>
        <v/>
      </c>
      <c r="J266" s="197"/>
      <c r="K266" s="522" t="str">
        <f>'5-1 Сбор КП Закупки'!G266</f>
        <v/>
      </c>
      <c r="L266" s="523" t="str">
        <f>IF(A266="Да",'5-1 Сбор КП Закупки'!K266,)</f>
        <v/>
      </c>
      <c r="M266" s="197"/>
      <c r="N266" s="197"/>
      <c r="O266" s="197"/>
      <c r="P266" s="525" t="str">
        <f>'5-1 Сбор КП Закупки'!P266</f>
        <v/>
      </c>
      <c r="Q266" s="197"/>
      <c r="R266" s="197"/>
      <c r="S266" s="197"/>
      <c r="T266" s="197"/>
      <c r="U266" s="197"/>
      <c r="V266" s="197"/>
      <c r="W266" s="522" t="str">
        <f>'5-1 Сбор КП Закупки'!O266</f>
        <v/>
      </c>
      <c r="X266" s="197"/>
      <c r="Y266" s="197"/>
      <c r="Z266" s="197"/>
      <c r="AA266" s="197"/>
      <c r="AB266" s="197">
        <v>0.0</v>
      </c>
      <c r="AC266" s="197"/>
      <c r="AD266" s="197"/>
      <c r="AE2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5-3'!$D$11:$Q319,AE$4,AE$5)"),"")</f>
        <v/>
      </c>
      <c r="AF266" s="528"/>
      <c r="AG2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5-3'!$D$11:$Q319,AG$4,AG$5)"),"")</f>
        <v/>
      </c>
      <c r="AH266" s="527"/>
      <c r="AI2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5-3'!$D$11:$Q319,AI$4,AI$5)"),"")</f>
        <v/>
      </c>
      <c r="AJ266" s="527"/>
      <c r="AK2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5-3'!$D$11:$Q319,AK$4,AK$5)"),"")</f>
        <v/>
      </c>
      <c r="AL266" s="527"/>
      <c r="AM2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5-3'!$D$11:$Q319,AM$4,AM$5)"),"")</f>
        <v/>
      </c>
      <c r="AN266" s="529"/>
      <c r="AO26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5-3'!$D$11:$Q319,AO$4,AO$5)"),"")</f>
        <v/>
      </c>
      <c r="AP266" s="527"/>
      <c r="AQ266" s="527"/>
      <c r="AR266" s="527"/>
      <c r="AS266" s="527"/>
      <c r="AT2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5-3'!$D$11:$Q319,AT$4,AT$5)"),"")</f>
        <v/>
      </c>
      <c r="AU266" s="531"/>
      <c r="AV2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5-3'!$D$11:$Q319,AV$4,AV$5)"),"")</f>
        <v/>
      </c>
      <c r="AW266" s="530"/>
      <c r="AX2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5-3'!$D$11:$Q319,AX$4,AX$5)"),"")</f>
        <v/>
      </c>
      <c r="AY266" s="530"/>
      <c r="AZ2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5-3'!$D$11:$Q319,AZ$4,AZ$5)"),"")</f>
        <v/>
      </c>
      <c r="BA266" s="530"/>
      <c r="BB2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5-3'!$D$11:$Q319,BB$4,BB$5)"),"")</f>
        <v/>
      </c>
      <c r="BC266" s="532"/>
      <c r="BD26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5-3'!$D$11:$Q319,BD$4,BD$5)"),"")</f>
        <v/>
      </c>
      <c r="BE266" s="530"/>
      <c r="BF266" s="530"/>
      <c r="BG266" s="530"/>
      <c r="BH266" s="530"/>
      <c r="BI2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5-3'!$D$11:$Q319,BI$4,BI$5)"),"")</f>
        <v/>
      </c>
      <c r="BJ266" s="535"/>
      <c r="BK2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5-3'!$D$11:$Q319,BK$4,BK$5)"),"")</f>
        <v/>
      </c>
      <c r="BL266" s="534"/>
      <c r="BM2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5-3'!$D$11:$Q319,BM$4,BM$5)"),"")</f>
        <v/>
      </c>
      <c r="BN266" s="534"/>
      <c r="BO2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5-3'!$D$11:$Q319,BO$4,BO$5)"),"")</f>
        <v/>
      </c>
      <c r="BP266" s="534"/>
      <c r="BQ2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5-3'!$D$11:$Q319,BQ$4,BQ$5)"),"")</f>
        <v/>
      </c>
      <c r="BR266" s="536"/>
      <c r="BS26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5-3'!$D$11:$Q319,BS$4,BS$5)"),"")</f>
        <v/>
      </c>
      <c r="BT266" s="534"/>
      <c r="BU266" s="534"/>
      <c r="BV266" s="534"/>
      <c r="BW266" s="534"/>
      <c r="BX2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5-3'!$D$11:$Q319,BX$4,BX$5)"),"")</f>
        <v/>
      </c>
      <c r="BY266" s="538"/>
      <c r="BZ2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5-3'!$D$11:$Q319,BZ$4,BZ$5)"),"")</f>
        <v/>
      </c>
      <c r="CA266" s="537"/>
      <c r="CB2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5-3'!$D$11:$Q319,CB$4,CB$5)"),"")</f>
        <v/>
      </c>
      <c r="CC266" s="537"/>
      <c r="CD2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5-3'!$D$11:$Q319,CD$4,CD$5)"),"")</f>
        <v/>
      </c>
      <c r="CE266" s="537"/>
      <c r="CF2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5-3'!$D$11:$Q319,CF$4,CF$5)"),"")</f>
        <v/>
      </c>
      <c r="CG266" s="539"/>
      <c r="CH26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5-3'!$D$11:$Q319,CH$4,CH$5)"),"")</f>
        <v/>
      </c>
      <c r="CI266" s="537"/>
      <c r="CJ266" s="537"/>
      <c r="CK266" s="537"/>
      <c r="CL266" s="537"/>
      <c r="CM2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5-3'!$D$11:$Q319,CM$4,CM$5)"),"")</f>
        <v/>
      </c>
      <c r="CN266" s="541"/>
      <c r="CO2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5-3'!$D$11:$Q319,CO$4,CO$5)"),"")</f>
        <v/>
      </c>
      <c r="CP266" s="540"/>
      <c r="CQ2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5-3'!$D$11:$Q319,CQ$4,CQ$5)"),"")</f>
        <v/>
      </c>
      <c r="CR266" s="540"/>
      <c r="CS2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5-3'!$D$11:$Q319,CS$4,CS$5)"),"")</f>
        <v/>
      </c>
      <c r="CT266" s="540"/>
      <c r="CU2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5-3'!$D$11:$Q319,CU$4,CU$5)"),"")</f>
        <v/>
      </c>
      <c r="CV266" s="545"/>
      <c r="CW26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5-3'!$D$11:$Q319,CW$4,CW$5)"),"")</f>
        <v/>
      </c>
      <c r="CX266" s="540"/>
      <c r="CY266" s="540"/>
      <c r="CZ266" s="540"/>
      <c r="DA266" s="540"/>
      <c r="DB2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5-3'!$D$11:$Q319,DB$4,DB$5)"),"")</f>
        <v/>
      </c>
      <c r="DC266" s="555"/>
      <c r="DD2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5-3'!$D$11:$Q319,DD$4,DD$5)"),"")</f>
        <v/>
      </c>
      <c r="DE266" s="554"/>
      <c r="DF2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5-3'!$D$11:$Q319,DF$4,DF$5)"),"")</f>
        <v/>
      </c>
      <c r="DG266" s="554"/>
      <c r="DH2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5-3'!$D$11:$Q319,DH$4,DH$5)"),"")</f>
        <v/>
      </c>
      <c r="DI266" s="554"/>
      <c r="DJ2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5-3'!$D$11:$Q319,DJ$4,DJ$5)"),"")</f>
        <v/>
      </c>
      <c r="DK266" s="566"/>
      <c r="DL26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5-3'!$D$11:$Q319,DL$4,DL$5)"),"")</f>
        <v/>
      </c>
      <c r="DM266" s="554"/>
      <c r="DN266" s="554"/>
      <c r="DO266" s="554"/>
      <c r="DP266" s="554"/>
      <c r="DQ2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5-3'!$D$11:$Q319,DQ$4,DQ$5)"),"")</f>
        <v/>
      </c>
      <c r="DR266" s="569"/>
      <c r="DS2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5-3'!$D$11:$Q319,DS$4,DS$5)"),"")</f>
        <v/>
      </c>
      <c r="DT266" s="568"/>
      <c r="DU2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5-3'!$D$11:$Q319,DU$4,DU$5)"),"")</f>
        <v/>
      </c>
      <c r="DV266" s="568"/>
      <c r="DW2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5-3'!$D$11:$Q319,DW$4,DW$5)"),"")</f>
        <v/>
      </c>
      <c r="DX266" s="568"/>
      <c r="DY2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5-3'!$D$11:$Q319,DY$4,DY$5)"),"")</f>
        <v/>
      </c>
      <c r="DZ266" s="578"/>
      <c r="EA26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$C266, 'S-10 Топ 5-3'!$D$11:$Q319,EA$4,EA$5)"),"")</f>
        <v/>
      </c>
      <c r="EB266" s="568"/>
      <c r="EC266" s="568"/>
      <c r="ED266" s="568"/>
      <c r="EE266" s="568"/>
    </row>
    <row r="267">
      <c r="A267" s="519" t="str">
        <f t="shared" si="1"/>
        <v/>
      </c>
      <c r="B267" s="520" t="str">
        <f>'5-0 Товары'!B267</f>
        <v/>
      </c>
      <c r="C267" s="521" t="str">
        <f>'5-1 Сбор КП Закупки'!C267</f>
        <v/>
      </c>
      <c r="D267" s="521" t="str">
        <f>'5-1 Сбор КП Закупки'!D267</f>
        <v/>
      </c>
      <c r="E267" s="521" t="str">
        <f>'5-1 Сбор КП Закупки'!E267</f>
        <v/>
      </c>
      <c r="F267" s="521" t="str">
        <f>'5-1 Сбор КП Закупки'!F267</f>
        <v/>
      </c>
      <c r="G267" s="522" t="str">
        <f>'5-1 Сбор КП Закупки'!G267</f>
        <v/>
      </c>
      <c r="H267" s="522" t="str">
        <f>'5-1 Сбор КП Закупки'!H267</f>
        <v/>
      </c>
      <c r="I267" s="522" t="str">
        <f>'5-1 Сбор КП Закупки'!I267</f>
        <v/>
      </c>
      <c r="J267" s="197"/>
      <c r="K267" s="522" t="str">
        <f>'5-1 Сбор КП Закупки'!G267</f>
        <v/>
      </c>
      <c r="L267" s="523" t="str">
        <f>IF(A267="Да",'5-1 Сбор КП Закупки'!K267,)</f>
        <v/>
      </c>
      <c r="M267" s="197"/>
      <c r="N267" s="197"/>
      <c r="O267" s="197"/>
      <c r="P267" s="525" t="str">
        <f>'5-1 Сбор КП Закупки'!P267</f>
        <v/>
      </c>
      <c r="Q267" s="197"/>
      <c r="R267" s="197"/>
      <c r="S267" s="197"/>
      <c r="T267" s="197"/>
      <c r="U267" s="197"/>
      <c r="V267" s="197"/>
      <c r="W267" s="522" t="str">
        <f>'5-1 Сбор КП Закупки'!O267</f>
        <v/>
      </c>
      <c r="X267" s="197"/>
      <c r="Y267" s="197"/>
      <c r="Z267" s="197"/>
      <c r="AA267" s="197"/>
      <c r="AB267" s="197">
        <v>0.0</v>
      </c>
      <c r="AC267" s="197"/>
      <c r="AD267" s="197"/>
      <c r="AE2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5-3'!$D$11:$Q319,AE$4,AE$5)"),"")</f>
        <v/>
      </c>
      <c r="AF267" s="528"/>
      <c r="AG2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5-3'!$D$11:$Q319,AG$4,AG$5)"),"")</f>
        <v/>
      </c>
      <c r="AH267" s="527"/>
      <c r="AI2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5-3'!$D$11:$Q319,AI$4,AI$5)"),"")</f>
        <v/>
      </c>
      <c r="AJ267" s="527"/>
      <c r="AK2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5-3'!$D$11:$Q319,AK$4,AK$5)"),"")</f>
        <v/>
      </c>
      <c r="AL267" s="527"/>
      <c r="AM2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5-3'!$D$11:$Q319,AM$4,AM$5)"),"")</f>
        <v/>
      </c>
      <c r="AN267" s="529"/>
      <c r="AO26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5-3'!$D$11:$Q319,AO$4,AO$5)"),"")</f>
        <v/>
      </c>
      <c r="AP267" s="527"/>
      <c r="AQ267" s="527"/>
      <c r="AR267" s="527"/>
      <c r="AS267" s="527"/>
      <c r="AT2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5-3'!$D$11:$Q319,AT$4,AT$5)"),"")</f>
        <v/>
      </c>
      <c r="AU267" s="531"/>
      <c r="AV2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5-3'!$D$11:$Q319,AV$4,AV$5)"),"")</f>
        <v/>
      </c>
      <c r="AW267" s="530"/>
      <c r="AX2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5-3'!$D$11:$Q319,AX$4,AX$5)"),"")</f>
        <v/>
      </c>
      <c r="AY267" s="530"/>
      <c r="AZ2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5-3'!$D$11:$Q319,AZ$4,AZ$5)"),"")</f>
        <v/>
      </c>
      <c r="BA267" s="530"/>
      <c r="BB2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5-3'!$D$11:$Q319,BB$4,BB$5)"),"")</f>
        <v/>
      </c>
      <c r="BC267" s="532"/>
      <c r="BD26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5-3'!$D$11:$Q319,BD$4,BD$5)"),"")</f>
        <v/>
      </c>
      <c r="BE267" s="530"/>
      <c r="BF267" s="530"/>
      <c r="BG267" s="530"/>
      <c r="BH267" s="530"/>
      <c r="BI2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5-3'!$D$11:$Q319,BI$4,BI$5)"),"")</f>
        <v/>
      </c>
      <c r="BJ267" s="535"/>
      <c r="BK2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5-3'!$D$11:$Q319,BK$4,BK$5)"),"")</f>
        <v/>
      </c>
      <c r="BL267" s="534"/>
      <c r="BM2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5-3'!$D$11:$Q319,BM$4,BM$5)"),"")</f>
        <v/>
      </c>
      <c r="BN267" s="534"/>
      <c r="BO2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5-3'!$D$11:$Q319,BO$4,BO$5)"),"")</f>
        <v/>
      </c>
      <c r="BP267" s="534"/>
      <c r="BQ2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5-3'!$D$11:$Q319,BQ$4,BQ$5)"),"")</f>
        <v/>
      </c>
      <c r="BR267" s="536"/>
      <c r="BS26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5-3'!$D$11:$Q319,BS$4,BS$5)"),"")</f>
        <v/>
      </c>
      <c r="BT267" s="534"/>
      <c r="BU267" s="534"/>
      <c r="BV267" s="534"/>
      <c r="BW267" s="534"/>
      <c r="BX2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5-3'!$D$11:$Q319,BX$4,BX$5)"),"")</f>
        <v/>
      </c>
      <c r="BY267" s="538"/>
      <c r="BZ2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5-3'!$D$11:$Q319,BZ$4,BZ$5)"),"")</f>
        <v/>
      </c>
      <c r="CA267" s="537"/>
      <c r="CB2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5-3'!$D$11:$Q319,CB$4,CB$5)"),"")</f>
        <v/>
      </c>
      <c r="CC267" s="537"/>
      <c r="CD2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5-3'!$D$11:$Q319,CD$4,CD$5)"),"")</f>
        <v/>
      </c>
      <c r="CE267" s="537"/>
      <c r="CF2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5-3'!$D$11:$Q319,CF$4,CF$5)"),"")</f>
        <v/>
      </c>
      <c r="CG267" s="539"/>
      <c r="CH26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5-3'!$D$11:$Q319,CH$4,CH$5)"),"")</f>
        <v/>
      </c>
      <c r="CI267" s="537"/>
      <c r="CJ267" s="537"/>
      <c r="CK267" s="537"/>
      <c r="CL267" s="537"/>
      <c r="CM2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5-3'!$D$11:$Q319,CM$4,CM$5)"),"")</f>
        <v/>
      </c>
      <c r="CN267" s="541"/>
      <c r="CO2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5-3'!$D$11:$Q319,CO$4,CO$5)"),"")</f>
        <v/>
      </c>
      <c r="CP267" s="540"/>
      <c r="CQ2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5-3'!$D$11:$Q319,CQ$4,CQ$5)"),"")</f>
        <v/>
      </c>
      <c r="CR267" s="540"/>
      <c r="CS2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5-3'!$D$11:$Q319,CS$4,CS$5)"),"")</f>
        <v/>
      </c>
      <c r="CT267" s="540"/>
      <c r="CU2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5-3'!$D$11:$Q319,CU$4,CU$5)"),"")</f>
        <v/>
      </c>
      <c r="CV267" s="545"/>
      <c r="CW26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5-3'!$D$11:$Q319,CW$4,CW$5)"),"")</f>
        <v/>
      </c>
      <c r="CX267" s="540"/>
      <c r="CY267" s="540"/>
      <c r="CZ267" s="540"/>
      <c r="DA267" s="540"/>
      <c r="DB2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5-3'!$D$11:$Q319,DB$4,DB$5)"),"")</f>
        <v/>
      </c>
      <c r="DC267" s="555"/>
      <c r="DD2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5-3'!$D$11:$Q319,DD$4,DD$5)"),"")</f>
        <v/>
      </c>
      <c r="DE267" s="554"/>
      <c r="DF2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5-3'!$D$11:$Q319,DF$4,DF$5)"),"")</f>
        <v/>
      </c>
      <c r="DG267" s="554"/>
      <c r="DH2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5-3'!$D$11:$Q319,DH$4,DH$5)"),"")</f>
        <v/>
      </c>
      <c r="DI267" s="554"/>
      <c r="DJ2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5-3'!$D$11:$Q319,DJ$4,DJ$5)"),"")</f>
        <v/>
      </c>
      <c r="DK267" s="566"/>
      <c r="DL26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5-3'!$D$11:$Q319,DL$4,DL$5)"),"")</f>
        <v/>
      </c>
      <c r="DM267" s="554"/>
      <c r="DN267" s="554"/>
      <c r="DO267" s="554"/>
      <c r="DP267" s="554"/>
      <c r="DQ2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5-3'!$D$11:$Q319,DQ$4,DQ$5)"),"")</f>
        <v/>
      </c>
      <c r="DR267" s="569"/>
      <c r="DS2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5-3'!$D$11:$Q319,DS$4,DS$5)"),"")</f>
        <v/>
      </c>
      <c r="DT267" s="568"/>
      <c r="DU2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5-3'!$D$11:$Q319,DU$4,DU$5)"),"")</f>
        <v/>
      </c>
      <c r="DV267" s="568"/>
      <c r="DW2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5-3'!$D$11:$Q319,DW$4,DW$5)"),"")</f>
        <v/>
      </c>
      <c r="DX267" s="568"/>
      <c r="DY2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5-3'!$D$11:$Q319,DY$4,DY$5)"),"")</f>
        <v/>
      </c>
      <c r="DZ267" s="578"/>
      <c r="EA26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$C267, 'S-10 Топ 5-3'!$D$11:$Q319,EA$4,EA$5)"),"")</f>
        <v/>
      </c>
      <c r="EB267" s="568"/>
      <c r="EC267" s="568"/>
      <c r="ED267" s="568"/>
      <c r="EE267" s="568"/>
    </row>
    <row r="268">
      <c r="A268" s="519" t="str">
        <f t="shared" si="1"/>
        <v/>
      </c>
      <c r="B268" s="520" t="str">
        <f>'5-0 Товары'!B268</f>
        <v/>
      </c>
      <c r="C268" s="521" t="str">
        <f>'5-1 Сбор КП Закупки'!C268</f>
        <v/>
      </c>
      <c r="D268" s="521" t="str">
        <f>'5-1 Сбор КП Закупки'!D268</f>
        <v/>
      </c>
      <c r="E268" s="521" t="str">
        <f>'5-1 Сбор КП Закупки'!E268</f>
        <v/>
      </c>
      <c r="F268" s="521" t="str">
        <f>'5-1 Сбор КП Закупки'!F268</f>
        <v/>
      </c>
      <c r="G268" s="522" t="str">
        <f>'5-1 Сбор КП Закупки'!G268</f>
        <v/>
      </c>
      <c r="H268" s="522" t="str">
        <f>'5-1 Сбор КП Закупки'!H268</f>
        <v/>
      </c>
      <c r="I268" s="522" t="str">
        <f>'5-1 Сбор КП Закупки'!I268</f>
        <v/>
      </c>
      <c r="J268" s="197"/>
      <c r="K268" s="522" t="str">
        <f>'5-1 Сбор КП Закупки'!G268</f>
        <v/>
      </c>
      <c r="L268" s="523" t="str">
        <f>IF(A268="Да",'5-1 Сбор КП Закупки'!K268,)</f>
        <v/>
      </c>
      <c r="M268" s="197"/>
      <c r="N268" s="197"/>
      <c r="O268" s="197"/>
      <c r="P268" s="525" t="str">
        <f>'5-1 Сбор КП Закупки'!P268</f>
        <v/>
      </c>
      <c r="Q268" s="197"/>
      <c r="R268" s="197"/>
      <c r="S268" s="197"/>
      <c r="T268" s="197"/>
      <c r="U268" s="197"/>
      <c r="V268" s="197"/>
      <c r="W268" s="522" t="str">
        <f>'5-1 Сбор КП Закупки'!O268</f>
        <v/>
      </c>
      <c r="X268" s="197"/>
      <c r="Y268" s="197"/>
      <c r="Z268" s="197"/>
      <c r="AA268" s="197"/>
      <c r="AB268" s="197">
        <v>0.0</v>
      </c>
      <c r="AC268" s="197"/>
      <c r="AD268" s="197"/>
      <c r="AE2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5-3'!$D$11:$Q319,AE$4,AE$5)"),"")</f>
        <v/>
      </c>
      <c r="AF268" s="528"/>
      <c r="AG2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5-3'!$D$11:$Q319,AG$4,AG$5)"),"")</f>
        <v/>
      </c>
      <c r="AH268" s="527"/>
      <c r="AI2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5-3'!$D$11:$Q319,AI$4,AI$5)"),"")</f>
        <v/>
      </c>
      <c r="AJ268" s="527"/>
      <c r="AK2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5-3'!$D$11:$Q319,AK$4,AK$5)"),"")</f>
        <v/>
      </c>
      <c r="AL268" s="527"/>
      <c r="AM2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5-3'!$D$11:$Q319,AM$4,AM$5)"),"")</f>
        <v/>
      </c>
      <c r="AN268" s="529"/>
      <c r="AO26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5-3'!$D$11:$Q319,AO$4,AO$5)"),"")</f>
        <v/>
      </c>
      <c r="AP268" s="527"/>
      <c r="AQ268" s="527"/>
      <c r="AR268" s="527"/>
      <c r="AS268" s="527"/>
      <c r="AT2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5-3'!$D$11:$Q319,AT$4,AT$5)"),"")</f>
        <v/>
      </c>
      <c r="AU268" s="531"/>
      <c r="AV2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5-3'!$D$11:$Q319,AV$4,AV$5)"),"")</f>
        <v/>
      </c>
      <c r="AW268" s="530"/>
      <c r="AX2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5-3'!$D$11:$Q319,AX$4,AX$5)"),"")</f>
        <v/>
      </c>
      <c r="AY268" s="530"/>
      <c r="AZ2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5-3'!$D$11:$Q319,AZ$4,AZ$5)"),"")</f>
        <v/>
      </c>
      <c r="BA268" s="530"/>
      <c r="BB2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5-3'!$D$11:$Q319,BB$4,BB$5)"),"")</f>
        <v/>
      </c>
      <c r="BC268" s="532"/>
      <c r="BD26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5-3'!$D$11:$Q319,BD$4,BD$5)"),"")</f>
        <v/>
      </c>
      <c r="BE268" s="530"/>
      <c r="BF268" s="530"/>
      <c r="BG268" s="530"/>
      <c r="BH268" s="530"/>
      <c r="BI2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5-3'!$D$11:$Q319,BI$4,BI$5)"),"")</f>
        <v/>
      </c>
      <c r="BJ268" s="535"/>
      <c r="BK2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5-3'!$D$11:$Q319,BK$4,BK$5)"),"")</f>
        <v/>
      </c>
      <c r="BL268" s="534"/>
      <c r="BM2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5-3'!$D$11:$Q319,BM$4,BM$5)"),"")</f>
        <v/>
      </c>
      <c r="BN268" s="534"/>
      <c r="BO2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5-3'!$D$11:$Q319,BO$4,BO$5)"),"")</f>
        <v/>
      </c>
      <c r="BP268" s="534"/>
      <c r="BQ2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5-3'!$D$11:$Q319,BQ$4,BQ$5)"),"")</f>
        <v/>
      </c>
      <c r="BR268" s="536"/>
      <c r="BS26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5-3'!$D$11:$Q319,BS$4,BS$5)"),"")</f>
        <v/>
      </c>
      <c r="BT268" s="534"/>
      <c r="BU268" s="534"/>
      <c r="BV268" s="534"/>
      <c r="BW268" s="534"/>
      <c r="BX2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5-3'!$D$11:$Q319,BX$4,BX$5)"),"")</f>
        <v/>
      </c>
      <c r="BY268" s="538"/>
      <c r="BZ2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5-3'!$D$11:$Q319,BZ$4,BZ$5)"),"")</f>
        <v/>
      </c>
      <c r="CA268" s="537"/>
      <c r="CB2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5-3'!$D$11:$Q319,CB$4,CB$5)"),"")</f>
        <v/>
      </c>
      <c r="CC268" s="537"/>
      <c r="CD2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5-3'!$D$11:$Q319,CD$4,CD$5)"),"")</f>
        <v/>
      </c>
      <c r="CE268" s="537"/>
      <c r="CF2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5-3'!$D$11:$Q319,CF$4,CF$5)"),"")</f>
        <v/>
      </c>
      <c r="CG268" s="539"/>
      <c r="CH26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5-3'!$D$11:$Q319,CH$4,CH$5)"),"")</f>
        <v/>
      </c>
      <c r="CI268" s="537"/>
      <c r="CJ268" s="537"/>
      <c r="CK268" s="537"/>
      <c r="CL268" s="537"/>
      <c r="CM2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5-3'!$D$11:$Q319,CM$4,CM$5)"),"")</f>
        <v/>
      </c>
      <c r="CN268" s="541"/>
      <c r="CO2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5-3'!$D$11:$Q319,CO$4,CO$5)"),"")</f>
        <v/>
      </c>
      <c r="CP268" s="540"/>
      <c r="CQ2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5-3'!$D$11:$Q319,CQ$4,CQ$5)"),"")</f>
        <v/>
      </c>
      <c r="CR268" s="540"/>
      <c r="CS2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5-3'!$D$11:$Q319,CS$4,CS$5)"),"")</f>
        <v/>
      </c>
      <c r="CT268" s="540"/>
      <c r="CU2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5-3'!$D$11:$Q319,CU$4,CU$5)"),"")</f>
        <v/>
      </c>
      <c r="CV268" s="545"/>
      <c r="CW26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5-3'!$D$11:$Q319,CW$4,CW$5)"),"")</f>
        <v/>
      </c>
      <c r="CX268" s="540"/>
      <c r="CY268" s="540"/>
      <c r="CZ268" s="540"/>
      <c r="DA268" s="540"/>
      <c r="DB2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5-3'!$D$11:$Q319,DB$4,DB$5)"),"")</f>
        <v/>
      </c>
      <c r="DC268" s="555"/>
      <c r="DD2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5-3'!$D$11:$Q319,DD$4,DD$5)"),"")</f>
        <v/>
      </c>
      <c r="DE268" s="554"/>
      <c r="DF2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5-3'!$D$11:$Q319,DF$4,DF$5)"),"")</f>
        <v/>
      </c>
      <c r="DG268" s="554"/>
      <c r="DH2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5-3'!$D$11:$Q319,DH$4,DH$5)"),"")</f>
        <v/>
      </c>
      <c r="DI268" s="554"/>
      <c r="DJ2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5-3'!$D$11:$Q319,DJ$4,DJ$5)"),"")</f>
        <v/>
      </c>
      <c r="DK268" s="566"/>
      <c r="DL26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5-3'!$D$11:$Q319,DL$4,DL$5)"),"")</f>
        <v/>
      </c>
      <c r="DM268" s="554"/>
      <c r="DN268" s="554"/>
      <c r="DO268" s="554"/>
      <c r="DP268" s="554"/>
      <c r="DQ2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5-3'!$D$11:$Q319,DQ$4,DQ$5)"),"")</f>
        <v/>
      </c>
      <c r="DR268" s="569"/>
      <c r="DS2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5-3'!$D$11:$Q319,DS$4,DS$5)"),"")</f>
        <v/>
      </c>
      <c r="DT268" s="568"/>
      <c r="DU2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5-3'!$D$11:$Q319,DU$4,DU$5)"),"")</f>
        <v/>
      </c>
      <c r="DV268" s="568"/>
      <c r="DW2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5-3'!$D$11:$Q319,DW$4,DW$5)"),"")</f>
        <v/>
      </c>
      <c r="DX268" s="568"/>
      <c r="DY2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5-3'!$D$11:$Q319,DY$4,DY$5)"),"")</f>
        <v/>
      </c>
      <c r="DZ268" s="578"/>
      <c r="EA26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$C268, 'S-10 Топ 5-3'!$D$11:$Q319,EA$4,EA$5)"),"")</f>
        <v/>
      </c>
      <c r="EB268" s="568"/>
      <c r="EC268" s="568"/>
      <c r="ED268" s="568"/>
      <c r="EE268" s="568"/>
    </row>
    <row r="269">
      <c r="A269" s="519" t="str">
        <f t="shared" si="1"/>
        <v/>
      </c>
      <c r="B269" s="520" t="str">
        <f>'5-0 Товары'!B269</f>
        <v/>
      </c>
      <c r="C269" s="521" t="str">
        <f>'5-1 Сбор КП Закупки'!C269</f>
        <v/>
      </c>
      <c r="D269" s="521" t="str">
        <f>'5-1 Сбор КП Закупки'!D269</f>
        <v/>
      </c>
      <c r="E269" s="521" t="str">
        <f>'5-1 Сбор КП Закупки'!E269</f>
        <v/>
      </c>
      <c r="F269" s="521" t="str">
        <f>'5-1 Сбор КП Закупки'!F269</f>
        <v/>
      </c>
      <c r="G269" s="522" t="str">
        <f>'5-1 Сбор КП Закупки'!G269</f>
        <v/>
      </c>
      <c r="H269" s="522" t="str">
        <f>'5-1 Сбор КП Закупки'!H269</f>
        <v/>
      </c>
      <c r="I269" s="522" t="str">
        <f>'5-1 Сбор КП Закупки'!I269</f>
        <v/>
      </c>
      <c r="J269" s="197"/>
      <c r="K269" s="522" t="str">
        <f>'5-1 Сбор КП Закупки'!G269</f>
        <v/>
      </c>
      <c r="L269" s="523" t="str">
        <f>IF(A269="Да",'5-1 Сбор КП Закупки'!K269,)</f>
        <v/>
      </c>
      <c r="M269" s="197"/>
      <c r="N269" s="197"/>
      <c r="O269" s="197"/>
      <c r="P269" s="525" t="str">
        <f>'5-1 Сбор КП Закупки'!P269</f>
        <v/>
      </c>
      <c r="Q269" s="197"/>
      <c r="R269" s="197"/>
      <c r="S269" s="197"/>
      <c r="T269" s="197"/>
      <c r="U269" s="197"/>
      <c r="V269" s="197"/>
      <c r="W269" s="522" t="str">
        <f>'5-1 Сбор КП Закупки'!O269</f>
        <v/>
      </c>
      <c r="X269" s="197"/>
      <c r="Y269" s="197"/>
      <c r="Z269" s="197"/>
      <c r="AA269" s="197"/>
      <c r="AB269" s="197">
        <v>0.0</v>
      </c>
      <c r="AC269" s="197"/>
      <c r="AD269" s="197"/>
      <c r="AE2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5-3'!$D$11:$Q319,AE$4,AE$5)"),"")</f>
        <v/>
      </c>
      <c r="AF269" s="528"/>
      <c r="AG2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5-3'!$D$11:$Q319,AG$4,AG$5)"),"")</f>
        <v/>
      </c>
      <c r="AH269" s="527"/>
      <c r="AI2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5-3'!$D$11:$Q319,AI$4,AI$5)"),"")</f>
        <v/>
      </c>
      <c r="AJ269" s="527"/>
      <c r="AK2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5-3'!$D$11:$Q319,AK$4,AK$5)"),"")</f>
        <v/>
      </c>
      <c r="AL269" s="527"/>
      <c r="AM2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5-3'!$D$11:$Q319,AM$4,AM$5)"),"")</f>
        <v/>
      </c>
      <c r="AN269" s="529"/>
      <c r="AO26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5-3'!$D$11:$Q319,AO$4,AO$5)"),"")</f>
        <v/>
      </c>
      <c r="AP269" s="527"/>
      <c r="AQ269" s="527"/>
      <c r="AR269" s="527"/>
      <c r="AS269" s="527"/>
      <c r="AT2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5-3'!$D$11:$Q319,AT$4,AT$5)"),"")</f>
        <v/>
      </c>
      <c r="AU269" s="531"/>
      <c r="AV2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5-3'!$D$11:$Q319,AV$4,AV$5)"),"")</f>
        <v/>
      </c>
      <c r="AW269" s="530"/>
      <c r="AX2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5-3'!$D$11:$Q319,AX$4,AX$5)"),"")</f>
        <v/>
      </c>
      <c r="AY269" s="530"/>
      <c r="AZ2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5-3'!$D$11:$Q319,AZ$4,AZ$5)"),"")</f>
        <v/>
      </c>
      <c r="BA269" s="530"/>
      <c r="BB2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5-3'!$D$11:$Q319,BB$4,BB$5)"),"")</f>
        <v/>
      </c>
      <c r="BC269" s="532"/>
      <c r="BD26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5-3'!$D$11:$Q319,BD$4,BD$5)"),"")</f>
        <v/>
      </c>
      <c r="BE269" s="530"/>
      <c r="BF269" s="530"/>
      <c r="BG269" s="530"/>
      <c r="BH269" s="530"/>
      <c r="BI2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5-3'!$D$11:$Q319,BI$4,BI$5)"),"")</f>
        <v/>
      </c>
      <c r="BJ269" s="535"/>
      <c r="BK2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5-3'!$D$11:$Q319,BK$4,BK$5)"),"")</f>
        <v/>
      </c>
      <c r="BL269" s="534"/>
      <c r="BM2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5-3'!$D$11:$Q319,BM$4,BM$5)"),"")</f>
        <v/>
      </c>
      <c r="BN269" s="534"/>
      <c r="BO2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5-3'!$D$11:$Q319,BO$4,BO$5)"),"")</f>
        <v/>
      </c>
      <c r="BP269" s="534"/>
      <c r="BQ2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5-3'!$D$11:$Q319,BQ$4,BQ$5)"),"")</f>
        <v/>
      </c>
      <c r="BR269" s="536"/>
      <c r="BS26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5-3'!$D$11:$Q319,BS$4,BS$5)"),"")</f>
        <v/>
      </c>
      <c r="BT269" s="534"/>
      <c r="BU269" s="534"/>
      <c r="BV269" s="534"/>
      <c r="BW269" s="534"/>
      <c r="BX2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5-3'!$D$11:$Q319,BX$4,BX$5)"),"")</f>
        <v/>
      </c>
      <c r="BY269" s="538"/>
      <c r="BZ2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5-3'!$D$11:$Q319,BZ$4,BZ$5)"),"")</f>
        <v/>
      </c>
      <c r="CA269" s="537"/>
      <c r="CB2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5-3'!$D$11:$Q319,CB$4,CB$5)"),"")</f>
        <v/>
      </c>
      <c r="CC269" s="537"/>
      <c r="CD2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5-3'!$D$11:$Q319,CD$4,CD$5)"),"")</f>
        <v/>
      </c>
      <c r="CE269" s="537"/>
      <c r="CF2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5-3'!$D$11:$Q319,CF$4,CF$5)"),"")</f>
        <v/>
      </c>
      <c r="CG269" s="539"/>
      <c r="CH26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5-3'!$D$11:$Q319,CH$4,CH$5)"),"")</f>
        <v/>
      </c>
      <c r="CI269" s="537"/>
      <c r="CJ269" s="537"/>
      <c r="CK269" s="537"/>
      <c r="CL269" s="537"/>
      <c r="CM2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5-3'!$D$11:$Q319,CM$4,CM$5)"),"")</f>
        <v/>
      </c>
      <c r="CN269" s="541"/>
      <c r="CO2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5-3'!$D$11:$Q319,CO$4,CO$5)"),"")</f>
        <v/>
      </c>
      <c r="CP269" s="540"/>
      <c r="CQ2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5-3'!$D$11:$Q319,CQ$4,CQ$5)"),"")</f>
        <v/>
      </c>
      <c r="CR269" s="540"/>
      <c r="CS2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5-3'!$D$11:$Q319,CS$4,CS$5)"),"")</f>
        <v/>
      </c>
      <c r="CT269" s="540"/>
      <c r="CU2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5-3'!$D$11:$Q319,CU$4,CU$5)"),"")</f>
        <v/>
      </c>
      <c r="CV269" s="545"/>
      <c r="CW26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5-3'!$D$11:$Q319,CW$4,CW$5)"),"")</f>
        <v/>
      </c>
      <c r="CX269" s="540"/>
      <c r="CY269" s="540"/>
      <c r="CZ269" s="540"/>
      <c r="DA269" s="540"/>
      <c r="DB2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5-3'!$D$11:$Q319,DB$4,DB$5)"),"")</f>
        <v/>
      </c>
      <c r="DC269" s="555"/>
      <c r="DD2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5-3'!$D$11:$Q319,DD$4,DD$5)"),"")</f>
        <v/>
      </c>
      <c r="DE269" s="554"/>
      <c r="DF2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5-3'!$D$11:$Q319,DF$4,DF$5)"),"")</f>
        <v/>
      </c>
      <c r="DG269" s="554"/>
      <c r="DH2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5-3'!$D$11:$Q319,DH$4,DH$5)"),"")</f>
        <v/>
      </c>
      <c r="DI269" s="554"/>
      <c r="DJ2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5-3'!$D$11:$Q319,DJ$4,DJ$5)"),"")</f>
        <v/>
      </c>
      <c r="DK269" s="566"/>
      <c r="DL26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5-3'!$D$11:$Q319,DL$4,DL$5)"),"")</f>
        <v/>
      </c>
      <c r="DM269" s="554"/>
      <c r="DN269" s="554"/>
      <c r="DO269" s="554"/>
      <c r="DP269" s="554"/>
      <c r="DQ2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5-3'!$D$11:$Q319,DQ$4,DQ$5)"),"")</f>
        <v/>
      </c>
      <c r="DR269" s="569"/>
      <c r="DS2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5-3'!$D$11:$Q319,DS$4,DS$5)"),"")</f>
        <v/>
      </c>
      <c r="DT269" s="568"/>
      <c r="DU2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5-3'!$D$11:$Q319,DU$4,DU$5)"),"")</f>
        <v/>
      </c>
      <c r="DV269" s="568"/>
      <c r="DW2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5-3'!$D$11:$Q319,DW$4,DW$5)"),"")</f>
        <v/>
      </c>
      <c r="DX269" s="568"/>
      <c r="DY2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5-3'!$D$11:$Q319,DY$4,DY$5)"),"")</f>
        <v/>
      </c>
      <c r="DZ269" s="578"/>
      <c r="EA26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$C269, 'S-10 Топ 5-3'!$D$11:$Q319,EA$4,EA$5)"),"")</f>
        <v/>
      </c>
      <c r="EB269" s="568"/>
      <c r="EC269" s="568"/>
      <c r="ED269" s="568"/>
      <c r="EE269" s="568"/>
    </row>
    <row r="270">
      <c r="A270" s="519" t="str">
        <f t="shared" si="1"/>
        <v/>
      </c>
      <c r="B270" s="520" t="str">
        <f>'5-0 Товары'!B270</f>
        <v/>
      </c>
      <c r="C270" s="521" t="str">
        <f>'5-1 Сбор КП Закупки'!C270</f>
        <v/>
      </c>
      <c r="D270" s="521" t="str">
        <f>'5-1 Сбор КП Закупки'!D270</f>
        <v/>
      </c>
      <c r="E270" s="521" t="str">
        <f>'5-1 Сбор КП Закупки'!E270</f>
        <v/>
      </c>
      <c r="F270" s="521" t="str">
        <f>'5-1 Сбор КП Закупки'!F270</f>
        <v/>
      </c>
      <c r="G270" s="522" t="str">
        <f>'5-1 Сбор КП Закупки'!G270</f>
        <v/>
      </c>
      <c r="H270" s="522" t="str">
        <f>'5-1 Сбор КП Закупки'!H270</f>
        <v/>
      </c>
      <c r="I270" s="522" t="str">
        <f>'5-1 Сбор КП Закупки'!I270</f>
        <v/>
      </c>
      <c r="J270" s="197"/>
      <c r="K270" s="522" t="str">
        <f>'5-1 Сбор КП Закупки'!G270</f>
        <v/>
      </c>
      <c r="L270" s="523" t="str">
        <f>IF(A270="Да",'5-1 Сбор КП Закупки'!K270,)</f>
        <v/>
      </c>
      <c r="M270" s="197"/>
      <c r="N270" s="197"/>
      <c r="O270" s="197"/>
      <c r="P270" s="525" t="str">
        <f>'5-1 Сбор КП Закупки'!P270</f>
        <v/>
      </c>
      <c r="Q270" s="197"/>
      <c r="R270" s="197"/>
      <c r="S270" s="197"/>
      <c r="T270" s="197"/>
      <c r="U270" s="197"/>
      <c r="V270" s="197"/>
      <c r="W270" s="522" t="str">
        <f>'5-1 Сбор КП Закупки'!O270</f>
        <v/>
      </c>
      <c r="X270" s="197"/>
      <c r="Y270" s="197"/>
      <c r="Z270" s="197"/>
      <c r="AA270" s="197"/>
      <c r="AB270" s="197">
        <v>0.0</v>
      </c>
      <c r="AC270" s="197"/>
      <c r="AD270" s="197"/>
      <c r="AE2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5-3'!$D$11:$Q319,AE$4,AE$5)"),"")</f>
        <v/>
      </c>
      <c r="AF270" s="528"/>
      <c r="AG2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5-3'!$D$11:$Q319,AG$4,AG$5)"),"")</f>
        <v/>
      </c>
      <c r="AH270" s="527"/>
      <c r="AI2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5-3'!$D$11:$Q319,AI$4,AI$5)"),"")</f>
        <v/>
      </c>
      <c r="AJ270" s="527"/>
      <c r="AK2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5-3'!$D$11:$Q319,AK$4,AK$5)"),"")</f>
        <v/>
      </c>
      <c r="AL270" s="527"/>
      <c r="AM2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5-3'!$D$11:$Q319,AM$4,AM$5)"),"")</f>
        <v/>
      </c>
      <c r="AN270" s="529"/>
      <c r="AO27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5-3'!$D$11:$Q319,AO$4,AO$5)"),"")</f>
        <v/>
      </c>
      <c r="AP270" s="527"/>
      <c r="AQ270" s="527"/>
      <c r="AR270" s="527"/>
      <c r="AS270" s="527"/>
      <c r="AT2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5-3'!$D$11:$Q319,AT$4,AT$5)"),"")</f>
        <v/>
      </c>
      <c r="AU270" s="531"/>
      <c r="AV2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5-3'!$D$11:$Q319,AV$4,AV$5)"),"")</f>
        <v/>
      </c>
      <c r="AW270" s="530"/>
      <c r="AX2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5-3'!$D$11:$Q319,AX$4,AX$5)"),"")</f>
        <v/>
      </c>
      <c r="AY270" s="530"/>
      <c r="AZ2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5-3'!$D$11:$Q319,AZ$4,AZ$5)"),"")</f>
        <v/>
      </c>
      <c r="BA270" s="530"/>
      <c r="BB2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5-3'!$D$11:$Q319,BB$4,BB$5)"),"")</f>
        <v/>
      </c>
      <c r="BC270" s="532"/>
      <c r="BD27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5-3'!$D$11:$Q319,BD$4,BD$5)"),"")</f>
        <v/>
      </c>
      <c r="BE270" s="530"/>
      <c r="BF270" s="530"/>
      <c r="BG270" s="530"/>
      <c r="BH270" s="530"/>
      <c r="BI2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5-3'!$D$11:$Q319,BI$4,BI$5)"),"")</f>
        <v/>
      </c>
      <c r="BJ270" s="535"/>
      <c r="BK2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5-3'!$D$11:$Q319,BK$4,BK$5)"),"")</f>
        <v/>
      </c>
      <c r="BL270" s="534"/>
      <c r="BM2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5-3'!$D$11:$Q319,BM$4,BM$5)"),"")</f>
        <v/>
      </c>
      <c r="BN270" s="534"/>
      <c r="BO2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5-3'!$D$11:$Q319,BO$4,BO$5)"),"")</f>
        <v/>
      </c>
      <c r="BP270" s="534"/>
      <c r="BQ2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5-3'!$D$11:$Q319,BQ$4,BQ$5)"),"")</f>
        <v/>
      </c>
      <c r="BR270" s="536"/>
      <c r="BS27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5-3'!$D$11:$Q319,BS$4,BS$5)"),"")</f>
        <v/>
      </c>
      <c r="BT270" s="534"/>
      <c r="BU270" s="534"/>
      <c r="BV270" s="534"/>
      <c r="BW270" s="534"/>
      <c r="BX2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5-3'!$D$11:$Q319,BX$4,BX$5)"),"")</f>
        <v/>
      </c>
      <c r="BY270" s="538"/>
      <c r="BZ2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5-3'!$D$11:$Q319,BZ$4,BZ$5)"),"")</f>
        <v/>
      </c>
      <c r="CA270" s="537"/>
      <c r="CB2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5-3'!$D$11:$Q319,CB$4,CB$5)"),"")</f>
        <v/>
      </c>
      <c r="CC270" s="537"/>
      <c r="CD2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5-3'!$D$11:$Q319,CD$4,CD$5)"),"")</f>
        <v/>
      </c>
      <c r="CE270" s="537"/>
      <c r="CF2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5-3'!$D$11:$Q319,CF$4,CF$5)"),"")</f>
        <v/>
      </c>
      <c r="CG270" s="539"/>
      <c r="CH27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5-3'!$D$11:$Q319,CH$4,CH$5)"),"")</f>
        <v/>
      </c>
      <c r="CI270" s="537"/>
      <c r="CJ270" s="537"/>
      <c r="CK270" s="537"/>
      <c r="CL270" s="537"/>
      <c r="CM2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5-3'!$D$11:$Q319,CM$4,CM$5)"),"")</f>
        <v/>
      </c>
      <c r="CN270" s="541"/>
      <c r="CO2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5-3'!$D$11:$Q319,CO$4,CO$5)"),"")</f>
        <v/>
      </c>
      <c r="CP270" s="540"/>
      <c r="CQ2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5-3'!$D$11:$Q319,CQ$4,CQ$5)"),"")</f>
        <v/>
      </c>
      <c r="CR270" s="540"/>
      <c r="CS2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5-3'!$D$11:$Q319,CS$4,CS$5)"),"")</f>
        <v/>
      </c>
      <c r="CT270" s="540"/>
      <c r="CU2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5-3'!$D$11:$Q319,CU$4,CU$5)"),"")</f>
        <v/>
      </c>
      <c r="CV270" s="545"/>
      <c r="CW27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5-3'!$D$11:$Q319,CW$4,CW$5)"),"")</f>
        <v/>
      </c>
      <c r="CX270" s="540"/>
      <c r="CY270" s="540"/>
      <c r="CZ270" s="540"/>
      <c r="DA270" s="540"/>
      <c r="DB2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5-3'!$D$11:$Q319,DB$4,DB$5)"),"")</f>
        <v/>
      </c>
      <c r="DC270" s="555"/>
      <c r="DD2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5-3'!$D$11:$Q319,DD$4,DD$5)"),"")</f>
        <v/>
      </c>
      <c r="DE270" s="554"/>
      <c r="DF2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5-3'!$D$11:$Q319,DF$4,DF$5)"),"")</f>
        <v/>
      </c>
      <c r="DG270" s="554"/>
      <c r="DH2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5-3'!$D$11:$Q319,DH$4,DH$5)"),"")</f>
        <v/>
      </c>
      <c r="DI270" s="554"/>
      <c r="DJ2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5-3'!$D$11:$Q319,DJ$4,DJ$5)"),"")</f>
        <v/>
      </c>
      <c r="DK270" s="566"/>
      <c r="DL27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5-3'!$D$11:$Q319,DL$4,DL$5)"),"")</f>
        <v/>
      </c>
      <c r="DM270" s="554"/>
      <c r="DN270" s="554"/>
      <c r="DO270" s="554"/>
      <c r="DP270" s="554"/>
      <c r="DQ2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5-3'!$D$11:$Q319,DQ$4,DQ$5)"),"")</f>
        <v/>
      </c>
      <c r="DR270" s="569"/>
      <c r="DS2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5-3'!$D$11:$Q319,DS$4,DS$5)"),"")</f>
        <v/>
      </c>
      <c r="DT270" s="568"/>
      <c r="DU2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5-3'!$D$11:$Q319,DU$4,DU$5)"),"")</f>
        <v/>
      </c>
      <c r="DV270" s="568"/>
      <c r="DW2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5-3'!$D$11:$Q319,DW$4,DW$5)"),"")</f>
        <v/>
      </c>
      <c r="DX270" s="568"/>
      <c r="DY2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5-3'!$D$11:$Q319,DY$4,DY$5)"),"")</f>
        <v/>
      </c>
      <c r="DZ270" s="578"/>
      <c r="EA27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$C270, 'S-10 Топ 5-3'!$D$11:$Q319,EA$4,EA$5)"),"")</f>
        <v/>
      </c>
      <c r="EB270" s="568"/>
      <c r="EC270" s="568"/>
      <c r="ED270" s="568"/>
      <c r="EE270" s="568"/>
    </row>
    <row r="271">
      <c r="A271" s="519" t="str">
        <f t="shared" si="1"/>
        <v/>
      </c>
      <c r="B271" s="520" t="str">
        <f>'5-0 Товары'!B271</f>
        <v/>
      </c>
      <c r="C271" s="521" t="str">
        <f>'5-1 Сбор КП Закупки'!C271</f>
        <v/>
      </c>
      <c r="D271" s="521" t="str">
        <f>'5-1 Сбор КП Закупки'!D271</f>
        <v/>
      </c>
      <c r="E271" s="521" t="str">
        <f>'5-1 Сбор КП Закупки'!E271</f>
        <v/>
      </c>
      <c r="F271" s="521" t="str">
        <f>'5-1 Сбор КП Закупки'!F271</f>
        <v/>
      </c>
      <c r="G271" s="522" t="str">
        <f>'5-1 Сбор КП Закупки'!G271</f>
        <v/>
      </c>
      <c r="H271" s="522" t="str">
        <f>'5-1 Сбор КП Закупки'!H271</f>
        <v/>
      </c>
      <c r="I271" s="522" t="str">
        <f>'5-1 Сбор КП Закупки'!I271</f>
        <v/>
      </c>
      <c r="J271" s="197"/>
      <c r="K271" s="522" t="str">
        <f>'5-1 Сбор КП Закупки'!G271</f>
        <v/>
      </c>
      <c r="L271" s="523" t="str">
        <f>IF(A271="Да",'5-1 Сбор КП Закупки'!K271,)</f>
        <v/>
      </c>
      <c r="M271" s="197"/>
      <c r="N271" s="197"/>
      <c r="O271" s="197"/>
      <c r="P271" s="525" t="str">
        <f>'5-1 Сбор КП Закупки'!P271</f>
        <v/>
      </c>
      <c r="Q271" s="197"/>
      <c r="R271" s="197"/>
      <c r="S271" s="197"/>
      <c r="T271" s="197"/>
      <c r="U271" s="197"/>
      <c r="V271" s="197"/>
      <c r="W271" s="522" t="str">
        <f>'5-1 Сбор КП Закупки'!O271</f>
        <v/>
      </c>
      <c r="X271" s="197"/>
      <c r="Y271" s="197"/>
      <c r="Z271" s="197"/>
      <c r="AA271" s="197"/>
      <c r="AB271" s="197">
        <v>0.0</v>
      </c>
      <c r="AC271" s="197"/>
      <c r="AD271" s="197"/>
      <c r="AE2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5-3'!$D$11:$Q319,AE$4,AE$5)"),"")</f>
        <v/>
      </c>
      <c r="AF271" s="528"/>
      <c r="AG2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5-3'!$D$11:$Q319,AG$4,AG$5)"),"")</f>
        <v/>
      </c>
      <c r="AH271" s="527"/>
      <c r="AI2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5-3'!$D$11:$Q319,AI$4,AI$5)"),"")</f>
        <v/>
      </c>
      <c r="AJ271" s="527"/>
      <c r="AK2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5-3'!$D$11:$Q319,AK$4,AK$5)"),"")</f>
        <v/>
      </c>
      <c r="AL271" s="527"/>
      <c r="AM2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5-3'!$D$11:$Q319,AM$4,AM$5)"),"")</f>
        <v/>
      </c>
      <c r="AN271" s="529"/>
      <c r="AO27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5-3'!$D$11:$Q319,AO$4,AO$5)"),"")</f>
        <v/>
      </c>
      <c r="AP271" s="527"/>
      <c r="AQ271" s="527"/>
      <c r="AR271" s="527"/>
      <c r="AS271" s="527"/>
      <c r="AT2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5-3'!$D$11:$Q319,AT$4,AT$5)"),"")</f>
        <v/>
      </c>
      <c r="AU271" s="531"/>
      <c r="AV2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5-3'!$D$11:$Q319,AV$4,AV$5)"),"")</f>
        <v/>
      </c>
      <c r="AW271" s="530"/>
      <c r="AX2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5-3'!$D$11:$Q319,AX$4,AX$5)"),"")</f>
        <v/>
      </c>
      <c r="AY271" s="530"/>
      <c r="AZ2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5-3'!$D$11:$Q319,AZ$4,AZ$5)"),"")</f>
        <v/>
      </c>
      <c r="BA271" s="530"/>
      <c r="BB2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5-3'!$D$11:$Q319,BB$4,BB$5)"),"")</f>
        <v/>
      </c>
      <c r="BC271" s="532"/>
      <c r="BD27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5-3'!$D$11:$Q319,BD$4,BD$5)"),"")</f>
        <v/>
      </c>
      <c r="BE271" s="530"/>
      <c r="BF271" s="530"/>
      <c r="BG271" s="530"/>
      <c r="BH271" s="530"/>
      <c r="BI2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5-3'!$D$11:$Q319,BI$4,BI$5)"),"")</f>
        <v/>
      </c>
      <c r="BJ271" s="535"/>
      <c r="BK2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5-3'!$D$11:$Q319,BK$4,BK$5)"),"")</f>
        <v/>
      </c>
      <c r="BL271" s="534"/>
      <c r="BM2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5-3'!$D$11:$Q319,BM$4,BM$5)"),"")</f>
        <v/>
      </c>
      <c r="BN271" s="534"/>
      <c r="BO2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5-3'!$D$11:$Q319,BO$4,BO$5)"),"")</f>
        <v/>
      </c>
      <c r="BP271" s="534"/>
      <c r="BQ2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5-3'!$D$11:$Q319,BQ$4,BQ$5)"),"")</f>
        <v/>
      </c>
      <c r="BR271" s="536"/>
      <c r="BS27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5-3'!$D$11:$Q319,BS$4,BS$5)"),"")</f>
        <v/>
      </c>
      <c r="BT271" s="534"/>
      <c r="BU271" s="534"/>
      <c r="BV271" s="534"/>
      <c r="BW271" s="534"/>
      <c r="BX2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5-3'!$D$11:$Q319,BX$4,BX$5)"),"")</f>
        <v/>
      </c>
      <c r="BY271" s="538"/>
      <c r="BZ2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5-3'!$D$11:$Q319,BZ$4,BZ$5)"),"")</f>
        <v/>
      </c>
      <c r="CA271" s="537"/>
      <c r="CB2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5-3'!$D$11:$Q319,CB$4,CB$5)"),"")</f>
        <v/>
      </c>
      <c r="CC271" s="537"/>
      <c r="CD2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5-3'!$D$11:$Q319,CD$4,CD$5)"),"")</f>
        <v/>
      </c>
      <c r="CE271" s="537"/>
      <c r="CF2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5-3'!$D$11:$Q319,CF$4,CF$5)"),"")</f>
        <v/>
      </c>
      <c r="CG271" s="539"/>
      <c r="CH27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5-3'!$D$11:$Q319,CH$4,CH$5)"),"")</f>
        <v/>
      </c>
      <c r="CI271" s="537"/>
      <c r="CJ271" s="537"/>
      <c r="CK271" s="537"/>
      <c r="CL271" s="537"/>
      <c r="CM2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5-3'!$D$11:$Q319,CM$4,CM$5)"),"")</f>
        <v/>
      </c>
      <c r="CN271" s="541"/>
      <c r="CO2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5-3'!$D$11:$Q319,CO$4,CO$5)"),"")</f>
        <v/>
      </c>
      <c r="CP271" s="540"/>
      <c r="CQ2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5-3'!$D$11:$Q319,CQ$4,CQ$5)"),"")</f>
        <v/>
      </c>
      <c r="CR271" s="540"/>
      <c r="CS2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5-3'!$D$11:$Q319,CS$4,CS$5)"),"")</f>
        <v/>
      </c>
      <c r="CT271" s="540"/>
      <c r="CU2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5-3'!$D$11:$Q319,CU$4,CU$5)"),"")</f>
        <v/>
      </c>
      <c r="CV271" s="545"/>
      <c r="CW27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5-3'!$D$11:$Q319,CW$4,CW$5)"),"")</f>
        <v/>
      </c>
      <c r="CX271" s="540"/>
      <c r="CY271" s="540"/>
      <c r="CZ271" s="540"/>
      <c r="DA271" s="540"/>
      <c r="DB2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5-3'!$D$11:$Q319,DB$4,DB$5)"),"")</f>
        <v/>
      </c>
      <c r="DC271" s="555"/>
      <c r="DD2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5-3'!$D$11:$Q319,DD$4,DD$5)"),"")</f>
        <v/>
      </c>
      <c r="DE271" s="554"/>
      <c r="DF2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5-3'!$D$11:$Q319,DF$4,DF$5)"),"")</f>
        <v/>
      </c>
      <c r="DG271" s="554"/>
      <c r="DH2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5-3'!$D$11:$Q319,DH$4,DH$5)"),"")</f>
        <v/>
      </c>
      <c r="DI271" s="554"/>
      <c r="DJ2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5-3'!$D$11:$Q319,DJ$4,DJ$5)"),"")</f>
        <v/>
      </c>
      <c r="DK271" s="566"/>
      <c r="DL27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5-3'!$D$11:$Q319,DL$4,DL$5)"),"")</f>
        <v/>
      </c>
      <c r="DM271" s="554"/>
      <c r="DN271" s="554"/>
      <c r="DO271" s="554"/>
      <c r="DP271" s="554"/>
      <c r="DQ2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5-3'!$D$11:$Q319,DQ$4,DQ$5)"),"")</f>
        <v/>
      </c>
      <c r="DR271" s="569"/>
      <c r="DS2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5-3'!$D$11:$Q319,DS$4,DS$5)"),"")</f>
        <v/>
      </c>
      <c r="DT271" s="568"/>
      <c r="DU2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5-3'!$D$11:$Q319,DU$4,DU$5)"),"")</f>
        <v/>
      </c>
      <c r="DV271" s="568"/>
      <c r="DW2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5-3'!$D$11:$Q319,DW$4,DW$5)"),"")</f>
        <v/>
      </c>
      <c r="DX271" s="568"/>
      <c r="DY2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5-3'!$D$11:$Q319,DY$4,DY$5)"),"")</f>
        <v/>
      </c>
      <c r="DZ271" s="578"/>
      <c r="EA27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$C271, 'S-10 Топ 5-3'!$D$11:$Q319,EA$4,EA$5)"),"")</f>
        <v/>
      </c>
      <c r="EB271" s="568"/>
      <c r="EC271" s="568"/>
      <c r="ED271" s="568"/>
      <c r="EE271" s="568"/>
    </row>
    <row r="272">
      <c r="A272" s="519" t="str">
        <f t="shared" si="1"/>
        <v/>
      </c>
      <c r="B272" s="520" t="str">
        <f>'5-0 Товары'!B272</f>
        <v/>
      </c>
      <c r="C272" s="521" t="str">
        <f>'5-1 Сбор КП Закупки'!C272</f>
        <v/>
      </c>
      <c r="D272" s="521" t="str">
        <f>'5-1 Сбор КП Закупки'!D272</f>
        <v/>
      </c>
      <c r="E272" s="521" t="str">
        <f>'5-1 Сбор КП Закупки'!E272</f>
        <v/>
      </c>
      <c r="F272" s="521" t="str">
        <f>'5-1 Сбор КП Закупки'!F272</f>
        <v/>
      </c>
      <c r="G272" s="522" t="str">
        <f>'5-1 Сбор КП Закупки'!G272</f>
        <v/>
      </c>
      <c r="H272" s="522" t="str">
        <f>'5-1 Сбор КП Закупки'!H272</f>
        <v/>
      </c>
      <c r="I272" s="522" t="str">
        <f>'5-1 Сбор КП Закупки'!I272</f>
        <v/>
      </c>
      <c r="J272" s="197"/>
      <c r="K272" s="522" t="str">
        <f>'5-1 Сбор КП Закупки'!G272</f>
        <v/>
      </c>
      <c r="L272" s="523" t="str">
        <f>IF(A272="Да",'5-1 Сбор КП Закупки'!K272,)</f>
        <v/>
      </c>
      <c r="M272" s="197"/>
      <c r="N272" s="197"/>
      <c r="O272" s="197"/>
      <c r="P272" s="525" t="str">
        <f>'5-1 Сбор КП Закупки'!P272</f>
        <v/>
      </c>
      <c r="Q272" s="197"/>
      <c r="R272" s="197"/>
      <c r="S272" s="197"/>
      <c r="T272" s="197"/>
      <c r="U272" s="197"/>
      <c r="V272" s="197"/>
      <c r="W272" s="522" t="str">
        <f>'5-1 Сбор КП Закупки'!O272</f>
        <v/>
      </c>
      <c r="X272" s="197"/>
      <c r="Y272" s="197"/>
      <c r="Z272" s="197"/>
      <c r="AA272" s="197"/>
      <c r="AB272" s="197">
        <v>0.0</v>
      </c>
      <c r="AC272" s="197"/>
      <c r="AD272" s="197"/>
      <c r="AE2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5-3'!$D$11:$Q319,AE$4,AE$5)"),"")</f>
        <v/>
      </c>
      <c r="AF272" s="528"/>
      <c r="AG2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5-3'!$D$11:$Q319,AG$4,AG$5)"),"")</f>
        <v/>
      </c>
      <c r="AH272" s="527"/>
      <c r="AI2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5-3'!$D$11:$Q319,AI$4,AI$5)"),"")</f>
        <v/>
      </c>
      <c r="AJ272" s="527"/>
      <c r="AK2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5-3'!$D$11:$Q319,AK$4,AK$5)"),"")</f>
        <v/>
      </c>
      <c r="AL272" s="527"/>
      <c r="AM2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5-3'!$D$11:$Q319,AM$4,AM$5)"),"")</f>
        <v/>
      </c>
      <c r="AN272" s="529"/>
      <c r="AO27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5-3'!$D$11:$Q319,AO$4,AO$5)"),"")</f>
        <v/>
      </c>
      <c r="AP272" s="527"/>
      <c r="AQ272" s="527"/>
      <c r="AR272" s="527"/>
      <c r="AS272" s="527"/>
      <c r="AT2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5-3'!$D$11:$Q319,AT$4,AT$5)"),"")</f>
        <v/>
      </c>
      <c r="AU272" s="531"/>
      <c r="AV2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5-3'!$D$11:$Q319,AV$4,AV$5)"),"")</f>
        <v/>
      </c>
      <c r="AW272" s="530"/>
      <c r="AX2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5-3'!$D$11:$Q319,AX$4,AX$5)"),"")</f>
        <v/>
      </c>
      <c r="AY272" s="530"/>
      <c r="AZ2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5-3'!$D$11:$Q319,AZ$4,AZ$5)"),"")</f>
        <v/>
      </c>
      <c r="BA272" s="530"/>
      <c r="BB2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5-3'!$D$11:$Q319,BB$4,BB$5)"),"")</f>
        <v/>
      </c>
      <c r="BC272" s="532"/>
      <c r="BD27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5-3'!$D$11:$Q319,BD$4,BD$5)"),"")</f>
        <v/>
      </c>
      <c r="BE272" s="530"/>
      <c r="BF272" s="530"/>
      <c r="BG272" s="530"/>
      <c r="BH272" s="530"/>
      <c r="BI2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5-3'!$D$11:$Q319,BI$4,BI$5)"),"")</f>
        <v/>
      </c>
      <c r="BJ272" s="535"/>
      <c r="BK2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5-3'!$D$11:$Q319,BK$4,BK$5)"),"")</f>
        <v/>
      </c>
      <c r="BL272" s="534"/>
      <c r="BM2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5-3'!$D$11:$Q319,BM$4,BM$5)"),"")</f>
        <v/>
      </c>
      <c r="BN272" s="534"/>
      <c r="BO2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5-3'!$D$11:$Q319,BO$4,BO$5)"),"")</f>
        <v/>
      </c>
      <c r="BP272" s="534"/>
      <c r="BQ2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5-3'!$D$11:$Q319,BQ$4,BQ$5)"),"")</f>
        <v/>
      </c>
      <c r="BR272" s="536"/>
      <c r="BS27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5-3'!$D$11:$Q319,BS$4,BS$5)"),"")</f>
        <v/>
      </c>
      <c r="BT272" s="534"/>
      <c r="BU272" s="534"/>
      <c r="BV272" s="534"/>
      <c r="BW272" s="534"/>
      <c r="BX2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5-3'!$D$11:$Q319,BX$4,BX$5)"),"")</f>
        <v/>
      </c>
      <c r="BY272" s="538"/>
      <c r="BZ2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5-3'!$D$11:$Q319,BZ$4,BZ$5)"),"")</f>
        <v/>
      </c>
      <c r="CA272" s="537"/>
      <c r="CB2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5-3'!$D$11:$Q319,CB$4,CB$5)"),"")</f>
        <v/>
      </c>
      <c r="CC272" s="537"/>
      <c r="CD2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5-3'!$D$11:$Q319,CD$4,CD$5)"),"")</f>
        <v/>
      </c>
      <c r="CE272" s="537"/>
      <c r="CF2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5-3'!$D$11:$Q319,CF$4,CF$5)"),"")</f>
        <v/>
      </c>
      <c r="CG272" s="539"/>
      <c r="CH27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5-3'!$D$11:$Q319,CH$4,CH$5)"),"")</f>
        <v/>
      </c>
      <c r="CI272" s="537"/>
      <c r="CJ272" s="537"/>
      <c r="CK272" s="537"/>
      <c r="CL272" s="537"/>
      <c r="CM2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5-3'!$D$11:$Q319,CM$4,CM$5)"),"")</f>
        <v/>
      </c>
      <c r="CN272" s="541"/>
      <c r="CO2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5-3'!$D$11:$Q319,CO$4,CO$5)"),"")</f>
        <v/>
      </c>
      <c r="CP272" s="540"/>
      <c r="CQ2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5-3'!$D$11:$Q319,CQ$4,CQ$5)"),"")</f>
        <v/>
      </c>
      <c r="CR272" s="540"/>
      <c r="CS2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5-3'!$D$11:$Q319,CS$4,CS$5)"),"")</f>
        <v/>
      </c>
      <c r="CT272" s="540"/>
      <c r="CU2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5-3'!$D$11:$Q319,CU$4,CU$5)"),"")</f>
        <v/>
      </c>
      <c r="CV272" s="545"/>
      <c r="CW27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5-3'!$D$11:$Q319,CW$4,CW$5)"),"")</f>
        <v/>
      </c>
      <c r="CX272" s="540"/>
      <c r="CY272" s="540"/>
      <c r="CZ272" s="540"/>
      <c r="DA272" s="540"/>
      <c r="DB2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5-3'!$D$11:$Q319,DB$4,DB$5)"),"")</f>
        <v/>
      </c>
      <c r="DC272" s="555"/>
      <c r="DD2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5-3'!$D$11:$Q319,DD$4,DD$5)"),"")</f>
        <v/>
      </c>
      <c r="DE272" s="554"/>
      <c r="DF2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5-3'!$D$11:$Q319,DF$4,DF$5)"),"")</f>
        <v/>
      </c>
      <c r="DG272" s="554"/>
      <c r="DH2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5-3'!$D$11:$Q319,DH$4,DH$5)"),"")</f>
        <v/>
      </c>
      <c r="DI272" s="554"/>
      <c r="DJ2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5-3'!$D$11:$Q319,DJ$4,DJ$5)"),"")</f>
        <v/>
      </c>
      <c r="DK272" s="566"/>
      <c r="DL27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5-3'!$D$11:$Q319,DL$4,DL$5)"),"")</f>
        <v/>
      </c>
      <c r="DM272" s="554"/>
      <c r="DN272" s="554"/>
      <c r="DO272" s="554"/>
      <c r="DP272" s="554"/>
      <c r="DQ2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5-3'!$D$11:$Q319,DQ$4,DQ$5)"),"")</f>
        <v/>
      </c>
      <c r="DR272" s="569"/>
      <c r="DS2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5-3'!$D$11:$Q319,DS$4,DS$5)"),"")</f>
        <v/>
      </c>
      <c r="DT272" s="568"/>
      <c r="DU2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5-3'!$D$11:$Q319,DU$4,DU$5)"),"")</f>
        <v/>
      </c>
      <c r="DV272" s="568"/>
      <c r="DW2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5-3'!$D$11:$Q319,DW$4,DW$5)"),"")</f>
        <v/>
      </c>
      <c r="DX272" s="568"/>
      <c r="DY2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5-3'!$D$11:$Q319,DY$4,DY$5)"),"")</f>
        <v/>
      </c>
      <c r="DZ272" s="578"/>
      <c r="EA27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$C272, 'S-10 Топ 5-3'!$D$11:$Q319,EA$4,EA$5)"),"")</f>
        <v/>
      </c>
      <c r="EB272" s="568"/>
      <c r="EC272" s="568"/>
      <c r="ED272" s="568"/>
      <c r="EE272" s="568"/>
    </row>
    <row r="273">
      <c r="A273" s="519" t="str">
        <f t="shared" si="1"/>
        <v/>
      </c>
      <c r="B273" s="520" t="str">
        <f>'5-0 Товары'!B273</f>
        <v/>
      </c>
      <c r="C273" s="521" t="str">
        <f>'5-1 Сбор КП Закупки'!C273</f>
        <v/>
      </c>
      <c r="D273" s="521" t="str">
        <f>'5-1 Сбор КП Закупки'!D273</f>
        <v/>
      </c>
      <c r="E273" s="521" t="str">
        <f>'5-1 Сбор КП Закупки'!E273</f>
        <v/>
      </c>
      <c r="F273" s="521" t="str">
        <f>'5-1 Сбор КП Закупки'!F273</f>
        <v/>
      </c>
      <c r="G273" s="522" t="str">
        <f>'5-1 Сбор КП Закупки'!G273</f>
        <v/>
      </c>
      <c r="H273" s="522" t="str">
        <f>'5-1 Сбор КП Закупки'!H273</f>
        <v/>
      </c>
      <c r="I273" s="522" t="str">
        <f>'5-1 Сбор КП Закупки'!I273</f>
        <v/>
      </c>
      <c r="J273" s="197"/>
      <c r="K273" s="522" t="str">
        <f>'5-1 Сбор КП Закупки'!G273</f>
        <v/>
      </c>
      <c r="L273" s="523" t="str">
        <f>IF(A273="Да",'5-1 Сбор КП Закупки'!K273,)</f>
        <v/>
      </c>
      <c r="M273" s="197"/>
      <c r="N273" s="197"/>
      <c r="O273" s="197"/>
      <c r="P273" s="525" t="str">
        <f>'5-1 Сбор КП Закупки'!P273</f>
        <v/>
      </c>
      <c r="Q273" s="197"/>
      <c r="R273" s="197"/>
      <c r="S273" s="197"/>
      <c r="T273" s="197"/>
      <c r="U273" s="197"/>
      <c r="V273" s="197"/>
      <c r="W273" s="522" t="str">
        <f>'5-1 Сбор КП Закупки'!O273</f>
        <v/>
      </c>
      <c r="X273" s="197"/>
      <c r="Y273" s="197"/>
      <c r="Z273" s="197"/>
      <c r="AA273" s="197"/>
      <c r="AB273" s="197">
        <v>0.0</v>
      </c>
      <c r="AC273" s="197"/>
      <c r="AD273" s="197"/>
      <c r="AE2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5-3'!$D$11:$Q319,AE$4,AE$5)"),"")</f>
        <v/>
      </c>
      <c r="AF273" s="528"/>
      <c r="AG2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5-3'!$D$11:$Q319,AG$4,AG$5)"),"")</f>
        <v/>
      </c>
      <c r="AH273" s="527"/>
      <c r="AI2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5-3'!$D$11:$Q319,AI$4,AI$5)"),"")</f>
        <v/>
      </c>
      <c r="AJ273" s="527"/>
      <c r="AK2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5-3'!$D$11:$Q319,AK$4,AK$5)"),"")</f>
        <v/>
      </c>
      <c r="AL273" s="527"/>
      <c r="AM2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5-3'!$D$11:$Q319,AM$4,AM$5)"),"")</f>
        <v/>
      </c>
      <c r="AN273" s="529"/>
      <c r="AO27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5-3'!$D$11:$Q319,AO$4,AO$5)"),"")</f>
        <v/>
      </c>
      <c r="AP273" s="527"/>
      <c r="AQ273" s="527"/>
      <c r="AR273" s="527"/>
      <c r="AS273" s="527"/>
      <c r="AT2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5-3'!$D$11:$Q319,AT$4,AT$5)"),"")</f>
        <v/>
      </c>
      <c r="AU273" s="531"/>
      <c r="AV2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5-3'!$D$11:$Q319,AV$4,AV$5)"),"")</f>
        <v/>
      </c>
      <c r="AW273" s="530"/>
      <c r="AX2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5-3'!$D$11:$Q319,AX$4,AX$5)"),"")</f>
        <v/>
      </c>
      <c r="AY273" s="530"/>
      <c r="AZ2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5-3'!$D$11:$Q319,AZ$4,AZ$5)"),"")</f>
        <v/>
      </c>
      <c r="BA273" s="530"/>
      <c r="BB2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5-3'!$D$11:$Q319,BB$4,BB$5)"),"")</f>
        <v/>
      </c>
      <c r="BC273" s="532"/>
      <c r="BD27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5-3'!$D$11:$Q319,BD$4,BD$5)"),"")</f>
        <v/>
      </c>
      <c r="BE273" s="530"/>
      <c r="BF273" s="530"/>
      <c r="BG273" s="530"/>
      <c r="BH273" s="530"/>
      <c r="BI2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5-3'!$D$11:$Q319,BI$4,BI$5)"),"")</f>
        <v/>
      </c>
      <c r="BJ273" s="535"/>
      <c r="BK2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5-3'!$D$11:$Q319,BK$4,BK$5)"),"")</f>
        <v/>
      </c>
      <c r="BL273" s="534"/>
      <c r="BM2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5-3'!$D$11:$Q319,BM$4,BM$5)"),"")</f>
        <v/>
      </c>
      <c r="BN273" s="534"/>
      <c r="BO2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5-3'!$D$11:$Q319,BO$4,BO$5)"),"")</f>
        <v/>
      </c>
      <c r="BP273" s="534"/>
      <c r="BQ2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5-3'!$D$11:$Q319,BQ$4,BQ$5)"),"")</f>
        <v/>
      </c>
      <c r="BR273" s="536"/>
      <c r="BS27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5-3'!$D$11:$Q319,BS$4,BS$5)"),"")</f>
        <v/>
      </c>
      <c r="BT273" s="534"/>
      <c r="BU273" s="534"/>
      <c r="BV273" s="534"/>
      <c r="BW273" s="534"/>
      <c r="BX2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5-3'!$D$11:$Q319,BX$4,BX$5)"),"")</f>
        <v/>
      </c>
      <c r="BY273" s="538"/>
      <c r="BZ2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5-3'!$D$11:$Q319,BZ$4,BZ$5)"),"")</f>
        <v/>
      </c>
      <c r="CA273" s="537"/>
      <c r="CB2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5-3'!$D$11:$Q319,CB$4,CB$5)"),"")</f>
        <v/>
      </c>
      <c r="CC273" s="537"/>
      <c r="CD2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5-3'!$D$11:$Q319,CD$4,CD$5)"),"")</f>
        <v/>
      </c>
      <c r="CE273" s="537"/>
      <c r="CF2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5-3'!$D$11:$Q319,CF$4,CF$5)"),"")</f>
        <v/>
      </c>
      <c r="CG273" s="539"/>
      <c r="CH27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5-3'!$D$11:$Q319,CH$4,CH$5)"),"")</f>
        <v/>
      </c>
      <c r="CI273" s="537"/>
      <c r="CJ273" s="537"/>
      <c r="CK273" s="537"/>
      <c r="CL273" s="537"/>
      <c r="CM2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5-3'!$D$11:$Q319,CM$4,CM$5)"),"")</f>
        <v/>
      </c>
      <c r="CN273" s="541"/>
      <c r="CO2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5-3'!$D$11:$Q319,CO$4,CO$5)"),"")</f>
        <v/>
      </c>
      <c r="CP273" s="540"/>
      <c r="CQ2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5-3'!$D$11:$Q319,CQ$4,CQ$5)"),"")</f>
        <v/>
      </c>
      <c r="CR273" s="540"/>
      <c r="CS2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5-3'!$D$11:$Q319,CS$4,CS$5)"),"")</f>
        <v/>
      </c>
      <c r="CT273" s="540"/>
      <c r="CU2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5-3'!$D$11:$Q319,CU$4,CU$5)"),"")</f>
        <v/>
      </c>
      <c r="CV273" s="545"/>
      <c r="CW27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5-3'!$D$11:$Q319,CW$4,CW$5)"),"")</f>
        <v/>
      </c>
      <c r="CX273" s="540"/>
      <c r="CY273" s="540"/>
      <c r="CZ273" s="540"/>
      <c r="DA273" s="540"/>
      <c r="DB2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5-3'!$D$11:$Q319,DB$4,DB$5)"),"")</f>
        <v/>
      </c>
      <c r="DC273" s="555"/>
      <c r="DD2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5-3'!$D$11:$Q319,DD$4,DD$5)"),"")</f>
        <v/>
      </c>
      <c r="DE273" s="554"/>
      <c r="DF2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5-3'!$D$11:$Q319,DF$4,DF$5)"),"")</f>
        <v/>
      </c>
      <c r="DG273" s="554"/>
      <c r="DH2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5-3'!$D$11:$Q319,DH$4,DH$5)"),"")</f>
        <v/>
      </c>
      <c r="DI273" s="554"/>
      <c r="DJ2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5-3'!$D$11:$Q319,DJ$4,DJ$5)"),"")</f>
        <v/>
      </c>
      <c r="DK273" s="566"/>
      <c r="DL27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5-3'!$D$11:$Q319,DL$4,DL$5)"),"")</f>
        <v/>
      </c>
      <c r="DM273" s="554"/>
      <c r="DN273" s="554"/>
      <c r="DO273" s="554"/>
      <c r="DP273" s="554"/>
      <c r="DQ2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5-3'!$D$11:$Q319,DQ$4,DQ$5)"),"")</f>
        <v/>
      </c>
      <c r="DR273" s="569"/>
      <c r="DS2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5-3'!$D$11:$Q319,DS$4,DS$5)"),"")</f>
        <v/>
      </c>
      <c r="DT273" s="568"/>
      <c r="DU2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5-3'!$D$11:$Q319,DU$4,DU$5)"),"")</f>
        <v/>
      </c>
      <c r="DV273" s="568"/>
      <c r="DW2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5-3'!$D$11:$Q319,DW$4,DW$5)"),"")</f>
        <v/>
      </c>
      <c r="DX273" s="568"/>
      <c r="DY2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5-3'!$D$11:$Q319,DY$4,DY$5)"),"")</f>
        <v/>
      </c>
      <c r="DZ273" s="578"/>
      <c r="EA27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$C273, 'S-10 Топ 5-3'!$D$11:$Q319,EA$4,EA$5)"),"")</f>
        <v/>
      </c>
      <c r="EB273" s="568"/>
      <c r="EC273" s="568"/>
      <c r="ED273" s="568"/>
      <c r="EE273" s="568"/>
    </row>
    <row r="274">
      <c r="A274" s="519" t="str">
        <f t="shared" si="1"/>
        <v/>
      </c>
      <c r="B274" s="520" t="str">
        <f>'5-0 Товары'!B274</f>
        <v/>
      </c>
      <c r="C274" s="521" t="str">
        <f>'5-1 Сбор КП Закупки'!C274</f>
        <v/>
      </c>
      <c r="D274" s="521" t="str">
        <f>'5-1 Сбор КП Закупки'!D274</f>
        <v/>
      </c>
      <c r="E274" s="521" t="str">
        <f>'5-1 Сбор КП Закупки'!E274</f>
        <v/>
      </c>
      <c r="F274" s="521" t="str">
        <f>'5-1 Сбор КП Закупки'!F274</f>
        <v/>
      </c>
      <c r="G274" s="522" t="str">
        <f>'5-1 Сбор КП Закупки'!G274</f>
        <v/>
      </c>
      <c r="H274" s="522" t="str">
        <f>'5-1 Сбор КП Закупки'!H274</f>
        <v/>
      </c>
      <c r="I274" s="522" t="str">
        <f>'5-1 Сбор КП Закупки'!I274</f>
        <v/>
      </c>
      <c r="J274" s="197"/>
      <c r="K274" s="522" t="str">
        <f>'5-1 Сбор КП Закупки'!G274</f>
        <v/>
      </c>
      <c r="L274" s="523" t="str">
        <f>IF(A274="Да",'5-1 Сбор КП Закупки'!K274,)</f>
        <v/>
      </c>
      <c r="M274" s="197"/>
      <c r="N274" s="197"/>
      <c r="O274" s="197"/>
      <c r="P274" s="525" t="str">
        <f>'5-1 Сбор КП Закупки'!P274</f>
        <v/>
      </c>
      <c r="Q274" s="197"/>
      <c r="R274" s="197"/>
      <c r="S274" s="197"/>
      <c r="T274" s="197"/>
      <c r="U274" s="197"/>
      <c r="V274" s="197"/>
      <c r="W274" s="522" t="str">
        <f>'5-1 Сбор КП Закупки'!O274</f>
        <v/>
      </c>
      <c r="X274" s="197"/>
      <c r="Y274" s="197"/>
      <c r="Z274" s="197"/>
      <c r="AA274" s="197"/>
      <c r="AB274" s="197">
        <v>0.0</v>
      </c>
      <c r="AC274" s="197"/>
      <c r="AD274" s="197"/>
      <c r="AE2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5-3'!$D$11:$Q319,AE$4,AE$5)"),"")</f>
        <v/>
      </c>
      <c r="AF274" s="528"/>
      <c r="AG2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5-3'!$D$11:$Q319,AG$4,AG$5)"),"")</f>
        <v/>
      </c>
      <c r="AH274" s="527"/>
      <c r="AI2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5-3'!$D$11:$Q319,AI$4,AI$5)"),"")</f>
        <v/>
      </c>
      <c r="AJ274" s="527"/>
      <c r="AK2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5-3'!$D$11:$Q319,AK$4,AK$5)"),"")</f>
        <v/>
      </c>
      <c r="AL274" s="527"/>
      <c r="AM2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5-3'!$D$11:$Q319,AM$4,AM$5)"),"")</f>
        <v/>
      </c>
      <c r="AN274" s="529"/>
      <c r="AO27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5-3'!$D$11:$Q319,AO$4,AO$5)"),"")</f>
        <v/>
      </c>
      <c r="AP274" s="527"/>
      <c r="AQ274" s="527"/>
      <c r="AR274" s="527"/>
      <c r="AS274" s="527"/>
      <c r="AT2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5-3'!$D$11:$Q319,AT$4,AT$5)"),"")</f>
        <v/>
      </c>
      <c r="AU274" s="531"/>
      <c r="AV2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5-3'!$D$11:$Q319,AV$4,AV$5)"),"")</f>
        <v/>
      </c>
      <c r="AW274" s="530"/>
      <c r="AX2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5-3'!$D$11:$Q319,AX$4,AX$5)"),"")</f>
        <v/>
      </c>
      <c r="AY274" s="530"/>
      <c r="AZ2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5-3'!$D$11:$Q319,AZ$4,AZ$5)"),"")</f>
        <v/>
      </c>
      <c r="BA274" s="530"/>
      <c r="BB2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5-3'!$D$11:$Q319,BB$4,BB$5)"),"")</f>
        <v/>
      </c>
      <c r="BC274" s="532"/>
      <c r="BD27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5-3'!$D$11:$Q319,BD$4,BD$5)"),"")</f>
        <v/>
      </c>
      <c r="BE274" s="530"/>
      <c r="BF274" s="530"/>
      <c r="BG274" s="530"/>
      <c r="BH274" s="530"/>
      <c r="BI2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5-3'!$D$11:$Q319,BI$4,BI$5)"),"")</f>
        <v/>
      </c>
      <c r="BJ274" s="535"/>
      <c r="BK2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5-3'!$D$11:$Q319,BK$4,BK$5)"),"")</f>
        <v/>
      </c>
      <c r="BL274" s="534"/>
      <c r="BM2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5-3'!$D$11:$Q319,BM$4,BM$5)"),"")</f>
        <v/>
      </c>
      <c r="BN274" s="534"/>
      <c r="BO2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5-3'!$D$11:$Q319,BO$4,BO$5)"),"")</f>
        <v/>
      </c>
      <c r="BP274" s="534"/>
      <c r="BQ2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5-3'!$D$11:$Q319,BQ$4,BQ$5)"),"")</f>
        <v/>
      </c>
      <c r="BR274" s="536"/>
      <c r="BS27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5-3'!$D$11:$Q319,BS$4,BS$5)"),"")</f>
        <v/>
      </c>
      <c r="BT274" s="534"/>
      <c r="BU274" s="534"/>
      <c r="BV274" s="534"/>
      <c r="BW274" s="534"/>
      <c r="BX2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5-3'!$D$11:$Q319,BX$4,BX$5)"),"")</f>
        <v/>
      </c>
      <c r="BY274" s="538"/>
      <c r="BZ2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5-3'!$D$11:$Q319,BZ$4,BZ$5)"),"")</f>
        <v/>
      </c>
      <c r="CA274" s="537"/>
      <c r="CB2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5-3'!$D$11:$Q319,CB$4,CB$5)"),"")</f>
        <v/>
      </c>
      <c r="CC274" s="537"/>
      <c r="CD2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5-3'!$D$11:$Q319,CD$4,CD$5)"),"")</f>
        <v/>
      </c>
      <c r="CE274" s="537"/>
      <c r="CF2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5-3'!$D$11:$Q319,CF$4,CF$5)"),"")</f>
        <v/>
      </c>
      <c r="CG274" s="539"/>
      <c r="CH27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5-3'!$D$11:$Q319,CH$4,CH$5)"),"")</f>
        <v/>
      </c>
      <c r="CI274" s="537"/>
      <c r="CJ274" s="537"/>
      <c r="CK274" s="537"/>
      <c r="CL274" s="537"/>
      <c r="CM2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5-3'!$D$11:$Q319,CM$4,CM$5)"),"")</f>
        <v/>
      </c>
      <c r="CN274" s="541"/>
      <c r="CO2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5-3'!$D$11:$Q319,CO$4,CO$5)"),"")</f>
        <v/>
      </c>
      <c r="CP274" s="540"/>
      <c r="CQ2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5-3'!$D$11:$Q319,CQ$4,CQ$5)"),"")</f>
        <v/>
      </c>
      <c r="CR274" s="540"/>
      <c r="CS2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5-3'!$D$11:$Q319,CS$4,CS$5)"),"")</f>
        <v/>
      </c>
      <c r="CT274" s="540"/>
      <c r="CU2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5-3'!$D$11:$Q319,CU$4,CU$5)"),"")</f>
        <v/>
      </c>
      <c r="CV274" s="545"/>
      <c r="CW27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5-3'!$D$11:$Q319,CW$4,CW$5)"),"")</f>
        <v/>
      </c>
      <c r="CX274" s="540"/>
      <c r="CY274" s="540"/>
      <c r="CZ274" s="540"/>
      <c r="DA274" s="540"/>
      <c r="DB2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5-3'!$D$11:$Q319,DB$4,DB$5)"),"")</f>
        <v/>
      </c>
      <c r="DC274" s="555"/>
      <c r="DD2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5-3'!$D$11:$Q319,DD$4,DD$5)"),"")</f>
        <v/>
      </c>
      <c r="DE274" s="554"/>
      <c r="DF2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5-3'!$D$11:$Q319,DF$4,DF$5)"),"")</f>
        <v/>
      </c>
      <c r="DG274" s="554"/>
      <c r="DH2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5-3'!$D$11:$Q319,DH$4,DH$5)"),"")</f>
        <v/>
      </c>
      <c r="DI274" s="554"/>
      <c r="DJ2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5-3'!$D$11:$Q319,DJ$4,DJ$5)"),"")</f>
        <v/>
      </c>
      <c r="DK274" s="566"/>
      <c r="DL27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5-3'!$D$11:$Q319,DL$4,DL$5)"),"")</f>
        <v/>
      </c>
      <c r="DM274" s="554"/>
      <c r="DN274" s="554"/>
      <c r="DO274" s="554"/>
      <c r="DP274" s="554"/>
      <c r="DQ2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5-3'!$D$11:$Q319,DQ$4,DQ$5)"),"")</f>
        <v/>
      </c>
      <c r="DR274" s="569"/>
      <c r="DS2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5-3'!$D$11:$Q319,DS$4,DS$5)"),"")</f>
        <v/>
      </c>
      <c r="DT274" s="568"/>
      <c r="DU2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5-3'!$D$11:$Q319,DU$4,DU$5)"),"")</f>
        <v/>
      </c>
      <c r="DV274" s="568"/>
      <c r="DW2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5-3'!$D$11:$Q319,DW$4,DW$5)"),"")</f>
        <v/>
      </c>
      <c r="DX274" s="568"/>
      <c r="DY2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5-3'!$D$11:$Q319,DY$4,DY$5)"),"")</f>
        <v/>
      </c>
      <c r="DZ274" s="578"/>
      <c r="EA27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$C274, 'S-10 Топ 5-3'!$D$11:$Q319,EA$4,EA$5)"),"")</f>
        <v/>
      </c>
      <c r="EB274" s="568"/>
      <c r="EC274" s="568"/>
      <c r="ED274" s="568"/>
      <c r="EE274" s="568"/>
    </row>
    <row r="275">
      <c r="A275" s="519" t="str">
        <f t="shared" si="1"/>
        <v/>
      </c>
      <c r="B275" s="520" t="str">
        <f>'5-0 Товары'!B275</f>
        <v/>
      </c>
      <c r="C275" s="521" t="str">
        <f>'5-1 Сбор КП Закупки'!C275</f>
        <v/>
      </c>
      <c r="D275" s="521" t="str">
        <f>'5-1 Сбор КП Закупки'!D275</f>
        <v/>
      </c>
      <c r="E275" s="521" t="str">
        <f>'5-1 Сбор КП Закупки'!E275</f>
        <v/>
      </c>
      <c r="F275" s="521" t="str">
        <f>'5-1 Сбор КП Закупки'!F275</f>
        <v/>
      </c>
      <c r="G275" s="522" t="str">
        <f>'5-1 Сбор КП Закупки'!G275</f>
        <v/>
      </c>
      <c r="H275" s="522" t="str">
        <f>'5-1 Сбор КП Закупки'!H275</f>
        <v/>
      </c>
      <c r="I275" s="522" t="str">
        <f>'5-1 Сбор КП Закупки'!I275</f>
        <v/>
      </c>
      <c r="J275" s="197"/>
      <c r="K275" s="522" t="str">
        <f>'5-1 Сбор КП Закупки'!G275</f>
        <v/>
      </c>
      <c r="L275" s="523" t="str">
        <f>IF(A275="Да",'5-1 Сбор КП Закупки'!K275,)</f>
        <v/>
      </c>
      <c r="M275" s="197"/>
      <c r="N275" s="197"/>
      <c r="O275" s="197"/>
      <c r="P275" s="525" t="str">
        <f>'5-1 Сбор КП Закупки'!P275</f>
        <v/>
      </c>
      <c r="Q275" s="197"/>
      <c r="R275" s="197"/>
      <c r="S275" s="197"/>
      <c r="T275" s="197"/>
      <c r="U275" s="197"/>
      <c r="V275" s="197"/>
      <c r="W275" s="522" t="str">
        <f>'5-1 Сбор КП Закупки'!O275</f>
        <v/>
      </c>
      <c r="X275" s="197"/>
      <c r="Y275" s="197"/>
      <c r="Z275" s="197"/>
      <c r="AA275" s="197"/>
      <c r="AB275" s="197">
        <v>0.0</v>
      </c>
      <c r="AC275" s="197"/>
      <c r="AD275" s="197"/>
      <c r="AE2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5-3'!$D$11:$Q319,AE$4,AE$5)"),"")</f>
        <v/>
      </c>
      <c r="AF275" s="528"/>
      <c r="AG2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5-3'!$D$11:$Q319,AG$4,AG$5)"),"")</f>
        <v/>
      </c>
      <c r="AH275" s="527"/>
      <c r="AI2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5-3'!$D$11:$Q319,AI$4,AI$5)"),"")</f>
        <v/>
      </c>
      <c r="AJ275" s="527"/>
      <c r="AK2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5-3'!$D$11:$Q319,AK$4,AK$5)"),"")</f>
        <v/>
      </c>
      <c r="AL275" s="527"/>
      <c r="AM2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5-3'!$D$11:$Q319,AM$4,AM$5)"),"")</f>
        <v/>
      </c>
      <c r="AN275" s="529"/>
      <c r="AO27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5-3'!$D$11:$Q319,AO$4,AO$5)"),"")</f>
        <v/>
      </c>
      <c r="AP275" s="527"/>
      <c r="AQ275" s="527"/>
      <c r="AR275" s="527"/>
      <c r="AS275" s="527"/>
      <c r="AT2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5-3'!$D$11:$Q319,AT$4,AT$5)"),"")</f>
        <v/>
      </c>
      <c r="AU275" s="531"/>
      <c r="AV2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5-3'!$D$11:$Q319,AV$4,AV$5)"),"")</f>
        <v/>
      </c>
      <c r="AW275" s="530"/>
      <c r="AX2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5-3'!$D$11:$Q319,AX$4,AX$5)"),"")</f>
        <v/>
      </c>
      <c r="AY275" s="530"/>
      <c r="AZ2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5-3'!$D$11:$Q319,AZ$4,AZ$5)"),"")</f>
        <v/>
      </c>
      <c r="BA275" s="530"/>
      <c r="BB2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5-3'!$D$11:$Q319,BB$4,BB$5)"),"")</f>
        <v/>
      </c>
      <c r="BC275" s="532"/>
      <c r="BD27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5-3'!$D$11:$Q319,BD$4,BD$5)"),"")</f>
        <v/>
      </c>
      <c r="BE275" s="530"/>
      <c r="BF275" s="530"/>
      <c r="BG275" s="530"/>
      <c r="BH275" s="530"/>
      <c r="BI2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5-3'!$D$11:$Q319,BI$4,BI$5)"),"")</f>
        <v/>
      </c>
      <c r="BJ275" s="535"/>
      <c r="BK2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5-3'!$D$11:$Q319,BK$4,BK$5)"),"")</f>
        <v/>
      </c>
      <c r="BL275" s="534"/>
      <c r="BM2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5-3'!$D$11:$Q319,BM$4,BM$5)"),"")</f>
        <v/>
      </c>
      <c r="BN275" s="534"/>
      <c r="BO2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5-3'!$D$11:$Q319,BO$4,BO$5)"),"")</f>
        <v/>
      </c>
      <c r="BP275" s="534"/>
      <c r="BQ2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5-3'!$D$11:$Q319,BQ$4,BQ$5)"),"")</f>
        <v/>
      </c>
      <c r="BR275" s="536"/>
      <c r="BS27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5-3'!$D$11:$Q319,BS$4,BS$5)"),"")</f>
        <v/>
      </c>
      <c r="BT275" s="534"/>
      <c r="BU275" s="534"/>
      <c r="BV275" s="534"/>
      <c r="BW275" s="534"/>
      <c r="BX2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5-3'!$D$11:$Q319,BX$4,BX$5)"),"")</f>
        <v/>
      </c>
      <c r="BY275" s="538"/>
      <c r="BZ2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5-3'!$D$11:$Q319,BZ$4,BZ$5)"),"")</f>
        <v/>
      </c>
      <c r="CA275" s="537"/>
      <c r="CB2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5-3'!$D$11:$Q319,CB$4,CB$5)"),"")</f>
        <v/>
      </c>
      <c r="CC275" s="537"/>
      <c r="CD2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5-3'!$D$11:$Q319,CD$4,CD$5)"),"")</f>
        <v/>
      </c>
      <c r="CE275" s="537"/>
      <c r="CF2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5-3'!$D$11:$Q319,CF$4,CF$5)"),"")</f>
        <v/>
      </c>
      <c r="CG275" s="539"/>
      <c r="CH27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5-3'!$D$11:$Q319,CH$4,CH$5)"),"")</f>
        <v/>
      </c>
      <c r="CI275" s="537"/>
      <c r="CJ275" s="537"/>
      <c r="CK275" s="537"/>
      <c r="CL275" s="537"/>
      <c r="CM2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5-3'!$D$11:$Q319,CM$4,CM$5)"),"")</f>
        <v/>
      </c>
      <c r="CN275" s="541"/>
      <c r="CO2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5-3'!$D$11:$Q319,CO$4,CO$5)"),"")</f>
        <v/>
      </c>
      <c r="CP275" s="540"/>
      <c r="CQ2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5-3'!$D$11:$Q319,CQ$4,CQ$5)"),"")</f>
        <v/>
      </c>
      <c r="CR275" s="540"/>
      <c r="CS2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5-3'!$D$11:$Q319,CS$4,CS$5)"),"")</f>
        <v/>
      </c>
      <c r="CT275" s="540"/>
      <c r="CU2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5-3'!$D$11:$Q319,CU$4,CU$5)"),"")</f>
        <v/>
      </c>
      <c r="CV275" s="545"/>
      <c r="CW27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5-3'!$D$11:$Q319,CW$4,CW$5)"),"")</f>
        <v/>
      </c>
      <c r="CX275" s="540"/>
      <c r="CY275" s="540"/>
      <c r="CZ275" s="540"/>
      <c r="DA275" s="540"/>
      <c r="DB2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5-3'!$D$11:$Q319,DB$4,DB$5)"),"")</f>
        <v/>
      </c>
      <c r="DC275" s="555"/>
      <c r="DD2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5-3'!$D$11:$Q319,DD$4,DD$5)"),"")</f>
        <v/>
      </c>
      <c r="DE275" s="554"/>
      <c r="DF2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5-3'!$D$11:$Q319,DF$4,DF$5)"),"")</f>
        <v/>
      </c>
      <c r="DG275" s="554"/>
      <c r="DH2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5-3'!$D$11:$Q319,DH$4,DH$5)"),"")</f>
        <v/>
      </c>
      <c r="DI275" s="554"/>
      <c r="DJ2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5-3'!$D$11:$Q319,DJ$4,DJ$5)"),"")</f>
        <v/>
      </c>
      <c r="DK275" s="566"/>
      <c r="DL27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5-3'!$D$11:$Q319,DL$4,DL$5)"),"")</f>
        <v/>
      </c>
      <c r="DM275" s="554"/>
      <c r="DN275" s="554"/>
      <c r="DO275" s="554"/>
      <c r="DP275" s="554"/>
      <c r="DQ2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5-3'!$D$11:$Q319,DQ$4,DQ$5)"),"")</f>
        <v/>
      </c>
      <c r="DR275" s="569"/>
      <c r="DS2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5-3'!$D$11:$Q319,DS$4,DS$5)"),"")</f>
        <v/>
      </c>
      <c r="DT275" s="568"/>
      <c r="DU2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5-3'!$D$11:$Q319,DU$4,DU$5)"),"")</f>
        <v/>
      </c>
      <c r="DV275" s="568"/>
      <c r="DW2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5-3'!$D$11:$Q319,DW$4,DW$5)"),"")</f>
        <v/>
      </c>
      <c r="DX275" s="568"/>
      <c r="DY2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5-3'!$D$11:$Q319,DY$4,DY$5)"),"")</f>
        <v/>
      </c>
      <c r="DZ275" s="578"/>
      <c r="EA27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$C275, 'S-10 Топ 5-3'!$D$11:$Q319,EA$4,EA$5)"),"")</f>
        <v/>
      </c>
      <c r="EB275" s="568"/>
      <c r="EC275" s="568"/>
      <c r="ED275" s="568"/>
      <c r="EE275" s="568"/>
    </row>
    <row r="276">
      <c r="A276" s="519" t="str">
        <f t="shared" si="1"/>
        <v/>
      </c>
      <c r="B276" s="520" t="str">
        <f>'5-0 Товары'!B276</f>
        <v/>
      </c>
      <c r="C276" s="521" t="str">
        <f>'5-1 Сбор КП Закупки'!C276</f>
        <v/>
      </c>
      <c r="D276" s="521" t="str">
        <f>'5-1 Сбор КП Закупки'!D276</f>
        <v/>
      </c>
      <c r="E276" s="521" t="str">
        <f>'5-1 Сбор КП Закупки'!E276</f>
        <v/>
      </c>
      <c r="F276" s="521" t="str">
        <f>'5-1 Сбор КП Закупки'!F276</f>
        <v/>
      </c>
      <c r="G276" s="522" t="str">
        <f>'5-1 Сбор КП Закупки'!G276</f>
        <v/>
      </c>
      <c r="H276" s="522" t="str">
        <f>'5-1 Сбор КП Закупки'!H276</f>
        <v/>
      </c>
      <c r="I276" s="522" t="str">
        <f>'5-1 Сбор КП Закупки'!I276</f>
        <v/>
      </c>
      <c r="J276" s="197"/>
      <c r="K276" s="522" t="str">
        <f>'5-1 Сбор КП Закупки'!G276</f>
        <v/>
      </c>
      <c r="L276" s="523" t="str">
        <f>IF(A276="Да",'5-1 Сбор КП Закупки'!K276,)</f>
        <v/>
      </c>
      <c r="M276" s="197"/>
      <c r="N276" s="197"/>
      <c r="O276" s="197"/>
      <c r="P276" s="525" t="str">
        <f>'5-1 Сбор КП Закупки'!P276</f>
        <v/>
      </c>
      <c r="Q276" s="197"/>
      <c r="R276" s="197"/>
      <c r="S276" s="197"/>
      <c r="T276" s="197"/>
      <c r="U276" s="197"/>
      <c r="V276" s="197"/>
      <c r="W276" s="522" t="str">
        <f>'5-1 Сбор КП Закупки'!O276</f>
        <v/>
      </c>
      <c r="X276" s="197"/>
      <c r="Y276" s="197"/>
      <c r="Z276" s="197"/>
      <c r="AA276" s="197"/>
      <c r="AB276" s="197">
        <v>0.0</v>
      </c>
      <c r="AC276" s="197"/>
      <c r="AD276" s="197"/>
      <c r="AE2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5-3'!$D$11:$Q319,AE$4,AE$5)"),"")</f>
        <v/>
      </c>
      <c r="AF276" s="528"/>
      <c r="AG2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5-3'!$D$11:$Q319,AG$4,AG$5)"),"")</f>
        <v/>
      </c>
      <c r="AH276" s="527"/>
      <c r="AI2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5-3'!$D$11:$Q319,AI$4,AI$5)"),"")</f>
        <v/>
      </c>
      <c r="AJ276" s="527"/>
      <c r="AK2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5-3'!$D$11:$Q319,AK$4,AK$5)"),"")</f>
        <v/>
      </c>
      <c r="AL276" s="527"/>
      <c r="AM2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5-3'!$D$11:$Q319,AM$4,AM$5)"),"")</f>
        <v/>
      </c>
      <c r="AN276" s="529"/>
      <c r="AO27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5-3'!$D$11:$Q319,AO$4,AO$5)"),"")</f>
        <v/>
      </c>
      <c r="AP276" s="527"/>
      <c r="AQ276" s="527"/>
      <c r="AR276" s="527"/>
      <c r="AS276" s="527"/>
      <c r="AT2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5-3'!$D$11:$Q319,AT$4,AT$5)"),"")</f>
        <v/>
      </c>
      <c r="AU276" s="531"/>
      <c r="AV2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5-3'!$D$11:$Q319,AV$4,AV$5)"),"")</f>
        <v/>
      </c>
      <c r="AW276" s="530"/>
      <c r="AX2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5-3'!$D$11:$Q319,AX$4,AX$5)"),"")</f>
        <v/>
      </c>
      <c r="AY276" s="530"/>
      <c r="AZ2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5-3'!$D$11:$Q319,AZ$4,AZ$5)"),"")</f>
        <v/>
      </c>
      <c r="BA276" s="530"/>
      <c r="BB2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5-3'!$D$11:$Q319,BB$4,BB$5)"),"")</f>
        <v/>
      </c>
      <c r="BC276" s="532"/>
      <c r="BD27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5-3'!$D$11:$Q319,BD$4,BD$5)"),"")</f>
        <v/>
      </c>
      <c r="BE276" s="530"/>
      <c r="BF276" s="530"/>
      <c r="BG276" s="530"/>
      <c r="BH276" s="530"/>
      <c r="BI2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5-3'!$D$11:$Q319,BI$4,BI$5)"),"")</f>
        <v/>
      </c>
      <c r="BJ276" s="535"/>
      <c r="BK2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5-3'!$D$11:$Q319,BK$4,BK$5)"),"")</f>
        <v/>
      </c>
      <c r="BL276" s="534"/>
      <c r="BM2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5-3'!$D$11:$Q319,BM$4,BM$5)"),"")</f>
        <v/>
      </c>
      <c r="BN276" s="534"/>
      <c r="BO2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5-3'!$D$11:$Q319,BO$4,BO$5)"),"")</f>
        <v/>
      </c>
      <c r="BP276" s="534"/>
      <c r="BQ2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5-3'!$D$11:$Q319,BQ$4,BQ$5)"),"")</f>
        <v/>
      </c>
      <c r="BR276" s="536"/>
      <c r="BS27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5-3'!$D$11:$Q319,BS$4,BS$5)"),"")</f>
        <v/>
      </c>
      <c r="BT276" s="534"/>
      <c r="BU276" s="534"/>
      <c r="BV276" s="534"/>
      <c r="BW276" s="534"/>
      <c r="BX2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5-3'!$D$11:$Q319,BX$4,BX$5)"),"")</f>
        <v/>
      </c>
      <c r="BY276" s="538"/>
      <c r="BZ2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5-3'!$D$11:$Q319,BZ$4,BZ$5)"),"")</f>
        <v/>
      </c>
      <c r="CA276" s="537"/>
      <c r="CB2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5-3'!$D$11:$Q319,CB$4,CB$5)"),"")</f>
        <v/>
      </c>
      <c r="CC276" s="537"/>
      <c r="CD2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5-3'!$D$11:$Q319,CD$4,CD$5)"),"")</f>
        <v/>
      </c>
      <c r="CE276" s="537"/>
      <c r="CF2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5-3'!$D$11:$Q319,CF$4,CF$5)"),"")</f>
        <v/>
      </c>
      <c r="CG276" s="539"/>
      <c r="CH27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5-3'!$D$11:$Q319,CH$4,CH$5)"),"")</f>
        <v/>
      </c>
      <c r="CI276" s="537"/>
      <c r="CJ276" s="537"/>
      <c r="CK276" s="537"/>
      <c r="CL276" s="537"/>
      <c r="CM2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5-3'!$D$11:$Q319,CM$4,CM$5)"),"")</f>
        <v/>
      </c>
      <c r="CN276" s="541"/>
      <c r="CO2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5-3'!$D$11:$Q319,CO$4,CO$5)"),"")</f>
        <v/>
      </c>
      <c r="CP276" s="540"/>
      <c r="CQ2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5-3'!$D$11:$Q319,CQ$4,CQ$5)"),"")</f>
        <v/>
      </c>
      <c r="CR276" s="540"/>
      <c r="CS2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5-3'!$D$11:$Q319,CS$4,CS$5)"),"")</f>
        <v/>
      </c>
      <c r="CT276" s="540"/>
      <c r="CU2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5-3'!$D$11:$Q319,CU$4,CU$5)"),"")</f>
        <v/>
      </c>
      <c r="CV276" s="545"/>
      <c r="CW27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5-3'!$D$11:$Q319,CW$4,CW$5)"),"")</f>
        <v/>
      </c>
      <c r="CX276" s="540"/>
      <c r="CY276" s="540"/>
      <c r="CZ276" s="540"/>
      <c r="DA276" s="540"/>
      <c r="DB2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5-3'!$D$11:$Q319,DB$4,DB$5)"),"")</f>
        <v/>
      </c>
      <c r="DC276" s="555"/>
      <c r="DD2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5-3'!$D$11:$Q319,DD$4,DD$5)"),"")</f>
        <v/>
      </c>
      <c r="DE276" s="554"/>
      <c r="DF2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5-3'!$D$11:$Q319,DF$4,DF$5)"),"")</f>
        <v/>
      </c>
      <c r="DG276" s="554"/>
      <c r="DH2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5-3'!$D$11:$Q319,DH$4,DH$5)"),"")</f>
        <v/>
      </c>
      <c r="DI276" s="554"/>
      <c r="DJ2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5-3'!$D$11:$Q319,DJ$4,DJ$5)"),"")</f>
        <v/>
      </c>
      <c r="DK276" s="566"/>
      <c r="DL27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5-3'!$D$11:$Q319,DL$4,DL$5)"),"")</f>
        <v/>
      </c>
      <c r="DM276" s="554"/>
      <c r="DN276" s="554"/>
      <c r="DO276" s="554"/>
      <c r="DP276" s="554"/>
      <c r="DQ2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5-3'!$D$11:$Q319,DQ$4,DQ$5)"),"")</f>
        <v/>
      </c>
      <c r="DR276" s="569"/>
      <c r="DS2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5-3'!$D$11:$Q319,DS$4,DS$5)"),"")</f>
        <v/>
      </c>
      <c r="DT276" s="568"/>
      <c r="DU2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5-3'!$D$11:$Q319,DU$4,DU$5)"),"")</f>
        <v/>
      </c>
      <c r="DV276" s="568"/>
      <c r="DW2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5-3'!$D$11:$Q319,DW$4,DW$5)"),"")</f>
        <v/>
      </c>
      <c r="DX276" s="568"/>
      <c r="DY2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5-3'!$D$11:$Q319,DY$4,DY$5)"),"")</f>
        <v/>
      </c>
      <c r="DZ276" s="578"/>
      <c r="EA27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$C276, 'S-10 Топ 5-3'!$D$11:$Q319,EA$4,EA$5)"),"")</f>
        <v/>
      </c>
      <c r="EB276" s="568"/>
      <c r="EC276" s="568"/>
      <c r="ED276" s="568"/>
      <c r="EE276" s="568"/>
    </row>
    <row r="277">
      <c r="A277" s="519" t="str">
        <f t="shared" si="1"/>
        <v/>
      </c>
      <c r="B277" s="520" t="str">
        <f>'5-0 Товары'!B277</f>
        <v/>
      </c>
      <c r="C277" s="521" t="str">
        <f>'5-1 Сбор КП Закупки'!C277</f>
        <v/>
      </c>
      <c r="D277" s="521" t="str">
        <f>'5-1 Сбор КП Закупки'!D277</f>
        <v/>
      </c>
      <c r="E277" s="521" t="str">
        <f>'5-1 Сбор КП Закупки'!E277</f>
        <v/>
      </c>
      <c r="F277" s="521" t="str">
        <f>'5-1 Сбор КП Закупки'!F277</f>
        <v/>
      </c>
      <c r="G277" s="522" t="str">
        <f>'5-1 Сбор КП Закупки'!G277</f>
        <v/>
      </c>
      <c r="H277" s="522" t="str">
        <f>'5-1 Сбор КП Закупки'!H277</f>
        <v/>
      </c>
      <c r="I277" s="522" t="str">
        <f>'5-1 Сбор КП Закупки'!I277</f>
        <v/>
      </c>
      <c r="J277" s="197"/>
      <c r="K277" s="522" t="str">
        <f>'5-1 Сбор КП Закупки'!G277</f>
        <v/>
      </c>
      <c r="L277" s="523" t="str">
        <f>IF(A277="Да",'5-1 Сбор КП Закупки'!K277,)</f>
        <v/>
      </c>
      <c r="M277" s="197"/>
      <c r="N277" s="197"/>
      <c r="O277" s="197"/>
      <c r="P277" s="525" t="str">
        <f>'5-1 Сбор КП Закупки'!P277</f>
        <v/>
      </c>
      <c r="Q277" s="197"/>
      <c r="R277" s="197"/>
      <c r="S277" s="197"/>
      <c r="T277" s="197"/>
      <c r="U277" s="197"/>
      <c r="V277" s="197"/>
      <c r="W277" s="522" t="str">
        <f>'5-1 Сбор КП Закупки'!O277</f>
        <v/>
      </c>
      <c r="X277" s="197"/>
      <c r="Y277" s="197"/>
      <c r="Z277" s="197"/>
      <c r="AA277" s="197"/>
      <c r="AB277" s="197">
        <v>0.0</v>
      </c>
      <c r="AC277" s="197"/>
      <c r="AD277" s="197"/>
      <c r="AE2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5-3'!$D$11:$Q319,AE$4,AE$5)"),"")</f>
        <v/>
      </c>
      <c r="AF277" s="528"/>
      <c r="AG2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5-3'!$D$11:$Q319,AG$4,AG$5)"),"")</f>
        <v/>
      </c>
      <c r="AH277" s="527"/>
      <c r="AI2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5-3'!$D$11:$Q319,AI$4,AI$5)"),"")</f>
        <v/>
      </c>
      <c r="AJ277" s="527"/>
      <c r="AK2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5-3'!$D$11:$Q319,AK$4,AK$5)"),"")</f>
        <v/>
      </c>
      <c r="AL277" s="527"/>
      <c r="AM2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5-3'!$D$11:$Q319,AM$4,AM$5)"),"")</f>
        <v/>
      </c>
      <c r="AN277" s="529"/>
      <c r="AO27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5-3'!$D$11:$Q319,AO$4,AO$5)"),"")</f>
        <v/>
      </c>
      <c r="AP277" s="527"/>
      <c r="AQ277" s="527"/>
      <c r="AR277" s="527"/>
      <c r="AS277" s="527"/>
      <c r="AT2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5-3'!$D$11:$Q319,AT$4,AT$5)"),"")</f>
        <v/>
      </c>
      <c r="AU277" s="531"/>
      <c r="AV2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5-3'!$D$11:$Q319,AV$4,AV$5)"),"")</f>
        <v/>
      </c>
      <c r="AW277" s="530"/>
      <c r="AX2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5-3'!$D$11:$Q319,AX$4,AX$5)"),"")</f>
        <v/>
      </c>
      <c r="AY277" s="530"/>
      <c r="AZ2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5-3'!$D$11:$Q319,AZ$4,AZ$5)"),"")</f>
        <v/>
      </c>
      <c r="BA277" s="530"/>
      <c r="BB2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5-3'!$D$11:$Q319,BB$4,BB$5)"),"")</f>
        <v/>
      </c>
      <c r="BC277" s="532"/>
      <c r="BD27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5-3'!$D$11:$Q319,BD$4,BD$5)"),"")</f>
        <v/>
      </c>
      <c r="BE277" s="530"/>
      <c r="BF277" s="530"/>
      <c r="BG277" s="530"/>
      <c r="BH277" s="530"/>
      <c r="BI2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5-3'!$D$11:$Q319,BI$4,BI$5)"),"")</f>
        <v/>
      </c>
      <c r="BJ277" s="535"/>
      <c r="BK2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5-3'!$D$11:$Q319,BK$4,BK$5)"),"")</f>
        <v/>
      </c>
      <c r="BL277" s="534"/>
      <c r="BM2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5-3'!$D$11:$Q319,BM$4,BM$5)"),"")</f>
        <v/>
      </c>
      <c r="BN277" s="534"/>
      <c r="BO2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5-3'!$D$11:$Q319,BO$4,BO$5)"),"")</f>
        <v/>
      </c>
      <c r="BP277" s="534"/>
      <c r="BQ2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5-3'!$D$11:$Q319,BQ$4,BQ$5)"),"")</f>
        <v/>
      </c>
      <c r="BR277" s="536"/>
      <c r="BS27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5-3'!$D$11:$Q319,BS$4,BS$5)"),"")</f>
        <v/>
      </c>
      <c r="BT277" s="534"/>
      <c r="BU277" s="534"/>
      <c r="BV277" s="534"/>
      <c r="BW277" s="534"/>
      <c r="BX2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5-3'!$D$11:$Q319,BX$4,BX$5)"),"")</f>
        <v/>
      </c>
      <c r="BY277" s="538"/>
      <c r="BZ2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5-3'!$D$11:$Q319,BZ$4,BZ$5)"),"")</f>
        <v/>
      </c>
      <c r="CA277" s="537"/>
      <c r="CB2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5-3'!$D$11:$Q319,CB$4,CB$5)"),"")</f>
        <v/>
      </c>
      <c r="CC277" s="537"/>
      <c r="CD2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5-3'!$D$11:$Q319,CD$4,CD$5)"),"")</f>
        <v/>
      </c>
      <c r="CE277" s="537"/>
      <c r="CF2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5-3'!$D$11:$Q319,CF$4,CF$5)"),"")</f>
        <v/>
      </c>
      <c r="CG277" s="539"/>
      <c r="CH27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5-3'!$D$11:$Q319,CH$4,CH$5)"),"")</f>
        <v/>
      </c>
      <c r="CI277" s="537"/>
      <c r="CJ277" s="537"/>
      <c r="CK277" s="537"/>
      <c r="CL277" s="537"/>
      <c r="CM2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5-3'!$D$11:$Q319,CM$4,CM$5)"),"")</f>
        <v/>
      </c>
      <c r="CN277" s="541"/>
      <c r="CO2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5-3'!$D$11:$Q319,CO$4,CO$5)"),"")</f>
        <v/>
      </c>
      <c r="CP277" s="540"/>
      <c r="CQ2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5-3'!$D$11:$Q319,CQ$4,CQ$5)"),"")</f>
        <v/>
      </c>
      <c r="CR277" s="540"/>
      <c r="CS2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5-3'!$D$11:$Q319,CS$4,CS$5)"),"")</f>
        <v/>
      </c>
      <c r="CT277" s="540"/>
      <c r="CU2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5-3'!$D$11:$Q319,CU$4,CU$5)"),"")</f>
        <v/>
      </c>
      <c r="CV277" s="545"/>
      <c r="CW27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5-3'!$D$11:$Q319,CW$4,CW$5)"),"")</f>
        <v/>
      </c>
      <c r="CX277" s="540"/>
      <c r="CY277" s="540"/>
      <c r="CZ277" s="540"/>
      <c r="DA277" s="540"/>
      <c r="DB2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5-3'!$D$11:$Q319,DB$4,DB$5)"),"")</f>
        <v/>
      </c>
      <c r="DC277" s="555"/>
      <c r="DD2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5-3'!$D$11:$Q319,DD$4,DD$5)"),"")</f>
        <v/>
      </c>
      <c r="DE277" s="554"/>
      <c r="DF2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5-3'!$D$11:$Q319,DF$4,DF$5)"),"")</f>
        <v/>
      </c>
      <c r="DG277" s="554"/>
      <c r="DH2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5-3'!$D$11:$Q319,DH$4,DH$5)"),"")</f>
        <v/>
      </c>
      <c r="DI277" s="554"/>
      <c r="DJ2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5-3'!$D$11:$Q319,DJ$4,DJ$5)"),"")</f>
        <v/>
      </c>
      <c r="DK277" s="566"/>
      <c r="DL27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5-3'!$D$11:$Q319,DL$4,DL$5)"),"")</f>
        <v/>
      </c>
      <c r="DM277" s="554"/>
      <c r="DN277" s="554"/>
      <c r="DO277" s="554"/>
      <c r="DP277" s="554"/>
      <c r="DQ2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5-3'!$D$11:$Q319,DQ$4,DQ$5)"),"")</f>
        <v/>
      </c>
      <c r="DR277" s="569"/>
      <c r="DS2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5-3'!$D$11:$Q319,DS$4,DS$5)"),"")</f>
        <v/>
      </c>
      <c r="DT277" s="568"/>
      <c r="DU2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5-3'!$D$11:$Q319,DU$4,DU$5)"),"")</f>
        <v/>
      </c>
      <c r="DV277" s="568"/>
      <c r="DW2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5-3'!$D$11:$Q319,DW$4,DW$5)"),"")</f>
        <v/>
      </c>
      <c r="DX277" s="568"/>
      <c r="DY2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5-3'!$D$11:$Q319,DY$4,DY$5)"),"")</f>
        <v/>
      </c>
      <c r="DZ277" s="578"/>
      <c r="EA27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$C277, 'S-10 Топ 5-3'!$D$11:$Q319,EA$4,EA$5)"),"")</f>
        <v/>
      </c>
      <c r="EB277" s="568"/>
      <c r="EC277" s="568"/>
      <c r="ED277" s="568"/>
      <c r="EE277" s="568"/>
    </row>
    <row r="278">
      <c r="A278" s="519" t="str">
        <f t="shared" si="1"/>
        <v/>
      </c>
      <c r="B278" s="520" t="str">
        <f>'5-0 Товары'!B278</f>
        <v/>
      </c>
      <c r="C278" s="521" t="str">
        <f>'5-1 Сбор КП Закупки'!C278</f>
        <v/>
      </c>
      <c r="D278" s="521" t="str">
        <f>'5-1 Сбор КП Закупки'!D278</f>
        <v/>
      </c>
      <c r="E278" s="521" t="str">
        <f>'5-1 Сбор КП Закупки'!E278</f>
        <v/>
      </c>
      <c r="F278" s="521" t="str">
        <f>'5-1 Сбор КП Закупки'!F278</f>
        <v/>
      </c>
      <c r="G278" s="522" t="str">
        <f>'5-1 Сбор КП Закупки'!G278</f>
        <v/>
      </c>
      <c r="H278" s="522" t="str">
        <f>'5-1 Сбор КП Закупки'!H278</f>
        <v/>
      </c>
      <c r="I278" s="522" t="str">
        <f>'5-1 Сбор КП Закупки'!I278</f>
        <v/>
      </c>
      <c r="J278" s="197"/>
      <c r="K278" s="522" t="str">
        <f>'5-1 Сбор КП Закупки'!G278</f>
        <v/>
      </c>
      <c r="L278" s="523" t="str">
        <f>IF(A278="Да",'5-1 Сбор КП Закупки'!K278,)</f>
        <v/>
      </c>
      <c r="M278" s="197"/>
      <c r="N278" s="197"/>
      <c r="O278" s="197"/>
      <c r="P278" s="525" t="str">
        <f>'5-1 Сбор КП Закупки'!P278</f>
        <v/>
      </c>
      <c r="Q278" s="197"/>
      <c r="R278" s="197"/>
      <c r="S278" s="197"/>
      <c r="T278" s="197"/>
      <c r="U278" s="197"/>
      <c r="V278" s="197"/>
      <c r="W278" s="522" t="str">
        <f>'5-1 Сбор КП Закупки'!O278</f>
        <v/>
      </c>
      <c r="X278" s="197"/>
      <c r="Y278" s="197"/>
      <c r="Z278" s="197"/>
      <c r="AA278" s="197"/>
      <c r="AB278" s="197">
        <v>0.0</v>
      </c>
      <c r="AC278" s="197"/>
      <c r="AD278" s="197"/>
      <c r="AE2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5-3'!$D$11:$Q319,AE$4,AE$5)"),"")</f>
        <v/>
      </c>
      <c r="AF278" s="528"/>
      <c r="AG2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5-3'!$D$11:$Q319,AG$4,AG$5)"),"")</f>
        <v/>
      </c>
      <c r="AH278" s="527"/>
      <c r="AI2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5-3'!$D$11:$Q319,AI$4,AI$5)"),"")</f>
        <v/>
      </c>
      <c r="AJ278" s="527"/>
      <c r="AK2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5-3'!$D$11:$Q319,AK$4,AK$5)"),"")</f>
        <v/>
      </c>
      <c r="AL278" s="527"/>
      <c r="AM2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5-3'!$D$11:$Q319,AM$4,AM$5)"),"")</f>
        <v/>
      </c>
      <c r="AN278" s="529"/>
      <c r="AO27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5-3'!$D$11:$Q319,AO$4,AO$5)"),"")</f>
        <v/>
      </c>
      <c r="AP278" s="527"/>
      <c r="AQ278" s="527"/>
      <c r="AR278" s="527"/>
      <c r="AS278" s="527"/>
      <c r="AT2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5-3'!$D$11:$Q319,AT$4,AT$5)"),"")</f>
        <v/>
      </c>
      <c r="AU278" s="531"/>
      <c r="AV2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5-3'!$D$11:$Q319,AV$4,AV$5)"),"")</f>
        <v/>
      </c>
      <c r="AW278" s="530"/>
      <c r="AX2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5-3'!$D$11:$Q319,AX$4,AX$5)"),"")</f>
        <v/>
      </c>
      <c r="AY278" s="530"/>
      <c r="AZ2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5-3'!$D$11:$Q319,AZ$4,AZ$5)"),"")</f>
        <v/>
      </c>
      <c r="BA278" s="530"/>
      <c r="BB2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5-3'!$D$11:$Q319,BB$4,BB$5)"),"")</f>
        <v/>
      </c>
      <c r="BC278" s="532"/>
      <c r="BD27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5-3'!$D$11:$Q319,BD$4,BD$5)"),"")</f>
        <v/>
      </c>
      <c r="BE278" s="530"/>
      <c r="BF278" s="530"/>
      <c r="BG278" s="530"/>
      <c r="BH278" s="530"/>
      <c r="BI2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5-3'!$D$11:$Q319,BI$4,BI$5)"),"")</f>
        <v/>
      </c>
      <c r="BJ278" s="535"/>
      <c r="BK2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5-3'!$D$11:$Q319,BK$4,BK$5)"),"")</f>
        <v/>
      </c>
      <c r="BL278" s="534"/>
      <c r="BM2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5-3'!$D$11:$Q319,BM$4,BM$5)"),"")</f>
        <v/>
      </c>
      <c r="BN278" s="534"/>
      <c r="BO2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5-3'!$D$11:$Q319,BO$4,BO$5)"),"")</f>
        <v/>
      </c>
      <c r="BP278" s="534"/>
      <c r="BQ2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5-3'!$D$11:$Q319,BQ$4,BQ$5)"),"")</f>
        <v/>
      </c>
      <c r="BR278" s="536"/>
      <c r="BS27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5-3'!$D$11:$Q319,BS$4,BS$5)"),"")</f>
        <v/>
      </c>
      <c r="BT278" s="534"/>
      <c r="BU278" s="534"/>
      <c r="BV278" s="534"/>
      <c r="BW278" s="534"/>
      <c r="BX2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5-3'!$D$11:$Q319,BX$4,BX$5)"),"")</f>
        <v/>
      </c>
      <c r="BY278" s="538"/>
      <c r="BZ2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5-3'!$D$11:$Q319,BZ$4,BZ$5)"),"")</f>
        <v/>
      </c>
      <c r="CA278" s="537"/>
      <c r="CB2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5-3'!$D$11:$Q319,CB$4,CB$5)"),"")</f>
        <v/>
      </c>
      <c r="CC278" s="537"/>
      <c r="CD2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5-3'!$D$11:$Q319,CD$4,CD$5)"),"")</f>
        <v/>
      </c>
      <c r="CE278" s="537"/>
      <c r="CF2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5-3'!$D$11:$Q319,CF$4,CF$5)"),"")</f>
        <v/>
      </c>
      <c r="CG278" s="539"/>
      <c r="CH27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5-3'!$D$11:$Q319,CH$4,CH$5)"),"")</f>
        <v/>
      </c>
      <c r="CI278" s="537"/>
      <c r="CJ278" s="537"/>
      <c r="CK278" s="537"/>
      <c r="CL278" s="537"/>
      <c r="CM2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5-3'!$D$11:$Q319,CM$4,CM$5)"),"")</f>
        <v/>
      </c>
      <c r="CN278" s="541"/>
      <c r="CO2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5-3'!$D$11:$Q319,CO$4,CO$5)"),"")</f>
        <v/>
      </c>
      <c r="CP278" s="540"/>
      <c r="CQ2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5-3'!$D$11:$Q319,CQ$4,CQ$5)"),"")</f>
        <v/>
      </c>
      <c r="CR278" s="540"/>
      <c r="CS2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5-3'!$D$11:$Q319,CS$4,CS$5)"),"")</f>
        <v/>
      </c>
      <c r="CT278" s="540"/>
      <c r="CU2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5-3'!$D$11:$Q319,CU$4,CU$5)"),"")</f>
        <v/>
      </c>
      <c r="CV278" s="545"/>
      <c r="CW27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5-3'!$D$11:$Q319,CW$4,CW$5)"),"")</f>
        <v/>
      </c>
      <c r="CX278" s="540"/>
      <c r="CY278" s="540"/>
      <c r="CZ278" s="540"/>
      <c r="DA278" s="540"/>
      <c r="DB2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5-3'!$D$11:$Q319,DB$4,DB$5)"),"")</f>
        <v/>
      </c>
      <c r="DC278" s="555"/>
      <c r="DD2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5-3'!$D$11:$Q319,DD$4,DD$5)"),"")</f>
        <v/>
      </c>
      <c r="DE278" s="554"/>
      <c r="DF2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5-3'!$D$11:$Q319,DF$4,DF$5)"),"")</f>
        <v/>
      </c>
      <c r="DG278" s="554"/>
      <c r="DH2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5-3'!$D$11:$Q319,DH$4,DH$5)"),"")</f>
        <v/>
      </c>
      <c r="DI278" s="554"/>
      <c r="DJ2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5-3'!$D$11:$Q319,DJ$4,DJ$5)"),"")</f>
        <v/>
      </c>
      <c r="DK278" s="566"/>
      <c r="DL27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5-3'!$D$11:$Q319,DL$4,DL$5)"),"")</f>
        <v/>
      </c>
      <c r="DM278" s="554"/>
      <c r="DN278" s="554"/>
      <c r="DO278" s="554"/>
      <c r="DP278" s="554"/>
      <c r="DQ2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5-3'!$D$11:$Q319,DQ$4,DQ$5)"),"")</f>
        <v/>
      </c>
      <c r="DR278" s="569"/>
      <c r="DS2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5-3'!$D$11:$Q319,DS$4,DS$5)"),"")</f>
        <v/>
      </c>
      <c r="DT278" s="568"/>
      <c r="DU2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5-3'!$D$11:$Q319,DU$4,DU$5)"),"")</f>
        <v/>
      </c>
      <c r="DV278" s="568"/>
      <c r="DW2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5-3'!$D$11:$Q319,DW$4,DW$5)"),"")</f>
        <v/>
      </c>
      <c r="DX278" s="568"/>
      <c r="DY2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5-3'!$D$11:$Q319,DY$4,DY$5)"),"")</f>
        <v/>
      </c>
      <c r="DZ278" s="578"/>
      <c r="EA27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$C278, 'S-10 Топ 5-3'!$D$11:$Q319,EA$4,EA$5)"),"")</f>
        <v/>
      </c>
      <c r="EB278" s="568"/>
      <c r="EC278" s="568"/>
      <c r="ED278" s="568"/>
      <c r="EE278" s="568"/>
    </row>
    <row r="279">
      <c r="A279" s="519" t="str">
        <f t="shared" si="1"/>
        <v/>
      </c>
      <c r="B279" s="520" t="str">
        <f>'5-0 Товары'!B279</f>
        <v/>
      </c>
      <c r="C279" s="521" t="str">
        <f>'5-1 Сбор КП Закупки'!C279</f>
        <v/>
      </c>
      <c r="D279" s="521" t="str">
        <f>'5-1 Сбор КП Закупки'!D279</f>
        <v/>
      </c>
      <c r="E279" s="521" t="str">
        <f>'5-1 Сбор КП Закупки'!E279</f>
        <v/>
      </c>
      <c r="F279" s="521" t="str">
        <f>'5-1 Сбор КП Закупки'!F279</f>
        <v/>
      </c>
      <c r="G279" s="522" t="str">
        <f>'5-1 Сбор КП Закупки'!G279</f>
        <v/>
      </c>
      <c r="H279" s="522" t="str">
        <f>'5-1 Сбор КП Закупки'!H279</f>
        <v/>
      </c>
      <c r="I279" s="522" t="str">
        <f>'5-1 Сбор КП Закупки'!I279</f>
        <v/>
      </c>
      <c r="J279" s="197"/>
      <c r="K279" s="522" t="str">
        <f>'5-1 Сбор КП Закупки'!G279</f>
        <v/>
      </c>
      <c r="L279" s="523" t="str">
        <f>IF(A279="Да",'5-1 Сбор КП Закупки'!K279,)</f>
        <v/>
      </c>
      <c r="M279" s="197"/>
      <c r="N279" s="197"/>
      <c r="O279" s="197"/>
      <c r="P279" s="525" t="str">
        <f>'5-1 Сбор КП Закупки'!P279</f>
        <v/>
      </c>
      <c r="Q279" s="197"/>
      <c r="R279" s="197"/>
      <c r="S279" s="197"/>
      <c r="T279" s="197"/>
      <c r="U279" s="197"/>
      <c r="V279" s="197"/>
      <c r="W279" s="522" t="str">
        <f>'5-1 Сбор КП Закупки'!O279</f>
        <v/>
      </c>
      <c r="X279" s="197"/>
      <c r="Y279" s="197"/>
      <c r="Z279" s="197"/>
      <c r="AA279" s="197"/>
      <c r="AB279" s="197">
        <v>0.0</v>
      </c>
      <c r="AC279" s="197"/>
      <c r="AD279" s="197"/>
      <c r="AE2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5-3'!$D$11:$Q319,AE$4,AE$5)"),"")</f>
        <v/>
      </c>
      <c r="AF279" s="528"/>
      <c r="AG2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5-3'!$D$11:$Q319,AG$4,AG$5)"),"")</f>
        <v/>
      </c>
      <c r="AH279" s="527"/>
      <c r="AI2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5-3'!$D$11:$Q319,AI$4,AI$5)"),"")</f>
        <v/>
      </c>
      <c r="AJ279" s="527"/>
      <c r="AK2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5-3'!$D$11:$Q319,AK$4,AK$5)"),"")</f>
        <v/>
      </c>
      <c r="AL279" s="527"/>
      <c r="AM2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5-3'!$D$11:$Q319,AM$4,AM$5)"),"")</f>
        <v/>
      </c>
      <c r="AN279" s="529"/>
      <c r="AO27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5-3'!$D$11:$Q319,AO$4,AO$5)"),"")</f>
        <v/>
      </c>
      <c r="AP279" s="527"/>
      <c r="AQ279" s="527"/>
      <c r="AR279" s="527"/>
      <c r="AS279" s="527"/>
      <c r="AT2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5-3'!$D$11:$Q319,AT$4,AT$5)"),"")</f>
        <v/>
      </c>
      <c r="AU279" s="531"/>
      <c r="AV2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5-3'!$D$11:$Q319,AV$4,AV$5)"),"")</f>
        <v/>
      </c>
      <c r="AW279" s="530"/>
      <c r="AX2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5-3'!$D$11:$Q319,AX$4,AX$5)"),"")</f>
        <v/>
      </c>
      <c r="AY279" s="530"/>
      <c r="AZ2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5-3'!$D$11:$Q319,AZ$4,AZ$5)"),"")</f>
        <v/>
      </c>
      <c r="BA279" s="530"/>
      <c r="BB2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5-3'!$D$11:$Q319,BB$4,BB$5)"),"")</f>
        <v/>
      </c>
      <c r="BC279" s="532"/>
      <c r="BD27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5-3'!$D$11:$Q319,BD$4,BD$5)"),"")</f>
        <v/>
      </c>
      <c r="BE279" s="530"/>
      <c r="BF279" s="530"/>
      <c r="BG279" s="530"/>
      <c r="BH279" s="530"/>
      <c r="BI2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5-3'!$D$11:$Q319,BI$4,BI$5)"),"")</f>
        <v/>
      </c>
      <c r="BJ279" s="535"/>
      <c r="BK2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5-3'!$D$11:$Q319,BK$4,BK$5)"),"")</f>
        <v/>
      </c>
      <c r="BL279" s="534"/>
      <c r="BM2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5-3'!$D$11:$Q319,BM$4,BM$5)"),"")</f>
        <v/>
      </c>
      <c r="BN279" s="534"/>
      <c r="BO2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5-3'!$D$11:$Q319,BO$4,BO$5)"),"")</f>
        <v/>
      </c>
      <c r="BP279" s="534"/>
      <c r="BQ2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5-3'!$D$11:$Q319,BQ$4,BQ$5)"),"")</f>
        <v/>
      </c>
      <c r="BR279" s="536"/>
      <c r="BS27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5-3'!$D$11:$Q319,BS$4,BS$5)"),"")</f>
        <v/>
      </c>
      <c r="BT279" s="534"/>
      <c r="BU279" s="534"/>
      <c r="BV279" s="534"/>
      <c r="BW279" s="534"/>
      <c r="BX2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5-3'!$D$11:$Q319,BX$4,BX$5)"),"")</f>
        <v/>
      </c>
      <c r="BY279" s="538"/>
      <c r="BZ2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5-3'!$D$11:$Q319,BZ$4,BZ$5)"),"")</f>
        <v/>
      </c>
      <c r="CA279" s="537"/>
      <c r="CB2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5-3'!$D$11:$Q319,CB$4,CB$5)"),"")</f>
        <v/>
      </c>
      <c r="CC279" s="537"/>
      <c r="CD2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5-3'!$D$11:$Q319,CD$4,CD$5)"),"")</f>
        <v/>
      </c>
      <c r="CE279" s="537"/>
      <c r="CF2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5-3'!$D$11:$Q319,CF$4,CF$5)"),"")</f>
        <v/>
      </c>
      <c r="CG279" s="539"/>
      <c r="CH27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5-3'!$D$11:$Q319,CH$4,CH$5)"),"")</f>
        <v/>
      </c>
      <c r="CI279" s="537"/>
      <c r="CJ279" s="537"/>
      <c r="CK279" s="537"/>
      <c r="CL279" s="537"/>
      <c r="CM2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5-3'!$D$11:$Q319,CM$4,CM$5)"),"")</f>
        <v/>
      </c>
      <c r="CN279" s="541"/>
      <c r="CO2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5-3'!$D$11:$Q319,CO$4,CO$5)"),"")</f>
        <v/>
      </c>
      <c r="CP279" s="540"/>
      <c r="CQ2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5-3'!$D$11:$Q319,CQ$4,CQ$5)"),"")</f>
        <v/>
      </c>
      <c r="CR279" s="540"/>
      <c r="CS2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5-3'!$D$11:$Q319,CS$4,CS$5)"),"")</f>
        <v/>
      </c>
      <c r="CT279" s="540"/>
      <c r="CU2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5-3'!$D$11:$Q319,CU$4,CU$5)"),"")</f>
        <v/>
      </c>
      <c r="CV279" s="545"/>
      <c r="CW27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5-3'!$D$11:$Q319,CW$4,CW$5)"),"")</f>
        <v/>
      </c>
      <c r="CX279" s="540"/>
      <c r="CY279" s="540"/>
      <c r="CZ279" s="540"/>
      <c r="DA279" s="540"/>
      <c r="DB2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5-3'!$D$11:$Q319,DB$4,DB$5)"),"")</f>
        <v/>
      </c>
      <c r="DC279" s="555"/>
      <c r="DD2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5-3'!$D$11:$Q319,DD$4,DD$5)"),"")</f>
        <v/>
      </c>
      <c r="DE279" s="554"/>
      <c r="DF2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5-3'!$D$11:$Q319,DF$4,DF$5)"),"")</f>
        <v/>
      </c>
      <c r="DG279" s="554"/>
      <c r="DH2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5-3'!$D$11:$Q319,DH$4,DH$5)"),"")</f>
        <v/>
      </c>
      <c r="DI279" s="554"/>
      <c r="DJ2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5-3'!$D$11:$Q319,DJ$4,DJ$5)"),"")</f>
        <v/>
      </c>
      <c r="DK279" s="566"/>
      <c r="DL27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5-3'!$D$11:$Q319,DL$4,DL$5)"),"")</f>
        <v/>
      </c>
      <c r="DM279" s="554"/>
      <c r="DN279" s="554"/>
      <c r="DO279" s="554"/>
      <c r="DP279" s="554"/>
      <c r="DQ2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5-3'!$D$11:$Q319,DQ$4,DQ$5)"),"")</f>
        <v/>
      </c>
      <c r="DR279" s="569"/>
      <c r="DS2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5-3'!$D$11:$Q319,DS$4,DS$5)"),"")</f>
        <v/>
      </c>
      <c r="DT279" s="568"/>
      <c r="DU2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5-3'!$D$11:$Q319,DU$4,DU$5)"),"")</f>
        <v/>
      </c>
      <c r="DV279" s="568"/>
      <c r="DW2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5-3'!$D$11:$Q319,DW$4,DW$5)"),"")</f>
        <v/>
      </c>
      <c r="DX279" s="568"/>
      <c r="DY2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5-3'!$D$11:$Q319,DY$4,DY$5)"),"")</f>
        <v/>
      </c>
      <c r="DZ279" s="578"/>
      <c r="EA27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$C279, 'S-10 Топ 5-3'!$D$11:$Q319,EA$4,EA$5)"),"")</f>
        <v/>
      </c>
      <c r="EB279" s="568"/>
      <c r="EC279" s="568"/>
      <c r="ED279" s="568"/>
      <c r="EE279" s="568"/>
    </row>
    <row r="280">
      <c r="A280" s="519" t="str">
        <f t="shared" si="1"/>
        <v/>
      </c>
      <c r="B280" s="520" t="str">
        <f>'5-0 Товары'!B280</f>
        <v/>
      </c>
      <c r="C280" s="521" t="str">
        <f>'5-1 Сбор КП Закупки'!C280</f>
        <v/>
      </c>
      <c r="D280" s="521" t="str">
        <f>'5-1 Сбор КП Закупки'!D280</f>
        <v/>
      </c>
      <c r="E280" s="521" t="str">
        <f>'5-1 Сбор КП Закупки'!E280</f>
        <v/>
      </c>
      <c r="F280" s="521" t="str">
        <f>'5-1 Сбор КП Закупки'!F280</f>
        <v/>
      </c>
      <c r="G280" s="522" t="str">
        <f>'5-1 Сбор КП Закупки'!G280</f>
        <v/>
      </c>
      <c r="H280" s="522" t="str">
        <f>'5-1 Сбор КП Закупки'!H280</f>
        <v/>
      </c>
      <c r="I280" s="522" t="str">
        <f>'5-1 Сбор КП Закупки'!I280</f>
        <v/>
      </c>
      <c r="J280" s="197"/>
      <c r="K280" s="522" t="str">
        <f>'5-1 Сбор КП Закупки'!G280</f>
        <v/>
      </c>
      <c r="L280" s="523" t="str">
        <f>IF(A280="Да",'5-1 Сбор КП Закупки'!K280,)</f>
        <v/>
      </c>
      <c r="M280" s="197"/>
      <c r="N280" s="197"/>
      <c r="O280" s="197"/>
      <c r="P280" s="525" t="str">
        <f>'5-1 Сбор КП Закупки'!P280</f>
        <v/>
      </c>
      <c r="Q280" s="197"/>
      <c r="R280" s="197"/>
      <c r="S280" s="197"/>
      <c r="T280" s="197"/>
      <c r="U280" s="197"/>
      <c r="V280" s="197"/>
      <c r="W280" s="522" t="str">
        <f>'5-1 Сбор КП Закупки'!O280</f>
        <v/>
      </c>
      <c r="X280" s="197"/>
      <c r="Y280" s="197"/>
      <c r="Z280" s="197"/>
      <c r="AA280" s="197"/>
      <c r="AB280" s="197">
        <v>0.0</v>
      </c>
      <c r="AC280" s="197"/>
      <c r="AD280" s="197"/>
      <c r="AE2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5-3'!$D$11:$Q319,AE$4,AE$5)"),"")</f>
        <v/>
      </c>
      <c r="AF280" s="528"/>
      <c r="AG2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5-3'!$D$11:$Q319,AG$4,AG$5)"),"")</f>
        <v/>
      </c>
      <c r="AH280" s="527"/>
      <c r="AI2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5-3'!$D$11:$Q319,AI$4,AI$5)"),"")</f>
        <v/>
      </c>
      <c r="AJ280" s="527"/>
      <c r="AK2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5-3'!$D$11:$Q319,AK$4,AK$5)"),"")</f>
        <v/>
      </c>
      <c r="AL280" s="527"/>
      <c r="AM2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5-3'!$D$11:$Q319,AM$4,AM$5)"),"")</f>
        <v/>
      </c>
      <c r="AN280" s="529"/>
      <c r="AO28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5-3'!$D$11:$Q319,AO$4,AO$5)"),"")</f>
        <v/>
      </c>
      <c r="AP280" s="527"/>
      <c r="AQ280" s="527"/>
      <c r="AR280" s="527"/>
      <c r="AS280" s="527"/>
      <c r="AT2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5-3'!$D$11:$Q319,AT$4,AT$5)"),"")</f>
        <v/>
      </c>
      <c r="AU280" s="531"/>
      <c r="AV2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5-3'!$D$11:$Q319,AV$4,AV$5)"),"")</f>
        <v/>
      </c>
      <c r="AW280" s="530"/>
      <c r="AX2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5-3'!$D$11:$Q319,AX$4,AX$5)"),"")</f>
        <v/>
      </c>
      <c r="AY280" s="530"/>
      <c r="AZ2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5-3'!$D$11:$Q319,AZ$4,AZ$5)"),"")</f>
        <v/>
      </c>
      <c r="BA280" s="530"/>
      <c r="BB2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5-3'!$D$11:$Q319,BB$4,BB$5)"),"")</f>
        <v/>
      </c>
      <c r="BC280" s="532"/>
      <c r="BD28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5-3'!$D$11:$Q319,BD$4,BD$5)"),"")</f>
        <v/>
      </c>
      <c r="BE280" s="530"/>
      <c r="BF280" s="530"/>
      <c r="BG280" s="530"/>
      <c r="BH280" s="530"/>
      <c r="BI2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5-3'!$D$11:$Q319,BI$4,BI$5)"),"")</f>
        <v/>
      </c>
      <c r="BJ280" s="535"/>
      <c r="BK2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5-3'!$D$11:$Q319,BK$4,BK$5)"),"")</f>
        <v/>
      </c>
      <c r="BL280" s="534"/>
      <c r="BM2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5-3'!$D$11:$Q319,BM$4,BM$5)"),"")</f>
        <v/>
      </c>
      <c r="BN280" s="534"/>
      <c r="BO2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5-3'!$D$11:$Q319,BO$4,BO$5)"),"")</f>
        <v/>
      </c>
      <c r="BP280" s="534"/>
      <c r="BQ2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5-3'!$D$11:$Q319,BQ$4,BQ$5)"),"")</f>
        <v/>
      </c>
      <c r="BR280" s="536"/>
      <c r="BS28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5-3'!$D$11:$Q319,BS$4,BS$5)"),"")</f>
        <v/>
      </c>
      <c r="BT280" s="534"/>
      <c r="BU280" s="534"/>
      <c r="BV280" s="534"/>
      <c r="BW280" s="534"/>
      <c r="BX2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5-3'!$D$11:$Q319,BX$4,BX$5)"),"")</f>
        <v/>
      </c>
      <c r="BY280" s="538"/>
      <c r="BZ2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5-3'!$D$11:$Q319,BZ$4,BZ$5)"),"")</f>
        <v/>
      </c>
      <c r="CA280" s="537"/>
      <c r="CB2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5-3'!$D$11:$Q319,CB$4,CB$5)"),"")</f>
        <v/>
      </c>
      <c r="CC280" s="537"/>
      <c r="CD2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5-3'!$D$11:$Q319,CD$4,CD$5)"),"")</f>
        <v/>
      </c>
      <c r="CE280" s="537"/>
      <c r="CF2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5-3'!$D$11:$Q319,CF$4,CF$5)"),"")</f>
        <v/>
      </c>
      <c r="CG280" s="539"/>
      <c r="CH28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5-3'!$D$11:$Q319,CH$4,CH$5)"),"")</f>
        <v/>
      </c>
      <c r="CI280" s="537"/>
      <c r="CJ280" s="537"/>
      <c r="CK280" s="537"/>
      <c r="CL280" s="537"/>
      <c r="CM2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5-3'!$D$11:$Q319,CM$4,CM$5)"),"")</f>
        <v/>
      </c>
      <c r="CN280" s="541"/>
      <c r="CO2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5-3'!$D$11:$Q319,CO$4,CO$5)"),"")</f>
        <v/>
      </c>
      <c r="CP280" s="540"/>
      <c r="CQ2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5-3'!$D$11:$Q319,CQ$4,CQ$5)"),"")</f>
        <v/>
      </c>
      <c r="CR280" s="540"/>
      <c r="CS2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5-3'!$D$11:$Q319,CS$4,CS$5)"),"")</f>
        <v/>
      </c>
      <c r="CT280" s="540"/>
      <c r="CU2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5-3'!$D$11:$Q319,CU$4,CU$5)"),"")</f>
        <v/>
      </c>
      <c r="CV280" s="545"/>
      <c r="CW28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5-3'!$D$11:$Q319,CW$4,CW$5)"),"")</f>
        <v/>
      </c>
      <c r="CX280" s="540"/>
      <c r="CY280" s="540"/>
      <c r="CZ280" s="540"/>
      <c r="DA280" s="540"/>
      <c r="DB2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5-3'!$D$11:$Q319,DB$4,DB$5)"),"")</f>
        <v/>
      </c>
      <c r="DC280" s="555"/>
      <c r="DD2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5-3'!$D$11:$Q319,DD$4,DD$5)"),"")</f>
        <v/>
      </c>
      <c r="DE280" s="554"/>
      <c r="DF2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5-3'!$D$11:$Q319,DF$4,DF$5)"),"")</f>
        <v/>
      </c>
      <c r="DG280" s="554"/>
      <c r="DH2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5-3'!$D$11:$Q319,DH$4,DH$5)"),"")</f>
        <v/>
      </c>
      <c r="DI280" s="554"/>
      <c r="DJ2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5-3'!$D$11:$Q319,DJ$4,DJ$5)"),"")</f>
        <v/>
      </c>
      <c r="DK280" s="566"/>
      <c r="DL28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5-3'!$D$11:$Q319,DL$4,DL$5)"),"")</f>
        <v/>
      </c>
      <c r="DM280" s="554"/>
      <c r="DN280" s="554"/>
      <c r="DO280" s="554"/>
      <c r="DP280" s="554"/>
      <c r="DQ2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5-3'!$D$11:$Q319,DQ$4,DQ$5)"),"")</f>
        <v/>
      </c>
      <c r="DR280" s="569"/>
      <c r="DS2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5-3'!$D$11:$Q319,DS$4,DS$5)"),"")</f>
        <v/>
      </c>
      <c r="DT280" s="568"/>
      <c r="DU2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5-3'!$D$11:$Q319,DU$4,DU$5)"),"")</f>
        <v/>
      </c>
      <c r="DV280" s="568"/>
      <c r="DW2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5-3'!$D$11:$Q319,DW$4,DW$5)"),"")</f>
        <v/>
      </c>
      <c r="DX280" s="568"/>
      <c r="DY2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5-3'!$D$11:$Q319,DY$4,DY$5)"),"")</f>
        <v/>
      </c>
      <c r="DZ280" s="578"/>
      <c r="EA28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$C280, 'S-10 Топ 5-3'!$D$11:$Q319,EA$4,EA$5)"),"")</f>
        <v/>
      </c>
      <c r="EB280" s="568"/>
      <c r="EC280" s="568"/>
      <c r="ED280" s="568"/>
      <c r="EE280" s="568"/>
    </row>
    <row r="281">
      <c r="A281" s="519" t="str">
        <f t="shared" si="1"/>
        <v/>
      </c>
      <c r="B281" s="520" t="str">
        <f>'5-0 Товары'!B281</f>
        <v/>
      </c>
      <c r="C281" s="521" t="str">
        <f>'5-1 Сбор КП Закупки'!C281</f>
        <v/>
      </c>
      <c r="D281" s="521" t="str">
        <f>'5-1 Сбор КП Закупки'!D281</f>
        <v/>
      </c>
      <c r="E281" s="521" t="str">
        <f>'5-1 Сбор КП Закупки'!E281</f>
        <v/>
      </c>
      <c r="F281" s="521" t="str">
        <f>'5-1 Сбор КП Закупки'!F281</f>
        <v/>
      </c>
      <c r="G281" s="522" t="str">
        <f>'5-1 Сбор КП Закупки'!G281</f>
        <v/>
      </c>
      <c r="H281" s="522" t="str">
        <f>'5-1 Сбор КП Закупки'!H281</f>
        <v/>
      </c>
      <c r="I281" s="522" t="str">
        <f>'5-1 Сбор КП Закупки'!I281</f>
        <v/>
      </c>
      <c r="J281" s="197"/>
      <c r="K281" s="522" t="str">
        <f>'5-1 Сбор КП Закупки'!G281</f>
        <v/>
      </c>
      <c r="L281" s="523" t="str">
        <f>IF(A281="Да",'5-1 Сбор КП Закупки'!K281,)</f>
        <v/>
      </c>
      <c r="M281" s="197"/>
      <c r="N281" s="197"/>
      <c r="O281" s="197"/>
      <c r="P281" s="525" t="str">
        <f>'5-1 Сбор КП Закупки'!P281</f>
        <v/>
      </c>
      <c r="Q281" s="197"/>
      <c r="R281" s="197"/>
      <c r="S281" s="197"/>
      <c r="T281" s="197"/>
      <c r="U281" s="197"/>
      <c r="V281" s="197"/>
      <c r="W281" s="522" t="str">
        <f>'5-1 Сбор КП Закупки'!O281</f>
        <v/>
      </c>
      <c r="X281" s="197"/>
      <c r="Y281" s="197"/>
      <c r="Z281" s="197"/>
      <c r="AA281" s="197"/>
      <c r="AB281" s="197">
        <v>0.0</v>
      </c>
      <c r="AC281" s="197"/>
      <c r="AD281" s="197"/>
      <c r="AE2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5-3'!$D$11:$Q319,AE$4,AE$5)"),"")</f>
        <v/>
      </c>
      <c r="AF281" s="528"/>
      <c r="AG2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5-3'!$D$11:$Q319,AG$4,AG$5)"),"")</f>
        <v/>
      </c>
      <c r="AH281" s="527"/>
      <c r="AI2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5-3'!$D$11:$Q319,AI$4,AI$5)"),"")</f>
        <v/>
      </c>
      <c r="AJ281" s="527"/>
      <c r="AK2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5-3'!$D$11:$Q319,AK$4,AK$5)"),"")</f>
        <v/>
      </c>
      <c r="AL281" s="527"/>
      <c r="AM2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5-3'!$D$11:$Q319,AM$4,AM$5)"),"")</f>
        <v/>
      </c>
      <c r="AN281" s="529"/>
      <c r="AO28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5-3'!$D$11:$Q319,AO$4,AO$5)"),"")</f>
        <v/>
      </c>
      <c r="AP281" s="527"/>
      <c r="AQ281" s="527"/>
      <c r="AR281" s="527"/>
      <c r="AS281" s="527"/>
      <c r="AT2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5-3'!$D$11:$Q319,AT$4,AT$5)"),"")</f>
        <v/>
      </c>
      <c r="AU281" s="531"/>
      <c r="AV2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5-3'!$D$11:$Q319,AV$4,AV$5)"),"")</f>
        <v/>
      </c>
      <c r="AW281" s="530"/>
      <c r="AX2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5-3'!$D$11:$Q319,AX$4,AX$5)"),"")</f>
        <v/>
      </c>
      <c r="AY281" s="530"/>
      <c r="AZ2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5-3'!$D$11:$Q319,AZ$4,AZ$5)"),"")</f>
        <v/>
      </c>
      <c r="BA281" s="530"/>
      <c r="BB2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5-3'!$D$11:$Q319,BB$4,BB$5)"),"")</f>
        <v/>
      </c>
      <c r="BC281" s="532"/>
      <c r="BD28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5-3'!$D$11:$Q319,BD$4,BD$5)"),"")</f>
        <v/>
      </c>
      <c r="BE281" s="530"/>
      <c r="BF281" s="530"/>
      <c r="BG281" s="530"/>
      <c r="BH281" s="530"/>
      <c r="BI2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5-3'!$D$11:$Q319,BI$4,BI$5)"),"")</f>
        <v/>
      </c>
      <c r="BJ281" s="535"/>
      <c r="BK2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5-3'!$D$11:$Q319,BK$4,BK$5)"),"")</f>
        <v/>
      </c>
      <c r="BL281" s="534"/>
      <c r="BM2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5-3'!$D$11:$Q319,BM$4,BM$5)"),"")</f>
        <v/>
      </c>
      <c r="BN281" s="534"/>
      <c r="BO2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5-3'!$D$11:$Q319,BO$4,BO$5)"),"")</f>
        <v/>
      </c>
      <c r="BP281" s="534"/>
      <c r="BQ2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5-3'!$D$11:$Q319,BQ$4,BQ$5)"),"")</f>
        <v/>
      </c>
      <c r="BR281" s="536"/>
      <c r="BS28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5-3'!$D$11:$Q319,BS$4,BS$5)"),"")</f>
        <v/>
      </c>
      <c r="BT281" s="534"/>
      <c r="BU281" s="534"/>
      <c r="BV281" s="534"/>
      <c r="BW281" s="534"/>
      <c r="BX2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5-3'!$D$11:$Q319,BX$4,BX$5)"),"")</f>
        <v/>
      </c>
      <c r="BY281" s="538"/>
      <c r="BZ2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5-3'!$D$11:$Q319,BZ$4,BZ$5)"),"")</f>
        <v/>
      </c>
      <c r="CA281" s="537"/>
      <c r="CB2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5-3'!$D$11:$Q319,CB$4,CB$5)"),"")</f>
        <v/>
      </c>
      <c r="CC281" s="537"/>
      <c r="CD2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5-3'!$D$11:$Q319,CD$4,CD$5)"),"")</f>
        <v/>
      </c>
      <c r="CE281" s="537"/>
      <c r="CF2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5-3'!$D$11:$Q319,CF$4,CF$5)"),"")</f>
        <v/>
      </c>
      <c r="CG281" s="539"/>
      <c r="CH28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5-3'!$D$11:$Q319,CH$4,CH$5)"),"")</f>
        <v/>
      </c>
      <c r="CI281" s="537"/>
      <c r="CJ281" s="537"/>
      <c r="CK281" s="537"/>
      <c r="CL281" s="537"/>
      <c r="CM2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5-3'!$D$11:$Q319,CM$4,CM$5)"),"")</f>
        <v/>
      </c>
      <c r="CN281" s="541"/>
      <c r="CO2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5-3'!$D$11:$Q319,CO$4,CO$5)"),"")</f>
        <v/>
      </c>
      <c r="CP281" s="540"/>
      <c r="CQ2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5-3'!$D$11:$Q319,CQ$4,CQ$5)"),"")</f>
        <v/>
      </c>
      <c r="CR281" s="540"/>
      <c r="CS2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5-3'!$D$11:$Q319,CS$4,CS$5)"),"")</f>
        <v/>
      </c>
      <c r="CT281" s="540"/>
      <c r="CU2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5-3'!$D$11:$Q319,CU$4,CU$5)"),"")</f>
        <v/>
      </c>
      <c r="CV281" s="545"/>
      <c r="CW28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5-3'!$D$11:$Q319,CW$4,CW$5)"),"")</f>
        <v/>
      </c>
      <c r="CX281" s="540"/>
      <c r="CY281" s="540"/>
      <c r="CZ281" s="540"/>
      <c r="DA281" s="540"/>
      <c r="DB2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5-3'!$D$11:$Q319,DB$4,DB$5)"),"")</f>
        <v/>
      </c>
      <c r="DC281" s="555"/>
      <c r="DD2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5-3'!$D$11:$Q319,DD$4,DD$5)"),"")</f>
        <v/>
      </c>
      <c r="DE281" s="554"/>
      <c r="DF2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5-3'!$D$11:$Q319,DF$4,DF$5)"),"")</f>
        <v/>
      </c>
      <c r="DG281" s="554"/>
      <c r="DH2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5-3'!$D$11:$Q319,DH$4,DH$5)"),"")</f>
        <v/>
      </c>
      <c r="DI281" s="554"/>
      <c r="DJ2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5-3'!$D$11:$Q319,DJ$4,DJ$5)"),"")</f>
        <v/>
      </c>
      <c r="DK281" s="566"/>
      <c r="DL28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5-3'!$D$11:$Q319,DL$4,DL$5)"),"")</f>
        <v/>
      </c>
      <c r="DM281" s="554"/>
      <c r="DN281" s="554"/>
      <c r="DO281" s="554"/>
      <c r="DP281" s="554"/>
      <c r="DQ2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5-3'!$D$11:$Q319,DQ$4,DQ$5)"),"")</f>
        <v/>
      </c>
      <c r="DR281" s="569"/>
      <c r="DS2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5-3'!$D$11:$Q319,DS$4,DS$5)"),"")</f>
        <v/>
      </c>
      <c r="DT281" s="568"/>
      <c r="DU2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5-3'!$D$11:$Q319,DU$4,DU$5)"),"")</f>
        <v/>
      </c>
      <c r="DV281" s="568"/>
      <c r="DW2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5-3'!$D$11:$Q319,DW$4,DW$5)"),"")</f>
        <v/>
      </c>
      <c r="DX281" s="568"/>
      <c r="DY2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5-3'!$D$11:$Q319,DY$4,DY$5)"),"")</f>
        <v/>
      </c>
      <c r="DZ281" s="578"/>
      <c r="EA28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$C281, 'S-10 Топ 5-3'!$D$11:$Q319,EA$4,EA$5)"),"")</f>
        <v/>
      </c>
      <c r="EB281" s="568"/>
      <c r="EC281" s="568"/>
      <c r="ED281" s="568"/>
      <c r="EE281" s="568"/>
    </row>
    <row r="282">
      <c r="A282" s="519" t="str">
        <f t="shared" si="1"/>
        <v/>
      </c>
      <c r="B282" s="520" t="str">
        <f>'5-0 Товары'!B282</f>
        <v/>
      </c>
      <c r="C282" s="521" t="str">
        <f>'5-1 Сбор КП Закупки'!C282</f>
        <v/>
      </c>
      <c r="D282" s="521" t="str">
        <f>'5-1 Сбор КП Закупки'!D282</f>
        <v/>
      </c>
      <c r="E282" s="521" t="str">
        <f>'5-1 Сбор КП Закупки'!E282</f>
        <v/>
      </c>
      <c r="F282" s="521" t="str">
        <f>'5-1 Сбор КП Закупки'!F282</f>
        <v/>
      </c>
      <c r="G282" s="522" t="str">
        <f>'5-1 Сбор КП Закупки'!G282</f>
        <v/>
      </c>
      <c r="H282" s="522" t="str">
        <f>'5-1 Сбор КП Закупки'!H282</f>
        <v/>
      </c>
      <c r="I282" s="522" t="str">
        <f>'5-1 Сбор КП Закупки'!I282</f>
        <v/>
      </c>
      <c r="J282" s="197"/>
      <c r="K282" s="522" t="str">
        <f>'5-1 Сбор КП Закупки'!G282</f>
        <v/>
      </c>
      <c r="L282" s="523" t="str">
        <f>IF(A282="Да",'5-1 Сбор КП Закупки'!K282,)</f>
        <v/>
      </c>
      <c r="M282" s="197"/>
      <c r="N282" s="197"/>
      <c r="O282" s="197"/>
      <c r="P282" s="525" t="str">
        <f>'5-1 Сбор КП Закупки'!P282</f>
        <v/>
      </c>
      <c r="Q282" s="197"/>
      <c r="R282" s="197"/>
      <c r="S282" s="197"/>
      <c r="T282" s="197"/>
      <c r="U282" s="197"/>
      <c r="V282" s="197"/>
      <c r="W282" s="522" t="str">
        <f>'5-1 Сбор КП Закупки'!O282</f>
        <v/>
      </c>
      <c r="X282" s="197"/>
      <c r="Y282" s="197"/>
      <c r="Z282" s="197"/>
      <c r="AA282" s="197"/>
      <c r="AB282" s="197">
        <v>0.0</v>
      </c>
      <c r="AC282" s="197"/>
      <c r="AD282" s="197"/>
      <c r="AE2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5-3'!$D$11:$Q319,AE$4,AE$5)"),"")</f>
        <v/>
      </c>
      <c r="AF282" s="528"/>
      <c r="AG2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5-3'!$D$11:$Q319,AG$4,AG$5)"),"")</f>
        <v/>
      </c>
      <c r="AH282" s="527"/>
      <c r="AI2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5-3'!$D$11:$Q319,AI$4,AI$5)"),"")</f>
        <v/>
      </c>
      <c r="AJ282" s="527"/>
      <c r="AK2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5-3'!$D$11:$Q319,AK$4,AK$5)"),"")</f>
        <v/>
      </c>
      <c r="AL282" s="527"/>
      <c r="AM2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5-3'!$D$11:$Q319,AM$4,AM$5)"),"")</f>
        <v/>
      </c>
      <c r="AN282" s="529"/>
      <c r="AO28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5-3'!$D$11:$Q319,AO$4,AO$5)"),"")</f>
        <v/>
      </c>
      <c r="AP282" s="527"/>
      <c r="AQ282" s="527"/>
      <c r="AR282" s="527"/>
      <c r="AS282" s="527"/>
      <c r="AT2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5-3'!$D$11:$Q319,AT$4,AT$5)"),"")</f>
        <v/>
      </c>
      <c r="AU282" s="531"/>
      <c r="AV2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5-3'!$D$11:$Q319,AV$4,AV$5)"),"")</f>
        <v/>
      </c>
      <c r="AW282" s="530"/>
      <c r="AX2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5-3'!$D$11:$Q319,AX$4,AX$5)"),"")</f>
        <v/>
      </c>
      <c r="AY282" s="530"/>
      <c r="AZ2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5-3'!$D$11:$Q319,AZ$4,AZ$5)"),"")</f>
        <v/>
      </c>
      <c r="BA282" s="530"/>
      <c r="BB2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5-3'!$D$11:$Q319,BB$4,BB$5)"),"")</f>
        <v/>
      </c>
      <c r="BC282" s="532"/>
      <c r="BD28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5-3'!$D$11:$Q319,BD$4,BD$5)"),"")</f>
        <v/>
      </c>
      <c r="BE282" s="530"/>
      <c r="BF282" s="530"/>
      <c r="BG282" s="530"/>
      <c r="BH282" s="530"/>
      <c r="BI2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5-3'!$D$11:$Q319,BI$4,BI$5)"),"")</f>
        <v/>
      </c>
      <c r="BJ282" s="535"/>
      <c r="BK2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5-3'!$D$11:$Q319,BK$4,BK$5)"),"")</f>
        <v/>
      </c>
      <c r="BL282" s="534"/>
      <c r="BM2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5-3'!$D$11:$Q319,BM$4,BM$5)"),"")</f>
        <v/>
      </c>
      <c r="BN282" s="534"/>
      <c r="BO2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5-3'!$D$11:$Q319,BO$4,BO$5)"),"")</f>
        <v/>
      </c>
      <c r="BP282" s="534"/>
      <c r="BQ2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5-3'!$D$11:$Q319,BQ$4,BQ$5)"),"")</f>
        <v/>
      </c>
      <c r="BR282" s="536"/>
      <c r="BS28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5-3'!$D$11:$Q319,BS$4,BS$5)"),"")</f>
        <v/>
      </c>
      <c r="BT282" s="534"/>
      <c r="BU282" s="534"/>
      <c r="BV282" s="534"/>
      <c r="BW282" s="534"/>
      <c r="BX2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5-3'!$D$11:$Q319,BX$4,BX$5)"),"")</f>
        <v/>
      </c>
      <c r="BY282" s="538"/>
      <c r="BZ2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5-3'!$D$11:$Q319,BZ$4,BZ$5)"),"")</f>
        <v/>
      </c>
      <c r="CA282" s="537"/>
      <c r="CB2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5-3'!$D$11:$Q319,CB$4,CB$5)"),"")</f>
        <v/>
      </c>
      <c r="CC282" s="537"/>
      <c r="CD2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5-3'!$D$11:$Q319,CD$4,CD$5)"),"")</f>
        <v/>
      </c>
      <c r="CE282" s="537"/>
      <c r="CF2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5-3'!$D$11:$Q319,CF$4,CF$5)"),"")</f>
        <v/>
      </c>
      <c r="CG282" s="539"/>
      <c r="CH28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5-3'!$D$11:$Q319,CH$4,CH$5)"),"")</f>
        <v/>
      </c>
      <c r="CI282" s="537"/>
      <c r="CJ282" s="537"/>
      <c r="CK282" s="537"/>
      <c r="CL282" s="537"/>
      <c r="CM2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5-3'!$D$11:$Q319,CM$4,CM$5)"),"")</f>
        <v/>
      </c>
      <c r="CN282" s="541"/>
      <c r="CO2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5-3'!$D$11:$Q319,CO$4,CO$5)"),"")</f>
        <v/>
      </c>
      <c r="CP282" s="540"/>
      <c r="CQ2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5-3'!$D$11:$Q319,CQ$4,CQ$5)"),"")</f>
        <v/>
      </c>
      <c r="CR282" s="540"/>
      <c r="CS2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5-3'!$D$11:$Q319,CS$4,CS$5)"),"")</f>
        <v/>
      </c>
      <c r="CT282" s="540"/>
      <c r="CU2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5-3'!$D$11:$Q319,CU$4,CU$5)"),"")</f>
        <v/>
      </c>
      <c r="CV282" s="545"/>
      <c r="CW28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5-3'!$D$11:$Q319,CW$4,CW$5)"),"")</f>
        <v/>
      </c>
      <c r="CX282" s="540"/>
      <c r="CY282" s="540"/>
      <c r="CZ282" s="540"/>
      <c r="DA282" s="540"/>
      <c r="DB2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5-3'!$D$11:$Q319,DB$4,DB$5)"),"")</f>
        <v/>
      </c>
      <c r="DC282" s="555"/>
      <c r="DD2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5-3'!$D$11:$Q319,DD$4,DD$5)"),"")</f>
        <v/>
      </c>
      <c r="DE282" s="554"/>
      <c r="DF2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5-3'!$D$11:$Q319,DF$4,DF$5)"),"")</f>
        <v/>
      </c>
      <c r="DG282" s="554"/>
      <c r="DH2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5-3'!$D$11:$Q319,DH$4,DH$5)"),"")</f>
        <v/>
      </c>
      <c r="DI282" s="554"/>
      <c r="DJ2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5-3'!$D$11:$Q319,DJ$4,DJ$5)"),"")</f>
        <v/>
      </c>
      <c r="DK282" s="566"/>
      <c r="DL28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5-3'!$D$11:$Q319,DL$4,DL$5)"),"")</f>
        <v/>
      </c>
      <c r="DM282" s="554"/>
      <c r="DN282" s="554"/>
      <c r="DO282" s="554"/>
      <c r="DP282" s="554"/>
      <c r="DQ2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5-3'!$D$11:$Q319,DQ$4,DQ$5)"),"")</f>
        <v/>
      </c>
      <c r="DR282" s="569"/>
      <c r="DS2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5-3'!$D$11:$Q319,DS$4,DS$5)"),"")</f>
        <v/>
      </c>
      <c r="DT282" s="568"/>
      <c r="DU2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5-3'!$D$11:$Q319,DU$4,DU$5)"),"")</f>
        <v/>
      </c>
      <c r="DV282" s="568"/>
      <c r="DW2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5-3'!$D$11:$Q319,DW$4,DW$5)"),"")</f>
        <v/>
      </c>
      <c r="DX282" s="568"/>
      <c r="DY2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5-3'!$D$11:$Q319,DY$4,DY$5)"),"")</f>
        <v/>
      </c>
      <c r="DZ282" s="578"/>
      <c r="EA28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$C282, 'S-10 Топ 5-3'!$D$11:$Q319,EA$4,EA$5)"),"")</f>
        <v/>
      </c>
      <c r="EB282" s="568"/>
      <c r="EC282" s="568"/>
      <c r="ED282" s="568"/>
      <c r="EE282" s="568"/>
    </row>
    <row r="283">
      <c r="A283" s="519" t="str">
        <f t="shared" si="1"/>
        <v/>
      </c>
      <c r="B283" s="520" t="str">
        <f>'5-0 Товары'!B283</f>
        <v/>
      </c>
      <c r="C283" s="521" t="str">
        <f>'5-1 Сбор КП Закупки'!C283</f>
        <v/>
      </c>
      <c r="D283" s="521" t="str">
        <f>'5-1 Сбор КП Закупки'!D283</f>
        <v/>
      </c>
      <c r="E283" s="521" t="str">
        <f>'5-1 Сбор КП Закупки'!E283</f>
        <v/>
      </c>
      <c r="F283" s="521" t="str">
        <f>'5-1 Сбор КП Закупки'!F283</f>
        <v/>
      </c>
      <c r="G283" s="522" t="str">
        <f>'5-1 Сбор КП Закупки'!G283</f>
        <v/>
      </c>
      <c r="H283" s="522" t="str">
        <f>'5-1 Сбор КП Закупки'!H283</f>
        <v/>
      </c>
      <c r="I283" s="522" t="str">
        <f>'5-1 Сбор КП Закупки'!I283</f>
        <v/>
      </c>
      <c r="J283" s="197"/>
      <c r="K283" s="522" t="str">
        <f>'5-1 Сбор КП Закупки'!G283</f>
        <v/>
      </c>
      <c r="L283" s="523" t="str">
        <f>IF(A283="Да",'5-1 Сбор КП Закупки'!K283,)</f>
        <v/>
      </c>
      <c r="M283" s="197"/>
      <c r="N283" s="197"/>
      <c r="O283" s="197"/>
      <c r="P283" s="525" t="str">
        <f>'5-1 Сбор КП Закупки'!P283</f>
        <v/>
      </c>
      <c r="Q283" s="197"/>
      <c r="R283" s="197"/>
      <c r="S283" s="197"/>
      <c r="T283" s="197"/>
      <c r="U283" s="197"/>
      <c r="V283" s="197"/>
      <c r="W283" s="522" t="str">
        <f>'5-1 Сбор КП Закупки'!O283</f>
        <v/>
      </c>
      <c r="X283" s="197"/>
      <c r="Y283" s="197"/>
      <c r="Z283" s="197"/>
      <c r="AA283" s="197"/>
      <c r="AB283" s="197">
        <v>0.0</v>
      </c>
      <c r="AC283" s="197"/>
      <c r="AD283" s="197"/>
      <c r="AE2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5-3'!$D$11:$Q319,AE$4,AE$5)"),"")</f>
        <v/>
      </c>
      <c r="AF283" s="528"/>
      <c r="AG2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5-3'!$D$11:$Q319,AG$4,AG$5)"),"")</f>
        <v/>
      </c>
      <c r="AH283" s="527"/>
      <c r="AI2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5-3'!$D$11:$Q319,AI$4,AI$5)"),"")</f>
        <v/>
      </c>
      <c r="AJ283" s="527"/>
      <c r="AK2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5-3'!$D$11:$Q319,AK$4,AK$5)"),"")</f>
        <v/>
      </c>
      <c r="AL283" s="527"/>
      <c r="AM2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5-3'!$D$11:$Q319,AM$4,AM$5)"),"")</f>
        <v/>
      </c>
      <c r="AN283" s="529"/>
      <c r="AO28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5-3'!$D$11:$Q319,AO$4,AO$5)"),"")</f>
        <v/>
      </c>
      <c r="AP283" s="527"/>
      <c r="AQ283" s="527"/>
      <c r="AR283" s="527"/>
      <c r="AS283" s="527"/>
      <c r="AT2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5-3'!$D$11:$Q319,AT$4,AT$5)"),"")</f>
        <v/>
      </c>
      <c r="AU283" s="531"/>
      <c r="AV2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5-3'!$D$11:$Q319,AV$4,AV$5)"),"")</f>
        <v/>
      </c>
      <c r="AW283" s="530"/>
      <c r="AX2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5-3'!$D$11:$Q319,AX$4,AX$5)"),"")</f>
        <v/>
      </c>
      <c r="AY283" s="530"/>
      <c r="AZ2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5-3'!$D$11:$Q319,AZ$4,AZ$5)"),"")</f>
        <v/>
      </c>
      <c r="BA283" s="530"/>
      <c r="BB2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5-3'!$D$11:$Q319,BB$4,BB$5)"),"")</f>
        <v/>
      </c>
      <c r="BC283" s="532"/>
      <c r="BD28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5-3'!$D$11:$Q319,BD$4,BD$5)"),"")</f>
        <v/>
      </c>
      <c r="BE283" s="530"/>
      <c r="BF283" s="530"/>
      <c r="BG283" s="530"/>
      <c r="BH283" s="530"/>
      <c r="BI2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5-3'!$D$11:$Q319,BI$4,BI$5)"),"")</f>
        <v/>
      </c>
      <c r="BJ283" s="535"/>
      <c r="BK2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5-3'!$D$11:$Q319,BK$4,BK$5)"),"")</f>
        <v/>
      </c>
      <c r="BL283" s="534"/>
      <c r="BM2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5-3'!$D$11:$Q319,BM$4,BM$5)"),"")</f>
        <v/>
      </c>
      <c r="BN283" s="534"/>
      <c r="BO2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5-3'!$D$11:$Q319,BO$4,BO$5)"),"")</f>
        <v/>
      </c>
      <c r="BP283" s="534"/>
      <c r="BQ2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5-3'!$D$11:$Q319,BQ$4,BQ$5)"),"")</f>
        <v/>
      </c>
      <c r="BR283" s="536"/>
      <c r="BS28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5-3'!$D$11:$Q319,BS$4,BS$5)"),"")</f>
        <v/>
      </c>
      <c r="BT283" s="534"/>
      <c r="BU283" s="534"/>
      <c r="BV283" s="534"/>
      <c r="BW283" s="534"/>
      <c r="BX2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5-3'!$D$11:$Q319,BX$4,BX$5)"),"")</f>
        <v/>
      </c>
      <c r="BY283" s="538"/>
      <c r="BZ2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5-3'!$D$11:$Q319,BZ$4,BZ$5)"),"")</f>
        <v/>
      </c>
      <c r="CA283" s="537"/>
      <c r="CB2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5-3'!$D$11:$Q319,CB$4,CB$5)"),"")</f>
        <v/>
      </c>
      <c r="CC283" s="537"/>
      <c r="CD2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5-3'!$D$11:$Q319,CD$4,CD$5)"),"")</f>
        <v/>
      </c>
      <c r="CE283" s="537"/>
      <c r="CF2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5-3'!$D$11:$Q319,CF$4,CF$5)"),"")</f>
        <v/>
      </c>
      <c r="CG283" s="539"/>
      <c r="CH28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5-3'!$D$11:$Q319,CH$4,CH$5)"),"")</f>
        <v/>
      </c>
      <c r="CI283" s="537"/>
      <c r="CJ283" s="537"/>
      <c r="CK283" s="537"/>
      <c r="CL283" s="537"/>
      <c r="CM2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5-3'!$D$11:$Q319,CM$4,CM$5)"),"")</f>
        <v/>
      </c>
      <c r="CN283" s="541"/>
      <c r="CO2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5-3'!$D$11:$Q319,CO$4,CO$5)"),"")</f>
        <v/>
      </c>
      <c r="CP283" s="540"/>
      <c r="CQ2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5-3'!$D$11:$Q319,CQ$4,CQ$5)"),"")</f>
        <v/>
      </c>
      <c r="CR283" s="540"/>
      <c r="CS2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5-3'!$D$11:$Q319,CS$4,CS$5)"),"")</f>
        <v/>
      </c>
      <c r="CT283" s="540"/>
      <c r="CU2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5-3'!$D$11:$Q319,CU$4,CU$5)"),"")</f>
        <v/>
      </c>
      <c r="CV283" s="545"/>
      <c r="CW28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5-3'!$D$11:$Q319,CW$4,CW$5)"),"")</f>
        <v/>
      </c>
      <c r="CX283" s="540"/>
      <c r="CY283" s="540"/>
      <c r="CZ283" s="540"/>
      <c r="DA283" s="540"/>
      <c r="DB2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5-3'!$D$11:$Q319,DB$4,DB$5)"),"")</f>
        <v/>
      </c>
      <c r="DC283" s="555"/>
      <c r="DD2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5-3'!$D$11:$Q319,DD$4,DD$5)"),"")</f>
        <v/>
      </c>
      <c r="DE283" s="554"/>
      <c r="DF2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5-3'!$D$11:$Q319,DF$4,DF$5)"),"")</f>
        <v/>
      </c>
      <c r="DG283" s="554"/>
      <c r="DH2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5-3'!$D$11:$Q319,DH$4,DH$5)"),"")</f>
        <v/>
      </c>
      <c r="DI283" s="554"/>
      <c r="DJ2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5-3'!$D$11:$Q319,DJ$4,DJ$5)"),"")</f>
        <v/>
      </c>
      <c r="DK283" s="566"/>
      <c r="DL28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5-3'!$D$11:$Q319,DL$4,DL$5)"),"")</f>
        <v/>
      </c>
      <c r="DM283" s="554"/>
      <c r="DN283" s="554"/>
      <c r="DO283" s="554"/>
      <c r="DP283" s="554"/>
      <c r="DQ2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5-3'!$D$11:$Q319,DQ$4,DQ$5)"),"")</f>
        <v/>
      </c>
      <c r="DR283" s="569"/>
      <c r="DS2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5-3'!$D$11:$Q319,DS$4,DS$5)"),"")</f>
        <v/>
      </c>
      <c r="DT283" s="568"/>
      <c r="DU2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5-3'!$D$11:$Q319,DU$4,DU$5)"),"")</f>
        <v/>
      </c>
      <c r="DV283" s="568"/>
      <c r="DW2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5-3'!$D$11:$Q319,DW$4,DW$5)"),"")</f>
        <v/>
      </c>
      <c r="DX283" s="568"/>
      <c r="DY2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5-3'!$D$11:$Q319,DY$4,DY$5)"),"")</f>
        <v/>
      </c>
      <c r="DZ283" s="578"/>
      <c r="EA28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$C283, 'S-10 Топ 5-3'!$D$11:$Q319,EA$4,EA$5)"),"")</f>
        <v/>
      </c>
      <c r="EB283" s="568"/>
      <c r="EC283" s="568"/>
      <c r="ED283" s="568"/>
      <c r="EE283" s="568"/>
    </row>
    <row r="284">
      <c r="A284" s="519" t="str">
        <f t="shared" si="1"/>
        <v/>
      </c>
      <c r="B284" s="520" t="str">
        <f>'5-0 Товары'!B284</f>
        <v/>
      </c>
      <c r="C284" s="521" t="str">
        <f>'5-1 Сбор КП Закупки'!C284</f>
        <v/>
      </c>
      <c r="D284" s="521" t="str">
        <f>'5-1 Сбор КП Закупки'!D284</f>
        <v/>
      </c>
      <c r="E284" s="521" t="str">
        <f>'5-1 Сбор КП Закупки'!E284</f>
        <v/>
      </c>
      <c r="F284" s="521" t="str">
        <f>'5-1 Сбор КП Закупки'!F284</f>
        <v/>
      </c>
      <c r="G284" s="522" t="str">
        <f>'5-1 Сбор КП Закупки'!G284</f>
        <v/>
      </c>
      <c r="H284" s="522" t="str">
        <f>'5-1 Сбор КП Закупки'!H284</f>
        <v/>
      </c>
      <c r="I284" s="522" t="str">
        <f>'5-1 Сбор КП Закупки'!I284</f>
        <v/>
      </c>
      <c r="J284" s="197"/>
      <c r="K284" s="522" t="str">
        <f>'5-1 Сбор КП Закупки'!G284</f>
        <v/>
      </c>
      <c r="L284" s="523" t="str">
        <f>IF(A284="Да",'5-1 Сбор КП Закупки'!K284,)</f>
        <v/>
      </c>
      <c r="M284" s="197"/>
      <c r="N284" s="197"/>
      <c r="O284" s="197"/>
      <c r="P284" s="525" t="str">
        <f>'5-1 Сбор КП Закупки'!P284</f>
        <v/>
      </c>
      <c r="Q284" s="197"/>
      <c r="R284" s="197"/>
      <c r="S284" s="197"/>
      <c r="T284" s="197"/>
      <c r="U284" s="197"/>
      <c r="V284" s="197"/>
      <c r="W284" s="522" t="str">
        <f>'5-1 Сбор КП Закупки'!O284</f>
        <v/>
      </c>
      <c r="X284" s="197"/>
      <c r="Y284" s="197"/>
      <c r="Z284" s="197"/>
      <c r="AA284" s="197"/>
      <c r="AB284" s="197">
        <v>0.0</v>
      </c>
      <c r="AC284" s="197"/>
      <c r="AD284" s="197"/>
      <c r="AE2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5-3'!$D$11:$Q319,AE$4,AE$5)"),"")</f>
        <v/>
      </c>
      <c r="AF284" s="528"/>
      <c r="AG2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5-3'!$D$11:$Q319,AG$4,AG$5)"),"")</f>
        <v/>
      </c>
      <c r="AH284" s="527"/>
      <c r="AI2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5-3'!$D$11:$Q319,AI$4,AI$5)"),"")</f>
        <v/>
      </c>
      <c r="AJ284" s="527"/>
      <c r="AK2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5-3'!$D$11:$Q319,AK$4,AK$5)"),"")</f>
        <v/>
      </c>
      <c r="AL284" s="527"/>
      <c r="AM2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5-3'!$D$11:$Q319,AM$4,AM$5)"),"")</f>
        <v/>
      </c>
      <c r="AN284" s="529"/>
      <c r="AO28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5-3'!$D$11:$Q319,AO$4,AO$5)"),"")</f>
        <v/>
      </c>
      <c r="AP284" s="527"/>
      <c r="AQ284" s="527"/>
      <c r="AR284" s="527"/>
      <c r="AS284" s="527"/>
      <c r="AT2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5-3'!$D$11:$Q319,AT$4,AT$5)"),"")</f>
        <v/>
      </c>
      <c r="AU284" s="531"/>
      <c r="AV2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5-3'!$D$11:$Q319,AV$4,AV$5)"),"")</f>
        <v/>
      </c>
      <c r="AW284" s="530"/>
      <c r="AX2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5-3'!$D$11:$Q319,AX$4,AX$5)"),"")</f>
        <v/>
      </c>
      <c r="AY284" s="530"/>
      <c r="AZ2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5-3'!$D$11:$Q319,AZ$4,AZ$5)"),"")</f>
        <v/>
      </c>
      <c r="BA284" s="530"/>
      <c r="BB2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5-3'!$D$11:$Q319,BB$4,BB$5)"),"")</f>
        <v/>
      </c>
      <c r="BC284" s="532"/>
      <c r="BD28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5-3'!$D$11:$Q319,BD$4,BD$5)"),"")</f>
        <v/>
      </c>
      <c r="BE284" s="530"/>
      <c r="BF284" s="530"/>
      <c r="BG284" s="530"/>
      <c r="BH284" s="530"/>
      <c r="BI2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5-3'!$D$11:$Q319,BI$4,BI$5)"),"")</f>
        <v/>
      </c>
      <c r="BJ284" s="535"/>
      <c r="BK2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5-3'!$D$11:$Q319,BK$4,BK$5)"),"")</f>
        <v/>
      </c>
      <c r="BL284" s="534"/>
      <c r="BM2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5-3'!$D$11:$Q319,BM$4,BM$5)"),"")</f>
        <v/>
      </c>
      <c r="BN284" s="534"/>
      <c r="BO2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5-3'!$D$11:$Q319,BO$4,BO$5)"),"")</f>
        <v/>
      </c>
      <c r="BP284" s="534"/>
      <c r="BQ2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5-3'!$D$11:$Q319,BQ$4,BQ$5)"),"")</f>
        <v/>
      </c>
      <c r="BR284" s="536"/>
      <c r="BS28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5-3'!$D$11:$Q319,BS$4,BS$5)"),"")</f>
        <v/>
      </c>
      <c r="BT284" s="534"/>
      <c r="BU284" s="534"/>
      <c r="BV284" s="534"/>
      <c r="BW284" s="534"/>
      <c r="BX2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5-3'!$D$11:$Q319,BX$4,BX$5)"),"")</f>
        <v/>
      </c>
      <c r="BY284" s="538"/>
      <c r="BZ2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5-3'!$D$11:$Q319,BZ$4,BZ$5)"),"")</f>
        <v/>
      </c>
      <c r="CA284" s="537"/>
      <c r="CB2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5-3'!$D$11:$Q319,CB$4,CB$5)"),"")</f>
        <v/>
      </c>
      <c r="CC284" s="537"/>
      <c r="CD2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5-3'!$D$11:$Q319,CD$4,CD$5)"),"")</f>
        <v/>
      </c>
      <c r="CE284" s="537"/>
      <c r="CF2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5-3'!$D$11:$Q319,CF$4,CF$5)"),"")</f>
        <v/>
      </c>
      <c r="CG284" s="539"/>
      <c r="CH28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5-3'!$D$11:$Q319,CH$4,CH$5)"),"")</f>
        <v/>
      </c>
      <c r="CI284" s="537"/>
      <c r="CJ284" s="537"/>
      <c r="CK284" s="537"/>
      <c r="CL284" s="537"/>
      <c r="CM2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5-3'!$D$11:$Q319,CM$4,CM$5)"),"")</f>
        <v/>
      </c>
      <c r="CN284" s="541"/>
      <c r="CO2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5-3'!$D$11:$Q319,CO$4,CO$5)"),"")</f>
        <v/>
      </c>
      <c r="CP284" s="540"/>
      <c r="CQ2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5-3'!$D$11:$Q319,CQ$4,CQ$5)"),"")</f>
        <v/>
      </c>
      <c r="CR284" s="540"/>
      <c r="CS2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5-3'!$D$11:$Q319,CS$4,CS$5)"),"")</f>
        <v/>
      </c>
      <c r="CT284" s="540"/>
      <c r="CU2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5-3'!$D$11:$Q319,CU$4,CU$5)"),"")</f>
        <v/>
      </c>
      <c r="CV284" s="545"/>
      <c r="CW28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5-3'!$D$11:$Q319,CW$4,CW$5)"),"")</f>
        <v/>
      </c>
      <c r="CX284" s="540"/>
      <c r="CY284" s="540"/>
      <c r="CZ284" s="540"/>
      <c r="DA284" s="540"/>
      <c r="DB2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5-3'!$D$11:$Q319,DB$4,DB$5)"),"")</f>
        <v/>
      </c>
      <c r="DC284" s="555"/>
      <c r="DD2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5-3'!$D$11:$Q319,DD$4,DD$5)"),"")</f>
        <v/>
      </c>
      <c r="DE284" s="554"/>
      <c r="DF2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5-3'!$D$11:$Q319,DF$4,DF$5)"),"")</f>
        <v/>
      </c>
      <c r="DG284" s="554"/>
      <c r="DH2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5-3'!$D$11:$Q319,DH$4,DH$5)"),"")</f>
        <v/>
      </c>
      <c r="DI284" s="554"/>
      <c r="DJ2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5-3'!$D$11:$Q319,DJ$4,DJ$5)"),"")</f>
        <v/>
      </c>
      <c r="DK284" s="566"/>
      <c r="DL28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5-3'!$D$11:$Q319,DL$4,DL$5)"),"")</f>
        <v/>
      </c>
      <c r="DM284" s="554"/>
      <c r="DN284" s="554"/>
      <c r="DO284" s="554"/>
      <c r="DP284" s="554"/>
      <c r="DQ2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5-3'!$D$11:$Q319,DQ$4,DQ$5)"),"")</f>
        <v/>
      </c>
      <c r="DR284" s="569"/>
      <c r="DS2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5-3'!$D$11:$Q319,DS$4,DS$5)"),"")</f>
        <v/>
      </c>
      <c r="DT284" s="568"/>
      <c r="DU2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5-3'!$D$11:$Q319,DU$4,DU$5)"),"")</f>
        <v/>
      </c>
      <c r="DV284" s="568"/>
      <c r="DW2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5-3'!$D$11:$Q319,DW$4,DW$5)"),"")</f>
        <v/>
      </c>
      <c r="DX284" s="568"/>
      <c r="DY2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5-3'!$D$11:$Q319,DY$4,DY$5)"),"")</f>
        <v/>
      </c>
      <c r="DZ284" s="578"/>
      <c r="EA28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$C284, 'S-10 Топ 5-3'!$D$11:$Q319,EA$4,EA$5)"),"")</f>
        <v/>
      </c>
      <c r="EB284" s="568"/>
      <c r="EC284" s="568"/>
      <c r="ED284" s="568"/>
      <c r="EE284" s="568"/>
    </row>
    <row r="285">
      <c r="A285" s="519" t="str">
        <f t="shared" si="1"/>
        <v/>
      </c>
      <c r="B285" s="520" t="str">
        <f>'5-0 Товары'!B285</f>
        <v/>
      </c>
      <c r="C285" s="521" t="str">
        <f>'5-1 Сбор КП Закупки'!C285</f>
        <v/>
      </c>
      <c r="D285" s="521" t="str">
        <f>'5-1 Сбор КП Закупки'!D285</f>
        <v/>
      </c>
      <c r="E285" s="521" t="str">
        <f>'5-1 Сбор КП Закупки'!E285</f>
        <v/>
      </c>
      <c r="F285" s="521" t="str">
        <f>'5-1 Сбор КП Закупки'!F285</f>
        <v/>
      </c>
      <c r="G285" s="522" t="str">
        <f>'5-1 Сбор КП Закупки'!G285</f>
        <v/>
      </c>
      <c r="H285" s="522" t="str">
        <f>'5-1 Сбор КП Закупки'!H285</f>
        <v/>
      </c>
      <c r="I285" s="522" t="str">
        <f>'5-1 Сбор КП Закупки'!I285</f>
        <v/>
      </c>
      <c r="J285" s="197"/>
      <c r="K285" s="522" t="str">
        <f>'5-1 Сбор КП Закупки'!G285</f>
        <v/>
      </c>
      <c r="L285" s="523" t="str">
        <f>IF(A285="Да",'5-1 Сбор КП Закупки'!K285,)</f>
        <v/>
      </c>
      <c r="M285" s="197"/>
      <c r="N285" s="197"/>
      <c r="O285" s="197"/>
      <c r="P285" s="525" t="str">
        <f>'5-1 Сбор КП Закупки'!P285</f>
        <v/>
      </c>
      <c r="Q285" s="197"/>
      <c r="R285" s="197"/>
      <c r="S285" s="197"/>
      <c r="T285" s="197"/>
      <c r="U285" s="197"/>
      <c r="V285" s="197"/>
      <c r="W285" s="522" t="str">
        <f>'5-1 Сбор КП Закупки'!O285</f>
        <v/>
      </c>
      <c r="X285" s="197"/>
      <c r="Y285" s="197"/>
      <c r="Z285" s="197"/>
      <c r="AA285" s="197"/>
      <c r="AB285" s="197">
        <v>0.0</v>
      </c>
      <c r="AC285" s="197"/>
      <c r="AD285" s="197"/>
      <c r="AE2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5-3'!$D$11:$Q319,AE$4,AE$5)"),"")</f>
        <v/>
      </c>
      <c r="AF285" s="528"/>
      <c r="AG2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5-3'!$D$11:$Q319,AG$4,AG$5)"),"")</f>
        <v/>
      </c>
      <c r="AH285" s="527"/>
      <c r="AI2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5-3'!$D$11:$Q319,AI$4,AI$5)"),"")</f>
        <v/>
      </c>
      <c r="AJ285" s="527"/>
      <c r="AK2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5-3'!$D$11:$Q319,AK$4,AK$5)"),"")</f>
        <v/>
      </c>
      <c r="AL285" s="527"/>
      <c r="AM2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5-3'!$D$11:$Q319,AM$4,AM$5)"),"")</f>
        <v/>
      </c>
      <c r="AN285" s="529"/>
      <c r="AO28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5-3'!$D$11:$Q319,AO$4,AO$5)"),"")</f>
        <v/>
      </c>
      <c r="AP285" s="527"/>
      <c r="AQ285" s="527"/>
      <c r="AR285" s="527"/>
      <c r="AS285" s="527"/>
      <c r="AT2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5-3'!$D$11:$Q319,AT$4,AT$5)"),"")</f>
        <v/>
      </c>
      <c r="AU285" s="531"/>
      <c r="AV2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5-3'!$D$11:$Q319,AV$4,AV$5)"),"")</f>
        <v/>
      </c>
      <c r="AW285" s="530"/>
      <c r="AX2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5-3'!$D$11:$Q319,AX$4,AX$5)"),"")</f>
        <v/>
      </c>
      <c r="AY285" s="530"/>
      <c r="AZ2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5-3'!$D$11:$Q319,AZ$4,AZ$5)"),"")</f>
        <v/>
      </c>
      <c r="BA285" s="530"/>
      <c r="BB2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5-3'!$D$11:$Q319,BB$4,BB$5)"),"")</f>
        <v/>
      </c>
      <c r="BC285" s="532"/>
      <c r="BD28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5-3'!$D$11:$Q319,BD$4,BD$5)"),"")</f>
        <v/>
      </c>
      <c r="BE285" s="530"/>
      <c r="BF285" s="530"/>
      <c r="BG285" s="530"/>
      <c r="BH285" s="530"/>
      <c r="BI2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5-3'!$D$11:$Q319,BI$4,BI$5)"),"")</f>
        <v/>
      </c>
      <c r="BJ285" s="535"/>
      <c r="BK2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5-3'!$D$11:$Q319,BK$4,BK$5)"),"")</f>
        <v/>
      </c>
      <c r="BL285" s="534"/>
      <c r="BM2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5-3'!$D$11:$Q319,BM$4,BM$5)"),"")</f>
        <v/>
      </c>
      <c r="BN285" s="534"/>
      <c r="BO2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5-3'!$D$11:$Q319,BO$4,BO$5)"),"")</f>
        <v/>
      </c>
      <c r="BP285" s="534"/>
      <c r="BQ2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5-3'!$D$11:$Q319,BQ$4,BQ$5)"),"")</f>
        <v/>
      </c>
      <c r="BR285" s="536"/>
      <c r="BS28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5-3'!$D$11:$Q319,BS$4,BS$5)"),"")</f>
        <v/>
      </c>
      <c r="BT285" s="534"/>
      <c r="BU285" s="534"/>
      <c r="BV285" s="534"/>
      <c r="BW285" s="534"/>
      <c r="BX2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5-3'!$D$11:$Q319,BX$4,BX$5)"),"")</f>
        <v/>
      </c>
      <c r="BY285" s="538"/>
      <c r="BZ2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5-3'!$D$11:$Q319,BZ$4,BZ$5)"),"")</f>
        <v/>
      </c>
      <c r="CA285" s="537"/>
      <c r="CB2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5-3'!$D$11:$Q319,CB$4,CB$5)"),"")</f>
        <v/>
      </c>
      <c r="CC285" s="537"/>
      <c r="CD2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5-3'!$D$11:$Q319,CD$4,CD$5)"),"")</f>
        <v/>
      </c>
      <c r="CE285" s="537"/>
      <c r="CF2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5-3'!$D$11:$Q319,CF$4,CF$5)"),"")</f>
        <v/>
      </c>
      <c r="CG285" s="539"/>
      <c r="CH28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5-3'!$D$11:$Q319,CH$4,CH$5)"),"")</f>
        <v/>
      </c>
      <c r="CI285" s="537"/>
      <c r="CJ285" s="537"/>
      <c r="CK285" s="537"/>
      <c r="CL285" s="537"/>
      <c r="CM2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5-3'!$D$11:$Q319,CM$4,CM$5)"),"")</f>
        <v/>
      </c>
      <c r="CN285" s="541"/>
      <c r="CO2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5-3'!$D$11:$Q319,CO$4,CO$5)"),"")</f>
        <v/>
      </c>
      <c r="CP285" s="540"/>
      <c r="CQ2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5-3'!$D$11:$Q319,CQ$4,CQ$5)"),"")</f>
        <v/>
      </c>
      <c r="CR285" s="540"/>
      <c r="CS2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5-3'!$D$11:$Q319,CS$4,CS$5)"),"")</f>
        <v/>
      </c>
      <c r="CT285" s="540"/>
      <c r="CU2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5-3'!$D$11:$Q319,CU$4,CU$5)"),"")</f>
        <v/>
      </c>
      <c r="CV285" s="545"/>
      <c r="CW28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5-3'!$D$11:$Q319,CW$4,CW$5)"),"")</f>
        <v/>
      </c>
      <c r="CX285" s="540"/>
      <c r="CY285" s="540"/>
      <c r="CZ285" s="540"/>
      <c r="DA285" s="540"/>
      <c r="DB2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5-3'!$D$11:$Q319,DB$4,DB$5)"),"")</f>
        <v/>
      </c>
      <c r="DC285" s="555"/>
      <c r="DD2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5-3'!$D$11:$Q319,DD$4,DD$5)"),"")</f>
        <v/>
      </c>
      <c r="DE285" s="554"/>
      <c r="DF2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5-3'!$D$11:$Q319,DF$4,DF$5)"),"")</f>
        <v/>
      </c>
      <c r="DG285" s="554"/>
      <c r="DH2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5-3'!$D$11:$Q319,DH$4,DH$5)"),"")</f>
        <v/>
      </c>
      <c r="DI285" s="554"/>
      <c r="DJ2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5-3'!$D$11:$Q319,DJ$4,DJ$5)"),"")</f>
        <v/>
      </c>
      <c r="DK285" s="566"/>
      <c r="DL28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5-3'!$D$11:$Q319,DL$4,DL$5)"),"")</f>
        <v/>
      </c>
      <c r="DM285" s="554"/>
      <c r="DN285" s="554"/>
      <c r="DO285" s="554"/>
      <c r="DP285" s="554"/>
      <c r="DQ2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5-3'!$D$11:$Q319,DQ$4,DQ$5)"),"")</f>
        <v/>
      </c>
      <c r="DR285" s="569"/>
      <c r="DS2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5-3'!$D$11:$Q319,DS$4,DS$5)"),"")</f>
        <v/>
      </c>
      <c r="DT285" s="568"/>
      <c r="DU2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5-3'!$D$11:$Q319,DU$4,DU$5)"),"")</f>
        <v/>
      </c>
      <c r="DV285" s="568"/>
      <c r="DW2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5-3'!$D$11:$Q319,DW$4,DW$5)"),"")</f>
        <v/>
      </c>
      <c r="DX285" s="568"/>
      <c r="DY2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5-3'!$D$11:$Q319,DY$4,DY$5)"),"")</f>
        <v/>
      </c>
      <c r="DZ285" s="578"/>
      <c r="EA28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$C285, 'S-10 Топ 5-3'!$D$11:$Q319,EA$4,EA$5)"),"")</f>
        <v/>
      </c>
      <c r="EB285" s="568"/>
      <c r="EC285" s="568"/>
      <c r="ED285" s="568"/>
      <c r="EE285" s="568"/>
    </row>
    <row r="286">
      <c r="A286" s="519" t="str">
        <f t="shared" si="1"/>
        <v/>
      </c>
      <c r="B286" s="520" t="str">
        <f>'5-0 Товары'!B286</f>
        <v/>
      </c>
      <c r="C286" s="521" t="str">
        <f>'5-1 Сбор КП Закупки'!C286</f>
        <v/>
      </c>
      <c r="D286" s="521" t="str">
        <f>'5-1 Сбор КП Закупки'!D286</f>
        <v/>
      </c>
      <c r="E286" s="521" t="str">
        <f>'5-1 Сбор КП Закупки'!E286</f>
        <v/>
      </c>
      <c r="F286" s="521" t="str">
        <f>'5-1 Сбор КП Закупки'!F286</f>
        <v/>
      </c>
      <c r="G286" s="522" t="str">
        <f>'5-1 Сбор КП Закупки'!G286</f>
        <v/>
      </c>
      <c r="H286" s="522" t="str">
        <f>'5-1 Сбор КП Закупки'!H286</f>
        <v/>
      </c>
      <c r="I286" s="522" t="str">
        <f>'5-1 Сбор КП Закупки'!I286</f>
        <v/>
      </c>
      <c r="J286" s="197"/>
      <c r="K286" s="522" t="str">
        <f>'5-1 Сбор КП Закупки'!G286</f>
        <v/>
      </c>
      <c r="L286" s="523" t="str">
        <f>IF(A286="Да",'5-1 Сбор КП Закупки'!K286,)</f>
        <v/>
      </c>
      <c r="M286" s="197"/>
      <c r="N286" s="197"/>
      <c r="O286" s="197"/>
      <c r="P286" s="525" t="str">
        <f>'5-1 Сбор КП Закупки'!P286</f>
        <v/>
      </c>
      <c r="Q286" s="197"/>
      <c r="R286" s="197"/>
      <c r="S286" s="197"/>
      <c r="T286" s="197"/>
      <c r="U286" s="197"/>
      <c r="V286" s="197"/>
      <c r="W286" s="522" t="str">
        <f>'5-1 Сбор КП Закупки'!O286</f>
        <v/>
      </c>
      <c r="X286" s="197"/>
      <c r="Y286" s="197"/>
      <c r="Z286" s="197"/>
      <c r="AA286" s="197"/>
      <c r="AB286" s="197">
        <v>0.0</v>
      </c>
      <c r="AC286" s="197"/>
      <c r="AD286" s="197"/>
      <c r="AE2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5-3'!$D$11:$Q319,AE$4,AE$5)"),"")</f>
        <v/>
      </c>
      <c r="AF286" s="528"/>
      <c r="AG2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5-3'!$D$11:$Q319,AG$4,AG$5)"),"")</f>
        <v/>
      </c>
      <c r="AH286" s="527"/>
      <c r="AI2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5-3'!$D$11:$Q319,AI$4,AI$5)"),"")</f>
        <v/>
      </c>
      <c r="AJ286" s="527"/>
      <c r="AK2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5-3'!$D$11:$Q319,AK$4,AK$5)"),"")</f>
        <v/>
      </c>
      <c r="AL286" s="527"/>
      <c r="AM2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5-3'!$D$11:$Q319,AM$4,AM$5)"),"")</f>
        <v/>
      </c>
      <c r="AN286" s="529"/>
      <c r="AO28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5-3'!$D$11:$Q319,AO$4,AO$5)"),"")</f>
        <v/>
      </c>
      <c r="AP286" s="527"/>
      <c r="AQ286" s="527"/>
      <c r="AR286" s="527"/>
      <c r="AS286" s="527"/>
      <c r="AT2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5-3'!$D$11:$Q319,AT$4,AT$5)"),"")</f>
        <v/>
      </c>
      <c r="AU286" s="531"/>
      <c r="AV2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5-3'!$D$11:$Q319,AV$4,AV$5)"),"")</f>
        <v/>
      </c>
      <c r="AW286" s="530"/>
      <c r="AX2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5-3'!$D$11:$Q319,AX$4,AX$5)"),"")</f>
        <v/>
      </c>
      <c r="AY286" s="530"/>
      <c r="AZ2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5-3'!$D$11:$Q319,AZ$4,AZ$5)"),"")</f>
        <v/>
      </c>
      <c r="BA286" s="530"/>
      <c r="BB2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5-3'!$D$11:$Q319,BB$4,BB$5)"),"")</f>
        <v/>
      </c>
      <c r="BC286" s="532"/>
      <c r="BD28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5-3'!$D$11:$Q319,BD$4,BD$5)"),"")</f>
        <v/>
      </c>
      <c r="BE286" s="530"/>
      <c r="BF286" s="530"/>
      <c r="BG286" s="530"/>
      <c r="BH286" s="530"/>
      <c r="BI2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5-3'!$D$11:$Q319,BI$4,BI$5)"),"")</f>
        <v/>
      </c>
      <c r="BJ286" s="535"/>
      <c r="BK2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5-3'!$D$11:$Q319,BK$4,BK$5)"),"")</f>
        <v/>
      </c>
      <c r="BL286" s="534"/>
      <c r="BM2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5-3'!$D$11:$Q319,BM$4,BM$5)"),"")</f>
        <v/>
      </c>
      <c r="BN286" s="534"/>
      <c r="BO2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5-3'!$D$11:$Q319,BO$4,BO$5)"),"")</f>
        <v/>
      </c>
      <c r="BP286" s="534"/>
      <c r="BQ2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5-3'!$D$11:$Q319,BQ$4,BQ$5)"),"")</f>
        <v/>
      </c>
      <c r="BR286" s="536"/>
      <c r="BS28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5-3'!$D$11:$Q319,BS$4,BS$5)"),"")</f>
        <v/>
      </c>
      <c r="BT286" s="534"/>
      <c r="BU286" s="534"/>
      <c r="BV286" s="534"/>
      <c r="BW286" s="534"/>
      <c r="BX2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5-3'!$D$11:$Q319,BX$4,BX$5)"),"")</f>
        <v/>
      </c>
      <c r="BY286" s="538"/>
      <c r="BZ2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5-3'!$D$11:$Q319,BZ$4,BZ$5)"),"")</f>
        <v/>
      </c>
      <c r="CA286" s="537"/>
      <c r="CB2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5-3'!$D$11:$Q319,CB$4,CB$5)"),"")</f>
        <v/>
      </c>
      <c r="CC286" s="537"/>
      <c r="CD2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5-3'!$D$11:$Q319,CD$4,CD$5)"),"")</f>
        <v/>
      </c>
      <c r="CE286" s="537"/>
      <c r="CF2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5-3'!$D$11:$Q319,CF$4,CF$5)"),"")</f>
        <v/>
      </c>
      <c r="CG286" s="539"/>
      <c r="CH28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5-3'!$D$11:$Q319,CH$4,CH$5)"),"")</f>
        <v/>
      </c>
      <c r="CI286" s="537"/>
      <c r="CJ286" s="537"/>
      <c r="CK286" s="537"/>
      <c r="CL286" s="537"/>
      <c r="CM2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5-3'!$D$11:$Q319,CM$4,CM$5)"),"")</f>
        <v/>
      </c>
      <c r="CN286" s="541"/>
      <c r="CO2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5-3'!$D$11:$Q319,CO$4,CO$5)"),"")</f>
        <v/>
      </c>
      <c r="CP286" s="540"/>
      <c r="CQ2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5-3'!$D$11:$Q319,CQ$4,CQ$5)"),"")</f>
        <v/>
      </c>
      <c r="CR286" s="540"/>
      <c r="CS2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5-3'!$D$11:$Q319,CS$4,CS$5)"),"")</f>
        <v/>
      </c>
      <c r="CT286" s="540"/>
      <c r="CU2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5-3'!$D$11:$Q319,CU$4,CU$5)"),"")</f>
        <v/>
      </c>
      <c r="CV286" s="545"/>
      <c r="CW28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5-3'!$D$11:$Q319,CW$4,CW$5)"),"")</f>
        <v/>
      </c>
      <c r="CX286" s="540"/>
      <c r="CY286" s="540"/>
      <c r="CZ286" s="540"/>
      <c r="DA286" s="540"/>
      <c r="DB2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5-3'!$D$11:$Q319,DB$4,DB$5)"),"")</f>
        <v/>
      </c>
      <c r="DC286" s="555"/>
      <c r="DD2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5-3'!$D$11:$Q319,DD$4,DD$5)"),"")</f>
        <v/>
      </c>
      <c r="DE286" s="554"/>
      <c r="DF2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5-3'!$D$11:$Q319,DF$4,DF$5)"),"")</f>
        <v/>
      </c>
      <c r="DG286" s="554"/>
      <c r="DH2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5-3'!$D$11:$Q319,DH$4,DH$5)"),"")</f>
        <v/>
      </c>
      <c r="DI286" s="554"/>
      <c r="DJ2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5-3'!$D$11:$Q319,DJ$4,DJ$5)"),"")</f>
        <v/>
      </c>
      <c r="DK286" s="566"/>
      <c r="DL28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5-3'!$D$11:$Q319,DL$4,DL$5)"),"")</f>
        <v/>
      </c>
      <c r="DM286" s="554"/>
      <c r="DN286" s="554"/>
      <c r="DO286" s="554"/>
      <c r="DP286" s="554"/>
      <c r="DQ2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5-3'!$D$11:$Q319,DQ$4,DQ$5)"),"")</f>
        <v/>
      </c>
      <c r="DR286" s="569"/>
      <c r="DS2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5-3'!$D$11:$Q319,DS$4,DS$5)"),"")</f>
        <v/>
      </c>
      <c r="DT286" s="568"/>
      <c r="DU2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5-3'!$D$11:$Q319,DU$4,DU$5)"),"")</f>
        <v/>
      </c>
      <c r="DV286" s="568"/>
      <c r="DW2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5-3'!$D$11:$Q319,DW$4,DW$5)"),"")</f>
        <v/>
      </c>
      <c r="DX286" s="568"/>
      <c r="DY2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5-3'!$D$11:$Q319,DY$4,DY$5)"),"")</f>
        <v/>
      </c>
      <c r="DZ286" s="578"/>
      <c r="EA28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$C286, 'S-10 Топ 5-3'!$D$11:$Q319,EA$4,EA$5)"),"")</f>
        <v/>
      </c>
      <c r="EB286" s="568"/>
      <c r="EC286" s="568"/>
      <c r="ED286" s="568"/>
      <c r="EE286" s="568"/>
    </row>
    <row r="287">
      <c r="A287" s="519" t="str">
        <f t="shared" si="1"/>
        <v/>
      </c>
      <c r="B287" s="520" t="str">
        <f>'5-0 Товары'!B287</f>
        <v/>
      </c>
      <c r="C287" s="521" t="str">
        <f>'5-1 Сбор КП Закупки'!C287</f>
        <v/>
      </c>
      <c r="D287" s="521" t="str">
        <f>'5-1 Сбор КП Закупки'!D287</f>
        <v/>
      </c>
      <c r="E287" s="521" t="str">
        <f>'5-1 Сбор КП Закупки'!E287</f>
        <v/>
      </c>
      <c r="F287" s="521" t="str">
        <f>'5-1 Сбор КП Закупки'!F287</f>
        <v/>
      </c>
      <c r="G287" s="522" t="str">
        <f>'5-1 Сбор КП Закупки'!G287</f>
        <v/>
      </c>
      <c r="H287" s="522" t="str">
        <f>'5-1 Сбор КП Закупки'!H287</f>
        <v/>
      </c>
      <c r="I287" s="522" t="str">
        <f>'5-1 Сбор КП Закупки'!I287</f>
        <v/>
      </c>
      <c r="J287" s="197"/>
      <c r="K287" s="522" t="str">
        <f>'5-1 Сбор КП Закупки'!G287</f>
        <v/>
      </c>
      <c r="L287" s="523" t="str">
        <f>IF(A287="Да",'5-1 Сбор КП Закупки'!K287,)</f>
        <v/>
      </c>
      <c r="M287" s="197"/>
      <c r="N287" s="197"/>
      <c r="O287" s="197"/>
      <c r="P287" s="525" t="str">
        <f>'5-1 Сбор КП Закупки'!P287</f>
        <v/>
      </c>
      <c r="Q287" s="197"/>
      <c r="R287" s="197"/>
      <c r="S287" s="197"/>
      <c r="T287" s="197"/>
      <c r="U287" s="197"/>
      <c r="V287" s="197"/>
      <c r="W287" s="522" t="str">
        <f>'5-1 Сбор КП Закупки'!O287</f>
        <v/>
      </c>
      <c r="X287" s="197"/>
      <c r="Y287" s="197"/>
      <c r="Z287" s="197"/>
      <c r="AA287" s="197"/>
      <c r="AB287" s="197">
        <v>0.0</v>
      </c>
      <c r="AC287" s="197"/>
      <c r="AD287" s="197"/>
      <c r="AE2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5-3'!$D$11:$Q319,AE$4,AE$5)"),"")</f>
        <v/>
      </c>
      <c r="AF287" s="528"/>
      <c r="AG2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5-3'!$D$11:$Q319,AG$4,AG$5)"),"")</f>
        <v/>
      </c>
      <c r="AH287" s="527"/>
      <c r="AI2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5-3'!$D$11:$Q319,AI$4,AI$5)"),"")</f>
        <v/>
      </c>
      <c r="AJ287" s="527"/>
      <c r="AK2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5-3'!$D$11:$Q319,AK$4,AK$5)"),"")</f>
        <v/>
      </c>
      <c r="AL287" s="527"/>
      <c r="AM2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5-3'!$D$11:$Q319,AM$4,AM$5)"),"")</f>
        <v/>
      </c>
      <c r="AN287" s="529"/>
      <c r="AO28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5-3'!$D$11:$Q319,AO$4,AO$5)"),"")</f>
        <v/>
      </c>
      <c r="AP287" s="527"/>
      <c r="AQ287" s="527"/>
      <c r="AR287" s="527"/>
      <c r="AS287" s="527"/>
      <c r="AT2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5-3'!$D$11:$Q319,AT$4,AT$5)"),"")</f>
        <v/>
      </c>
      <c r="AU287" s="531"/>
      <c r="AV2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5-3'!$D$11:$Q319,AV$4,AV$5)"),"")</f>
        <v/>
      </c>
      <c r="AW287" s="530"/>
      <c r="AX2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5-3'!$D$11:$Q319,AX$4,AX$5)"),"")</f>
        <v/>
      </c>
      <c r="AY287" s="530"/>
      <c r="AZ2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5-3'!$D$11:$Q319,AZ$4,AZ$5)"),"")</f>
        <v/>
      </c>
      <c r="BA287" s="530"/>
      <c r="BB2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5-3'!$D$11:$Q319,BB$4,BB$5)"),"")</f>
        <v/>
      </c>
      <c r="BC287" s="532"/>
      <c r="BD28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5-3'!$D$11:$Q319,BD$4,BD$5)"),"")</f>
        <v/>
      </c>
      <c r="BE287" s="530"/>
      <c r="BF287" s="530"/>
      <c r="BG287" s="530"/>
      <c r="BH287" s="530"/>
      <c r="BI2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5-3'!$D$11:$Q319,BI$4,BI$5)"),"")</f>
        <v/>
      </c>
      <c r="BJ287" s="535"/>
      <c r="BK2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5-3'!$D$11:$Q319,BK$4,BK$5)"),"")</f>
        <v/>
      </c>
      <c r="BL287" s="534"/>
      <c r="BM2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5-3'!$D$11:$Q319,BM$4,BM$5)"),"")</f>
        <v/>
      </c>
      <c r="BN287" s="534"/>
      <c r="BO2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5-3'!$D$11:$Q319,BO$4,BO$5)"),"")</f>
        <v/>
      </c>
      <c r="BP287" s="534"/>
      <c r="BQ2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5-3'!$D$11:$Q319,BQ$4,BQ$5)"),"")</f>
        <v/>
      </c>
      <c r="BR287" s="536"/>
      <c r="BS28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5-3'!$D$11:$Q319,BS$4,BS$5)"),"")</f>
        <v/>
      </c>
      <c r="BT287" s="534"/>
      <c r="BU287" s="534"/>
      <c r="BV287" s="534"/>
      <c r="BW287" s="534"/>
      <c r="BX2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5-3'!$D$11:$Q319,BX$4,BX$5)"),"")</f>
        <v/>
      </c>
      <c r="BY287" s="538"/>
      <c r="BZ2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5-3'!$D$11:$Q319,BZ$4,BZ$5)"),"")</f>
        <v/>
      </c>
      <c r="CA287" s="537"/>
      <c r="CB2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5-3'!$D$11:$Q319,CB$4,CB$5)"),"")</f>
        <v/>
      </c>
      <c r="CC287" s="537"/>
      <c r="CD2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5-3'!$D$11:$Q319,CD$4,CD$5)"),"")</f>
        <v/>
      </c>
      <c r="CE287" s="537"/>
      <c r="CF2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5-3'!$D$11:$Q319,CF$4,CF$5)"),"")</f>
        <v/>
      </c>
      <c r="CG287" s="539"/>
      <c r="CH28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5-3'!$D$11:$Q319,CH$4,CH$5)"),"")</f>
        <v/>
      </c>
      <c r="CI287" s="537"/>
      <c r="CJ287" s="537"/>
      <c r="CK287" s="537"/>
      <c r="CL287" s="537"/>
      <c r="CM2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5-3'!$D$11:$Q319,CM$4,CM$5)"),"")</f>
        <v/>
      </c>
      <c r="CN287" s="541"/>
      <c r="CO2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5-3'!$D$11:$Q319,CO$4,CO$5)"),"")</f>
        <v/>
      </c>
      <c r="CP287" s="540"/>
      <c r="CQ2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5-3'!$D$11:$Q319,CQ$4,CQ$5)"),"")</f>
        <v/>
      </c>
      <c r="CR287" s="540"/>
      <c r="CS2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5-3'!$D$11:$Q319,CS$4,CS$5)"),"")</f>
        <v/>
      </c>
      <c r="CT287" s="540"/>
      <c r="CU2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5-3'!$D$11:$Q319,CU$4,CU$5)"),"")</f>
        <v/>
      </c>
      <c r="CV287" s="545"/>
      <c r="CW28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5-3'!$D$11:$Q319,CW$4,CW$5)"),"")</f>
        <v/>
      </c>
      <c r="CX287" s="540"/>
      <c r="CY287" s="540"/>
      <c r="CZ287" s="540"/>
      <c r="DA287" s="540"/>
      <c r="DB2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5-3'!$D$11:$Q319,DB$4,DB$5)"),"")</f>
        <v/>
      </c>
      <c r="DC287" s="555"/>
      <c r="DD2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5-3'!$D$11:$Q319,DD$4,DD$5)"),"")</f>
        <v/>
      </c>
      <c r="DE287" s="554"/>
      <c r="DF2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5-3'!$D$11:$Q319,DF$4,DF$5)"),"")</f>
        <v/>
      </c>
      <c r="DG287" s="554"/>
      <c r="DH2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5-3'!$D$11:$Q319,DH$4,DH$5)"),"")</f>
        <v/>
      </c>
      <c r="DI287" s="554"/>
      <c r="DJ2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5-3'!$D$11:$Q319,DJ$4,DJ$5)"),"")</f>
        <v/>
      </c>
      <c r="DK287" s="566"/>
      <c r="DL28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5-3'!$D$11:$Q319,DL$4,DL$5)"),"")</f>
        <v/>
      </c>
      <c r="DM287" s="554"/>
      <c r="DN287" s="554"/>
      <c r="DO287" s="554"/>
      <c r="DP287" s="554"/>
      <c r="DQ2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5-3'!$D$11:$Q319,DQ$4,DQ$5)"),"")</f>
        <v/>
      </c>
      <c r="DR287" s="569"/>
      <c r="DS2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5-3'!$D$11:$Q319,DS$4,DS$5)"),"")</f>
        <v/>
      </c>
      <c r="DT287" s="568"/>
      <c r="DU2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5-3'!$D$11:$Q319,DU$4,DU$5)"),"")</f>
        <v/>
      </c>
      <c r="DV287" s="568"/>
      <c r="DW2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5-3'!$D$11:$Q319,DW$4,DW$5)"),"")</f>
        <v/>
      </c>
      <c r="DX287" s="568"/>
      <c r="DY2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5-3'!$D$11:$Q319,DY$4,DY$5)"),"")</f>
        <v/>
      </c>
      <c r="DZ287" s="578"/>
      <c r="EA28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$C287, 'S-10 Топ 5-3'!$D$11:$Q319,EA$4,EA$5)"),"")</f>
        <v/>
      </c>
      <c r="EB287" s="568"/>
      <c r="EC287" s="568"/>
      <c r="ED287" s="568"/>
      <c r="EE287" s="568"/>
    </row>
    <row r="288">
      <c r="A288" s="519" t="str">
        <f t="shared" si="1"/>
        <v/>
      </c>
      <c r="B288" s="520" t="str">
        <f>'5-0 Товары'!B288</f>
        <v/>
      </c>
      <c r="C288" s="521" t="str">
        <f>'5-1 Сбор КП Закупки'!C288</f>
        <v/>
      </c>
      <c r="D288" s="521" t="str">
        <f>'5-1 Сбор КП Закупки'!D288</f>
        <v/>
      </c>
      <c r="E288" s="521" t="str">
        <f>'5-1 Сбор КП Закупки'!E288</f>
        <v/>
      </c>
      <c r="F288" s="521" t="str">
        <f>'5-1 Сбор КП Закупки'!F288</f>
        <v/>
      </c>
      <c r="G288" s="522" t="str">
        <f>'5-1 Сбор КП Закупки'!G288</f>
        <v/>
      </c>
      <c r="H288" s="522" t="str">
        <f>'5-1 Сбор КП Закупки'!H288</f>
        <v/>
      </c>
      <c r="I288" s="522" t="str">
        <f>'5-1 Сбор КП Закупки'!I288</f>
        <v/>
      </c>
      <c r="J288" s="197"/>
      <c r="K288" s="522" t="str">
        <f>'5-1 Сбор КП Закупки'!G288</f>
        <v/>
      </c>
      <c r="L288" s="523" t="str">
        <f>IF(A288="Да",'5-1 Сбор КП Закупки'!K288,)</f>
        <v/>
      </c>
      <c r="M288" s="197"/>
      <c r="N288" s="197"/>
      <c r="O288" s="197"/>
      <c r="P288" s="525" t="str">
        <f>'5-1 Сбор КП Закупки'!P288</f>
        <v/>
      </c>
      <c r="Q288" s="197"/>
      <c r="R288" s="197"/>
      <c r="S288" s="197"/>
      <c r="T288" s="197"/>
      <c r="U288" s="197"/>
      <c r="V288" s="197"/>
      <c r="W288" s="522" t="str">
        <f>'5-1 Сбор КП Закупки'!O288</f>
        <v/>
      </c>
      <c r="X288" s="197"/>
      <c r="Y288" s="197"/>
      <c r="Z288" s="197"/>
      <c r="AA288" s="197"/>
      <c r="AB288" s="197">
        <v>0.0</v>
      </c>
      <c r="AC288" s="197"/>
      <c r="AD288" s="197"/>
      <c r="AE2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5-3'!$D$11:$Q319,AE$4,AE$5)"),"")</f>
        <v/>
      </c>
      <c r="AF288" s="528"/>
      <c r="AG2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5-3'!$D$11:$Q319,AG$4,AG$5)"),"")</f>
        <v/>
      </c>
      <c r="AH288" s="527"/>
      <c r="AI2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5-3'!$D$11:$Q319,AI$4,AI$5)"),"")</f>
        <v/>
      </c>
      <c r="AJ288" s="527"/>
      <c r="AK2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5-3'!$D$11:$Q319,AK$4,AK$5)"),"")</f>
        <v/>
      </c>
      <c r="AL288" s="527"/>
      <c r="AM2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5-3'!$D$11:$Q319,AM$4,AM$5)"),"")</f>
        <v/>
      </c>
      <c r="AN288" s="529"/>
      <c r="AO28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5-3'!$D$11:$Q319,AO$4,AO$5)"),"")</f>
        <v/>
      </c>
      <c r="AP288" s="527"/>
      <c r="AQ288" s="527"/>
      <c r="AR288" s="527"/>
      <c r="AS288" s="527"/>
      <c r="AT2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5-3'!$D$11:$Q319,AT$4,AT$5)"),"")</f>
        <v/>
      </c>
      <c r="AU288" s="531"/>
      <c r="AV2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5-3'!$D$11:$Q319,AV$4,AV$5)"),"")</f>
        <v/>
      </c>
      <c r="AW288" s="530"/>
      <c r="AX2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5-3'!$D$11:$Q319,AX$4,AX$5)"),"")</f>
        <v/>
      </c>
      <c r="AY288" s="530"/>
      <c r="AZ2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5-3'!$D$11:$Q319,AZ$4,AZ$5)"),"")</f>
        <v/>
      </c>
      <c r="BA288" s="530"/>
      <c r="BB2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5-3'!$D$11:$Q319,BB$4,BB$5)"),"")</f>
        <v/>
      </c>
      <c r="BC288" s="532"/>
      <c r="BD28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5-3'!$D$11:$Q319,BD$4,BD$5)"),"")</f>
        <v/>
      </c>
      <c r="BE288" s="530"/>
      <c r="BF288" s="530"/>
      <c r="BG288" s="530"/>
      <c r="BH288" s="530"/>
      <c r="BI2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5-3'!$D$11:$Q319,BI$4,BI$5)"),"")</f>
        <v/>
      </c>
      <c r="BJ288" s="535"/>
      <c r="BK2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5-3'!$D$11:$Q319,BK$4,BK$5)"),"")</f>
        <v/>
      </c>
      <c r="BL288" s="534"/>
      <c r="BM2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5-3'!$D$11:$Q319,BM$4,BM$5)"),"")</f>
        <v/>
      </c>
      <c r="BN288" s="534"/>
      <c r="BO2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5-3'!$D$11:$Q319,BO$4,BO$5)"),"")</f>
        <v/>
      </c>
      <c r="BP288" s="534"/>
      <c r="BQ2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5-3'!$D$11:$Q319,BQ$4,BQ$5)"),"")</f>
        <v/>
      </c>
      <c r="BR288" s="536"/>
      <c r="BS28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5-3'!$D$11:$Q319,BS$4,BS$5)"),"")</f>
        <v/>
      </c>
      <c r="BT288" s="534"/>
      <c r="BU288" s="534"/>
      <c r="BV288" s="534"/>
      <c r="BW288" s="534"/>
      <c r="BX2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5-3'!$D$11:$Q319,BX$4,BX$5)"),"")</f>
        <v/>
      </c>
      <c r="BY288" s="538"/>
      <c r="BZ2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5-3'!$D$11:$Q319,BZ$4,BZ$5)"),"")</f>
        <v/>
      </c>
      <c r="CA288" s="537"/>
      <c r="CB2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5-3'!$D$11:$Q319,CB$4,CB$5)"),"")</f>
        <v/>
      </c>
      <c r="CC288" s="537"/>
      <c r="CD2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5-3'!$D$11:$Q319,CD$4,CD$5)"),"")</f>
        <v/>
      </c>
      <c r="CE288" s="537"/>
      <c r="CF2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5-3'!$D$11:$Q319,CF$4,CF$5)"),"")</f>
        <v/>
      </c>
      <c r="CG288" s="539"/>
      <c r="CH28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5-3'!$D$11:$Q319,CH$4,CH$5)"),"")</f>
        <v/>
      </c>
      <c r="CI288" s="537"/>
      <c r="CJ288" s="537"/>
      <c r="CK288" s="537"/>
      <c r="CL288" s="537"/>
      <c r="CM2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5-3'!$D$11:$Q319,CM$4,CM$5)"),"")</f>
        <v/>
      </c>
      <c r="CN288" s="541"/>
      <c r="CO2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5-3'!$D$11:$Q319,CO$4,CO$5)"),"")</f>
        <v/>
      </c>
      <c r="CP288" s="540"/>
      <c r="CQ2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5-3'!$D$11:$Q319,CQ$4,CQ$5)"),"")</f>
        <v/>
      </c>
      <c r="CR288" s="540"/>
      <c r="CS2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5-3'!$D$11:$Q319,CS$4,CS$5)"),"")</f>
        <v/>
      </c>
      <c r="CT288" s="540"/>
      <c r="CU2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5-3'!$D$11:$Q319,CU$4,CU$5)"),"")</f>
        <v/>
      </c>
      <c r="CV288" s="545"/>
      <c r="CW28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5-3'!$D$11:$Q319,CW$4,CW$5)"),"")</f>
        <v/>
      </c>
      <c r="CX288" s="540"/>
      <c r="CY288" s="540"/>
      <c r="CZ288" s="540"/>
      <c r="DA288" s="540"/>
      <c r="DB2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5-3'!$D$11:$Q319,DB$4,DB$5)"),"")</f>
        <v/>
      </c>
      <c r="DC288" s="555"/>
      <c r="DD2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5-3'!$D$11:$Q319,DD$4,DD$5)"),"")</f>
        <v/>
      </c>
      <c r="DE288" s="554"/>
      <c r="DF2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5-3'!$D$11:$Q319,DF$4,DF$5)"),"")</f>
        <v/>
      </c>
      <c r="DG288" s="554"/>
      <c r="DH2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5-3'!$D$11:$Q319,DH$4,DH$5)"),"")</f>
        <v/>
      </c>
      <c r="DI288" s="554"/>
      <c r="DJ2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5-3'!$D$11:$Q319,DJ$4,DJ$5)"),"")</f>
        <v/>
      </c>
      <c r="DK288" s="566"/>
      <c r="DL28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5-3'!$D$11:$Q319,DL$4,DL$5)"),"")</f>
        <v/>
      </c>
      <c r="DM288" s="554"/>
      <c r="DN288" s="554"/>
      <c r="DO288" s="554"/>
      <c r="DP288" s="554"/>
      <c r="DQ2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5-3'!$D$11:$Q319,DQ$4,DQ$5)"),"")</f>
        <v/>
      </c>
      <c r="DR288" s="569"/>
      <c r="DS2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5-3'!$D$11:$Q319,DS$4,DS$5)"),"")</f>
        <v/>
      </c>
      <c r="DT288" s="568"/>
      <c r="DU2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5-3'!$D$11:$Q319,DU$4,DU$5)"),"")</f>
        <v/>
      </c>
      <c r="DV288" s="568"/>
      <c r="DW2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5-3'!$D$11:$Q319,DW$4,DW$5)"),"")</f>
        <v/>
      </c>
      <c r="DX288" s="568"/>
      <c r="DY2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5-3'!$D$11:$Q319,DY$4,DY$5)"),"")</f>
        <v/>
      </c>
      <c r="DZ288" s="578"/>
      <c r="EA28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$C288, 'S-10 Топ 5-3'!$D$11:$Q319,EA$4,EA$5)"),"")</f>
        <v/>
      </c>
      <c r="EB288" s="568"/>
      <c r="EC288" s="568"/>
      <c r="ED288" s="568"/>
      <c r="EE288" s="568"/>
    </row>
    <row r="289">
      <c r="A289" s="519" t="str">
        <f t="shared" si="1"/>
        <v/>
      </c>
      <c r="B289" s="520" t="str">
        <f>'5-0 Товары'!B289</f>
        <v/>
      </c>
      <c r="C289" s="521" t="str">
        <f>'5-1 Сбор КП Закупки'!C289</f>
        <v/>
      </c>
      <c r="D289" s="521" t="str">
        <f>'5-1 Сбор КП Закупки'!D289</f>
        <v/>
      </c>
      <c r="E289" s="521" t="str">
        <f>'5-1 Сбор КП Закупки'!E289</f>
        <v/>
      </c>
      <c r="F289" s="521" t="str">
        <f>'5-1 Сбор КП Закупки'!F289</f>
        <v/>
      </c>
      <c r="G289" s="522" t="str">
        <f>'5-1 Сбор КП Закупки'!G289</f>
        <v/>
      </c>
      <c r="H289" s="522" t="str">
        <f>'5-1 Сбор КП Закупки'!H289</f>
        <v/>
      </c>
      <c r="I289" s="522" t="str">
        <f>'5-1 Сбор КП Закупки'!I289</f>
        <v/>
      </c>
      <c r="J289" s="197"/>
      <c r="K289" s="522" t="str">
        <f>'5-1 Сбор КП Закупки'!G289</f>
        <v/>
      </c>
      <c r="L289" s="523" t="str">
        <f>IF(A289="Да",'5-1 Сбор КП Закупки'!K289,)</f>
        <v/>
      </c>
      <c r="M289" s="197"/>
      <c r="N289" s="197"/>
      <c r="O289" s="197"/>
      <c r="P289" s="525" t="str">
        <f>'5-1 Сбор КП Закупки'!P289</f>
        <v/>
      </c>
      <c r="Q289" s="197"/>
      <c r="R289" s="197"/>
      <c r="S289" s="197"/>
      <c r="T289" s="197"/>
      <c r="U289" s="197"/>
      <c r="V289" s="197"/>
      <c r="W289" s="522" t="str">
        <f>'5-1 Сбор КП Закупки'!O289</f>
        <v/>
      </c>
      <c r="X289" s="197"/>
      <c r="Y289" s="197"/>
      <c r="Z289" s="197"/>
      <c r="AA289" s="197"/>
      <c r="AB289" s="197">
        <v>0.0</v>
      </c>
      <c r="AC289" s="197"/>
      <c r="AD289" s="197"/>
      <c r="AE2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5-3'!$D$11:$Q319,AE$4,AE$5)"),"")</f>
        <v/>
      </c>
      <c r="AF289" s="528"/>
      <c r="AG2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5-3'!$D$11:$Q319,AG$4,AG$5)"),"")</f>
        <v/>
      </c>
      <c r="AH289" s="527"/>
      <c r="AI2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5-3'!$D$11:$Q319,AI$4,AI$5)"),"")</f>
        <v/>
      </c>
      <c r="AJ289" s="527"/>
      <c r="AK2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5-3'!$D$11:$Q319,AK$4,AK$5)"),"")</f>
        <v/>
      </c>
      <c r="AL289" s="527"/>
      <c r="AM2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5-3'!$D$11:$Q319,AM$4,AM$5)"),"")</f>
        <v/>
      </c>
      <c r="AN289" s="529"/>
      <c r="AO28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5-3'!$D$11:$Q319,AO$4,AO$5)"),"")</f>
        <v/>
      </c>
      <c r="AP289" s="527"/>
      <c r="AQ289" s="527"/>
      <c r="AR289" s="527"/>
      <c r="AS289" s="527"/>
      <c r="AT2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5-3'!$D$11:$Q319,AT$4,AT$5)"),"")</f>
        <v/>
      </c>
      <c r="AU289" s="531"/>
      <c r="AV2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5-3'!$D$11:$Q319,AV$4,AV$5)"),"")</f>
        <v/>
      </c>
      <c r="AW289" s="530"/>
      <c r="AX2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5-3'!$D$11:$Q319,AX$4,AX$5)"),"")</f>
        <v/>
      </c>
      <c r="AY289" s="530"/>
      <c r="AZ2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5-3'!$D$11:$Q319,AZ$4,AZ$5)"),"")</f>
        <v/>
      </c>
      <c r="BA289" s="530"/>
      <c r="BB2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5-3'!$D$11:$Q319,BB$4,BB$5)"),"")</f>
        <v/>
      </c>
      <c r="BC289" s="532"/>
      <c r="BD28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5-3'!$D$11:$Q319,BD$4,BD$5)"),"")</f>
        <v/>
      </c>
      <c r="BE289" s="530"/>
      <c r="BF289" s="530"/>
      <c r="BG289" s="530"/>
      <c r="BH289" s="530"/>
      <c r="BI2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5-3'!$D$11:$Q319,BI$4,BI$5)"),"")</f>
        <v/>
      </c>
      <c r="BJ289" s="535"/>
      <c r="BK2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5-3'!$D$11:$Q319,BK$4,BK$5)"),"")</f>
        <v/>
      </c>
      <c r="BL289" s="534"/>
      <c r="BM2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5-3'!$D$11:$Q319,BM$4,BM$5)"),"")</f>
        <v/>
      </c>
      <c r="BN289" s="534"/>
      <c r="BO2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5-3'!$D$11:$Q319,BO$4,BO$5)"),"")</f>
        <v/>
      </c>
      <c r="BP289" s="534"/>
      <c r="BQ2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5-3'!$D$11:$Q319,BQ$4,BQ$5)"),"")</f>
        <v/>
      </c>
      <c r="BR289" s="536"/>
      <c r="BS28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5-3'!$D$11:$Q319,BS$4,BS$5)"),"")</f>
        <v/>
      </c>
      <c r="BT289" s="534"/>
      <c r="BU289" s="534"/>
      <c r="BV289" s="534"/>
      <c r="BW289" s="534"/>
      <c r="BX2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5-3'!$D$11:$Q319,BX$4,BX$5)"),"")</f>
        <v/>
      </c>
      <c r="BY289" s="538"/>
      <c r="BZ2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5-3'!$D$11:$Q319,BZ$4,BZ$5)"),"")</f>
        <v/>
      </c>
      <c r="CA289" s="537"/>
      <c r="CB2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5-3'!$D$11:$Q319,CB$4,CB$5)"),"")</f>
        <v/>
      </c>
      <c r="CC289" s="537"/>
      <c r="CD2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5-3'!$D$11:$Q319,CD$4,CD$5)"),"")</f>
        <v/>
      </c>
      <c r="CE289" s="537"/>
      <c r="CF2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5-3'!$D$11:$Q319,CF$4,CF$5)"),"")</f>
        <v/>
      </c>
      <c r="CG289" s="539"/>
      <c r="CH28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5-3'!$D$11:$Q319,CH$4,CH$5)"),"")</f>
        <v/>
      </c>
      <c r="CI289" s="537"/>
      <c r="CJ289" s="537"/>
      <c r="CK289" s="537"/>
      <c r="CL289" s="537"/>
      <c r="CM2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5-3'!$D$11:$Q319,CM$4,CM$5)"),"")</f>
        <v/>
      </c>
      <c r="CN289" s="541"/>
      <c r="CO2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5-3'!$D$11:$Q319,CO$4,CO$5)"),"")</f>
        <v/>
      </c>
      <c r="CP289" s="540"/>
      <c r="CQ2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5-3'!$D$11:$Q319,CQ$4,CQ$5)"),"")</f>
        <v/>
      </c>
      <c r="CR289" s="540"/>
      <c r="CS2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5-3'!$D$11:$Q319,CS$4,CS$5)"),"")</f>
        <v/>
      </c>
      <c r="CT289" s="540"/>
      <c r="CU2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5-3'!$D$11:$Q319,CU$4,CU$5)"),"")</f>
        <v/>
      </c>
      <c r="CV289" s="545"/>
      <c r="CW28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5-3'!$D$11:$Q319,CW$4,CW$5)"),"")</f>
        <v/>
      </c>
      <c r="CX289" s="540"/>
      <c r="CY289" s="540"/>
      <c r="CZ289" s="540"/>
      <c r="DA289" s="540"/>
      <c r="DB2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5-3'!$D$11:$Q319,DB$4,DB$5)"),"")</f>
        <v/>
      </c>
      <c r="DC289" s="555"/>
      <c r="DD2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5-3'!$D$11:$Q319,DD$4,DD$5)"),"")</f>
        <v/>
      </c>
      <c r="DE289" s="554"/>
      <c r="DF2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5-3'!$D$11:$Q319,DF$4,DF$5)"),"")</f>
        <v/>
      </c>
      <c r="DG289" s="554"/>
      <c r="DH2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5-3'!$D$11:$Q319,DH$4,DH$5)"),"")</f>
        <v/>
      </c>
      <c r="DI289" s="554"/>
      <c r="DJ2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5-3'!$D$11:$Q319,DJ$4,DJ$5)"),"")</f>
        <v/>
      </c>
      <c r="DK289" s="566"/>
      <c r="DL28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5-3'!$D$11:$Q319,DL$4,DL$5)"),"")</f>
        <v/>
      </c>
      <c r="DM289" s="554"/>
      <c r="DN289" s="554"/>
      <c r="DO289" s="554"/>
      <c r="DP289" s="554"/>
      <c r="DQ2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5-3'!$D$11:$Q319,DQ$4,DQ$5)"),"")</f>
        <v/>
      </c>
      <c r="DR289" s="569"/>
      <c r="DS2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5-3'!$D$11:$Q319,DS$4,DS$5)"),"")</f>
        <v/>
      </c>
      <c r="DT289" s="568"/>
      <c r="DU2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5-3'!$D$11:$Q319,DU$4,DU$5)"),"")</f>
        <v/>
      </c>
      <c r="DV289" s="568"/>
      <c r="DW2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5-3'!$D$11:$Q319,DW$4,DW$5)"),"")</f>
        <v/>
      </c>
      <c r="DX289" s="568"/>
      <c r="DY2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5-3'!$D$11:$Q319,DY$4,DY$5)"),"")</f>
        <v/>
      </c>
      <c r="DZ289" s="578"/>
      <c r="EA28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$C289, 'S-10 Топ 5-3'!$D$11:$Q319,EA$4,EA$5)"),"")</f>
        <v/>
      </c>
      <c r="EB289" s="568"/>
      <c r="EC289" s="568"/>
      <c r="ED289" s="568"/>
      <c r="EE289" s="568"/>
    </row>
    <row r="290">
      <c r="A290" s="519" t="str">
        <f t="shared" si="1"/>
        <v/>
      </c>
      <c r="B290" s="520" t="str">
        <f>'5-0 Товары'!B290</f>
        <v/>
      </c>
      <c r="C290" s="521" t="str">
        <f>'5-1 Сбор КП Закупки'!C290</f>
        <v/>
      </c>
      <c r="D290" s="521" t="str">
        <f>'5-1 Сбор КП Закупки'!D290</f>
        <v/>
      </c>
      <c r="E290" s="521" t="str">
        <f>'5-1 Сбор КП Закупки'!E290</f>
        <v/>
      </c>
      <c r="F290" s="521" t="str">
        <f>'5-1 Сбор КП Закупки'!F290</f>
        <v/>
      </c>
      <c r="G290" s="522" t="str">
        <f>'5-1 Сбор КП Закупки'!G290</f>
        <v/>
      </c>
      <c r="H290" s="522" t="str">
        <f>'5-1 Сбор КП Закупки'!H290</f>
        <v/>
      </c>
      <c r="I290" s="522" t="str">
        <f>'5-1 Сбор КП Закупки'!I290</f>
        <v/>
      </c>
      <c r="J290" s="197"/>
      <c r="K290" s="522" t="str">
        <f>'5-1 Сбор КП Закупки'!G290</f>
        <v/>
      </c>
      <c r="L290" s="523" t="str">
        <f>IF(A290="Да",'5-1 Сбор КП Закупки'!K290,)</f>
        <v/>
      </c>
      <c r="M290" s="197"/>
      <c r="N290" s="197"/>
      <c r="O290" s="197"/>
      <c r="P290" s="525" t="str">
        <f>'5-1 Сбор КП Закупки'!P290</f>
        <v/>
      </c>
      <c r="Q290" s="197"/>
      <c r="R290" s="197"/>
      <c r="S290" s="197"/>
      <c r="T290" s="197"/>
      <c r="U290" s="197"/>
      <c r="V290" s="197"/>
      <c r="W290" s="522" t="str">
        <f>'5-1 Сбор КП Закупки'!O290</f>
        <v/>
      </c>
      <c r="X290" s="197"/>
      <c r="Y290" s="197"/>
      <c r="Z290" s="197"/>
      <c r="AA290" s="197"/>
      <c r="AB290" s="197">
        <v>0.0</v>
      </c>
      <c r="AC290" s="197"/>
      <c r="AD290" s="197"/>
      <c r="AE2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5-3'!$D$11:$Q319,AE$4,AE$5)"),"")</f>
        <v/>
      </c>
      <c r="AF290" s="528"/>
      <c r="AG2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5-3'!$D$11:$Q319,AG$4,AG$5)"),"")</f>
        <v/>
      </c>
      <c r="AH290" s="527"/>
      <c r="AI2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5-3'!$D$11:$Q319,AI$4,AI$5)"),"")</f>
        <v/>
      </c>
      <c r="AJ290" s="527"/>
      <c r="AK2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5-3'!$D$11:$Q319,AK$4,AK$5)"),"")</f>
        <v/>
      </c>
      <c r="AL290" s="527"/>
      <c r="AM2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5-3'!$D$11:$Q319,AM$4,AM$5)"),"")</f>
        <v/>
      </c>
      <c r="AN290" s="529"/>
      <c r="AO29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5-3'!$D$11:$Q319,AO$4,AO$5)"),"")</f>
        <v/>
      </c>
      <c r="AP290" s="527"/>
      <c r="AQ290" s="527"/>
      <c r="AR290" s="527"/>
      <c r="AS290" s="527"/>
      <c r="AT2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5-3'!$D$11:$Q319,AT$4,AT$5)"),"")</f>
        <v/>
      </c>
      <c r="AU290" s="531"/>
      <c r="AV2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5-3'!$D$11:$Q319,AV$4,AV$5)"),"")</f>
        <v/>
      </c>
      <c r="AW290" s="530"/>
      <c r="AX2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5-3'!$D$11:$Q319,AX$4,AX$5)"),"")</f>
        <v/>
      </c>
      <c r="AY290" s="530"/>
      <c r="AZ2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5-3'!$D$11:$Q319,AZ$4,AZ$5)"),"")</f>
        <v/>
      </c>
      <c r="BA290" s="530"/>
      <c r="BB2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5-3'!$D$11:$Q319,BB$4,BB$5)"),"")</f>
        <v/>
      </c>
      <c r="BC290" s="532"/>
      <c r="BD29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5-3'!$D$11:$Q319,BD$4,BD$5)"),"")</f>
        <v/>
      </c>
      <c r="BE290" s="530"/>
      <c r="BF290" s="530"/>
      <c r="BG290" s="530"/>
      <c r="BH290" s="530"/>
      <c r="BI2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5-3'!$D$11:$Q319,BI$4,BI$5)"),"")</f>
        <v/>
      </c>
      <c r="BJ290" s="535"/>
      <c r="BK2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5-3'!$D$11:$Q319,BK$4,BK$5)"),"")</f>
        <v/>
      </c>
      <c r="BL290" s="534"/>
      <c r="BM2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5-3'!$D$11:$Q319,BM$4,BM$5)"),"")</f>
        <v/>
      </c>
      <c r="BN290" s="534"/>
      <c r="BO2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5-3'!$D$11:$Q319,BO$4,BO$5)"),"")</f>
        <v/>
      </c>
      <c r="BP290" s="534"/>
      <c r="BQ2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5-3'!$D$11:$Q319,BQ$4,BQ$5)"),"")</f>
        <v/>
      </c>
      <c r="BR290" s="536"/>
      <c r="BS29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5-3'!$D$11:$Q319,BS$4,BS$5)"),"")</f>
        <v/>
      </c>
      <c r="BT290" s="534"/>
      <c r="BU290" s="534"/>
      <c r="BV290" s="534"/>
      <c r="BW290" s="534"/>
      <c r="BX2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5-3'!$D$11:$Q319,BX$4,BX$5)"),"")</f>
        <v/>
      </c>
      <c r="BY290" s="538"/>
      <c r="BZ2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5-3'!$D$11:$Q319,BZ$4,BZ$5)"),"")</f>
        <v/>
      </c>
      <c r="CA290" s="537"/>
      <c r="CB2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5-3'!$D$11:$Q319,CB$4,CB$5)"),"")</f>
        <v/>
      </c>
      <c r="CC290" s="537"/>
      <c r="CD2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5-3'!$D$11:$Q319,CD$4,CD$5)"),"")</f>
        <v/>
      </c>
      <c r="CE290" s="537"/>
      <c r="CF2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5-3'!$D$11:$Q319,CF$4,CF$5)"),"")</f>
        <v/>
      </c>
      <c r="CG290" s="539"/>
      <c r="CH29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5-3'!$D$11:$Q319,CH$4,CH$5)"),"")</f>
        <v/>
      </c>
      <c r="CI290" s="537"/>
      <c r="CJ290" s="537"/>
      <c r="CK290" s="537"/>
      <c r="CL290" s="537"/>
      <c r="CM2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5-3'!$D$11:$Q319,CM$4,CM$5)"),"")</f>
        <v/>
      </c>
      <c r="CN290" s="541"/>
      <c r="CO2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5-3'!$D$11:$Q319,CO$4,CO$5)"),"")</f>
        <v/>
      </c>
      <c r="CP290" s="540"/>
      <c r="CQ2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5-3'!$D$11:$Q319,CQ$4,CQ$5)"),"")</f>
        <v/>
      </c>
      <c r="CR290" s="540"/>
      <c r="CS2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5-3'!$D$11:$Q319,CS$4,CS$5)"),"")</f>
        <v/>
      </c>
      <c r="CT290" s="540"/>
      <c r="CU2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5-3'!$D$11:$Q319,CU$4,CU$5)"),"")</f>
        <v/>
      </c>
      <c r="CV290" s="545"/>
      <c r="CW29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5-3'!$D$11:$Q319,CW$4,CW$5)"),"")</f>
        <v/>
      </c>
      <c r="CX290" s="540"/>
      <c r="CY290" s="540"/>
      <c r="CZ290" s="540"/>
      <c r="DA290" s="540"/>
      <c r="DB2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5-3'!$D$11:$Q319,DB$4,DB$5)"),"")</f>
        <v/>
      </c>
      <c r="DC290" s="555"/>
      <c r="DD2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5-3'!$D$11:$Q319,DD$4,DD$5)"),"")</f>
        <v/>
      </c>
      <c r="DE290" s="554"/>
      <c r="DF2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5-3'!$D$11:$Q319,DF$4,DF$5)"),"")</f>
        <v/>
      </c>
      <c r="DG290" s="554"/>
      <c r="DH2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5-3'!$D$11:$Q319,DH$4,DH$5)"),"")</f>
        <v/>
      </c>
      <c r="DI290" s="554"/>
      <c r="DJ2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5-3'!$D$11:$Q319,DJ$4,DJ$5)"),"")</f>
        <v/>
      </c>
      <c r="DK290" s="566"/>
      <c r="DL29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5-3'!$D$11:$Q319,DL$4,DL$5)"),"")</f>
        <v/>
      </c>
      <c r="DM290" s="554"/>
      <c r="DN290" s="554"/>
      <c r="DO290" s="554"/>
      <c r="DP290" s="554"/>
      <c r="DQ2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5-3'!$D$11:$Q319,DQ$4,DQ$5)"),"")</f>
        <v/>
      </c>
      <c r="DR290" s="569"/>
      <c r="DS2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5-3'!$D$11:$Q319,DS$4,DS$5)"),"")</f>
        <v/>
      </c>
      <c r="DT290" s="568"/>
      <c r="DU2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5-3'!$D$11:$Q319,DU$4,DU$5)"),"")</f>
        <v/>
      </c>
      <c r="DV290" s="568"/>
      <c r="DW2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5-3'!$D$11:$Q319,DW$4,DW$5)"),"")</f>
        <v/>
      </c>
      <c r="DX290" s="568"/>
      <c r="DY2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5-3'!$D$11:$Q319,DY$4,DY$5)"),"")</f>
        <v/>
      </c>
      <c r="DZ290" s="578"/>
      <c r="EA29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$C290, 'S-10 Топ 5-3'!$D$11:$Q319,EA$4,EA$5)"),"")</f>
        <v/>
      </c>
      <c r="EB290" s="568"/>
      <c r="EC290" s="568"/>
      <c r="ED290" s="568"/>
      <c r="EE290" s="568"/>
    </row>
    <row r="291">
      <c r="A291" s="519" t="str">
        <f t="shared" si="1"/>
        <v/>
      </c>
      <c r="B291" s="520" t="str">
        <f>'5-0 Товары'!B291</f>
        <v/>
      </c>
      <c r="C291" s="521" t="str">
        <f>'5-1 Сбор КП Закупки'!C291</f>
        <v/>
      </c>
      <c r="D291" s="521" t="str">
        <f>'5-1 Сбор КП Закупки'!D291</f>
        <v/>
      </c>
      <c r="E291" s="521" t="str">
        <f>'5-1 Сбор КП Закупки'!E291</f>
        <v/>
      </c>
      <c r="F291" s="521" t="str">
        <f>'5-1 Сбор КП Закупки'!F291</f>
        <v/>
      </c>
      <c r="G291" s="522" t="str">
        <f>'5-1 Сбор КП Закупки'!G291</f>
        <v/>
      </c>
      <c r="H291" s="522" t="str">
        <f>'5-1 Сбор КП Закупки'!H291</f>
        <v/>
      </c>
      <c r="I291" s="522" t="str">
        <f>'5-1 Сбор КП Закупки'!I291</f>
        <v/>
      </c>
      <c r="J291" s="197"/>
      <c r="K291" s="522" t="str">
        <f>'5-1 Сбор КП Закупки'!G291</f>
        <v/>
      </c>
      <c r="L291" s="523" t="str">
        <f>IF(A291="Да",'5-1 Сбор КП Закупки'!K291,)</f>
        <v/>
      </c>
      <c r="M291" s="197"/>
      <c r="N291" s="197"/>
      <c r="O291" s="197"/>
      <c r="P291" s="525" t="str">
        <f>'5-1 Сбор КП Закупки'!P291</f>
        <v/>
      </c>
      <c r="Q291" s="197"/>
      <c r="R291" s="197"/>
      <c r="S291" s="197"/>
      <c r="T291" s="197"/>
      <c r="U291" s="197"/>
      <c r="V291" s="197"/>
      <c r="W291" s="522" t="str">
        <f>'5-1 Сбор КП Закупки'!O291</f>
        <v/>
      </c>
      <c r="X291" s="197"/>
      <c r="Y291" s="197"/>
      <c r="Z291" s="197"/>
      <c r="AA291" s="197"/>
      <c r="AB291" s="197">
        <v>0.0</v>
      </c>
      <c r="AC291" s="197"/>
      <c r="AD291" s="197"/>
      <c r="AE2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5-3'!$D$11:$Q319,AE$4,AE$5)"),"")</f>
        <v/>
      </c>
      <c r="AF291" s="528"/>
      <c r="AG2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5-3'!$D$11:$Q319,AG$4,AG$5)"),"")</f>
        <v/>
      </c>
      <c r="AH291" s="527"/>
      <c r="AI2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5-3'!$D$11:$Q319,AI$4,AI$5)"),"")</f>
        <v/>
      </c>
      <c r="AJ291" s="527"/>
      <c r="AK2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5-3'!$D$11:$Q319,AK$4,AK$5)"),"")</f>
        <v/>
      </c>
      <c r="AL291" s="527"/>
      <c r="AM2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5-3'!$D$11:$Q319,AM$4,AM$5)"),"")</f>
        <v/>
      </c>
      <c r="AN291" s="529"/>
      <c r="AO29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5-3'!$D$11:$Q319,AO$4,AO$5)"),"")</f>
        <v/>
      </c>
      <c r="AP291" s="527"/>
      <c r="AQ291" s="527"/>
      <c r="AR291" s="527"/>
      <c r="AS291" s="527"/>
      <c r="AT2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5-3'!$D$11:$Q319,AT$4,AT$5)"),"")</f>
        <v/>
      </c>
      <c r="AU291" s="531"/>
      <c r="AV2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5-3'!$D$11:$Q319,AV$4,AV$5)"),"")</f>
        <v/>
      </c>
      <c r="AW291" s="530"/>
      <c r="AX2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5-3'!$D$11:$Q319,AX$4,AX$5)"),"")</f>
        <v/>
      </c>
      <c r="AY291" s="530"/>
      <c r="AZ2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5-3'!$D$11:$Q319,AZ$4,AZ$5)"),"")</f>
        <v/>
      </c>
      <c r="BA291" s="530"/>
      <c r="BB2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5-3'!$D$11:$Q319,BB$4,BB$5)"),"")</f>
        <v/>
      </c>
      <c r="BC291" s="532"/>
      <c r="BD29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5-3'!$D$11:$Q319,BD$4,BD$5)"),"")</f>
        <v/>
      </c>
      <c r="BE291" s="530"/>
      <c r="BF291" s="530"/>
      <c r="BG291" s="530"/>
      <c r="BH291" s="530"/>
      <c r="BI2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5-3'!$D$11:$Q319,BI$4,BI$5)"),"")</f>
        <v/>
      </c>
      <c r="BJ291" s="535"/>
      <c r="BK2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5-3'!$D$11:$Q319,BK$4,BK$5)"),"")</f>
        <v/>
      </c>
      <c r="BL291" s="534"/>
      <c r="BM2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5-3'!$D$11:$Q319,BM$4,BM$5)"),"")</f>
        <v/>
      </c>
      <c r="BN291" s="534"/>
      <c r="BO2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5-3'!$D$11:$Q319,BO$4,BO$5)"),"")</f>
        <v/>
      </c>
      <c r="BP291" s="534"/>
      <c r="BQ2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5-3'!$D$11:$Q319,BQ$4,BQ$5)"),"")</f>
        <v/>
      </c>
      <c r="BR291" s="536"/>
      <c r="BS29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5-3'!$D$11:$Q319,BS$4,BS$5)"),"")</f>
        <v/>
      </c>
      <c r="BT291" s="534"/>
      <c r="BU291" s="534"/>
      <c r="BV291" s="534"/>
      <c r="BW291" s="534"/>
      <c r="BX2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5-3'!$D$11:$Q319,BX$4,BX$5)"),"")</f>
        <v/>
      </c>
      <c r="BY291" s="538"/>
      <c r="BZ2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5-3'!$D$11:$Q319,BZ$4,BZ$5)"),"")</f>
        <v/>
      </c>
      <c r="CA291" s="537"/>
      <c r="CB2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5-3'!$D$11:$Q319,CB$4,CB$5)"),"")</f>
        <v/>
      </c>
      <c r="CC291" s="537"/>
      <c r="CD2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5-3'!$D$11:$Q319,CD$4,CD$5)"),"")</f>
        <v/>
      </c>
      <c r="CE291" s="537"/>
      <c r="CF2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5-3'!$D$11:$Q319,CF$4,CF$5)"),"")</f>
        <v/>
      </c>
      <c r="CG291" s="539"/>
      <c r="CH29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5-3'!$D$11:$Q319,CH$4,CH$5)"),"")</f>
        <v/>
      </c>
      <c r="CI291" s="537"/>
      <c r="CJ291" s="537"/>
      <c r="CK291" s="537"/>
      <c r="CL291" s="537"/>
      <c r="CM2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5-3'!$D$11:$Q319,CM$4,CM$5)"),"")</f>
        <v/>
      </c>
      <c r="CN291" s="541"/>
      <c r="CO2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5-3'!$D$11:$Q319,CO$4,CO$5)"),"")</f>
        <v/>
      </c>
      <c r="CP291" s="540"/>
      <c r="CQ2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5-3'!$D$11:$Q319,CQ$4,CQ$5)"),"")</f>
        <v/>
      </c>
      <c r="CR291" s="540"/>
      <c r="CS2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5-3'!$D$11:$Q319,CS$4,CS$5)"),"")</f>
        <v/>
      </c>
      <c r="CT291" s="540"/>
      <c r="CU2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5-3'!$D$11:$Q319,CU$4,CU$5)"),"")</f>
        <v/>
      </c>
      <c r="CV291" s="545"/>
      <c r="CW29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5-3'!$D$11:$Q319,CW$4,CW$5)"),"")</f>
        <v/>
      </c>
      <c r="CX291" s="540"/>
      <c r="CY291" s="540"/>
      <c r="CZ291" s="540"/>
      <c r="DA291" s="540"/>
      <c r="DB2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5-3'!$D$11:$Q319,DB$4,DB$5)"),"")</f>
        <v/>
      </c>
      <c r="DC291" s="555"/>
      <c r="DD2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5-3'!$D$11:$Q319,DD$4,DD$5)"),"")</f>
        <v/>
      </c>
      <c r="DE291" s="554"/>
      <c r="DF2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5-3'!$D$11:$Q319,DF$4,DF$5)"),"")</f>
        <v/>
      </c>
      <c r="DG291" s="554"/>
      <c r="DH2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5-3'!$D$11:$Q319,DH$4,DH$5)"),"")</f>
        <v/>
      </c>
      <c r="DI291" s="554"/>
      <c r="DJ2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5-3'!$D$11:$Q319,DJ$4,DJ$5)"),"")</f>
        <v/>
      </c>
      <c r="DK291" s="566"/>
      <c r="DL29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5-3'!$D$11:$Q319,DL$4,DL$5)"),"")</f>
        <v/>
      </c>
      <c r="DM291" s="554"/>
      <c r="DN291" s="554"/>
      <c r="DO291" s="554"/>
      <c r="DP291" s="554"/>
      <c r="DQ2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5-3'!$D$11:$Q319,DQ$4,DQ$5)"),"")</f>
        <v/>
      </c>
      <c r="DR291" s="569"/>
      <c r="DS2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5-3'!$D$11:$Q319,DS$4,DS$5)"),"")</f>
        <v/>
      </c>
      <c r="DT291" s="568"/>
      <c r="DU2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5-3'!$D$11:$Q319,DU$4,DU$5)"),"")</f>
        <v/>
      </c>
      <c r="DV291" s="568"/>
      <c r="DW2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5-3'!$D$11:$Q319,DW$4,DW$5)"),"")</f>
        <v/>
      </c>
      <c r="DX291" s="568"/>
      <c r="DY2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5-3'!$D$11:$Q319,DY$4,DY$5)"),"")</f>
        <v/>
      </c>
      <c r="DZ291" s="578"/>
      <c r="EA29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$C291, 'S-10 Топ 5-3'!$D$11:$Q319,EA$4,EA$5)"),"")</f>
        <v/>
      </c>
      <c r="EB291" s="568"/>
      <c r="EC291" s="568"/>
      <c r="ED291" s="568"/>
      <c r="EE291" s="568"/>
    </row>
    <row r="292">
      <c r="A292" s="519" t="str">
        <f t="shared" si="1"/>
        <v/>
      </c>
      <c r="B292" s="520" t="str">
        <f>'5-0 Товары'!B292</f>
        <v/>
      </c>
      <c r="C292" s="521" t="str">
        <f>'5-1 Сбор КП Закупки'!C292</f>
        <v/>
      </c>
      <c r="D292" s="521" t="str">
        <f>'5-1 Сбор КП Закупки'!D292</f>
        <v/>
      </c>
      <c r="E292" s="521" t="str">
        <f>'5-1 Сбор КП Закупки'!E292</f>
        <v/>
      </c>
      <c r="F292" s="521" t="str">
        <f>'5-1 Сбор КП Закупки'!F292</f>
        <v/>
      </c>
      <c r="G292" s="522" t="str">
        <f>'5-1 Сбор КП Закупки'!G292</f>
        <v/>
      </c>
      <c r="H292" s="522" t="str">
        <f>'5-1 Сбор КП Закупки'!H292</f>
        <v/>
      </c>
      <c r="I292" s="522" t="str">
        <f>'5-1 Сбор КП Закупки'!I292</f>
        <v/>
      </c>
      <c r="J292" s="197"/>
      <c r="K292" s="522" t="str">
        <f>'5-1 Сбор КП Закупки'!G292</f>
        <v/>
      </c>
      <c r="L292" s="523" t="str">
        <f>IF(A292="Да",'5-1 Сбор КП Закупки'!K292,)</f>
        <v/>
      </c>
      <c r="M292" s="197"/>
      <c r="N292" s="197"/>
      <c r="O292" s="197"/>
      <c r="P292" s="525" t="str">
        <f>'5-1 Сбор КП Закупки'!P292</f>
        <v/>
      </c>
      <c r="Q292" s="197"/>
      <c r="R292" s="197"/>
      <c r="S292" s="197"/>
      <c r="T292" s="197"/>
      <c r="U292" s="197"/>
      <c r="V292" s="197"/>
      <c r="W292" s="522" t="str">
        <f>'5-1 Сбор КП Закупки'!O292</f>
        <v/>
      </c>
      <c r="X292" s="197"/>
      <c r="Y292" s="197"/>
      <c r="Z292" s="197"/>
      <c r="AA292" s="197"/>
      <c r="AB292" s="197">
        <v>0.0</v>
      </c>
      <c r="AC292" s="197"/>
      <c r="AD292" s="197"/>
      <c r="AE2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5-3'!$D$11:$Q319,AE$4,AE$5)"),"")</f>
        <v/>
      </c>
      <c r="AF292" s="528"/>
      <c r="AG2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5-3'!$D$11:$Q319,AG$4,AG$5)"),"")</f>
        <v/>
      </c>
      <c r="AH292" s="527"/>
      <c r="AI2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5-3'!$D$11:$Q319,AI$4,AI$5)"),"")</f>
        <v/>
      </c>
      <c r="AJ292" s="527"/>
      <c r="AK2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5-3'!$D$11:$Q319,AK$4,AK$5)"),"")</f>
        <v/>
      </c>
      <c r="AL292" s="527"/>
      <c r="AM2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5-3'!$D$11:$Q319,AM$4,AM$5)"),"")</f>
        <v/>
      </c>
      <c r="AN292" s="529"/>
      <c r="AO29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5-3'!$D$11:$Q319,AO$4,AO$5)"),"")</f>
        <v/>
      </c>
      <c r="AP292" s="527"/>
      <c r="AQ292" s="527"/>
      <c r="AR292" s="527"/>
      <c r="AS292" s="527"/>
      <c r="AT2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5-3'!$D$11:$Q319,AT$4,AT$5)"),"")</f>
        <v/>
      </c>
      <c r="AU292" s="531"/>
      <c r="AV2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5-3'!$D$11:$Q319,AV$4,AV$5)"),"")</f>
        <v/>
      </c>
      <c r="AW292" s="530"/>
      <c r="AX2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5-3'!$D$11:$Q319,AX$4,AX$5)"),"")</f>
        <v/>
      </c>
      <c r="AY292" s="530"/>
      <c r="AZ2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5-3'!$D$11:$Q319,AZ$4,AZ$5)"),"")</f>
        <v/>
      </c>
      <c r="BA292" s="530"/>
      <c r="BB2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5-3'!$D$11:$Q319,BB$4,BB$5)"),"")</f>
        <v/>
      </c>
      <c r="BC292" s="532"/>
      <c r="BD29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5-3'!$D$11:$Q319,BD$4,BD$5)"),"")</f>
        <v/>
      </c>
      <c r="BE292" s="530"/>
      <c r="BF292" s="530"/>
      <c r="BG292" s="530"/>
      <c r="BH292" s="530"/>
      <c r="BI2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5-3'!$D$11:$Q319,BI$4,BI$5)"),"")</f>
        <v/>
      </c>
      <c r="BJ292" s="535"/>
      <c r="BK2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5-3'!$D$11:$Q319,BK$4,BK$5)"),"")</f>
        <v/>
      </c>
      <c r="BL292" s="534"/>
      <c r="BM2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5-3'!$D$11:$Q319,BM$4,BM$5)"),"")</f>
        <v/>
      </c>
      <c r="BN292" s="534"/>
      <c r="BO2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5-3'!$D$11:$Q319,BO$4,BO$5)"),"")</f>
        <v/>
      </c>
      <c r="BP292" s="534"/>
      <c r="BQ2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5-3'!$D$11:$Q319,BQ$4,BQ$5)"),"")</f>
        <v/>
      </c>
      <c r="BR292" s="536"/>
      <c r="BS29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5-3'!$D$11:$Q319,BS$4,BS$5)"),"")</f>
        <v/>
      </c>
      <c r="BT292" s="534"/>
      <c r="BU292" s="534"/>
      <c r="BV292" s="534"/>
      <c r="BW292" s="534"/>
      <c r="BX2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5-3'!$D$11:$Q319,BX$4,BX$5)"),"")</f>
        <v/>
      </c>
      <c r="BY292" s="538"/>
      <c r="BZ2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5-3'!$D$11:$Q319,BZ$4,BZ$5)"),"")</f>
        <v/>
      </c>
      <c r="CA292" s="537"/>
      <c r="CB2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5-3'!$D$11:$Q319,CB$4,CB$5)"),"")</f>
        <v/>
      </c>
      <c r="CC292" s="537"/>
      <c r="CD2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5-3'!$D$11:$Q319,CD$4,CD$5)"),"")</f>
        <v/>
      </c>
      <c r="CE292" s="537"/>
      <c r="CF2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5-3'!$D$11:$Q319,CF$4,CF$5)"),"")</f>
        <v/>
      </c>
      <c r="CG292" s="539"/>
      <c r="CH29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5-3'!$D$11:$Q319,CH$4,CH$5)"),"")</f>
        <v/>
      </c>
      <c r="CI292" s="537"/>
      <c r="CJ292" s="537"/>
      <c r="CK292" s="537"/>
      <c r="CL292" s="537"/>
      <c r="CM2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5-3'!$D$11:$Q319,CM$4,CM$5)"),"")</f>
        <v/>
      </c>
      <c r="CN292" s="541"/>
      <c r="CO2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5-3'!$D$11:$Q319,CO$4,CO$5)"),"")</f>
        <v/>
      </c>
      <c r="CP292" s="540"/>
      <c r="CQ2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5-3'!$D$11:$Q319,CQ$4,CQ$5)"),"")</f>
        <v/>
      </c>
      <c r="CR292" s="540"/>
      <c r="CS2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5-3'!$D$11:$Q319,CS$4,CS$5)"),"")</f>
        <v/>
      </c>
      <c r="CT292" s="540"/>
      <c r="CU2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5-3'!$D$11:$Q319,CU$4,CU$5)"),"")</f>
        <v/>
      </c>
      <c r="CV292" s="545"/>
      <c r="CW29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5-3'!$D$11:$Q319,CW$4,CW$5)"),"")</f>
        <v/>
      </c>
      <c r="CX292" s="540"/>
      <c r="CY292" s="540"/>
      <c r="CZ292" s="540"/>
      <c r="DA292" s="540"/>
      <c r="DB2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5-3'!$D$11:$Q319,DB$4,DB$5)"),"")</f>
        <v/>
      </c>
      <c r="DC292" s="555"/>
      <c r="DD2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5-3'!$D$11:$Q319,DD$4,DD$5)"),"")</f>
        <v/>
      </c>
      <c r="DE292" s="554"/>
      <c r="DF2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5-3'!$D$11:$Q319,DF$4,DF$5)"),"")</f>
        <v/>
      </c>
      <c r="DG292" s="554"/>
      <c r="DH2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5-3'!$D$11:$Q319,DH$4,DH$5)"),"")</f>
        <v/>
      </c>
      <c r="DI292" s="554"/>
      <c r="DJ2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5-3'!$D$11:$Q319,DJ$4,DJ$5)"),"")</f>
        <v/>
      </c>
      <c r="DK292" s="566"/>
      <c r="DL29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5-3'!$D$11:$Q319,DL$4,DL$5)"),"")</f>
        <v/>
      </c>
      <c r="DM292" s="554"/>
      <c r="DN292" s="554"/>
      <c r="DO292" s="554"/>
      <c r="DP292" s="554"/>
      <c r="DQ2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5-3'!$D$11:$Q319,DQ$4,DQ$5)"),"")</f>
        <v/>
      </c>
      <c r="DR292" s="569"/>
      <c r="DS2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5-3'!$D$11:$Q319,DS$4,DS$5)"),"")</f>
        <v/>
      </c>
      <c r="DT292" s="568"/>
      <c r="DU2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5-3'!$D$11:$Q319,DU$4,DU$5)"),"")</f>
        <v/>
      </c>
      <c r="DV292" s="568"/>
      <c r="DW2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5-3'!$D$11:$Q319,DW$4,DW$5)"),"")</f>
        <v/>
      </c>
      <c r="DX292" s="568"/>
      <c r="DY2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5-3'!$D$11:$Q319,DY$4,DY$5)"),"")</f>
        <v/>
      </c>
      <c r="DZ292" s="578"/>
      <c r="EA29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$C292, 'S-10 Топ 5-3'!$D$11:$Q319,EA$4,EA$5)"),"")</f>
        <v/>
      </c>
      <c r="EB292" s="568"/>
      <c r="EC292" s="568"/>
      <c r="ED292" s="568"/>
      <c r="EE292" s="568"/>
    </row>
    <row r="293">
      <c r="A293" s="519" t="str">
        <f t="shared" si="1"/>
        <v/>
      </c>
      <c r="B293" s="520" t="str">
        <f>'5-0 Товары'!B293</f>
        <v/>
      </c>
      <c r="C293" s="521" t="str">
        <f>'5-1 Сбор КП Закупки'!C293</f>
        <v/>
      </c>
      <c r="D293" s="521" t="str">
        <f>'5-1 Сбор КП Закупки'!D293</f>
        <v/>
      </c>
      <c r="E293" s="521" t="str">
        <f>'5-1 Сбор КП Закупки'!E293</f>
        <v/>
      </c>
      <c r="F293" s="521" t="str">
        <f>'5-1 Сбор КП Закупки'!F293</f>
        <v/>
      </c>
      <c r="G293" s="522" t="str">
        <f>'5-1 Сбор КП Закупки'!G293</f>
        <v/>
      </c>
      <c r="H293" s="522" t="str">
        <f>'5-1 Сбор КП Закупки'!H293</f>
        <v/>
      </c>
      <c r="I293" s="522" t="str">
        <f>'5-1 Сбор КП Закупки'!I293</f>
        <v/>
      </c>
      <c r="J293" s="197"/>
      <c r="K293" s="522" t="str">
        <f>'5-1 Сбор КП Закупки'!G293</f>
        <v/>
      </c>
      <c r="L293" s="523" t="str">
        <f>IF(A293="Да",'5-1 Сбор КП Закупки'!K293,)</f>
        <v/>
      </c>
      <c r="M293" s="197"/>
      <c r="N293" s="197"/>
      <c r="O293" s="197"/>
      <c r="P293" s="525" t="str">
        <f>'5-1 Сбор КП Закупки'!P293</f>
        <v/>
      </c>
      <c r="Q293" s="197"/>
      <c r="R293" s="197"/>
      <c r="S293" s="197"/>
      <c r="T293" s="197"/>
      <c r="U293" s="197"/>
      <c r="V293" s="197"/>
      <c r="W293" s="522" t="str">
        <f>'5-1 Сбор КП Закупки'!O293</f>
        <v/>
      </c>
      <c r="X293" s="197"/>
      <c r="Y293" s="197"/>
      <c r="Z293" s="197"/>
      <c r="AA293" s="197"/>
      <c r="AB293" s="197">
        <v>0.0</v>
      </c>
      <c r="AC293" s="197"/>
      <c r="AD293" s="197"/>
      <c r="AE2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5-3'!$D$11:$Q319,AE$4,AE$5)"),"")</f>
        <v/>
      </c>
      <c r="AF293" s="528"/>
      <c r="AG2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5-3'!$D$11:$Q319,AG$4,AG$5)"),"")</f>
        <v/>
      </c>
      <c r="AH293" s="527"/>
      <c r="AI2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5-3'!$D$11:$Q319,AI$4,AI$5)"),"")</f>
        <v/>
      </c>
      <c r="AJ293" s="527"/>
      <c r="AK2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5-3'!$D$11:$Q319,AK$4,AK$5)"),"")</f>
        <v/>
      </c>
      <c r="AL293" s="527"/>
      <c r="AM2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5-3'!$D$11:$Q319,AM$4,AM$5)"),"")</f>
        <v/>
      </c>
      <c r="AN293" s="529"/>
      <c r="AO29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5-3'!$D$11:$Q319,AO$4,AO$5)"),"")</f>
        <v/>
      </c>
      <c r="AP293" s="527"/>
      <c r="AQ293" s="527"/>
      <c r="AR293" s="527"/>
      <c r="AS293" s="527"/>
      <c r="AT2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5-3'!$D$11:$Q319,AT$4,AT$5)"),"")</f>
        <v/>
      </c>
      <c r="AU293" s="531"/>
      <c r="AV2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5-3'!$D$11:$Q319,AV$4,AV$5)"),"")</f>
        <v/>
      </c>
      <c r="AW293" s="530"/>
      <c r="AX2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5-3'!$D$11:$Q319,AX$4,AX$5)"),"")</f>
        <v/>
      </c>
      <c r="AY293" s="530"/>
      <c r="AZ2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5-3'!$D$11:$Q319,AZ$4,AZ$5)"),"")</f>
        <v/>
      </c>
      <c r="BA293" s="530"/>
      <c r="BB2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5-3'!$D$11:$Q319,BB$4,BB$5)"),"")</f>
        <v/>
      </c>
      <c r="BC293" s="532"/>
      <c r="BD29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5-3'!$D$11:$Q319,BD$4,BD$5)"),"")</f>
        <v/>
      </c>
      <c r="BE293" s="530"/>
      <c r="BF293" s="530"/>
      <c r="BG293" s="530"/>
      <c r="BH293" s="530"/>
      <c r="BI2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5-3'!$D$11:$Q319,BI$4,BI$5)"),"")</f>
        <v/>
      </c>
      <c r="BJ293" s="535"/>
      <c r="BK2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5-3'!$D$11:$Q319,BK$4,BK$5)"),"")</f>
        <v/>
      </c>
      <c r="BL293" s="534"/>
      <c r="BM2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5-3'!$D$11:$Q319,BM$4,BM$5)"),"")</f>
        <v/>
      </c>
      <c r="BN293" s="534"/>
      <c r="BO2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5-3'!$D$11:$Q319,BO$4,BO$5)"),"")</f>
        <v/>
      </c>
      <c r="BP293" s="534"/>
      <c r="BQ2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5-3'!$D$11:$Q319,BQ$4,BQ$5)"),"")</f>
        <v/>
      </c>
      <c r="BR293" s="536"/>
      <c r="BS29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5-3'!$D$11:$Q319,BS$4,BS$5)"),"")</f>
        <v/>
      </c>
      <c r="BT293" s="534"/>
      <c r="BU293" s="534"/>
      <c r="BV293" s="534"/>
      <c r="BW293" s="534"/>
      <c r="BX2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5-3'!$D$11:$Q319,BX$4,BX$5)"),"")</f>
        <v/>
      </c>
      <c r="BY293" s="538"/>
      <c r="BZ2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5-3'!$D$11:$Q319,BZ$4,BZ$5)"),"")</f>
        <v/>
      </c>
      <c r="CA293" s="537"/>
      <c r="CB2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5-3'!$D$11:$Q319,CB$4,CB$5)"),"")</f>
        <v/>
      </c>
      <c r="CC293" s="537"/>
      <c r="CD2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5-3'!$D$11:$Q319,CD$4,CD$5)"),"")</f>
        <v/>
      </c>
      <c r="CE293" s="537"/>
      <c r="CF2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5-3'!$D$11:$Q319,CF$4,CF$5)"),"")</f>
        <v/>
      </c>
      <c r="CG293" s="539"/>
      <c r="CH29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5-3'!$D$11:$Q319,CH$4,CH$5)"),"")</f>
        <v/>
      </c>
      <c r="CI293" s="537"/>
      <c r="CJ293" s="537"/>
      <c r="CK293" s="537"/>
      <c r="CL293" s="537"/>
      <c r="CM2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5-3'!$D$11:$Q319,CM$4,CM$5)"),"")</f>
        <v/>
      </c>
      <c r="CN293" s="541"/>
      <c r="CO2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5-3'!$D$11:$Q319,CO$4,CO$5)"),"")</f>
        <v/>
      </c>
      <c r="CP293" s="540"/>
      <c r="CQ2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5-3'!$D$11:$Q319,CQ$4,CQ$5)"),"")</f>
        <v/>
      </c>
      <c r="CR293" s="540"/>
      <c r="CS2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5-3'!$D$11:$Q319,CS$4,CS$5)"),"")</f>
        <v/>
      </c>
      <c r="CT293" s="540"/>
      <c r="CU2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5-3'!$D$11:$Q319,CU$4,CU$5)"),"")</f>
        <v/>
      </c>
      <c r="CV293" s="545"/>
      <c r="CW29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5-3'!$D$11:$Q319,CW$4,CW$5)"),"")</f>
        <v/>
      </c>
      <c r="CX293" s="540"/>
      <c r="CY293" s="540"/>
      <c r="CZ293" s="540"/>
      <c r="DA293" s="540"/>
      <c r="DB2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5-3'!$D$11:$Q319,DB$4,DB$5)"),"")</f>
        <v/>
      </c>
      <c r="DC293" s="555"/>
      <c r="DD2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5-3'!$D$11:$Q319,DD$4,DD$5)"),"")</f>
        <v/>
      </c>
      <c r="DE293" s="554"/>
      <c r="DF2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5-3'!$D$11:$Q319,DF$4,DF$5)"),"")</f>
        <v/>
      </c>
      <c r="DG293" s="554"/>
      <c r="DH2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5-3'!$D$11:$Q319,DH$4,DH$5)"),"")</f>
        <v/>
      </c>
      <c r="DI293" s="554"/>
      <c r="DJ2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5-3'!$D$11:$Q319,DJ$4,DJ$5)"),"")</f>
        <v/>
      </c>
      <c r="DK293" s="566"/>
      <c r="DL29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5-3'!$D$11:$Q319,DL$4,DL$5)"),"")</f>
        <v/>
      </c>
      <c r="DM293" s="554"/>
      <c r="DN293" s="554"/>
      <c r="DO293" s="554"/>
      <c r="DP293" s="554"/>
      <c r="DQ2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5-3'!$D$11:$Q319,DQ$4,DQ$5)"),"")</f>
        <v/>
      </c>
      <c r="DR293" s="569"/>
      <c r="DS2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5-3'!$D$11:$Q319,DS$4,DS$5)"),"")</f>
        <v/>
      </c>
      <c r="DT293" s="568"/>
      <c r="DU2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5-3'!$D$11:$Q319,DU$4,DU$5)"),"")</f>
        <v/>
      </c>
      <c r="DV293" s="568"/>
      <c r="DW2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5-3'!$D$11:$Q319,DW$4,DW$5)"),"")</f>
        <v/>
      </c>
      <c r="DX293" s="568"/>
      <c r="DY2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5-3'!$D$11:$Q319,DY$4,DY$5)"),"")</f>
        <v/>
      </c>
      <c r="DZ293" s="578"/>
      <c r="EA29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$C293, 'S-10 Топ 5-3'!$D$11:$Q319,EA$4,EA$5)"),"")</f>
        <v/>
      </c>
      <c r="EB293" s="568"/>
      <c r="EC293" s="568"/>
      <c r="ED293" s="568"/>
      <c r="EE293" s="568"/>
    </row>
    <row r="294">
      <c r="A294" s="519" t="str">
        <f t="shared" si="1"/>
        <v/>
      </c>
      <c r="B294" s="520" t="str">
        <f>'5-0 Товары'!B294</f>
        <v/>
      </c>
      <c r="C294" s="521" t="str">
        <f>'5-1 Сбор КП Закупки'!C294</f>
        <v/>
      </c>
      <c r="D294" s="521" t="str">
        <f>'5-1 Сбор КП Закупки'!D294</f>
        <v/>
      </c>
      <c r="E294" s="521" t="str">
        <f>'5-1 Сбор КП Закупки'!E294</f>
        <v/>
      </c>
      <c r="F294" s="521" t="str">
        <f>'5-1 Сбор КП Закупки'!F294</f>
        <v/>
      </c>
      <c r="G294" s="522" t="str">
        <f>'5-1 Сбор КП Закупки'!G294</f>
        <v/>
      </c>
      <c r="H294" s="522" t="str">
        <f>'5-1 Сбор КП Закупки'!H294</f>
        <v/>
      </c>
      <c r="I294" s="522" t="str">
        <f>'5-1 Сбор КП Закупки'!I294</f>
        <v/>
      </c>
      <c r="J294" s="197"/>
      <c r="K294" s="522" t="str">
        <f>'5-1 Сбор КП Закупки'!G294</f>
        <v/>
      </c>
      <c r="L294" s="523" t="str">
        <f>IF(A294="Да",'5-1 Сбор КП Закупки'!K294,)</f>
        <v/>
      </c>
      <c r="M294" s="197"/>
      <c r="N294" s="197"/>
      <c r="O294" s="197"/>
      <c r="P294" s="525" t="str">
        <f>'5-1 Сбор КП Закупки'!P294</f>
        <v/>
      </c>
      <c r="Q294" s="197"/>
      <c r="R294" s="197"/>
      <c r="S294" s="197"/>
      <c r="T294" s="197"/>
      <c r="U294" s="197"/>
      <c r="V294" s="197"/>
      <c r="W294" s="522" t="str">
        <f>'5-1 Сбор КП Закупки'!O294</f>
        <v/>
      </c>
      <c r="X294" s="197"/>
      <c r="Y294" s="197"/>
      <c r="Z294" s="197"/>
      <c r="AA294" s="197"/>
      <c r="AB294" s="197">
        <v>0.0</v>
      </c>
      <c r="AC294" s="197"/>
      <c r="AD294" s="197"/>
      <c r="AE2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5-3'!$D$11:$Q319,AE$4,AE$5)"),"")</f>
        <v/>
      </c>
      <c r="AF294" s="528"/>
      <c r="AG2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5-3'!$D$11:$Q319,AG$4,AG$5)"),"")</f>
        <v/>
      </c>
      <c r="AH294" s="527"/>
      <c r="AI2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5-3'!$D$11:$Q319,AI$4,AI$5)"),"")</f>
        <v/>
      </c>
      <c r="AJ294" s="527"/>
      <c r="AK2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5-3'!$D$11:$Q319,AK$4,AK$5)"),"")</f>
        <v/>
      </c>
      <c r="AL294" s="527"/>
      <c r="AM2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5-3'!$D$11:$Q319,AM$4,AM$5)"),"")</f>
        <v/>
      </c>
      <c r="AN294" s="529"/>
      <c r="AO29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5-3'!$D$11:$Q319,AO$4,AO$5)"),"")</f>
        <v/>
      </c>
      <c r="AP294" s="527"/>
      <c r="AQ294" s="527"/>
      <c r="AR294" s="527"/>
      <c r="AS294" s="527"/>
      <c r="AT2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5-3'!$D$11:$Q319,AT$4,AT$5)"),"")</f>
        <v/>
      </c>
      <c r="AU294" s="531"/>
      <c r="AV2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5-3'!$D$11:$Q319,AV$4,AV$5)"),"")</f>
        <v/>
      </c>
      <c r="AW294" s="530"/>
      <c r="AX2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5-3'!$D$11:$Q319,AX$4,AX$5)"),"")</f>
        <v/>
      </c>
      <c r="AY294" s="530"/>
      <c r="AZ2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5-3'!$D$11:$Q319,AZ$4,AZ$5)"),"")</f>
        <v/>
      </c>
      <c r="BA294" s="530"/>
      <c r="BB2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5-3'!$D$11:$Q319,BB$4,BB$5)"),"")</f>
        <v/>
      </c>
      <c r="BC294" s="532"/>
      <c r="BD29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5-3'!$D$11:$Q319,BD$4,BD$5)"),"")</f>
        <v/>
      </c>
      <c r="BE294" s="530"/>
      <c r="BF294" s="530"/>
      <c r="BG294" s="530"/>
      <c r="BH294" s="530"/>
      <c r="BI2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5-3'!$D$11:$Q319,BI$4,BI$5)"),"")</f>
        <v/>
      </c>
      <c r="BJ294" s="535"/>
      <c r="BK2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5-3'!$D$11:$Q319,BK$4,BK$5)"),"")</f>
        <v/>
      </c>
      <c r="BL294" s="534"/>
      <c r="BM2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5-3'!$D$11:$Q319,BM$4,BM$5)"),"")</f>
        <v/>
      </c>
      <c r="BN294" s="534"/>
      <c r="BO2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5-3'!$D$11:$Q319,BO$4,BO$5)"),"")</f>
        <v/>
      </c>
      <c r="BP294" s="534"/>
      <c r="BQ2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5-3'!$D$11:$Q319,BQ$4,BQ$5)"),"")</f>
        <v/>
      </c>
      <c r="BR294" s="536"/>
      <c r="BS29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5-3'!$D$11:$Q319,BS$4,BS$5)"),"")</f>
        <v/>
      </c>
      <c r="BT294" s="534"/>
      <c r="BU294" s="534"/>
      <c r="BV294" s="534"/>
      <c r="BW294" s="534"/>
      <c r="BX2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5-3'!$D$11:$Q319,BX$4,BX$5)"),"")</f>
        <v/>
      </c>
      <c r="BY294" s="538"/>
      <c r="BZ2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5-3'!$D$11:$Q319,BZ$4,BZ$5)"),"")</f>
        <v/>
      </c>
      <c r="CA294" s="537"/>
      <c r="CB2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5-3'!$D$11:$Q319,CB$4,CB$5)"),"")</f>
        <v/>
      </c>
      <c r="CC294" s="537"/>
      <c r="CD2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5-3'!$D$11:$Q319,CD$4,CD$5)"),"")</f>
        <v/>
      </c>
      <c r="CE294" s="537"/>
      <c r="CF2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5-3'!$D$11:$Q319,CF$4,CF$5)"),"")</f>
        <v/>
      </c>
      <c r="CG294" s="539"/>
      <c r="CH29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5-3'!$D$11:$Q319,CH$4,CH$5)"),"")</f>
        <v/>
      </c>
      <c r="CI294" s="537"/>
      <c r="CJ294" s="537"/>
      <c r="CK294" s="537"/>
      <c r="CL294" s="537"/>
      <c r="CM2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5-3'!$D$11:$Q319,CM$4,CM$5)"),"")</f>
        <v/>
      </c>
      <c r="CN294" s="541"/>
      <c r="CO2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5-3'!$D$11:$Q319,CO$4,CO$5)"),"")</f>
        <v/>
      </c>
      <c r="CP294" s="540"/>
      <c r="CQ2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5-3'!$D$11:$Q319,CQ$4,CQ$5)"),"")</f>
        <v/>
      </c>
      <c r="CR294" s="540"/>
      <c r="CS2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5-3'!$D$11:$Q319,CS$4,CS$5)"),"")</f>
        <v/>
      </c>
      <c r="CT294" s="540"/>
      <c r="CU2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5-3'!$D$11:$Q319,CU$4,CU$5)"),"")</f>
        <v/>
      </c>
      <c r="CV294" s="545"/>
      <c r="CW29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5-3'!$D$11:$Q319,CW$4,CW$5)"),"")</f>
        <v/>
      </c>
      <c r="CX294" s="540"/>
      <c r="CY294" s="540"/>
      <c r="CZ294" s="540"/>
      <c r="DA294" s="540"/>
      <c r="DB2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5-3'!$D$11:$Q319,DB$4,DB$5)"),"")</f>
        <v/>
      </c>
      <c r="DC294" s="555"/>
      <c r="DD2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5-3'!$D$11:$Q319,DD$4,DD$5)"),"")</f>
        <v/>
      </c>
      <c r="DE294" s="554"/>
      <c r="DF2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5-3'!$D$11:$Q319,DF$4,DF$5)"),"")</f>
        <v/>
      </c>
      <c r="DG294" s="554"/>
      <c r="DH2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5-3'!$D$11:$Q319,DH$4,DH$5)"),"")</f>
        <v/>
      </c>
      <c r="DI294" s="554"/>
      <c r="DJ2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5-3'!$D$11:$Q319,DJ$4,DJ$5)"),"")</f>
        <v/>
      </c>
      <c r="DK294" s="566"/>
      <c r="DL29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5-3'!$D$11:$Q319,DL$4,DL$5)"),"")</f>
        <v/>
      </c>
      <c r="DM294" s="554"/>
      <c r="DN294" s="554"/>
      <c r="DO294" s="554"/>
      <c r="DP294" s="554"/>
      <c r="DQ2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5-3'!$D$11:$Q319,DQ$4,DQ$5)"),"")</f>
        <v/>
      </c>
      <c r="DR294" s="569"/>
      <c r="DS2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5-3'!$D$11:$Q319,DS$4,DS$5)"),"")</f>
        <v/>
      </c>
      <c r="DT294" s="568"/>
      <c r="DU2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5-3'!$D$11:$Q319,DU$4,DU$5)"),"")</f>
        <v/>
      </c>
      <c r="DV294" s="568"/>
      <c r="DW2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5-3'!$D$11:$Q319,DW$4,DW$5)"),"")</f>
        <v/>
      </c>
      <c r="DX294" s="568"/>
      <c r="DY2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5-3'!$D$11:$Q319,DY$4,DY$5)"),"")</f>
        <v/>
      </c>
      <c r="DZ294" s="578"/>
      <c r="EA29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$C294, 'S-10 Топ 5-3'!$D$11:$Q319,EA$4,EA$5)"),"")</f>
        <v/>
      </c>
      <c r="EB294" s="568"/>
      <c r="EC294" s="568"/>
      <c r="ED294" s="568"/>
      <c r="EE294" s="568"/>
    </row>
    <row r="295">
      <c r="A295" s="519" t="str">
        <f t="shared" si="1"/>
        <v/>
      </c>
      <c r="B295" s="520" t="str">
        <f>'5-0 Товары'!B295</f>
        <v/>
      </c>
      <c r="C295" s="521" t="str">
        <f>'5-1 Сбор КП Закупки'!C295</f>
        <v/>
      </c>
      <c r="D295" s="521" t="str">
        <f>'5-1 Сбор КП Закупки'!D295</f>
        <v/>
      </c>
      <c r="E295" s="521" t="str">
        <f>'5-1 Сбор КП Закупки'!E295</f>
        <v/>
      </c>
      <c r="F295" s="521" t="str">
        <f>'5-1 Сбор КП Закупки'!F295</f>
        <v/>
      </c>
      <c r="G295" s="522" t="str">
        <f>'5-1 Сбор КП Закупки'!G295</f>
        <v/>
      </c>
      <c r="H295" s="522" t="str">
        <f>'5-1 Сбор КП Закупки'!H295</f>
        <v/>
      </c>
      <c r="I295" s="522" t="str">
        <f>'5-1 Сбор КП Закупки'!I295</f>
        <v/>
      </c>
      <c r="J295" s="197"/>
      <c r="K295" s="522" t="str">
        <f>'5-1 Сбор КП Закупки'!G295</f>
        <v/>
      </c>
      <c r="L295" s="523" t="str">
        <f>IF(A295="Да",'5-1 Сбор КП Закупки'!K295,)</f>
        <v/>
      </c>
      <c r="M295" s="197"/>
      <c r="N295" s="197"/>
      <c r="O295" s="197"/>
      <c r="P295" s="525" t="str">
        <f>'5-1 Сбор КП Закупки'!P295</f>
        <v/>
      </c>
      <c r="Q295" s="197"/>
      <c r="R295" s="197"/>
      <c r="S295" s="197"/>
      <c r="T295" s="197"/>
      <c r="U295" s="197"/>
      <c r="V295" s="197"/>
      <c r="W295" s="522" t="str">
        <f>'5-1 Сбор КП Закупки'!O295</f>
        <v/>
      </c>
      <c r="X295" s="197"/>
      <c r="Y295" s="197"/>
      <c r="Z295" s="197"/>
      <c r="AA295" s="197"/>
      <c r="AB295" s="197">
        <v>0.0</v>
      </c>
      <c r="AC295" s="197"/>
      <c r="AD295" s="197"/>
      <c r="AE2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5-3'!$D$11:$Q319,AE$4,AE$5)"),"")</f>
        <v/>
      </c>
      <c r="AF295" s="528"/>
      <c r="AG2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5-3'!$D$11:$Q319,AG$4,AG$5)"),"")</f>
        <v/>
      </c>
      <c r="AH295" s="527"/>
      <c r="AI2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5-3'!$D$11:$Q319,AI$4,AI$5)"),"")</f>
        <v/>
      </c>
      <c r="AJ295" s="527"/>
      <c r="AK2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5-3'!$D$11:$Q319,AK$4,AK$5)"),"")</f>
        <v/>
      </c>
      <c r="AL295" s="527"/>
      <c r="AM2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5-3'!$D$11:$Q319,AM$4,AM$5)"),"")</f>
        <v/>
      </c>
      <c r="AN295" s="529"/>
      <c r="AO29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5-3'!$D$11:$Q319,AO$4,AO$5)"),"")</f>
        <v/>
      </c>
      <c r="AP295" s="527"/>
      <c r="AQ295" s="527"/>
      <c r="AR295" s="527"/>
      <c r="AS295" s="527"/>
      <c r="AT2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5-3'!$D$11:$Q319,AT$4,AT$5)"),"")</f>
        <v/>
      </c>
      <c r="AU295" s="531"/>
      <c r="AV2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5-3'!$D$11:$Q319,AV$4,AV$5)"),"")</f>
        <v/>
      </c>
      <c r="AW295" s="530"/>
      <c r="AX2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5-3'!$D$11:$Q319,AX$4,AX$5)"),"")</f>
        <v/>
      </c>
      <c r="AY295" s="530"/>
      <c r="AZ2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5-3'!$D$11:$Q319,AZ$4,AZ$5)"),"")</f>
        <v/>
      </c>
      <c r="BA295" s="530"/>
      <c r="BB2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5-3'!$D$11:$Q319,BB$4,BB$5)"),"")</f>
        <v/>
      </c>
      <c r="BC295" s="532"/>
      <c r="BD29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5-3'!$D$11:$Q319,BD$4,BD$5)"),"")</f>
        <v/>
      </c>
      <c r="BE295" s="530"/>
      <c r="BF295" s="530"/>
      <c r="BG295" s="530"/>
      <c r="BH295" s="530"/>
      <c r="BI2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5-3'!$D$11:$Q319,BI$4,BI$5)"),"")</f>
        <v/>
      </c>
      <c r="BJ295" s="535"/>
      <c r="BK2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5-3'!$D$11:$Q319,BK$4,BK$5)"),"")</f>
        <v/>
      </c>
      <c r="BL295" s="534"/>
      <c r="BM2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5-3'!$D$11:$Q319,BM$4,BM$5)"),"")</f>
        <v/>
      </c>
      <c r="BN295" s="534"/>
      <c r="BO2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5-3'!$D$11:$Q319,BO$4,BO$5)"),"")</f>
        <v/>
      </c>
      <c r="BP295" s="534"/>
      <c r="BQ2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5-3'!$D$11:$Q319,BQ$4,BQ$5)"),"")</f>
        <v/>
      </c>
      <c r="BR295" s="536"/>
      <c r="BS29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5-3'!$D$11:$Q319,BS$4,BS$5)"),"")</f>
        <v/>
      </c>
      <c r="BT295" s="534"/>
      <c r="BU295" s="534"/>
      <c r="BV295" s="534"/>
      <c r="BW295" s="534"/>
      <c r="BX2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5-3'!$D$11:$Q319,BX$4,BX$5)"),"")</f>
        <v/>
      </c>
      <c r="BY295" s="538"/>
      <c r="BZ2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5-3'!$D$11:$Q319,BZ$4,BZ$5)"),"")</f>
        <v/>
      </c>
      <c r="CA295" s="537"/>
      <c r="CB2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5-3'!$D$11:$Q319,CB$4,CB$5)"),"")</f>
        <v/>
      </c>
      <c r="CC295" s="537"/>
      <c r="CD2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5-3'!$D$11:$Q319,CD$4,CD$5)"),"")</f>
        <v/>
      </c>
      <c r="CE295" s="537"/>
      <c r="CF2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5-3'!$D$11:$Q319,CF$4,CF$5)"),"")</f>
        <v/>
      </c>
      <c r="CG295" s="539"/>
      <c r="CH29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5-3'!$D$11:$Q319,CH$4,CH$5)"),"")</f>
        <v/>
      </c>
      <c r="CI295" s="537"/>
      <c r="CJ295" s="537"/>
      <c r="CK295" s="537"/>
      <c r="CL295" s="537"/>
      <c r="CM2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5-3'!$D$11:$Q319,CM$4,CM$5)"),"")</f>
        <v/>
      </c>
      <c r="CN295" s="541"/>
      <c r="CO2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5-3'!$D$11:$Q319,CO$4,CO$5)"),"")</f>
        <v/>
      </c>
      <c r="CP295" s="540"/>
      <c r="CQ2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5-3'!$D$11:$Q319,CQ$4,CQ$5)"),"")</f>
        <v/>
      </c>
      <c r="CR295" s="540"/>
      <c r="CS2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5-3'!$D$11:$Q319,CS$4,CS$5)"),"")</f>
        <v/>
      </c>
      <c r="CT295" s="540"/>
      <c r="CU2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5-3'!$D$11:$Q319,CU$4,CU$5)"),"")</f>
        <v/>
      </c>
      <c r="CV295" s="545"/>
      <c r="CW29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5-3'!$D$11:$Q319,CW$4,CW$5)"),"")</f>
        <v/>
      </c>
      <c r="CX295" s="540"/>
      <c r="CY295" s="540"/>
      <c r="CZ295" s="540"/>
      <c r="DA295" s="540"/>
      <c r="DB2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5-3'!$D$11:$Q319,DB$4,DB$5)"),"")</f>
        <v/>
      </c>
      <c r="DC295" s="555"/>
      <c r="DD2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5-3'!$D$11:$Q319,DD$4,DD$5)"),"")</f>
        <v/>
      </c>
      <c r="DE295" s="554"/>
      <c r="DF2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5-3'!$D$11:$Q319,DF$4,DF$5)"),"")</f>
        <v/>
      </c>
      <c r="DG295" s="554"/>
      <c r="DH2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5-3'!$D$11:$Q319,DH$4,DH$5)"),"")</f>
        <v/>
      </c>
      <c r="DI295" s="554"/>
      <c r="DJ2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5-3'!$D$11:$Q319,DJ$4,DJ$5)"),"")</f>
        <v/>
      </c>
      <c r="DK295" s="566"/>
      <c r="DL29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5-3'!$D$11:$Q319,DL$4,DL$5)"),"")</f>
        <v/>
      </c>
      <c r="DM295" s="554"/>
      <c r="DN295" s="554"/>
      <c r="DO295" s="554"/>
      <c r="DP295" s="554"/>
      <c r="DQ2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5-3'!$D$11:$Q319,DQ$4,DQ$5)"),"")</f>
        <v/>
      </c>
      <c r="DR295" s="569"/>
      <c r="DS2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5-3'!$D$11:$Q319,DS$4,DS$5)"),"")</f>
        <v/>
      </c>
      <c r="DT295" s="568"/>
      <c r="DU2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5-3'!$D$11:$Q319,DU$4,DU$5)"),"")</f>
        <v/>
      </c>
      <c r="DV295" s="568"/>
      <c r="DW2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5-3'!$D$11:$Q319,DW$4,DW$5)"),"")</f>
        <v/>
      </c>
      <c r="DX295" s="568"/>
      <c r="DY2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5-3'!$D$11:$Q319,DY$4,DY$5)"),"")</f>
        <v/>
      </c>
      <c r="DZ295" s="578"/>
      <c r="EA29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$C295, 'S-10 Топ 5-3'!$D$11:$Q319,EA$4,EA$5)"),"")</f>
        <v/>
      </c>
      <c r="EB295" s="568"/>
      <c r="EC295" s="568"/>
      <c r="ED295" s="568"/>
      <c r="EE295" s="568"/>
    </row>
    <row r="296">
      <c r="A296" s="519" t="str">
        <f t="shared" si="1"/>
        <v/>
      </c>
      <c r="B296" s="520" t="str">
        <f>'5-0 Товары'!B296</f>
        <v/>
      </c>
      <c r="C296" s="521" t="str">
        <f>'5-1 Сбор КП Закупки'!C296</f>
        <v/>
      </c>
      <c r="D296" s="521" t="str">
        <f>'5-1 Сбор КП Закупки'!D296</f>
        <v/>
      </c>
      <c r="E296" s="521" t="str">
        <f>'5-1 Сбор КП Закупки'!E296</f>
        <v/>
      </c>
      <c r="F296" s="521" t="str">
        <f>'5-1 Сбор КП Закупки'!F296</f>
        <v/>
      </c>
      <c r="G296" s="522" t="str">
        <f>'5-1 Сбор КП Закупки'!G296</f>
        <v/>
      </c>
      <c r="H296" s="522" t="str">
        <f>'5-1 Сбор КП Закупки'!H296</f>
        <v/>
      </c>
      <c r="I296" s="522" t="str">
        <f>'5-1 Сбор КП Закупки'!I296</f>
        <v/>
      </c>
      <c r="J296" s="197"/>
      <c r="K296" s="522" t="str">
        <f>'5-1 Сбор КП Закупки'!G296</f>
        <v/>
      </c>
      <c r="L296" s="523" t="str">
        <f>IF(A296="Да",'5-1 Сбор КП Закупки'!K296,)</f>
        <v/>
      </c>
      <c r="M296" s="197"/>
      <c r="N296" s="197"/>
      <c r="O296" s="197"/>
      <c r="P296" s="525" t="str">
        <f>'5-1 Сбор КП Закупки'!P296</f>
        <v/>
      </c>
      <c r="Q296" s="197"/>
      <c r="R296" s="197"/>
      <c r="S296" s="197"/>
      <c r="T296" s="197"/>
      <c r="U296" s="197"/>
      <c r="V296" s="197"/>
      <c r="W296" s="522" t="str">
        <f>'5-1 Сбор КП Закупки'!O296</f>
        <v/>
      </c>
      <c r="X296" s="197"/>
      <c r="Y296" s="197"/>
      <c r="Z296" s="197"/>
      <c r="AA296" s="197"/>
      <c r="AB296" s="197">
        <v>0.0</v>
      </c>
      <c r="AC296" s="197"/>
      <c r="AD296" s="197"/>
      <c r="AE2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5-3'!$D$11:$Q319,AE$4,AE$5)"),"")</f>
        <v/>
      </c>
      <c r="AF296" s="528"/>
      <c r="AG2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5-3'!$D$11:$Q319,AG$4,AG$5)"),"")</f>
        <v/>
      </c>
      <c r="AH296" s="527"/>
      <c r="AI2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5-3'!$D$11:$Q319,AI$4,AI$5)"),"")</f>
        <v/>
      </c>
      <c r="AJ296" s="527"/>
      <c r="AK2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5-3'!$D$11:$Q319,AK$4,AK$5)"),"")</f>
        <v/>
      </c>
      <c r="AL296" s="527"/>
      <c r="AM2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5-3'!$D$11:$Q319,AM$4,AM$5)"),"")</f>
        <v/>
      </c>
      <c r="AN296" s="529"/>
      <c r="AO29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5-3'!$D$11:$Q319,AO$4,AO$5)"),"")</f>
        <v/>
      </c>
      <c r="AP296" s="527"/>
      <c r="AQ296" s="527"/>
      <c r="AR296" s="527"/>
      <c r="AS296" s="527"/>
      <c r="AT2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5-3'!$D$11:$Q319,AT$4,AT$5)"),"")</f>
        <v/>
      </c>
      <c r="AU296" s="531"/>
      <c r="AV2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5-3'!$D$11:$Q319,AV$4,AV$5)"),"")</f>
        <v/>
      </c>
      <c r="AW296" s="530"/>
      <c r="AX2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5-3'!$D$11:$Q319,AX$4,AX$5)"),"")</f>
        <v/>
      </c>
      <c r="AY296" s="530"/>
      <c r="AZ2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5-3'!$D$11:$Q319,AZ$4,AZ$5)"),"")</f>
        <v/>
      </c>
      <c r="BA296" s="530"/>
      <c r="BB2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5-3'!$D$11:$Q319,BB$4,BB$5)"),"")</f>
        <v/>
      </c>
      <c r="BC296" s="532"/>
      <c r="BD29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5-3'!$D$11:$Q319,BD$4,BD$5)"),"")</f>
        <v/>
      </c>
      <c r="BE296" s="530"/>
      <c r="BF296" s="530"/>
      <c r="BG296" s="530"/>
      <c r="BH296" s="530"/>
      <c r="BI2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5-3'!$D$11:$Q319,BI$4,BI$5)"),"")</f>
        <v/>
      </c>
      <c r="BJ296" s="535"/>
      <c r="BK2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5-3'!$D$11:$Q319,BK$4,BK$5)"),"")</f>
        <v/>
      </c>
      <c r="BL296" s="534"/>
      <c r="BM2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5-3'!$D$11:$Q319,BM$4,BM$5)"),"")</f>
        <v/>
      </c>
      <c r="BN296" s="534"/>
      <c r="BO2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5-3'!$D$11:$Q319,BO$4,BO$5)"),"")</f>
        <v/>
      </c>
      <c r="BP296" s="534"/>
      <c r="BQ2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5-3'!$D$11:$Q319,BQ$4,BQ$5)"),"")</f>
        <v/>
      </c>
      <c r="BR296" s="536"/>
      <c r="BS29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5-3'!$D$11:$Q319,BS$4,BS$5)"),"")</f>
        <v/>
      </c>
      <c r="BT296" s="534"/>
      <c r="BU296" s="534"/>
      <c r="BV296" s="534"/>
      <c r="BW296" s="534"/>
      <c r="BX2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5-3'!$D$11:$Q319,BX$4,BX$5)"),"")</f>
        <v/>
      </c>
      <c r="BY296" s="538"/>
      <c r="BZ2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5-3'!$D$11:$Q319,BZ$4,BZ$5)"),"")</f>
        <v/>
      </c>
      <c r="CA296" s="537"/>
      <c r="CB2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5-3'!$D$11:$Q319,CB$4,CB$5)"),"")</f>
        <v/>
      </c>
      <c r="CC296" s="537"/>
      <c r="CD2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5-3'!$D$11:$Q319,CD$4,CD$5)"),"")</f>
        <v/>
      </c>
      <c r="CE296" s="537"/>
      <c r="CF2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5-3'!$D$11:$Q319,CF$4,CF$5)"),"")</f>
        <v/>
      </c>
      <c r="CG296" s="539"/>
      <c r="CH29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5-3'!$D$11:$Q319,CH$4,CH$5)"),"")</f>
        <v/>
      </c>
      <c r="CI296" s="537"/>
      <c r="CJ296" s="537"/>
      <c r="CK296" s="537"/>
      <c r="CL296" s="537"/>
      <c r="CM2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5-3'!$D$11:$Q319,CM$4,CM$5)"),"")</f>
        <v/>
      </c>
      <c r="CN296" s="541"/>
      <c r="CO2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5-3'!$D$11:$Q319,CO$4,CO$5)"),"")</f>
        <v/>
      </c>
      <c r="CP296" s="540"/>
      <c r="CQ2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5-3'!$D$11:$Q319,CQ$4,CQ$5)"),"")</f>
        <v/>
      </c>
      <c r="CR296" s="540"/>
      <c r="CS2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5-3'!$D$11:$Q319,CS$4,CS$5)"),"")</f>
        <v/>
      </c>
      <c r="CT296" s="540"/>
      <c r="CU2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5-3'!$D$11:$Q319,CU$4,CU$5)"),"")</f>
        <v/>
      </c>
      <c r="CV296" s="545"/>
      <c r="CW29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5-3'!$D$11:$Q319,CW$4,CW$5)"),"")</f>
        <v/>
      </c>
      <c r="CX296" s="540"/>
      <c r="CY296" s="540"/>
      <c r="CZ296" s="540"/>
      <c r="DA296" s="540"/>
      <c r="DB2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5-3'!$D$11:$Q319,DB$4,DB$5)"),"")</f>
        <v/>
      </c>
      <c r="DC296" s="555"/>
      <c r="DD2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5-3'!$D$11:$Q319,DD$4,DD$5)"),"")</f>
        <v/>
      </c>
      <c r="DE296" s="554"/>
      <c r="DF2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5-3'!$D$11:$Q319,DF$4,DF$5)"),"")</f>
        <v/>
      </c>
      <c r="DG296" s="554"/>
      <c r="DH2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5-3'!$D$11:$Q319,DH$4,DH$5)"),"")</f>
        <v/>
      </c>
      <c r="DI296" s="554"/>
      <c r="DJ2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5-3'!$D$11:$Q319,DJ$4,DJ$5)"),"")</f>
        <v/>
      </c>
      <c r="DK296" s="566"/>
      <c r="DL29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5-3'!$D$11:$Q319,DL$4,DL$5)"),"")</f>
        <v/>
      </c>
      <c r="DM296" s="554"/>
      <c r="DN296" s="554"/>
      <c r="DO296" s="554"/>
      <c r="DP296" s="554"/>
      <c r="DQ2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5-3'!$D$11:$Q319,DQ$4,DQ$5)"),"")</f>
        <v/>
      </c>
      <c r="DR296" s="569"/>
      <c r="DS2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5-3'!$D$11:$Q319,DS$4,DS$5)"),"")</f>
        <v/>
      </c>
      <c r="DT296" s="568"/>
      <c r="DU2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5-3'!$D$11:$Q319,DU$4,DU$5)"),"")</f>
        <v/>
      </c>
      <c r="DV296" s="568"/>
      <c r="DW2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5-3'!$D$11:$Q319,DW$4,DW$5)"),"")</f>
        <v/>
      </c>
      <c r="DX296" s="568"/>
      <c r="DY2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5-3'!$D$11:$Q319,DY$4,DY$5)"),"")</f>
        <v/>
      </c>
      <c r="DZ296" s="578"/>
      <c r="EA29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$C296, 'S-10 Топ 5-3'!$D$11:$Q319,EA$4,EA$5)"),"")</f>
        <v/>
      </c>
      <c r="EB296" s="568"/>
      <c r="EC296" s="568"/>
      <c r="ED296" s="568"/>
      <c r="EE296" s="568"/>
    </row>
    <row r="297">
      <c r="A297" s="519" t="str">
        <f t="shared" si="1"/>
        <v/>
      </c>
      <c r="B297" s="520" t="str">
        <f>'5-0 Товары'!B297</f>
        <v/>
      </c>
      <c r="C297" s="521" t="str">
        <f>'5-1 Сбор КП Закупки'!C297</f>
        <v/>
      </c>
      <c r="D297" s="521" t="str">
        <f>'5-1 Сбор КП Закупки'!D297</f>
        <v/>
      </c>
      <c r="E297" s="521" t="str">
        <f>'5-1 Сбор КП Закупки'!E297</f>
        <v/>
      </c>
      <c r="F297" s="521" t="str">
        <f>'5-1 Сбор КП Закупки'!F297</f>
        <v/>
      </c>
      <c r="G297" s="522" t="str">
        <f>'5-1 Сбор КП Закупки'!G297</f>
        <v/>
      </c>
      <c r="H297" s="522" t="str">
        <f>'5-1 Сбор КП Закупки'!H297</f>
        <v/>
      </c>
      <c r="I297" s="522" t="str">
        <f>'5-1 Сбор КП Закупки'!I297</f>
        <v/>
      </c>
      <c r="J297" s="197"/>
      <c r="K297" s="522" t="str">
        <f>'5-1 Сбор КП Закупки'!G297</f>
        <v/>
      </c>
      <c r="L297" s="523" t="str">
        <f>IF(A297="Да",'5-1 Сбор КП Закупки'!K297,)</f>
        <v/>
      </c>
      <c r="M297" s="197"/>
      <c r="N297" s="197"/>
      <c r="O297" s="197"/>
      <c r="P297" s="525" t="str">
        <f>'5-1 Сбор КП Закупки'!P297</f>
        <v/>
      </c>
      <c r="Q297" s="197"/>
      <c r="R297" s="197"/>
      <c r="S297" s="197"/>
      <c r="T297" s="197"/>
      <c r="U297" s="197"/>
      <c r="V297" s="197"/>
      <c r="W297" s="522" t="str">
        <f>'5-1 Сбор КП Закупки'!O297</f>
        <v/>
      </c>
      <c r="X297" s="197"/>
      <c r="Y297" s="197"/>
      <c r="Z297" s="197"/>
      <c r="AA297" s="197"/>
      <c r="AB297" s="197">
        <v>0.0</v>
      </c>
      <c r="AC297" s="197"/>
      <c r="AD297" s="197"/>
      <c r="AE2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5-3'!$D$11:$Q319,AE$4,AE$5)"),"")</f>
        <v/>
      </c>
      <c r="AF297" s="528"/>
      <c r="AG2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5-3'!$D$11:$Q319,AG$4,AG$5)"),"")</f>
        <v/>
      </c>
      <c r="AH297" s="527"/>
      <c r="AI2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5-3'!$D$11:$Q319,AI$4,AI$5)"),"")</f>
        <v/>
      </c>
      <c r="AJ297" s="527"/>
      <c r="AK2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5-3'!$D$11:$Q319,AK$4,AK$5)"),"")</f>
        <v/>
      </c>
      <c r="AL297" s="527"/>
      <c r="AM2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5-3'!$D$11:$Q319,AM$4,AM$5)"),"")</f>
        <v/>
      </c>
      <c r="AN297" s="529"/>
      <c r="AO29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5-3'!$D$11:$Q319,AO$4,AO$5)"),"")</f>
        <v/>
      </c>
      <c r="AP297" s="527"/>
      <c r="AQ297" s="527"/>
      <c r="AR297" s="527"/>
      <c r="AS297" s="527"/>
      <c r="AT2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5-3'!$D$11:$Q319,AT$4,AT$5)"),"")</f>
        <v/>
      </c>
      <c r="AU297" s="531"/>
      <c r="AV2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5-3'!$D$11:$Q319,AV$4,AV$5)"),"")</f>
        <v/>
      </c>
      <c r="AW297" s="530"/>
      <c r="AX2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5-3'!$D$11:$Q319,AX$4,AX$5)"),"")</f>
        <v/>
      </c>
      <c r="AY297" s="530"/>
      <c r="AZ2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5-3'!$D$11:$Q319,AZ$4,AZ$5)"),"")</f>
        <v/>
      </c>
      <c r="BA297" s="530"/>
      <c r="BB2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5-3'!$D$11:$Q319,BB$4,BB$5)"),"")</f>
        <v/>
      </c>
      <c r="BC297" s="532"/>
      <c r="BD29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5-3'!$D$11:$Q319,BD$4,BD$5)"),"")</f>
        <v/>
      </c>
      <c r="BE297" s="530"/>
      <c r="BF297" s="530"/>
      <c r="BG297" s="530"/>
      <c r="BH297" s="530"/>
      <c r="BI2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5-3'!$D$11:$Q319,BI$4,BI$5)"),"")</f>
        <v/>
      </c>
      <c r="BJ297" s="535"/>
      <c r="BK2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5-3'!$D$11:$Q319,BK$4,BK$5)"),"")</f>
        <v/>
      </c>
      <c r="BL297" s="534"/>
      <c r="BM2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5-3'!$D$11:$Q319,BM$4,BM$5)"),"")</f>
        <v/>
      </c>
      <c r="BN297" s="534"/>
      <c r="BO2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5-3'!$D$11:$Q319,BO$4,BO$5)"),"")</f>
        <v/>
      </c>
      <c r="BP297" s="534"/>
      <c r="BQ2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5-3'!$D$11:$Q319,BQ$4,BQ$5)"),"")</f>
        <v/>
      </c>
      <c r="BR297" s="536"/>
      <c r="BS29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5-3'!$D$11:$Q319,BS$4,BS$5)"),"")</f>
        <v/>
      </c>
      <c r="BT297" s="534"/>
      <c r="BU297" s="534"/>
      <c r="BV297" s="534"/>
      <c r="BW297" s="534"/>
      <c r="BX2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5-3'!$D$11:$Q319,BX$4,BX$5)"),"")</f>
        <v/>
      </c>
      <c r="BY297" s="538"/>
      <c r="BZ2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5-3'!$D$11:$Q319,BZ$4,BZ$5)"),"")</f>
        <v/>
      </c>
      <c r="CA297" s="537"/>
      <c r="CB2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5-3'!$D$11:$Q319,CB$4,CB$5)"),"")</f>
        <v/>
      </c>
      <c r="CC297" s="537"/>
      <c r="CD2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5-3'!$D$11:$Q319,CD$4,CD$5)"),"")</f>
        <v/>
      </c>
      <c r="CE297" s="537"/>
      <c r="CF2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5-3'!$D$11:$Q319,CF$4,CF$5)"),"")</f>
        <v/>
      </c>
      <c r="CG297" s="539"/>
      <c r="CH29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5-3'!$D$11:$Q319,CH$4,CH$5)"),"")</f>
        <v/>
      </c>
      <c r="CI297" s="537"/>
      <c r="CJ297" s="537"/>
      <c r="CK297" s="537"/>
      <c r="CL297" s="537"/>
      <c r="CM2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5-3'!$D$11:$Q319,CM$4,CM$5)"),"")</f>
        <v/>
      </c>
      <c r="CN297" s="541"/>
      <c r="CO2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5-3'!$D$11:$Q319,CO$4,CO$5)"),"")</f>
        <v/>
      </c>
      <c r="CP297" s="540"/>
      <c r="CQ2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5-3'!$D$11:$Q319,CQ$4,CQ$5)"),"")</f>
        <v/>
      </c>
      <c r="CR297" s="540"/>
      <c r="CS2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5-3'!$D$11:$Q319,CS$4,CS$5)"),"")</f>
        <v/>
      </c>
      <c r="CT297" s="540"/>
      <c r="CU2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5-3'!$D$11:$Q319,CU$4,CU$5)"),"")</f>
        <v/>
      </c>
      <c r="CV297" s="545"/>
      <c r="CW29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5-3'!$D$11:$Q319,CW$4,CW$5)"),"")</f>
        <v/>
      </c>
      <c r="CX297" s="540"/>
      <c r="CY297" s="540"/>
      <c r="CZ297" s="540"/>
      <c r="DA297" s="540"/>
      <c r="DB2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5-3'!$D$11:$Q319,DB$4,DB$5)"),"")</f>
        <v/>
      </c>
      <c r="DC297" s="555"/>
      <c r="DD2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5-3'!$D$11:$Q319,DD$4,DD$5)"),"")</f>
        <v/>
      </c>
      <c r="DE297" s="554"/>
      <c r="DF2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5-3'!$D$11:$Q319,DF$4,DF$5)"),"")</f>
        <v/>
      </c>
      <c r="DG297" s="554"/>
      <c r="DH2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5-3'!$D$11:$Q319,DH$4,DH$5)"),"")</f>
        <v/>
      </c>
      <c r="DI297" s="554"/>
      <c r="DJ2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5-3'!$D$11:$Q319,DJ$4,DJ$5)"),"")</f>
        <v/>
      </c>
      <c r="DK297" s="566"/>
      <c r="DL29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5-3'!$D$11:$Q319,DL$4,DL$5)"),"")</f>
        <v/>
      </c>
      <c r="DM297" s="554"/>
      <c r="DN297" s="554"/>
      <c r="DO297" s="554"/>
      <c r="DP297" s="554"/>
      <c r="DQ2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5-3'!$D$11:$Q319,DQ$4,DQ$5)"),"")</f>
        <v/>
      </c>
      <c r="DR297" s="569"/>
      <c r="DS2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5-3'!$D$11:$Q319,DS$4,DS$5)"),"")</f>
        <v/>
      </c>
      <c r="DT297" s="568"/>
      <c r="DU2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5-3'!$D$11:$Q319,DU$4,DU$5)"),"")</f>
        <v/>
      </c>
      <c r="DV297" s="568"/>
      <c r="DW2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5-3'!$D$11:$Q319,DW$4,DW$5)"),"")</f>
        <v/>
      </c>
      <c r="DX297" s="568"/>
      <c r="DY2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5-3'!$D$11:$Q319,DY$4,DY$5)"),"")</f>
        <v/>
      </c>
      <c r="DZ297" s="578"/>
      <c r="EA29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$C297, 'S-10 Топ 5-3'!$D$11:$Q319,EA$4,EA$5)"),"")</f>
        <v/>
      </c>
      <c r="EB297" s="568"/>
      <c r="EC297" s="568"/>
      <c r="ED297" s="568"/>
      <c r="EE297" s="568"/>
    </row>
    <row r="298">
      <c r="A298" s="519" t="str">
        <f t="shared" si="1"/>
        <v/>
      </c>
      <c r="B298" s="520" t="str">
        <f>'5-0 Товары'!B298</f>
        <v/>
      </c>
      <c r="C298" s="521" t="str">
        <f>'5-1 Сбор КП Закупки'!C298</f>
        <v/>
      </c>
      <c r="D298" s="521" t="str">
        <f>'5-1 Сбор КП Закупки'!D298</f>
        <v/>
      </c>
      <c r="E298" s="521" t="str">
        <f>'5-1 Сбор КП Закупки'!E298</f>
        <v/>
      </c>
      <c r="F298" s="521" t="str">
        <f>'5-1 Сбор КП Закупки'!F298</f>
        <v/>
      </c>
      <c r="G298" s="522" t="str">
        <f>'5-1 Сбор КП Закупки'!G298</f>
        <v/>
      </c>
      <c r="H298" s="522" t="str">
        <f>'5-1 Сбор КП Закупки'!H298</f>
        <v/>
      </c>
      <c r="I298" s="522" t="str">
        <f>'5-1 Сбор КП Закупки'!I298</f>
        <v/>
      </c>
      <c r="J298" s="197"/>
      <c r="K298" s="522" t="str">
        <f>'5-1 Сбор КП Закупки'!G298</f>
        <v/>
      </c>
      <c r="L298" s="523" t="str">
        <f>IF(A298="Да",'5-1 Сбор КП Закупки'!K298,)</f>
        <v/>
      </c>
      <c r="M298" s="197"/>
      <c r="N298" s="197"/>
      <c r="O298" s="197"/>
      <c r="P298" s="525" t="str">
        <f>'5-1 Сбор КП Закупки'!P298</f>
        <v/>
      </c>
      <c r="Q298" s="197"/>
      <c r="R298" s="197"/>
      <c r="S298" s="197"/>
      <c r="T298" s="197"/>
      <c r="U298" s="197"/>
      <c r="V298" s="197"/>
      <c r="W298" s="522" t="str">
        <f>'5-1 Сбор КП Закупки'!O298</f>
        <v/>
      </c>
      <c r="X298" s="197"/>
      <c r="Y298" s="197"/>
      <c r="Z298" s="197"/>
      <c r="AA298" s="197"/>
      <c r="AB298" s="197">
        <v>0.0</v>
      </c>
      <c r="AC298" s="197"/>
      <c r="AD298" s="197"/>
      <c r="AE2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5-3'!$D$11:$Q319,AE$4,AE$5)"),"")</f>
        <v/>
      </c>
      <c r="AF298" s="528"/>
      <c r="AG2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5-3'!$D$11:$Q319,AG$4,AG$5)"),"")</f>
        <v/>
      </c>
      <c r="AH298" s="527"/>
      <c r="AI2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5-3'!$D$11:$Q319,AI$4,AI$5)"),"")</f>
        <v/>
      </c>
      <c r="AJ298" s="527"/>
      <c r="AK2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5-3'!$D$11:$Q319,AK$4,AK$5)"),"")</f>
        <v/>
      </c>
      <c r="AL298" s="527"/>
      <c r="AM2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5-3'!$D$11:$Q319,AM$4,AM$5)"),"")</f>
        <v/>
      </c>
      <c r="AN298" s="529"/>
      <c r="AO29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5-3'!$D$11:$Q319,AO$4,AO$5)"),"")</f>
        <v/>
      </c>
      <c r="AP298" s="527"/>
      <c r="AQ298" s="527"/>
      <c r="AR298" s="527"/>
      <c r="AS298" s="527"/>
      <c r="AT2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5-3'!$D$11:$Q319,AT$4,AT$5)"),"")</f>
        <v/>
      </c>
      <c r="AU298" s="531"/>
      <c r="AV2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5-3'!$D$11:$Q319,AV$4,AV$5)"),"")</f>
        <v/>
      </c>
      <c r="AW298" s="530"/>
      <c r="AX2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5-3'!$D$11:$Q319,AX$4,AX$5)"),"")</f>
        <v/>
      </c>
      <c r="AY298" s="530"/>
      <c r="AZ2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5-3'!$D$11:$Q319,AZ$4,AZ$5)"),"")</f>
        <v/>
      </c>
      <c r="BA298" s="530"/>
      <c r="BB2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5-3'!$D$11:$Q319,BB$4,BB$5)"),"")</f>
        <v/>
      </c>
      <c r="BC298" s="532"/>
      <c r="BD29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5-3'!$D$11:$Q319,BD$4,BD$5)"),"")</f>
        <v/>
      </c>
      <c r="BE298" s="530"/>
      <c r="BF298" s="530"/>
      <c r="BG298" s="530"/>
      <c r="BH298" s="530"/>
      <c r="BI2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5-3'!$D$11:$Q319,BI$4,BI$5)"),"")</f>
        <v/>
      </c>
      <c r="BJ298" s="535"/>
      <c r="BK2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5-3'!$D$11:$Q319,BK$4,BK$5)"),"")</f>
        <v/>
      </c>
      <c r="BL298" s="534"/>
      <c r="BM2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5-3'!$D$11:$Q319,BM$4,BM$5)"),"")</f>
        <v/>
      </c>
      <c r="BN298" s="534"/>
      <c r="BO2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5-3'!$D$11:$Q319,BO$4,BO$5)"),"")</f>
        <v/>
      </c>
      <c r="BP298" s="534"/>
      <c r="BQ2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5-3'!$D$11:$Q319,BQ$4,BQ$5)"),"")</f>
        <v/>
      </c>
      <c r="BR298" s="536"/>
      <c r="BS29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5-3'!$D$11:$Q319,BS$4,BS$5)"),"")</f>
        <v/>
      </c>
      <c r="BT298" s="534"/>
      <c r="BU298" s="534"/>
      <c r="BV298" s="534"/>
      <c r="BW298" s="534"/>
      <c r="BX2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5-3'!$D$11:$Q319,BX$4,BX$5)"),"")</f>
        <v/>
      </c>
      <c r="BY298" s="538"/>
      <c r="BZ2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5-3'!$D$11:$Q319,BZ$4,BZ$5)"),"")</f>
        <v/>
      </c>
      <c r="CA298" s="537"/>
      <c r="CB2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5-3'!$D$11:$Q319,CB$4,CB$5)"),"")</f>
        <v/>
      </c>
      <c r="CC298" s="537"/>
      <c r="CD2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5-3'!$D$11:$Q319,CD$4,CD$5)"),"")</f>
        <v/>
      </c>
      <c r="CE298" s="537"/>
      <c r="CF2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5-3'!$D$11:$Q319,CF$4,CF$5)"),"")</f>
        <v/>
      </c>
      <c r="CG298" s="539"/>
      <c r="CH29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5-3'!$D$11:$Q319,CH$4,CH$5)"),"")</f>
        <v/>
      </c>
      <c r="CI298" s="537"/>
      <c r="CJ298" s="537"/>
      <c r="CK298" s="537"/>
      <c r="CL298" s="537"/>
      <c r="CM2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5-3'!$D$11:$Q319,CM$4,CM$5)"),"")</f>
        <v/>
      </c>
      <c r="CN298" s="541"/>
      <c r="CO2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5-3'!$D$11:$Q319,CO$4,CO$5)"),"")</f>
        <v/>
      </c>
      <c r="CP298" s="540"/>
      <c r="CQ2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5-3'!$D$11:$Q319,CQ$4,CQ$5)"),"")</f>
        <v/>
      </c>
      <c r="CR298" s="540"/>
      <c r="CS2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5-3'!$D$11:$Q319,CS$4,CS$5)"),"")</f>
        <v/>
      </c>
      <c r="CT298" s="540"/>
      <c r="CU2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5-3'!$D$11:$Q319,CU$4,CU$5)"),"")</f>
        <v/>
      </c>
      <c r="CV298" s="545"/>
      <c r="CW29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5-3'!$D$11:$Q319,CW$4,CW$5)"),"")</f>
        <v/>
      </c>
      <c r="CX298" s="540"/>
      <c r="CY298" s="540"/>
      <c r="CZ298" s="540"/>
      <c r="DA298" s="540"/>
      <c r="DB2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5-3'!$D$11:$Q319,DB$4,DB$5)"),"")</f>
        <v/>
      </c>
      <c r="DC298" s="555"/>
      <c r="DD2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5-3'!$D$11:$Q319,DD$4,DD$5)"),"")</f>
        <v/>
      </c>
      <c r="DE298" s="554"/>
      <c r="DF2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5-3'!$D$11:$Q319,DF$4,DF$5)"),"")</f>
        <v/>
      </c>
      <c r="DG298" s="554"/>
      <c r="DH2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5-3'!$D$11:$Q319,DH$4,DH$5)"),"")</f>
        <v/>
      </c>
      <c r="DI298" s="554"/>
      <c r="DJ2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5-3'!$D$11:$Q319,DJ$4,DJ$5)"),"")</f>
        <v/>
      </c>
      <c r="DK298" s="566"/>
      <c r="DL29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5-3'!$D$11:$Q319,DL$4,DL$5)"),"")</f>
        <v/>
      </c>
      <c r="DM298" s="554"/>
      <c r="DN298" s="554"/>
      <c r="DO298" s="554"/>
      <c r="DP298" s="554"/>
      <c r="DQ2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5-3'!$D$11:$Q319,DQ$4,DQ$5)"),"")</f>
        <v/>
      </c>
      <c r="DR298" s="569"/>
      <c r="DS2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5-3'!$D$11:$Q319,DS$4,DS$5)"),"")</f>
        <v/>
      </c>
      <c r="DT298" s="568"/>
      <c r="DU2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5-3'!$D$11:$Q319,DU$4,DU$5)"),"")</f>
        <v/>
      </c>
      <c r="DV298" s="568"/>
      <c r="DW2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5-3'!$D$11:$Q319,DW$4,DW$5)"),"")</f>
        <v/>
      </c>
      <c r="DX298" s="568"/>
      <c r="DY2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5-3'!$D$11:$Q319,DY$4,DY$5)"),"")</f>
        <v/>
      </c>
      <c r="DZ298" s="578"/>
      <c r="EA29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$C298, 'S-10 Топ 5-3'!$D$11:$Q319,EA$4,EA$5)"),"")</f>
        <v/>
      </c>
      <c r="EB298" s="568"/>
      <c r="EC298" s="568"/>
      <c r="ED298" s="568"/>
      <c r="EE298" s="568"/>
    </row>
    <row r="299">
      <c r="A299" s="519" t="str">
        <f t="shared" si="1"/>
        <v/>
      </c>
      <c r="B299" s="520" t="str">
        <f>'5-0 Товары'!B299</f>
        <v/>
      </c>
      <c r="C299" s="521" t="str">
        <f>'5-1 Сбор КП Закупки'!C299</f>
        <v/>
      </c>
      <c r="D299" s="521" t="str">
        <f>'5-1 Сбор КП Закупки'!D299</f>
        <v/>
      </c>
      <c r="E299" s="521" t="str">
        <f>'5-1 Сбор КП Закупки'!E299</f>
        <v/>
      </c>
      <c r="F299" s="521" t="str">
        <f>'5-1 Сбор КП Закупки'!F299</f>
        <v/>
      </c>
      <c r="G299" s="522" t="str">
        <f>'5-1 Сбор КП Закупки'!G299</f>
        <v/>
      </c>
      <c r="H299" s="522" t="str">
        <f>'5-1 Сбор КП Закупки'!H299</f>
        <v/>
      </c>
      <c r="I299" s="522" t="str">
        <f>'5-1 Сбор КП Закупки'!I299</f>
        <v/>
      </c>
      <c r="J299" s="197"/>
      <c r="K299" s="522" t="str">
        <f>'5-1 Сбор КП Закупки'!G299</f>
        <v/>
      </c>
      <c r="L299" s="523" t="str">
        <f>IF(A299="Да",'5-1 Сбор КП Закупки'!K299,)</f>
        <v/>
      </c>
      <c r="M299" s="197"/>
      <c r="N299" s="197"/>
      <c r="O299" s="197"/>
      <c r="P299" s="525" t="str">
        <f>'5-1 Сбор КП Закупки'!P299</f>
        <v/>
      </c>
      <c r="Q299" s="197"/>
      <c r="R299" s="197"/>
      <c r="S299" s="197"/>
      <c r="T299" s="197"/>
      <c r="U299" s="197"/>
      <c r="V299" s="197"/>
      <c r="W299" s="522" t="str">
        <f>'5-1 Сбор КП Закупки'!O299</f>
        <v/>
      </c>
      <c r="X299" s="197"/>
      <c r="Y299" s="197"/>
      <c r="Z299" s="197"/>
      <c r="AA299" s="197"/>
      <c r="AB299" s="197">
        <v>0.0</v>
      </c>
      <c r="AC299" s="197"/>
      <c r="AD299" s="197"/>
      <c r="AE2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5-3'!$D$11:$Q319,AE$4,AE$5)"),"")</f>
        <v/>
      </c>
      <c r="AF299" s="528"/>
      <c r="AG2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5-3'!$D$11:$Q319,AG$4,AG$5)"),"")</f>
        <v/>
      </c>
      <c r="AH299" s="527"/>
      <c r="AI2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5-3'!$D$11:$Q319,AI$4,AI$5)"),"")</f>
        <v/>
      </c>
      <c r="AJ299" s="527"/>
      <c r="AK2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5-3'!$D$11:$Q319,AK$4,AK$5)"),"")</f>
        <v/>
      </c>
      <c r="AL299" s="527"/>
      <c r="AM2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5-3'!$D$11:$Q319,AM$4,AM$5)"),"")</f>
        <v/>
      </c>
      <c r="AN299" s="529"/>
      <c r="AO29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5-3'!$D$11:$Q319,AO$4,AO$5)"),"")</f>
        <v/>
      </c>
      <c r="AP299" s="527"/>
      <c r="AQ299" s="527"/>
      <c r="AR299" s="527"/>
      <c r="AS299" s="527"/>
      <c r="AT2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5-3'!$D$11:$Q319,AT$4,AT$5)"),"")</f>
        <v/>
      </c>
      <c r="AU299" s="531"/>
      <c r="AV2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5-3'!$D$11:$Q319,AV$4,AV$5)"),"")</f>
        <v/>
      </c>
      <c r="AW299" s="530"/>
      <c r="AX2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5-3'!$D$11:$Q319,AX$4,AX$5)"),"")</f>
        <v/>
      </c>
      <c r="AY299" s="530"/>
      <c r="AZ2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5-3'!$D$11:$Q319,AZ$4,AZ$5)"),"")</f>
        <v/>
      </c>
      <c r="BA299" s="530"/>
      <c r="BB2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5-3'!$D$11:$Q319,BB$4,BB$5)"),"")</f>
        <v/>
      </c>
      <c r="BC299" s="532"/>
      <c r="BD29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5-3'!$D$11:$Q319,BD$4,BD$5)"),"")</f>
        <v/>
      </c>
      <c r="BE299" s="530"/>
      <c r="BF299" s="530"/>
      <c r="BG299" s="530"/>
      <c r="BH299" s="530"/>
      <c r="BI2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5-3'!$D$11:$Q319,BI$4,BI$5)"),"")</f>
        <v/>
      </c>
      <c r="BJ299" s="535"/>
      <c r="BK2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5-3'!$D$11:$Q319,BK$4,BK$5)"),"")</f>
        <v/>
      </c>
      <c r="BL299" s="534"/>
      <c r="BM2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5-3'!$D$11:$Q319,BM$4,BM$5)"),"")</f>
        <v/>
      </c>
      <c r="BN299" s="534"/>
      <c r="BO2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5-3'!$D$11:$Q319,BO$4,BO$5)"),"")</f>
        <v/>
      </c>
      <c r="BP299" s="534"/>
      <c r="BQ2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5-3'!$D$11:$Q319,BQ$4,BQ$5)"),"")</f>
        <v/>
      </c>
      <c r="BR299" s="536"/>
      <c r="BS29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5-3'!$D$11:$Q319,BS$4,BS$5)"),"")</f>
        <v/>
      </c>
      <c r="BT299" s="534"/>
      <c r="BU299" s="534"/>
      <c r="BV299" s="534"/>
      <c r="BW299" s="534"/>
      <c r="BX2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5-3'!$D$11:$Q319,BX$4,BX$5)"),"")</f>
        <v/>
      </c>
      <c r="BY299" s="538"/>
      <c r="BZ2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5-3'!$D$11:$Q319,BZ$4,BZ$5)"),"")</f>
        <v/>
      </c>
      <c r="CA299" s="537"/>
      <c r="CB2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5-3'!$D$11:$Q319,CB$4,CB$5)"),"")</f>
        <v/>
      </c>
      <c r="CC299" s="537"/>
      <c r="CD2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5-3'!$D$11:$Q319,CD$4,CD$5)"),"")</f>
        <v/>
      </c>
      <c r="CE299" s="537"/>
      <c r="CF2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5-3'!$D$11:$Q319,CF$4,CF$5)"),"")</f>
        <v/>
      </c>
      <c r="CG299" s="539"/>
      <c r="CH29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5-3'!$D$11:$Q319,CH$4,CH$5)"),"")</f>
        <v/>
      </c>
      <c r="CI299" s="537"/>
      <c r="CJ299" s="537"/>
      <c r="CK299" s="537"/>
      <c r="CL299" s="537"/>
      <c r="CM2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5-3'!$D$11:$Q319,CM$4,CM$5)"),"")</f>
        <v/>
      </c>
      <c r="CN299" s="541"/>
      <c r="CO2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5-3'!$D$11:$Q319,CO$4,CO$5)"),"")</f>
        <v/>
      </c>
      <c r="CP299" s="540"/>
      <c r="CQ2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5-3'!$D$11:$Q319,CQ$4,CQ$5)"),"")</f>
        <v/>
      </c>
      <c r="CR299" s="540"/>
      <c r="CS2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5-3'!$D$11:$Q319,CS$4,CS$5)"),"")</f>
        <v/>
      </c>
      <c r="CT299" s="540"/>
      <c r="CU2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5-3'!$D$11:$Q319,CU$4,CU$5)"),"")</f>
        <v/>
      </c>
      <c r="CV299" s="545"/>
      <c r="CW29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5-3'!$D$11:$Q319,CW$4,CW$5)"),"")</f>
        <v/>
      </c>
      <c r="CX299" s="540"/>
      <c r="CY299" s="540"/>
      <c r="CZ299" s="540"/>
      <c r="DA299" s="540"/>
      <c r="DB2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5-3'!$D$11:$Q319,DB$4,DB$5)"),"")</f>
        <v/>
      </c>
      <c r="DC299" s="555"/>
      <c r="DD2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5-3'!$D$11:$Q319,DD$4,DD$5)"),"")</f>
        <v/>
      </c>
      <c r="DE299" s="554"/>
      <c r="DF2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5-3'!$D$11:$Q319,DF$4,DF$5)"),"")</f>
        <v/>
      </c>
      <c r="DG299" s="554"/>
      <c r="DH2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5-3'!$D$11:$Q319,DH$4,DH$5)"),"")</f>
        <v/>
      </c>
      <c r="DI299" s="554"/>
      <c r="DJ2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5-3'!$D$11:$Q319,DJ$4,DJ$5)"),"")</f>
        <v/>
      </c>
      <c r="DK299" s="566"/>
      <c r="DL29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5-3'!$D$11:$Q319,DL$4,DL$5)"),"")</f>
        <v/>
      </c>
      <c r="DM299" s="554"/>
      <c r="DN299" s="554"/>
      <c r="DO299" s="554"/>
      <c r="DP299" s="554"/>
      <c r="DQ2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5-3'!$D$11:$Q319,DQ$4,DQ$5)"),"")</f>
        <v/>
      </c>
      <c r="DR299" s="569"/>
      <c r="DS2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5-3'!$D$11:$Q319,DS$4,DS$5)"),"")</f>
        <v/>
      </c>
      <c r="DT299" s="568"/>
      <c r="DU2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5-3'!$D$11:$Q319,DU$4,DU$5)"),"")</f>
        <v/>
      </c>
      <c r="DV299" s="568"/>
      <c r="DW2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5-3'!$D$11:$Q319,DW$4,DW$5)"),"")</f>
        <v/>
      </c>
      <c r="DX299" s="568"/>
      <c r="DY2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5-3'!$D$11:$Q319,DY$4,DY$5)"),"")</f>
        <v/>
      </c>
      <c r="DZ299" s="578"/>
      <c r="EA29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$C299, 'S-10 Топ 5-3'!$D$11:$Q319,EA$4,EA$5)"),"")</f>
        <v/>
      </c>
      <c r="EB299" s="568"/>
      <c r="EC299" s="568"/>
      <c r="ED299" s="568"/>
      <c r="EE299" s="568"/>
    </row>
    <row r="300">
      <c r="A300" s="519" t="str">
        <f t="shared" si="1"/>
        <v/>
      </c>
      <c r="B300" s="520" t="str">
        <f>'5-0 Товары'!B300</f>
        <v/>
      </c>
      <c r="C300" s="521" t="str">
        <f>'5-1 Сбор КП Закупки'!C300</f>
        <v/>
      </c>
      <c r="D300" s="521" t="str">
        <f>'5-1 Сбор КП Закупки'!D300</f>
        <v/>
      </c>
      <c r="E300" s="521" t="str">
        <f>'5-1 Сбор КП Закупки'!E300</f>
        <v/>
      </c>
      <c r="F300" s="521" t="str">
        <f>'5-1 Сбор КП Закупки'!F300</f>
        <v/>
      </c>
      <c r="G300" s="522" t="str">
        <f>'5-1 Сбор КП Закупки'!G300</f>
        <v/>
      </c>
      <c r="H300" s="522" t="str">
        <f>'5-1 Сбор КП Закупки'!H300</f>
        <v/>
      </c>
      <c r="I300" s="522" t="str">
        <f>'5-1 Сбор КП Закупки'!I300</f>
        <v/>
      </c>
      <c r="J300" s="197"/>
      <c r="K300" s="522" t="str">
        <f>'5-1 Сбор КП Закупки'!G300</f>
        <v/>
      </c>
      <c r="L300" s="523" t="str">
        <f>IF(A300="Да",'5-1 Сбор КП Закупки'!K300,)</f>
        <v/>
      </c>
      <c r="M300" s="197"/>
      <c r="N300" s="197"/>
      <c r="O300" s="197"/>
      <c r="P300" s="525" t="str">
        <f>'5-1 Сбор КП Закупки'!P300</f>
        <v/>
      </c>
      <c r="Q300" s="197"/>
      <c r="R300" s="197"/>
      <c r="S300" s="197"/>
      <c r="T300" s="197"/>
      <c r="U300" s="197"/>
      <c r="V300" s="197"/>
      <c r="W300" s="522" t="str">
        <f>'5-1 Сбор КП Закупки'!O300</f>
        <v/>
      </c>
      <c r="X300" s="197"/>
      <c r="Y300" s="197"/>
      <c r="Z300" s="197"/>
      <c r="AA300" s="197"/>
      <c r="AB300" s="197">
        <v>0.0</v>
      </c>
      <c r="AC300" s="197"/>
      <c r="AD300" s="197"/>
      <c r="AE3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5-3'!$D$11:$Q319,AE$4,AE$5)"),"")</f>
        <v/>
      </c>
      <c r="AF300" s="528"/>
      <c r="AG3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5-3'!$D$11:$Q319,AG$4,AG$5)"),"")</f>
        <v/>
      </c>
      <c r="AH300" s="527"/>
      <c r="AI3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5-3'!$D$11:$Q319,AI$4,AI$5)"),"")</f>
        <v/>
      </c>
      <c r="AJ300" s="527"/>
      <c r="AK3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5-3'!$D$11:$Q319,AK$4,AK$5)"),"")</f>
        <v/>
      </c>
      <c r="AL300" s="527"/>
      <c r="AM3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5-3'!$D$11:$Q319,AM$4,AM$5)"),"")</f>
        <v/>
      </c>
      <c r="AN300" s="529"/>
      <c r="AO30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5-3'!$D$11:$Q319,AO$4,AO$5)"),"")</f>
        <v/>
      </c>
      <c r="AP300" s="527"/>
      <c r="AQ300" s="527"/>
      <c r="AR300" s="527"/>
      <c r="AS300" s="527"/>
      <c r="AT3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5-3'!$D$11:$Q319,AT$4,AT$5)"),"")</f>
        <v/>
      </c>
      <c r="AU300" s="531"/>
      <c r="AV3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5-3'!$D$11:$Q319,AV$4,AV$5)"),"")</f>
        <v/>
      </c>
      <c r="AW300" s="530"/>
      <c r="AX3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5-3'!$D$11:$Q319,AX$4,AX$5)"),"")</f>
        <v/>
      </c>
      <c r="AY300" s="530"/>
      <c r="AZ3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5-3'!$D$11:$Q319,AZ$4,AZ$5)"),"")</f>
        <v/>
      </c>
      <c r="BA300" s="530"/>
      <c r="BB3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5-3'!$D$11:$Q319,BB$4,BB$5)"),"")</f>
        <v/>
      </c>
      <c r="BC300" s="532"/>
      <c r="BD30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5-3'!$D$11:$Q319,BD$4,BD$5)"),"")</f>
        <v/>
      </c>
      <c r="BE300" s="530"/>
      <c r="BF300" s="530"/>
      <c r="BG300" s="530"/>
      <c r="BH300" s="530"/>
      <c r="BI3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5-3'!$D$11:$Q319,BI$4,BI$5)"),"")</f>
        <v/>
      </c>
      <c r="BJ300" s="535"/>
      <c r="BK3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5-3'!$D$11:$Q319,BK$4,BK$5)"),"")</f>
        <v/>
      </c>
      <c r="BL300" s="534"/>
      <c r="BM3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5-3'!$D$11:$Q319,BM$4,BM$5)"),"")</f>
        <v/>
      </c>
      <c r="BN300" s="534"/>
      <c r="BO3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5-3'!$D$11:$Q319,BO$4,BO$5)"),"")</f>
        <v/>
      </c>
      <c r="BP300" s="534"/>
      <c r="BQ3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5-3'!$D$11:$Q319,BQ$4,BQ$5)"),"")</f>
        <v/>
      </c>
      <c r="BR300" s="536"/>
      <c r="BS30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5-3'!$D$11:$Q319,BS$4,BS$5)"),"")</f>
        <v/>
      </c>
      <c r="BT300" s="534"/>
      <c r="BU300" s="534"/>
      <c r="BV300" s="534"/>
      <c r="BW300" s="534"/>
      <c r="BX3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5-3'!$D$11:$Q319,BX$4,BX$5)"),"")</f>
        <v/>
      </c>
      <c r="BY300" s="538"/>
      <c r="BZ3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5-3'!$D$11:$Q319,BZ$4,BZ$5)"),"")</f>
        <v/>
      </c>
      <c r="CA300" s="537"/>
      <c r="CB3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5-3'!$D$11:$Q319,CB$4,CB$5)"),"")</f>
        <v/>
      </c>
      <c r="CC300" s="537"/>
      <c r="CD3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5-3'!$D$11:$Q319,CD$4,CD$5)"),"")</f>
        <v/>
      </c>
      <c r="CE300" s="537"/>
      <c r="CF3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5-3'!$D$11:$Q319,CF$4,CF$5)"),"")</f>
        <v/>
      </c>
      <c r="CG300" s="539"/>
      <c r="CH30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5-3'!$D$11:$Q319,CH$4,CH$5)"),"")</f>
        <v/>
      </c>
      <c r="CI300" s="537"/>
      <c r="CJ300" s="537"/>
      <c r="CK300" s="537"/>
      <c r="CL300" s="537"/>
      <c r="CM3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5-3'!$D$11:$Q319,CM$4,CM$5)"),"")</f>
        <v/>
      </c>
      <c r="CN300" s="541"/>
      <c r="CO3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5-3'!$D$11:$Q319,CO$4,CO$5)"),"")</f>
        <v/>
      </c>
      <c r="CP300" s="540"/>
      <c r="CQ3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5-3'!$D$11:$Q319,CQ$4,CQ$5)"),"")</f>
        <v/>
      </c>
      <c r="CR300" s="540"/>
      <c r="CS3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5-3'!$D$11:$Q319,CS$4,CS$5)"),"")</f>
        <v/>
      </c>
      <c r="CT300" s="540"/>
      <c r="CU3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5-3'!$D$11:$Q319,CU$4,CU$5)"),"")</f>
        <v/>
      </c>
      <c r="CV300" s="545"/>
      <c r="CW30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5-3'!$D$11:$Q319,CW$4,CW$5)"),"")</f>
        <v/>
      </c>
      <c r="CX300" s="540"/>
      <c r="CY300" s="540"/>
      <c r="CZ300" s="540"/>
      <c r="DA300" s="540"/>
      <c r="DB3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5-3'!$D$11:$Q319,DB$4,DB$5)"),"")</f>
        <v/>
      </c>
      <c r="DC300" s="555"/>
      <c r="DD3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5-3'!$D$11:$Q319,DD$4,DD$5)"),"")</f>
        <v/>
      </c>
      <c r="DE300" s="554"/>
      <c r="DF3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5-3'!$D$11:$Q319,DF$4,DF$5)"),"")</f>
        <v/>
      </c>
      <c r="DG300" s="554"/>
      <c r="DH3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5-3'!$D$11:$Q319,DH$4,DH$5)"),"")</f>
        <v/>
      </c>
      <c r="DI300" s="554"/>
      <c r="DJ3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5-3'!$D$11:$Q319,DJ$4,DJ$5)"),"")</f>
        <v/>
      </c>
      <c r="DK300" s="566"/>
      <c r="DL30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5-3'!$D$11:$Q319,DL$4,DL$5)"),"")</f>
        <v/>
      </c>
      <c r="DM300" s="554"/>
      <c r="DN300" s="554"/>
      <c r="DO300" s="554"/>
      <c r="DP300" s="554"/>
      <c r="DQ3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5-3'!$D$11:$Q319,DQ$4,DQ$5)"),"")</f>
        <v/>
      </c>
      <c r="DR300" s="569"/>
      <c r="DS3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5-3'!$D$11:$Q319,DS$4,DS$5)"),"")</f>
        <v/>
      </c>
      <c r="DT300" s="568"/>
      <c r="DU3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5-3'!$D$11:$Q319,DU$4,DU$5)"),"")</f>
        <v/>
      </c>
      <c r="DV300" s="568"/>
      <c r="DW3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5-3'!$D$11:$Q319,DW$4,DW$5)"),"")</f>
        <v/>
      </c>
      <c r="DX300" s="568"/>
      <c r="DY3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5-3'!$D$11:$Q319,DY$4,DY$5)"),"")</f>
        <v/>
      </c>
      <c r="DZ300" s="578"/>
      <c r="EA30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$C300, 'S-10 Топ 5-3'!$D$11:$Q319,EA$4,EA$5)"),"")</f>
        <v/>
      </c>
      <c r="EB300" s="568"/>
      <c r="EC300" s="568"/>
      <c r="ED300" s="568"/>
      <c r="EE300" s="568"/>
    </row>
    <row r="301">
      <c r="A301" s="519" t="str">
        <f t="shared" si="1"/>
        <v/>
      </c>
      <c r="B301" s="520" t="str">
        <f>'5-0 Товары'!B301</f>
        <v/>
      </c>
      <c r="C301" s="521" t="str">
        <f>'5-1 Сбор КП Закупки'!C301</f>
        <v/>
      </c>
      <c r="D301" s="521" t="str">
        <f>'5-1 Сбор КП Закупки'!D301</f>
        <v/>
      </c>
      <c r="E301" s="521" t="str">
        <f>'5-1 Сбор КП Закупки'!E301</f>
        <v/>
      </c>
      <c r="F301" s="521" t="str">
        <f>'5-1 Сбор КП Закупки'!F301</f>
        <v/>
      </c>
      <c r="G301" s="522" t="str">
        <f>'5-1 Сбор КП Закупки'!G301</f>
        <v/>
      </c>
      <c r="H301" s="522" t="str">
        <f>'5-1 Сбор КП Закупки'!H301</f>
        <v/>
      </c>
      <c r="I301" s="522" t="str">
        <f>'5-1 Сбор КП Закупки'!I301</f>
        <v/>
      </c>
      <c r="J301" s="197"/>
      <c r="K301" s="522" t="str">
        <f>'5-1 Сбор КП Закупки'!G301</f>
        <v/>
      </c>
      <c r="L301" s="523" t="str">
        <f>IF(A301="Да",'5-1 Сбор КП Закупки'!K301,)</f>
        <v/>
      </c>
      <c r="M301" s="197"/>
      <c r="N301" s="197"/>
      <c r="O301" s="197"/>
      <c r="P301" s="525" t="str">
        <f>'5-1 Сбор КП Закупки'!P301</f>
        <v/>
      </c>
      <c r="Q301" s="197"/>
      <c r="R301" s="197"/>
      <c r="S301" s="197"/>
      <c r="T301" s="197"/>
      <c r="U301" s="197"/>
      <c r="V301" s="197"/>
      <c r="W301" s="522" t="str">
        <f>'5-1 Сбор КП Закупки'!O301</f>
        <v/>
      </c>
      <c r="X301" s="197"/>
      <c r="Y301" s="197"/>
      <c r="Z301" s="197"/>
      <c r="AA301" s="197"/>
      <c r="AB301" s="197">
        <v>0.0</v>
      </c>
      <c r="AC301" s="197"/>
      <c r="AD301" s="197"/>
      <c r="AE3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5-3'!$D$11:$Q319,AE$4,AE$5)"),"")</f>
        <v/>
      </c>
      <c r="AF301" s="528"/>
      <c r="AG3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5-3'!$D$11:$Q319,AG$4,AG$5)"),"")</f>
        <v/>
      </c>
      <c r="AH301" s="527"/>
      <c r="AI3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5-3'!$D$11:$Q319,AI$4,AI$5)"),"")</f>
        <v/>
      </c>
      <c r="AJ301" s="527"/>
      <c r="AK3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5-3'!$D$11:$Q319,AK$4,AK$5)"),"")</f>
        <v/>
      </c>
      <c r="AL301" s="527"/>
      <c r="AM3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5-3'!$D$11:$Q319,AM$4,AM$5)"),"")</f>
        <v/>
      </c>
      <c r="AN301" s="529"/>
      <c r="AO301"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5-3'!$D$11:$Q319,AO$4,AO$5)"),"")</f>
        <v/>
      </c>
      <c r="AP301" s="527"/>
      <c r="AQ301" s="527"/>
      <c r="AR301" s="527"/>
      <c r="AS301" s="527"/>
      <c r="AT3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5-3'!$D$11:$Q319,AT$4,AT$5)"),"")</f>
        <v/>
      </c>
      <c r="AU301" s="531"/>
      <c r="AV3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5-3'!$D$11:$Q319,AV$4,AV$5)"),"")</f>
        <v/>
      </c>
      <c r="AW301" s="530"/>
      <c r="AX3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5-3'!$D$11:$Q319,AX$4,AX$5)"),"")</f>
        <v/>
      </c>
      <c r="AY301" s="530"/>
      <c r="AZ3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5-3'!$D$11:$Q319,AZ$4,AZ$5)"),"")</f>
        <v/>
      </c>
      <c r="BA301" s="530"/>
      <c r="BB3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5-3'!$D$11:$Q319,BB$4,BB$5)"),"")</f>
        <v/>
      </c>
      <c r="BC301" s="532"/>
      <c r="BD301"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5-3'!$D$11:$Q319,BD$4,BD$5)"),"")</f>
        <v/>
      </c>
      <c r="BE301" s="530"/>
      <c r="BF301" s="530"/>
      <c r="BG301" s="530"/>
      <c r="BH301" s="530"/>
      <c r="BI3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5-3'!$D$11:$Q319,BI$4,BI$5)"),"")</f>
        <v/>
      </c>
      <c r="BJ301" s="535"/>
      <c r="BK3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5-3'!$D$11:$Q319,BK$4,BK$5)"),"")</f>
        <v/>
      </c>
      <c r="BL301" s="534"/>
      <c r="BM3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5-3'!$D$11:$Q319,BM$4,BM$5)"),"")</f>
        <v/>
      </c>
      <c r="BN301" s="534"/>
      <c r="BO3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5-3'!$D$11:$Q319,BO$4,BO$5)"),"")</f>
        <v/>
      </c>
      <c r="BP301" s="534"/>
      <c r="BQ3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5-3'!$D$11:$Q319,BQ$4,BQ$5)"),"")</f>
        <v/>
      </c>
      <c r="BR301" s="536"/>
      <c r="BS301"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5-3'!$D$11:$Q319,BS$4,BS$5)"),"")</f>
        <v/>
      </c>
      <c r="BT301" s="534"/>
      <c r="BU301" s="534"/>
      <c r="BV301" s="534"/>
      <c r="BW301" s="534"/>
      <c r="BX3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5-3'!$D$11:$Q319,BX$4,BX$5)"),"")</f>
        <v/>
      </c>
      <c r="BY301" s="538"/>
      <c r="BZ3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5-3'!$D$11:$Q319,BZ$4,BZ$5)"),"")</f>
        <v/>
      </c>
      <c r="CA301" s="537"/>
      <c r="CB3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5-3'!$D$11:$Q319,CB$4,CB$5)"),"")</f>
        <v/>
      </c>
      <c r="CC301" s="537"/>
      <c r="CD3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5-3'!$D$11:$Q319,CD$4,CD$5)"),"")</f>
        <v/>
      </c>
      <c r="CE301" s="537"/>
      <c r="CF3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5-3'!$D$11:$Q319,CF$4,CF$5)"),"")</f>
        <v/>
      </c>
      <c r="CG301" s="539"/>
      <c r="CH301"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5-3'!$D$11:$Q319,CH$4,CH$5)"),"")</f>
        <v/>
      </c>
      <c r="CI301" s="537"/>
      <c r="CJ301" s="537"/>
      <c r="CK301" s="537"/>
      <c r="CL301" s="537"/>
      <c r="CM3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5-3'!$D$11:$Q319,CM$4,CM$5)"),"")</f>
        <v/>
      </c>
      <c r="CN301" s="541"/>
      <c r="CO3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5-3'!$D$11:$Q319,CO$4,CO$5)"),"")</f>
        <v/>
      </c>
      <c r="CP301" s="540"/>
      <c r="CQ3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5-3'!$D$11:$Q319,CQ$4,CQ$5)"),"")</f>
        <v/>
      </c>
      <c r="CR301" s="540"/>
      <c r="CS3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5-3'!$D$11:$Q319,CS$4,CS$5)"),"")</f>
        <v/>
      </c>
      <c r="CT301" s="540"/>
      <c r="CU3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5-3'!$D$11:$Q319,CU$4,CU$5)"),"")</f>
        <v/>
      </c>
      <c r="CV301" s="545"/>
      <c r="CW301"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5-3'!$D$11:$Q319,CW$4,CW$5)"),"")</f>
        <v/>
      </c>
      <c r="CX301" s="540"/>
      <c r="CY301" s="540"/>
      <c r="CZ301" s="540"/>
      <c r="DA301" s="540"/>
      <c r="DB3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5-3'!$D$11:$Q319,DB$4,DB$5)"),"")</f>
        <v/>
      </c>
      <c r="DC301" s="555"/>
      <c r="DD3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5-3'!$D$11:$Q319,DD$4,DD$5)"),"")</f>
        <v/>
      </c>
      <c r="DE301" s="554"/>
      <c r="DF3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5-3'!$D$11:$Q319,DF$4,DF$5)"),"")</f>
        <v/>
      </c>
      <c r="DG301" s="554"/>
      <c r="DH3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5-3'!$D$11:$Q319,DH$4,DH$5)"),"")</f>
        <v/>
      </c>
      <c r="DI301" s="554"/>
      <c r="DJ3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5-3'!$D$11:$Q319,DJ$4,DJ$5)"),"")</f>
        <v/>
      </c>
      <c r="DK301" s="566"/>
      <c r="DL301"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5-3'!$D$11:$Q319,DL$4,DL$5)"),"")</f>
        <v/>
      </c>
      <c r="DM301" s="554"/>
      <c r="DN301" s="554"/>
      <c r="DO301" s="554"/>
      <c r="DP301" s="554"/>
      <c r="DQ3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5-3'!$D$11:$Q319,DQ$4,DQ$5)"),"")</f>
        <v/>
      </c>
      <c r="DR301" s="569"/>
      <c r="DS3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5-3'!$D$11:$Q319,DS$4,DS$5)"),"")</f>
        <v/>
      </c>
      <c r="DT301" s="568"/>
      <c r="DU3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5-3'!$D$11:$Q319,DU$4,DU$5)"),"")</f>
        <v/>
      </c>
      <c r="DV301" s="568"/>
      <c r="DW3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5-3'!$D$11:$Q319,DW$4,DW$5)"),"")</f>
        <v/>
      </c>
      <c r="DX301" s="568"/>
      <c r="DY3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5-3'!$D$11:$Q319,DY$4,DY$5)"),"")</f>
        <v/>
      </c>
      <c r="DZ301" s="578"/>
      <c r="EA301"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$C301, 'S-10 Топ 5-3'!$D$11:$Q319,EA$4,EA$5)"),"")</f>
        <v/>
      </c>
      <c r="EB301" s="568"/>
      <c r="EC301" s="568"/>
      <c r="ED301" s="568"/>
      <c r="EE301" s="568"/>
    </row>
    <row r="302">
      <c r="A302" s="519" t="str">
        <f t="shared" si="1"/>
        <v/>
      </c>
      <c r="B302" s="520" t="str">
        <f>'5-0 Товары'!B302</f>
        <v/>
      </c>
      <c r="C302" s="521" t="str">
        <f>'5-1 Сбор КП Закупки'!C302</f>
        <v/>
      </c>
      <c r="D302" s="521" t="str">
        <f>'5-1 Сбор КП Закупки'!D302</f>
        <v/>
      </c>
      <c r="E302" s="521" t="str">
        <f>'5-1 Сбор КП Закупки'!E302</f>
        <v/>
      </c>
      <c r="F302" s="521" t="str">
        <f>'5-1 Сбор КП Закупки'!F302</f>
        <v/>
      </c>
      <c r="G302" s="522" t="str">
        <f>'5-1 Сбор КП Закупки'!G302</f>
        <v/>
      </c>
      <c r="H302" s="522" t="str">
        <f>'5-1 Сбор КП Закупки'!H302</f>
        <v/>
      </c>
      <c r="I302" s="522" t="str">
        <f>'5-1 Сбор КП Закупки'!I302</f>
        <v/>
      </c>
      <c r="J302" s="197"/>
      <c r="K302" s="522" t="str">
        <f>'5-1 Сбор КП Закупки'!G302</f>
        <v/>
      </c>
      <c r="L302" s="523" t="str">
        <f>IF(A302="Да",'5-1 Сбор КП Закупки'!K302,)</f>
        <v/>
      </c>
      <c r="M302" s="197"/>
      <c r="N302" s="197"/>
      <c r="O302" s="197"/>
      <c r="P302" s="525" t="str">
        <f>'5-1 Сбор КП Закупки'!P302</f>
        <v/>
      </c>
      <c r="Q302" s="197"/>
      <c r="R302" s="197"/>
      <c r="S302" s="197"/>
      <c r="T302" s="197"/>
      <c r="U302" s="197"/>
      <c r="V302" s="197"/>
      <c r="W302" s="522" t="str">
        <f>'5-1 Сбор КП Закупки'!O302</f>
        <v/>
      </c>
      <c r="X302" s="197"/>
      <c r="Y302" s="197"/>
      <c r="Z302" s="197"/>
      <c r="AA302" s="197"/>
      <c r="AB302" s="197">
        <v>0.0</v>
      </c>
      <c r="AC302" s="197"/>
      <c r="AD302" s="197"/>
      <c r="AE3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5-3'!$D$11:$Q319,AE$4,AE$5)"),"")</f>
        <v/>
      </c>
      <c r="AF302" s="528"/>
      <c r="AG3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5-3'!$D$11:$Q319,AG$4,AG$5)"),"")</f>
        <v/>
      </c>
      <c r="AH302" s="527"/>
      <c r="AI3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5-3'!$D$11:$Q319,AI$4,AI$5)"),"")</f>
        <v/>
      </c>
      <c r="AJ302" s="527"/>
      <c r="AK3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5-3'!$D$11:$Q319,AK$4,AK$5)"),"")</f>
        <v/>
      </c>
      <c r="AL302" s="527"/>
      <c r="AM3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5-3'!$D$11:$Q319,AM$4,AM$5)"),"")</f>
        <v/>
      </c>
      <c r="AN302" s="529"/>
      <c r="AO302"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5-3'!$D$11:$Q319,AO$4,AO$5)"),"")</f>
        <v/>
      </c>
      <c r="AP302" s="527"/>
      <c r="AQ302" s="527"/>
      <c r="AR302" s="527"/>
      <c r="AS302" s="527"/>
      <c r="AT3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5-3'!$D$11:$Q319,AT$4,AT$5)"),"")</f>
        <v/>
      </c>
      <c r="AU302" s="531"/>
      <c r="AV3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5-3'!$D$11:$Q319,AV$4,AV$5)"),"")</f>
        <v/>
      </c>
      <c r="AW302" s="530"/>
      <c r="AX3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5-3'!$D$11:$Q319,AX$4,AX$5)"),"")</f>
        <v/>
      </c>
      <c r="AY302" s="530"/>
      <c r="AZ3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5-3'!$D$11:$Q319,AZ$4,AZ$5)"),"")</f>
        <v/>
      </c>
      <c r="BA302" s="530"/>
      <c r="BB3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5-3'!$D$11:$Q319,BB$4,BB$5)"),"")</f>
        <v/>
      </c>
      <c r="BC302" s="532"/>
      <c r="BD302"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5-3'!$D$11:$Q319,BD$4,BD$5)"),"")</f>
        <v/>
      </c>
      <c r="BE302" s="530"/>
      <c r="BF302" s="530"/>
      <c r="BG302" s="530"/>
      <c r="BH302" s="530"/>
      <c r="BI3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5-3'!$D$11:$Q319,BI$4,BI$5)"),"")</f>
        <v/>
      </c>
      <c r="BJ302" s="535"/>
      <c r="BK3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5-3'!$D$11:$Q319,BK$4,BK$5)"),"")</f>
        <v/>
      </c>
      <c r="BL302" s="534"/>
      <c r="BM3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5-3'!$D$11:$Q319,BM$4,BM$5)"),"")</f>
        <v/>
      </c>
      <c r="BN302" s="534"/>
      <c r="BO3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5-3'!$D$11:$Q319,BO$4,BO$5)"),"")</f>
        <v/>
      </c>
      <c r="BP302" s="534"/>
      <c r="BQ3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5-3'!$D$11:$Q319,BQ$4,BQ$5)"),"")</f>
        <v/>
      </c>
      <c r="BR302" s="536"/>
      <c r="BS302"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5-3'!$D$11:$Q319,BS$4,BS$5)"),"")</f>
        <v/>
      </c>
      <c r="BT302" s="534"/>
      <c r="BU302" s="534"/>
      <c r="BV302" s="534"/>
      <c r="BW302" s="534"/>
      <c r="BX3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5-3'!$D$11:$Q319,BX$4,BX$5)"),"")</f>
        <v/>
      </c>
      <c r="BY302" s="538"/>
      <c r="BZ3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5-3'!$D$11:$Q319,BZ$4,BZ$5)"),"")</f>
        <v/>
      </c>
      <c r="CA302" s="537"/>
      <c r="CB3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5-3'!$D$11:$Q319,CB$4,CB$5)"),"")</f>
        <v/>
      </c>
      <c r="CC302" s="537"/>
      <c r="CD3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5-3'!$D$11:$Q319,CD$4,CD$5)"),"")</f>
        <v/>
      </c>
      <c r="CE302" s="537"/>
      <c r="CF3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5-3'!$D$11:$Q319,CF$4,CF$5)"),"")</f>
        <v/>
      </c>
      <c r="CG302" s="539"/>
      <c r="CH302"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5-3'!$D$11:$Q319,CH$4,CH$5)"),"")</f>
        <v/>
      </c>
      <c r="CI302" s="537"/>
      <c r="CJ302" s="537"/>
      <c r="CK302" s="537"/>
      <c r="CL302" s="537"/>
      <c r="CM3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5-3'!$D$11:$Q319,CM$4,CM$5)"),"")</f>
        <v/>
      </c>
      <c r="CN302" s="541"/>
      <c r="CO3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5-3'!$D$11:$Q319,CO$4,CO$5)"),"")</f>
        <v/>
      </c>
      <c r="CP302" s="540"/>
      <c r="CQ3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5-3'!$D$11:$Q319,CQ$4,CQ$5)"),"")</f>
        <v/>
      </c>
      <c r="CR302" s="540"/>
      <c r="CS3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5-3'!$D$11:$Q319,CS$4,CS$5)"),"")</f>
        <v/>
      </c>
      <c r="CT302" s="540"/>
      <c r="CU3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5-3'!$D$11:$Q319,CU$4,CU$5)"),"")</f>
        <v/>
      </c>
      <c r="CV302" s="545"/>
      <c r="CW302"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5-3'!$D$11:$Q319,CW$4,CW$5)"),"")</f>
        <v/>
      </c>
      <c r="CX302" s="540"/>
      <c r="CY302" s="540"/>
      <c r="CZ302" s="540"/>
      <c r="DA302" s="540"/>
      <c r="DB3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5-3'!$D$11:$Q319,DB$4,DB$5)"),"")</f>
        <v/>
      </c>
      <c r="DC302" s="555"/>
      <c r="DD3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5-3'!$D$11:$Q319,DD$4,DD$5)"),"")</f>
        <v/>
      </c>
      <c r="DE302" s="554"/>
      <c r="DF3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5-3'!$D$11:$Q319,DF$4,DF$5)"),"")</f>
        <v/>
      </c>
      <c r="DG302" s="554"/>
      <c r="DH3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5-3'!$D$11:$Q319,DH$4,DH$5)"),"")</f>
        <v/>
      </c>
      <c r="DI302" s="554"/>
      <c r="DJ3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5-3'!$D$11:$Q319,DJ$4,DJ$5)"),"")</f>
        <v/>
      </c>
      <c r="DK302" s="566"/>
      <c r="DL302"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5-3'!$D$11:$Q319,DL$4,DL$5)"),"")</f>
        <v/>
      </c>
      <c r="DM302" s="554"/>
      <c r="DN302" s="554"/>
      <c r="DO302" s="554"/>
      <c r="DP302" s="554"/>
      <c r="DQ3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5-3'!$D$11:$Q319,DQ$4,DQ$5)"),"")</f>
        <v/>
      </c>
      <c r="DR302" s="569"/>
      <c r="DS3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5-3'!$D$11:$Q319,DS$4,DS$5)"),"")</f>
        <v/>
      </c>
      <c r="DT302" s="568"/>
      <c r="DU3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5-3'!$D$11:$Q319,DU$4,DU$5)"),"")</f>
        <v/>
      </c>
      <c r="DV302" s="568"/>
      <c r="DW3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5-3'!$D$11:$Q319,DW$4,DW$5)"),"")</f>
        <v/>
      </c>
      <c r="DX302" s="568"/>
      <c r="DY3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5-3'!$D$11:$Q319,DY$4,DY$5)"),"")</f>
        <v/>
      </c>
      <c r="DZ302" s="578"/>
      <c r="EA302"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$C302, 'S-10 Топ 5-3'!$D$11:$Q319,EA$4,EA$5)"),"")</f>
        <v/>
      </c>
      <c r="EB302" s="568"/>
      <c r="EC302" s="568"/>
      <c r="ED302" s="568"/>
      <c r="EE302" s="568"/>
    </row>
    <row r="303">
      <c r="A303" s="519" t="str">
        <f t="shared" si="1"/>
        <v/>
      </c>
      <c r="B303" s="520" t="str">
        <f>'5-0 Товары'!B303</f>
        <v/>
      </c>
      <c r="C303" s="521" t="str">
        <f>'5-1 Сбор КП Закупки'!C303</f>
        <v/>
      </c>
      <c r="D303" s="521" t="str">
        <f>'5-1 Сбор КП Закупки'!D303</f>
        <v/>
      </c>
      <c r="E303" s="521" t="str">
        <f>'5-1 Сбор КП Закупки'!E303</f>
        <v/>
      </c>
      <c r="F303" s="521" t="str">
        <f>'5-1 Сбор КП Закупки'!F303</f>
        <v/>
      </c>
      <c r="G303" s="522" t="str">
        <f>'5-1 Сбор КП Закупки'!G303</f>
        <v/>
      </c>
      <c r="H303" s="522" t="str">
        <f>'5-1 Сбор КП Закупки'!H303</f>
        <v/>
      </c>
      <c r="I303" s="522" t="str">
        <f>'5-1 Сбор КП Закупки'!I303</f>
        <v/>
      </c>
      <c r="J303" s="197"/>
      <c r="K303" s="522" t="str">
        <f>'5-1 Сбор КП Закупки'!G303</f>
        <v/>
      </c>
      <c r="L303" s="523" t="str">
        <f>IF(A303="Да",'5-1 Сбор КП Закупки'!K303,)</f>
        <v/>
      </c>
      <c r="M303" s="197"/>
      <c r="N303" s="197"/>
      <c r="O303" s="197"/>
      <c r="P303" s="525" t="str">
        <f>'5-1 Сбор КП Закупки'!P303</f>
        <v/>
      </c>
      <c r="Q303" s="197"/>
      <c r="R303" s="197"/>
      <c r="S303" s="197"/>
      <c r="T303" s="197"/>
      <c r="U303" s="197"/>
      <c r="V303" s="197"/>
      <c r="W303" s="522" t="str">
        <f>'5-1 Сбор КП Закупки'!O303</f>
        <v/>
      </c>
      <c r="X303" s="197"/>
      <c r="Y303" s="197"/>
      <c r="Z303" s="197"/>
      <c r="AA303" s="197"/>
      <c r="AB303" s="197">
        <v>0.0</v>
      </c>
      <c r="AC303" s="197"/>
      <c r="AD303" s="197"/>
      <c r="AE3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5-3'!$D$11:$Q319,AE$4,AE$5)"),"")</f>
        <v/>
      </c>
      <c r="AF303" s="528"/>
      <c r="AG3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5-3'!$D$11:$Q319,AG$4,AG$5)"),"")</f>
        <v/>
      </c>
      <c r="AH303" s="527"/>
      <c r="AI3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5-3'!$D$11:$Q319,AI$4,AI$5)"),"")</f>
        <v/>
      </c>
      <c r="AJ303" s="527"/>
      <c r="AK3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5-3'!$D$11:$Q319,AK$4,AK$5)"),"")</f>
        <v/>
      </c>
      <c r="AL303" s="527"/>
      <c r="AM3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5-3'!$D$11:$Q319,AM$4,AM$5)"),"")</f>
        <v/>
      </c>
      <c r="AN303" s="529"/>
      <c r="AO303"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5-3'!$D$11:$Q319,AO$4,AO$5)"),"")</f>
        <v/>
      </c>
      <c r="AP303" s="527"/>
      <c r="AQ303" s="527"/>
      <c r="AR303" s="527"/>
      <c r="AS303" s="527"/>
      <c r="AT3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5-3'!$D$11:$Q319,AT$4,AT$5)"),"")</f>
        <v/>
      </c>
      <c r="AU303" s="531"/>
      <c r="AV3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5-3'!$D$11:$Q319,AV$4,AV$5)"),"")</f>
        <v/>
      </c>
      <c r="AW303" s="530"/>
      <c r="AX3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5-3'!$D$11:$Q319,AX$4,AX$5)"),"")</f>
        <v/>
      </c>
      <c r="AY303" s="530"/>
      <c r="AZ3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5-3'!$D$11:$Q319,AZ$4,AZ$5)"),"")</f>
        <v/>
      </c>
      <c r="BA303" s="530"/>
      <c r="BB3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5-3'!$D$11:$Q319,BB$4,BB$5)"),"")</f>
        <v/>
      </c>
      <c r="BC303" s="532"/>
      <c r="BD303"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5-3'!$D$11:$Q319,BD$4,BD$5)"),"")</f>
        <v/>
      </c>
      <c r="BE303" s="530"/>
      <c r="BF303" s="530"/>
      <c r="BG303" s="530"/>
      <c r="BH303" s="530"/>
      <c r="BI3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5-3'!$D$11:$Q319,BI$4,BI$5)"),"")</f>
        <v/>
      </c>
      <c r="BJ303" s="535"/>
      <c r="BK3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5-3'!$D$11:$Q319,BK$4,BK$5)"),"")</f>
        <v/>
      </c>
      <c r="BL303" s="534"/>
      <c r="BM3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5-3'!$D$11:$Q319,BM$4,BM$5)"),"")</f>
        <v/>
      </c>
      <c r="BN303" s="534"/>
      <c r="BO3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5-3'!$D$11:$Q319,BO$4,BO$5)"),"")</f>
        <v/>
      </c>
      <c r="BP303" s="534"/>
      <c r="BQ3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5-3'!$D$11:$Q319,BQ$4,BQ$5)"),"")</f>
        <v/>
      </c>
      <c r="BR303" s="536"/>
      <c r="BS303"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5-3'!$D$11:$Q319,BS$4,BS$5)"),"")</f>
        <v/>
      </c>
      <c r="BT303" s="534"/>
      <c r="BU303" s="534"/>
      <c r="BV303" s="534"/>
      <c r="BW303" s="534"/>
      <c r="BX3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5-3'!$D$11:$Q319,BX$4,BX$5)"),"")</f>
        <v/>
      </c>
      <c r="BY303" s="538"/>
      <c r="BZ3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5-3'!$D$11:$Q319,BZ$4,BZ$5)"),"")</f>
        <v/>
      </c>
      <c r="CA303" s="537"/>
      <c r="CB3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5-3'!$D$11:$Q319,CB$4,CB$5)"),"")</f>
        <v/>
      </c>
      <c r="CC303" s="537"/>
      <c r="CD3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5-3'!$D$11:$Q319,CD$4,CD$5)"),"")</f>
        <v/>
      </c>
      <c r="CE303" s="537"/>
      <c r="CF3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5-3'!$D$11:$Q319,CF$4,CF$5)"),"")</f>
        <v/>
      </c>
      <c r="CG303" s="539"/>
      <c r="CH303"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5-3'!$D$11:$Q319,CH$4,CH$5)"),"")</f>
        <v/>
      </c>
      <c r="CI303" s="537"/>
      <c r="CJ303" s="537"/>
      <c r="CK303" s="537"/>
      <c r="CL303" s="537"/>
      <c r="CM3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5-3'!$D$11:$Q319,CM$4,CM$5)"),"")</f>
        <v/>
      </c>
      <c r="CN303" s="541"/>
      <c r="CO3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5-3'!$D$11:$Q319,CO$4,CO$5)"),"")</f>
        <v/>
      </c>
      <c r="CP303" s="540"/>
      <c r="CQ3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5-3'!$D$11:$Q319,CQ$4,CQ$5)"),"")</f>
        <v/>
      </c>
      <c r="CR303" s="540"/>
      <c r="CS3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5-3'!$D$11:$Q319,CS$4,CS$5)"),"")</f>
        <v/>
      </c>
      <c r="CT303" s="540"/>
      <c r="CU3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5-3'!$D$11:$Q319,CU$4,CU$5)"),"")</f>
        <v/>
      </c>
      <c r="CV303" s="545"/>
      <c r="CW303"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5-3'!$D$11:$Q319,CW$4,CW$5)"),"")</f>
        <v/>
      </c>
      <c r="CX303" s="540"/>
      <c r="CY303" s="540"/>
      <c r="CZ303" s="540"/>
      <c r="DA303" s="540"/>
      <c r="DB3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5-3'!$D$11:$Q319,DB$4,DB$5)"),"")</f>
        <v/>
      </c>
      <c r="DC303" s="555"/>
      <c r="DD3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5-3'!$D$11:$Q319,DD$4,DD$5)"),"")</f>
        <v/>
      </c>
      <c r="DE303" s="554"/>
      <c r="DF3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5-3'!$D$11:$Q319,DF$4,DF$5)"),"")</f>
        <v/>
      </c>
      <c r="DG303" s="554"/>
      <c r="DH3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5-3'!$D$11:$Q319,DH$4,DH$5)"),"")</f>
        <v/>
      </c>
      <c r="DI303" s="554"/>
      <c r="DJ3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5-3'!$D$11:$Q319,DJ$4,DJ$5)"),"")</f>
        <v/>
      </c>
      <c r="DK303" s="566"/>
      <c r="DL303"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5-3'!$D$11:$Q319,DL$4,DL$5)"),"")</f>
        <v/>
      </c>
      <c r="DM303" s="554"/>
      <c r="DN303" s="554"/>
      <c r="DO303" s="554"/>
      <c r="DP303" s="554"/>
      <c r="DQ3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5-3'!$D$11:$Q319,DQ$4,DQ$5)"),"")</f>
        <v/>
      </c>
      <c r="DR303" s="569"/>
      <c r="DS3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5-3'!$D$11:$Q319,DS$4,DS$5)"),"")</f>
        <v/>
      </c>
      <c r="DT303" s="568"/>
      <c r="DU3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5-3'!$D$11:$Q319,DU$4,DU$5)"),"")</f>
        <v/>
      </c>
      <c r="DV303" s="568"/>
      <c r="DW3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5-3'!$D$11:$Q319,DW$4,DW$5)"),"")</f>
        <v/>
      </c>
      <c r="DX303" s="568"/>
      <c r="DY3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5-3'!$D$11:$Q319,DY$4,DY$5)"),"")</f>
        <v/>
      </c>
      <c r="DZ303" s="578"/>
      <c r="EA303"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$C303, 'S-10 Топ 5-3'!$D$11:$Q319,EA$4,EA$5)"),"")</f>
        <v/>
      </c>
      <c r="EB303" s="568"/>
      <c r="EC303" s="568"/>
      <c r="ED303" s="568"/>
      <c r="EE303" s="568"/>
    </row>
    <row r="304">
      <c r="A304" s="519" t="str">
        <f t="shared" si="1"/>
        <v/>
      </c>
      <c r="B304" s="520" t="str">
        <f>'5-0 Товары'!B304</f>
        <v/>
      </c>
      <c r="C304" s="521" t="str">
        <f>'5-1 Сбор КП Закупки'!C304</f>
        <v/>
      </c>
      <c r="D304" s="521" t="str">
        <f>'5-1 Сбор КП Закупки'!D304</f>
        <v/>
      </c>
      <c r="E304" s="521" t="str">
        <f>'5-1 Сбор КП Закупки'!E304</f>
        <v/>
      </c>
      <c r="F304" s="521" t="str">
        <f>'5-1 Сбор КП Закупки'!F304</f>
        <v/>
      </c>
      <c r="G304" s="522" t="str">
        <f>'5-1 Сбор КП Закупки'!G304</f>
        <v/>
      </c>
      <c r="H304" s="522" t="str">
        <f>'5-1 Сбор КП Закупки'!H304</f>
        <v/>
      </c>
      <c r="I304" s="522" t="str">
        <f>'5-1 Сбор КП Закупки'!I304</f>
        <v/>
      </c>
      <c r="J304" s="197"/>
      <c r="K304" s="522" t="str">
        <f>'5-1 Сбор КП Закупки'!G304</f>
        <v/>
      </c>
      <c r="L304" s="523" t="str">
        <f>IF(A304="Да",'5-1 Сбор КП Закупки'!K304,)</f>
        <v/>
      </c>
      <c r="M304" s="197"/>
      <c r="N304" s="197"/>
      <c r="O304" s="197"/>
      <c r="P304" s="525" t="str">
        <f>'5-1 Сбор КП Закупки'!P304</f>
        <v/>
      </c>
      <c r="Q304" s="197"/>
      <c r="R304" s="197"/>
      <c r="S304" s="197"/>
      <c r="T304" s="197"/>
      <c r="U304" s="197"/>
      <c r="V304" s="197"/>
      <c r="W304" s="522" t="str">
        <f>'5-1 Сбор КП Закупки'!O304</f>
        <v/>
      </c>
      <c r="X304" s="197"/>
      <c r="Y304" s="197"/>
      <c r="Z304" s="197"/>
      <c r="AA304" s="197"/>
      <c r="AB304" s="197">
        <v>0.0</v>
      </c>
      <c r="AC304" s="197"/>
      <c r="AD304" s="197"/>
      <c r="AE3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5-3'!$D$11:$Q319,AE$4,AE$5)"),"")</f>
        <v/>
      </c>
      <c r="AF304" s="528"/>
      <c r="AG3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5-3'!$D$11:$Q319,AG$4,AG$5)"),"")</f>
        <v/>
      </c>
      <c r="AH304" s="527"/>
      <c r="AI3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5-3'!$D$11:$Q319,AI$4,AI$5)"),"")</f>
        <v/>
      </c>
      <c r="AJ304" s="527"/>
      <c r="AK3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5-3'!$D$11:$Q319,AK$4,AK$5)"),"")</f>
        <v/>
      </c>
      <c r="AL304" s="527"/>
      <c r="AM3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5-3'!$D$11:$Q319,AM$4,AM$5)"),"")</f>
        <v/>
      </c>
      <c r="AN304" s="529"/>
      <c r="AO304"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5-3'!$D$11:$Q319,AO$4,AO$5)"),"")</f>
        <v/>
      </c>
      <c r="AP304" s="527"/>
      <c r="AQ304" s="527"/>
      <c r="AR304" s="527"/>
      <c r="AS304" s="527"/>
      <c r="AT3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5-3'!$D$11:$Q319,AT$4,AT$5)"),"")</f>
        <v/>
      </c>
      <c r="AU304" s="531"/>
      <c r="AV3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5-3'!$D$11:$Q319,AV$4,AV$5)"),"")</f>
        <v/>
      </c>
      <c r="AW304" s="530"/>
      <c r="AX3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5-3'!$D$11:$Q319,AX$4,AX$5)"),"")</f>
        <v/>
      </c>
      <c r="AY304" s="530"/>
      <c r="AZ3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5-3'!$D$11:$Q319,AZ$4,AZ$5)"),"")</f>
        <v/>
      </c>
      <c r="BA304" s="530"/>
      <c r="BB3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5-3'!$D$11:$Q319,BB$4,BB$5)"),"")</f>
        <v/>
      </c>
      <c r="BC304" s="532"/>
      <c r="BD304"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5-3'!$D$11:$Q319,BD$4,BD$5)"),"")</f>
        <v/>
      </c>
      <c r="BE304" s="530"/>
      <c r="BF304" s="530"/>
      <c r="BG304" s="530"/>
      <c r="BH304" s="530"/>
      <c r="BI3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5-3'!$D$11:$Q319,BI$4,BI$5)"),"")</f>
        <v/>
      </c>
      <c r="BJ304" s="535"/>
      <c r="BK3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5-3'!$D$11:$Q319,BK$4,BK$5)"),"")</f>
        <v/>
      </c>
      <c r="BL304" s="534"/>
      <c r="BM3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5-3'!$D$11:$Q319,BM$4,BM$5)"),"")</f>
        <v/>
      </c>
      <c r="BN304" s="534"/>
      <c r="BO3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5-3'!$D$11:$Q319,BO$4,BO$5)"),"")</f>
        <v/>
      </c>
      <c r="BP304" s="534"/>
      <c r="BQ3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5-3'!$D$11:$Q319,BQ$4,BQ$5)"),"")</f>
        <v/>
      </c>
      <c r="BR304" s="536"/>
      <c r="BS304"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5-3'!$D$11:$Q319,BS$4,BS$5)"),"")</f>
        <v/>
      </c>
      <c r="BT304" s="534"/>
      <c r="BU304" s="534"/>
      <c r="BV304" s="534"/>
      <c r="BW304" s="534"/>
      <c r="BX3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5-3'!$D$11:$Q319,BX$4,BX$5)"),"")</f>
        <v/>
      </c>
      <c r="BY304" s="538"/>
      <c r="BZ3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5-3'!$D$11:$Q319,BZ$4,BZ$5)"),"")</f>
        <v/>
      </c>
      <c r="CA304" s="537"/>
      <c r="CB3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5-3'!$D$11:$Q319,CB$4,CB$5)"),"")</f>
        <v/>
      </c>
      <c r="CC304" s="537"/>
      <c r="CD3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5-3'!$D$11:$Q319,CD$4,CD$5)"),"")</f>
        <v/>
      </c>
      <c r="CE304" s="537"/>
      <c r="CF3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5-3'!$D$11:$Q319,CF$4,CF$5)"),"")</f>
        <v/>
      </c>
      <c r="CG304" s="539"/>
      <c r="CH304"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5-3'!$D$11:$Q319,CH$4,CH$5)"),"")</f>
        <v/>
      </c>
      <c r="CI304" s="537"/>
      <c r="CJ304" s="537"/>
      <c r="CK304" s="537"/>
      <c r="CL304" s="537"/>
      <c r="CM3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5-3'!$D$11:$Q319,CM$4,CM$5)"),"")</f>
        <v/>
      </c>
      <c r="CN304" s="541"/>
      <c r="CO3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5-3'!$D$11:$Q319,CO$4,CO$5)"),"")</f>
        <v/>
      </c>
      <c r="CP304" s="540"/>
      <c r="CQ3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5-3'!$D$11:$Q319,CQ$4,CQ$5)"),"")</f>
        <v/>
      </c>
      <c r="CR304" s="540"/>
      <c r="CS3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5-3'!$D$11:$Q319,CS$4,CS$5)"),"")</f>
        <v/>
      </c>
      <c r="CT304" s="540"/>
      <c r="CU3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5-3'!$D$11:$Q319,CU$4,CU$5)"),"")</f>
        <v/>
      </c>
      <c r="CV304" s="545"/>
      <c r="CW304"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5-3'!$D$11:$Q319,CW$4,CW$5)"),"")</f>
        <v/>
      </c>
      <c r="CX304" s="540"/>
      <c r="CY304" s="540"/>
      <c r="CZ304" s="540"/>
      <c r="DA304" s="540"/>
      <c r="DB3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5-3'!$D$11:$Q319,DB$4,DB$5)"),"")</f>
        <v/>
      </c>
      <c r="DC304" s="555"/>
      <c r="DD3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5-3'!$D$11:$Q319,DD$4,DD$5)"),"")</f>
        <v/>
      </c>
      <c r="DE304" s="554"/>
      <c r="DF3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5-3'!$D$11:$Q319,DF$4,DF$5)"),"")</f>
        <v/>
      </c>
      <c r="DG304" s="554"/>
      <c r="DH3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5-3'!$D$11:$Q319,DH$4,DH$5)"),"")</f>
        <v/>
      </c>
      <c r="DI304" s="554"/>
      <c r="DJ3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5-3'!$D$11:$Q319,DJ$4,DJ$5)"),"")</f>
        <v/>
      </c>
      <c r="DK304" s="566"/>
      <c r="DL304"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5-3'!$D$11:$Q319,DL$4,DL$5)"),"")</f>
        <v/>
      </c>
      <c r="DM304" s="554"/>
      <c r="DN304" s="554"/>
      <c r="DO304" s="554"/>
      <c r="DP304" s="554"/>
      <c r="DQ3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5-3'!$D$11:$Q319,DQ$4,DQ$5)"),"")</f>
        <v/>
      </c>
      <c r="DR304" s="569"/>
      <c r="DS3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5-3'!$D$11:$Q319,DS$4,DS$5)"),"")</f>
        <v/>
      </c>
      <c r="DT304" s="568"/>
      <c r="DU3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5-3'!$D$11:$Q319,DU$4,DU$5)"),"")</f>
        <v/>
      </c>
      <c r="DV304" s="568"/>
      <c r="DW3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5-3'!$D$11:$Q319,DW$4,DW$5)"),"")</f>
        <v/>
      </c>
      <c r="DX304" s="568"/>
      <c r="DY3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5-3'!$D$11:$Q319,DY$4,DY$5)"),"")</f>
        <v/>
      </c>
      <c r="DZ304" s="578"/>
      <c r="EA304"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$C304, 'S-10 Топ 5-3'!$D$11:$Q319,EA$4,EA$5)"),"")</f>
        <v/>
      </c>
      <c r="EB304" s="568"/>
      <c r="EC304" s="568"/>
      <c r="ED304" s="568"/>
      <c r="EE304" s="568"/>
    </row>
    <row r="305">
      <c r="A305" s="519" t="str">
        <f t="shared" si="1"/>
        <v/>
      </c>
      <c r="B305" s="520" t="str">
        <f>'5-0 Товары'!B305</f>
        <v/>
      </c>
      <c r="C305" s="521" t="str">
        <f>'5-1 Сбор КП Закупки'!C305</f>
        <v/>
      </c>
      <c r="D305" s="521" t="str">
        <f>'5-1 Сбор КП Закупки'!D305</f>
        <v/>
      </c>
      <c r="E305" s="521" t="str">
        <f>'5-1 Сбор КП Закупки'!E305</f>
        <v/>
      </c>
      <c r="F305" s="521" t="str">
        <f>'5-1 Сбор КП Закупки'!F305</f>
        <v/>
      </c>
      <c r="G305" s="522" t="str">
        <f>'5-1 Сбор КП Закупки'!G305</f>
        <v/>
      </c>
      <c r="H305" s="522" t="str">
        <f>'5-1 Сбор КП Закупки'!H305</f>
        <v/>
      </c>
      <c r="I305" s="522" t="str">
        <f>'5-1 Сбор КП Закупки'!I305</f>
        <v/>
      </c>
      <c r="J305" s="197"/>
      <c r="K305" s="522" t="str">
        <f>'5-1 Сбор КП Закупки'!G305</f>
        <v/>
      </c>
      <c r="L305" s="523" t="str">
        <f>IF(A305="Да",'5-1 Сбор КП Закупки'!K305,)</f>
        <v/>
      </c>
      <c r="M305" s="197"/>
      <c r="N305" s="197"/>
      <c r="O305" s="197"/>
      <c r="P305" s="525" t="str">
        <f>'5-1 Сбор КП Закупки'!P305</f>
        <v/>
      </c>
      <c r="Q305" s="197"/>
      <c r="R305" s="197"/>
      <c r="S305" s="197"/>
      <c r="T305" s="197"/>
      <c r="U305" s="197"/>
      <c r="V305" s="197"/>
      <c r="W305" s="522" t="str">
        <f>'5-1 Сбор КП Закупки'!O305</f>
        <v/>
      </c>
      <c r="X305" s="197"/>
      <c r="Y305" s="197"/>
      <c r="Z305" s="197"/>
      <c r="AA305" s="197"/>
      <c r="AB305" s="197">
        <v>0.0</v>
      </c>
      <c r="AC305" s="197"/>
      <c r="AD305" s="197"/>
      <c r="AE3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5-3'!$D$11:$Q319,AE$4,AE$5)"),"")</f>
        <v/>
      </c>
      <c r="AF305" s="528"/>
      <c r="AG3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5-3'!$D$11:$Q319,AG$4,AG$5)"),"")</f>
        <v/>
      </c>
      <c r="AH305" s="527"/>
      <c r="AI3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5-3'!$D$11:$Q319,AI$4,AI$5)"),"")</f>
        <v/>
      </c>
      <c r="AJ305" s="527"/>
      <c r="AK3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5-3'!$D$11:$Q319,AK$4,AK$5)"),"")</f>
        <v/>
      </c>
      <c r="AL305" s="527"/>
      <c r="AM3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5-3'!$D$11:$Q319,AM$4,AM$5)"),"")</f>
        <v/>
      </c>
      <c r="AN305" s="529"/>
      <c r="AO305"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5-3'!$D$11:$Q319,AO$4,AO$5)"),"")</f>
        <v/>
      </c>
      <c r="AP305" s="527"/>
      <c r="AQ305" s="527"/>
      <c r="AR305" s="527"/>
      <c r="AS305" s="527"/>
      <c r="AT3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5-3'!$D$11:$Q319,AT$4,AT$5)"),"")</f>
        <v/>
      </c>
      <c r="AU305" s="531"/>
      <c r="AV3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5-3'!$D$11:$Q319,AV$4,AV$5)"),"")</f>
        <v/>
      </c>
      <c r="AW305" s="530"/>
      <c r="AX3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5-3'!$D$11:$Q319,AX$4,AX$5)"),"")</f>
        <v/>
      </c>
      <c r="AY305" s="530"/>
      <c r="AZ3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5-3'!$D$11:$Q319,AZ$4,AZ$5)"),"")</f>
        <v/>
      </c>
      <c r="BA305" s="530"/>
      <c r="BB3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5-3'!$D$11:$Q319,BB$4,BB$5)"),"")</f>
        <v/>
      </c>
      <c r="BC305" s="532"/>
      <c r="BD305"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5-3'!$D$11:$Q319,BD$4,BD$5)"),"")</f>
        <v/>
      </c>
      <c r="BE305" s="530"/>
      <c r="BF305" s="530"/>
      <c r="BG305" s="530"/>
      <c r="BH305" s="530"/>
      <c r="BI3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5-3'!$D$11:$Q319,BI$4,BI$5)"),"")</f>
        <v/>
      </c>
      <c r="BJ305" s="535"/>
      <c r="BK3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5-3'!$D$11:$Q319,BK$4,BK$5)"),"")</f>
        <v/>
      </c>
      <c r="BL305" s="534"/>
      <c r="BM3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5-3'!$D$11:$Q319,BM$4,BM$5)"),"")</f>
        <v/>
      </c>
      <c r="BN305" s="534"/>
      <c r="BO3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5-3'!$D$11:$Q319,BO$4,BO$5)"),"")</f>
        <v/>
      </c>
      <c r="BP305" s="534"/>
      <c r="BQ3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5-3'!$D$11:$Q319,BQ$4,BQ$5)"),"")</f>
        <v/>
      </c>
      <c r="BR305" s="536"/>
      <c r="BS305"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5-3'!$D$11:$Q319,BS$4,BS$5)"),"")</f>
        <v/>
      </c>
      <c r="BT305" s="534"/>
      <c r="BU305" s="534"/>
      <c r="BV305" s="534"/>
      <c r="BW305" s="534"/>
      <c r="BX3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5-3'!$D$11:$Q319,BX$4,BX$5)"),"")</f>
        <v/>
      </c>
      <c r="BY305" s="538"/>
      <c r="BZ3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5-3'!$D$11:$Q319,BZ$4,BZ$5)"),"")</f>
        <v/>
      </c>
      <c r="CA305" s="537"/>
      <c r="CB3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5-3'!$D$11:$Q319,CB$4,CB$5)"),"")</f>
        <v/>
      </c>
      <c r="CC305" s="537"/>
      <c r="CD3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5-3'!$D$11:$Q319,CD$4,CD$5)"),"")</f>
        <v/>
      </c>
      <c r="CE305" s="537"/>
      <c r="CF3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5-3'!$D$11:$Q319,CF$4,CF$5)"),"")</f>
        <v/>
      </c>
      <c r="CG305" s="539"/>
      <c r="CH305"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5-3'!$D$11:$Q319,CH$4,CH$5)"),"")</f>
        <v/>
      </c>
      <c r="CI305" s="537"/>
      <c r="CJ305" s="537"/>
      <c r="CK305" s="537"/>
      <c r="CL305" s="537"/>
      <c r="CM3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5-3'!$D$11:$Q319,CM$4,CM$5)"),"")</f>
        <v/>
      </c>
      <c r="CN305" s="541"/>
      <c r="CO3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5-3'!$D$11:$Q319,CO$4,CO$5)"),"")</f>
        <v/>
      </c>
      <c r="CP305" s="540"/>
      <c r="CQ3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5-3'!$D$11:$Q319,CQ$4,CQ$5)"),"")</f>
        <v/>
      </c>
      <c r="CR305" s="540"/>
      <c r="CS3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5-3'!$D$11:$Q319,CS$4,CS$5)"),"")</f>
        <v/>
      </c>
      <c r="CT305" s="540"/>
      <c r="CU3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5-3'!$D$11:$Q319,CU$4,CU$5)"),"")</f>
        <v/>
      </c>
      <c r="CV305" s="545"/>
      <c r="CW305"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5-3'!$D$11:$Q319,CW$4,CW$5)"),"")</f>
        <v/>
      </c>
      <c r="CX305" s="540"/>
      <c r="CY305" s="540"/>
      <c r="CZ305" s="540"/>
      <c r="DA305" s="540"/>
      <c r="DB3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5-3'!$D$11:$Q319,DB$4,DB$5)"),"")</f>
        <v/>
      </c>
      <c r="DC305" s="555"/>
      <c r="DD3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5-3'!$D$11:$Q319,DD$4,DD$5)"),"")</f>
        <v/>
      </c>
      <c r="DE305" s="554"/>
      <c r="DF3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5-3'!$D$11:$Q319,DF$4,DF$5)"),"")</f>
        <v/>
      </c>
      <c r="DG305" s="554"/>
      <c r="DH3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5-3'!$D$11:$Q319,DH$4,DH$5)"),"")</f>
        <v/>
      </c>
      <c r="DI305" s="554"/>
      <c r="DJ3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5-3'!$D$11:$Q319,DJ$4,DJ$5)"),"")</f>
        <v/>
      </c>
      <c r="DK305" s="566"/>
      <c r="DL305"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5-3'!$D$11:$Q319,DL$4,DL$5)"),"")</f>
        <v/>
      </c>
      <c r="DM305" s="554"/>
      <c r="DN305" s="554"/>
      <c r="DO305" s="554"/>
      <c r="DP305" s="554"/>
      <c r="DQ3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5-3'!$D$11:$Q319,DQ$4,DQ$5)"),"")</f>
        <v/>
      </c>
      <c r="DR305" s="569"/>
      <c r="DS3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5-3'!$D$11:$Q319,DS$4,DS$5)"),"")</f>
        <v/>
      </c>
      <c r="DT305" s="568"/>
      <c r="DU3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5-3'!$D$11:$Q319,DU$4,DU$5)"),"")</f>
        <v/>
      </c>
      <c r="DV305" s="568"/>
      <c r="DW3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5-3'!$D$11:$Q319,DW$4,DW$5)"),"")</f>
        <v/>
      </c>
      <c r="DX305" s="568"/>
      <c r="DY3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5-3'!$D$11:$Q319,DY$4,DY$5)"),"")</f>
        <v/>
      </c>
      <c r="DZ305" s="578"/>
      <c r="EA305"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$C305, 'S-10 Топ 5-3'!$D$11:$Q319,EA$4,EA$5)"),"")</f>
        <v/>
      </c>
      <c r="EB305" s="568"/>
      <c r="EC305" s="568"/>
      <c r="ED305" s="568"/>
      <c r="EE305" s="568"/>
    </row>
    <row r="306">
      <c r="A306" s="519" t="str">
        <f t="shared" si="1"/>
        <v/>
      </c>
      <c r="B306" s="520" t="str">
        <f>'5-0 Товары'!B306</f>
        <v/>
      </c>
      <c r="C306" s="521" t="str">
        <f>'5-1 Сбор КП Закупки'!C306</f>
        <v/>
      </c>
      <c r="D306" s="521" t="str">
        <f>'5-1 Сбор КП Закупки'!D306</f>
        <v/>
      </c>
      <c r="E306" s="521" t="str">
        <f>'5-1 Сбор КП Закупки'!E306</f>
        <v/>
      </c>
      <c r="F306" s="521" t="str">
        <f>'5-1 Сбор КП Закупки'!F306</f>
        <v/>
      </c>
      <c r="G306" s="522" t="str">
        <f>'5-1 Сбор КП Закупки'!G306</f>
        <v/>
      </c>
      <c r="H306" s="522" t="str">
        <f>'5-1 Сбор КП Закупки'!H306</f>
        <v/>
      </c>
      <c r="I306" s="522" t="str">
        <f>'5-1 Сбор КП Закупки'!I306</f>
        <v/>
      </c>
      <c r="J306" s="197"/>
      <c r="K306" s="522" t="str">
        <f>'5-1 Сбор КП Закупки'!G306</f>
        <v/>
      </c>
      <c r="L306" s="523" t="str">
        <f>IF(A306="Да",'5-1 Сбор КП Закупки'!K306,)</f>
        <v/>
      </c>
      <c r="M306" s="197"/>
      <c r="N306" s="197"/>
      <c r="O306" s="197"/>
      <c r="P306" s="525" t="str">
        <f>'5-1 Сбор КП Закупки'!P306</f>
        <v/>
      </c>
      <c r="Q306" s="197"/>
      <c r="R306" s="197"/>
      <c r="S306" s="197"/>
      <c r="T306" s="197"/>
      <c r="U306" s="197"/>
      <c r="V306" s="197"/>
      <c r="W306" s="522" t="str">
        <f>'5-1 Сбор КП Закупки'!O306</f>
        <v/>
      </c>
      <c r="X306" s="197"/>
      <c r="Y306" s="197"/>
      <c r="Z306" s="197"/>
      <c r="AA306" s="197"/>
      <c r="AB306" s="197">
        <v>0.0</v>
      </c>
      <c r="AC306" s="197"/>
      <c r="AD306" s="197"/>
      <c r="AE3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5-3'!$D$11:$Q319,AE$4,AE$5)"),"")</f>
        <v/>
      </c>
      <c r="AF306" s="528"/>
      <c r="AG3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5-3'!$D$11:$Q319,AG$4,AG$5)"),"")</f>
        <v/>
      </c>
      <c r="AH306" s="527"/>
      <c r="AI3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5-3'!$D$11:$Q319,AI$4,AI$5)"),"")</f>
        <v/>
      </c>
      <c r="AJ306" s="527"/>
      <c r="AK3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5-3'!$D$11:$Q319,AK$4,AK$5)"),"")</f>
        <v/>
      </c>
      <c r="AL306" s="527"/>
      <c r="AM3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5-3'!$D$11:$Q319,AM$4,AM$5)"),"")</f>
        <v/>
      </c>
      <c r="AN306" s="529"/>
      <c r="AO306"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5-3'!$D$11:$Q319,AO$4,AO$5)"),"")</f>
        <v/>
      </c>
      <c r="AP306" s="527"/>
      <c r="AQ306" s="527"/>
      <c r="AR306" s="527"/>
      <c r="AS306" s="527"/>
      <c r="AT3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5-3'!$D$11:$Q319,AT$4,AT$5)"),"")</f>
        <v/>
      </c>
      <c r="AU306" s="531"/>
      <c r="AV3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5-3'!$D$11:$Q319,AV$4,AV$5)"),"")</f>
        <v/>
      </c>
      <c r="AW306" s="530"/>
      <c r="AX3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5-3'!$D$11:$Q319,AX$4,AX$5)"),"")</f>
        <v/>
      </c>
      <c r="AY306" s="530"/>
      <c r="AZ3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5-3'!$D$11:$Q319,AZ$4,AZ$5)"),"")</f>
        <v/>
      </c>
      <c r="BA306" s="530"/>
      <c r="BB3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5-3'!$D$11:$Q319,BB$4,BB$5)"),"")</f>
        <v/>
      </c>
      <c r="BC306" s="532"/>
      <c r="BD306"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5-3'!$D$11:$Q319,BD$4,BD$5)"),"")</f>
        <v/>
      </c>
      <c r="BE306" s="530"/>
      <c r="BF306" s="530"/>
      <c r="BG306" s="530"/>
      <c r="BH306" s="530"/>
      <c r="BI3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5-3'!$D$11:$Q319,BI$4,BI$5)"),"")</f>
        <v/>
      </c>
      <c r="BJ306" s="535"/>
      <c r="BK3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5-3'!$D$11:$Q319,BK$4,BK$5)"),"")</f>
        <v/>
      </c>
      <c r="BL306" s="534"/>
      <c r="BM3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5-3'!$D$11:$Q319,BM$4,BM$5)"),"")</f>
        <v/>
      </c>
      <c r="BN306" s="534"/>
      <c r="BO3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5-3'!$D$11:$Q319,BO$4,BO$5)"),"")</f>
        <v/>
      </c>
      <c r="BP306" s="534"/>
      <c r="BQ3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5-3'!$D$11:$Q319,BQ$4,BQ$5)"),"")</f>
        <v/>
      </c>
      <c r="BR306" s="536"/>
      <c r="BS306"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5-3'!$D$11:$Q319,BS$4,BS$5)"),"")</f>
        <v/>
      </c>
      <c r="BT306" s="534"/>
      <c r="BU306" s="534"/>
      <c r="BV306" s="534"/>
      <c r="BW306" s="534"/>
      <c r="BX3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5-3'!$D$11:$Q319,BX$4,BX$5)"),"")</f>
        <v/>
      </c>
      <c r="BY306" s="538"/>
      <c r="BZ3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5-3'!$D$11:$Q319,BZ$4,BZ$5)"),"")</f>
        <v/>
      </c>
      <c r="CA306" s="537"/>
      <c r="CB3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5-3'!$D$11:$Q319,CB$4,CB$5)"),"")</f>
        <v/>
      </c>
      <c r="CC306" s="537"/>
      <c r="CD3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5-3'!$D$11:$Q319,CD$4,CD$5)"),"")</f>
        <v/>
      </c>
      <c r="CE306" s="537"/>
      <c r="CF3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5-3'!$D$11:$Q319,CF$4,CF$5)"),"")</f>
        <v/>
      </c>
      <c r="CG306" s="539"/>
      <c r="CH306"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5-3'!$D$11:$Q319,CH$4,CH$5)"),"")</f>
        <v/>
      </c>
      <c r="CI306" s="537"/>
      <c r="CJ306" s="537"/>
      <c r="CK306" s="537"/>
      <c r="CL306" s="537"/>
      <c r="CM3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5-3'!$D$11:$Q319,CM$4,CM$5)"),"")</f>
        <v/>
      </c>
      <c r="CN306" s="541"/>
      <c r="CO3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5-3'!$D$11:$Q319,CO$4,CO$5)"),"")</f>
        <v/>
      </c>
      <c r="CP306" s="540"/>
      <c r="CQ3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5-3'!$D$11:$Q319,CQ$4,CQ$5)"),"")</f>
        <v/>
      </c>
      <c r="CR306" s="540"/>
      <c r="CS3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5-3'!$D$11:$Q319,CS$4,CS$5)"),"")</f>
        <v/>
      </c>
      <c r="CT306" s="540"/>
      <c r="CU3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5-3'!$D$11:$Q319,CU$4,CU$5)"),"")</f>
        <v/>
      </c>
      <c r="CV306" s="545"/>
      <c r="CW306"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5-3'!$D$11:$Q319,CW$4,CW$5)"),"")</f>
        <v/>
      </c>
      <c r="CX306" s="540"/>
      <c r="CY306" s="540"/>
      <c r="CZ306" s="540"/>
      <c r="DA306" s="540"/>
      <c r="DB3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5-3'!$D$11:$Q319,DB$4,DB$5)"),"")</f>
        <v/>
      </c>
      <c r="DC306" s="555"/>
      <c r="DD3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5-3'!$D$11:$Q319,DD$4,DD$5)"),"")</f>
        <v/>
      </c>
      <c r="DE306" s="554"/>
      <c r="DF3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5-3'!$D$11:$Q319,DF$4,DF$5)"),"")</f>
        <v/>
      </c>
      <c r="DG306" s="554"/>
      <c r="DH3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5-3'!$D$11:$Q319,DH$4,DH$5)"),"")</f>
        <v/>
      </c>
      <c r="DI306" s="554"/>
      <c r="DJ3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5-3'!$D$11:$Q319,DJ$4,DJ$5)"),"")</f>
        <v/>
      </c>
      <c r="DK306" s="566"/>
      <c r="DL306"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5-3'!$D$11:$Q319,DL$4,DL$5)"),"")</f>
        <v/>
      </c>
      <c r="DM306" s="554"/>
      <c r="DN306" s="554"/>
      <c r="DO306" s="554"/>
      <c r="DP306" s="554"/>
      <c r="DQ3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5-3'!$D$11:$Q319,DQ$4,DQ$5)"),"")</f>
        <v/>
      </c>
      <c r="DR306" s="569"/>
      <c r="DS3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5-3'!$D$11:$Q319,DS$4,DS$5)"),"")</f>
        <v/>
      </c>
      <c r="DT306" s="568"/>
      <c r="DU3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5-3'!$D$11:$Q319,DU$4,DU$5)"),"")</f>
        <v/>
      </c>
      <c r="DV306" s="568"/>
      <c r="DW3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5-3'!$D$11:$Q319,DW$4,DW$5)"),"")</f>
        <v/>
      </c>
      <c r="DX306" s="568"/>
      <c r="DY3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5-3'!$D$11:$Q319,DY$4,DY$5)"),"")</f>
        <v/>
      </c>
      <c r="DZ306" s="578"/>
      <c r="EA306"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$C306, 'S-10 Топ 5-3'!$D$11:$Q319,EA$4,EA$5)"),"")</f>
        <v/>
      </c>
      <c r="EB306" s="568"/>
      <c r="EC306" s="568"/>
      <c r="ED306" s="568"/>
      <c r="EE306" s="568"/>
    </row>
    <row r="307">
      <c r="A307" s="519" t="str">
        <f t="shared" si="1"/>
        <v/>
      </c>
      <c r="B307" s="520" t="str">
        <f>'5-0 Товары'!B307</f>
        <v/>
      </c>
      <c r="C307" s="521" t="str">
        <f>'5-1 Сбор КП Закупки'!C307</f>
        <v/>
      </c>
      <c r="D307" s="521" t="str">
        <f>'5-1 Сбор КП Закупки'!D307</f>
        <v/>
      </c>
      <c r="E307" s="521" t="str">
        <f>'5-1 Сбор КП Закупки'!E307</f>
        <v/>
      </c>
      <c r="F307" s="521" t="str">
        <f>'5-1 Сбор КП Закупки'!F307</f>
        <v/>
      </c>
      <c r="G307" s="522" t="str">
        <f>'5-1 Сбор КП Закупки'!G307</f>
        <v/>
      </c>
      <c r="H307" s="522" t="str">
        <f>'5-1 Сбор КП Закупки'!H307</f>
        <v/>
      </c>
      <c r="I307" s="522" t="str">
        <f>'5-1 Сбор КП Закупки'!I307</f>
        <v/>
      </c>
      <c r="J307" s="197"/>
      <c r="K307" s="522" t="str">
        <f>'5-1 Сбор КП Закупки'!G307</f>
        <v/>
      </c>
      <c r="L307" s="523" t="str">
        <f>IF(A307="Да",'5-1 Сбор КП Закупки'!K307,)</f>
        <v/>
      </c>
      <c r="M307" s="197"/>
      <c r="N307" s="197"/>
      <c r="O307" s="197"/>
      <c r="P307" s="525" t="str">
        <f>'5-1 Сбор КП Закупки'!P307</f>
        <v/>
      </c>
      <c r="Q307" s="197"/>
      <c r="R307" s="197"/>
      <c r="S307" s="197"/>
      <c r="T307" s="197"/>
      <c r="U307" s="197"/>
      <c r="V307" s="197"/>
      <c r="W307" s="522" t="str">
        <f>'5-1 Сбор КП Закупки'!O307</f>
        <v/>
      </c>
      <c r="X307" s="197"/>
      <c r="Y307" s="197"/>
      <c r="Z307" s="197"/>
      <c r="AA307" s="197"/>
      <c r="AB307" s="197">
        <v>0.0</v>
      </c>
      <c r="AC307" s="197"/>
      <c r="AD307" s="197"/>
      <c r="AE3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5-3'!$D$11:$Q319,AE$4,AE$5)"),"")</f>
        <v/>
      </c>
      <c r="AF307" s="528"/>
      <c r="AG3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5-3'!$D$11:$Q319,AG$4,AG$5)"),"")</f>
        <v/>
      </c>
      <c r="AH307" s="527"/>
      <c r="AI3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5-3'!$D$11:$Q319,AI$4,AI$5)"),"")</f>
        <v/>
      </c>
      <c r="AJ307" s="527"/>
      <c r="AK3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5-3'!$D$11:$Q319,AK$4,AK$5)"),"")</f>
        <v/>
      </c>
      <c r="AL307" s="527"/>
      <c r="AM3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5-3'!$D$11:$Q319,AM$4,AM$5)"),"")</f>
        <v/>
      </c>
      <c r="AN307" s="529"/>
      <c r="AO307"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5-3'!$D$11:$Q319,AO$4,AO$5)"),"")</f>
        <v/>
      </c>
      <c r="AP307" s="527"/>
      <c r="AQ307" s="527"/>
      <c r="AR307" s="527"/>
      <c r="AS307" s="527"/>
      <c r="AT3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5-3'!$D$11:$Q319,AT$4,AT$5)"),"")</f>
        <v/>
      </c>
      <c r="AU307" s="531"/>
      <c r="AV3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5-3'!$D$11:$Q319,AV$4,AV$5)"),"")</f>
        <v/>
      </c>
      <c r="AW307" s="530"/>
      <c r="AX3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5-3'!$D$11:$Q319,AX$4,AX$5)"),"")</f>
        <v/>
      </c>
      <c r="AY307" s="530"/>
      <c r="AZ3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5-3'!$D$11:$Q319,AZ$4,AZ$5)"),"")</f>
        <v/>
      </c>
      <c r="BA307" s="530"/>
      <c r="BB3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5-3'!$D$11:$Q319,BB$4,BB$5)"),"")</f>
        <v/>
      </c>
      <c r="BC307" s="532"/>
      <c r="BD307"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5-3'!$D$11:$Q319,BD$4,BD$5)"),"")</f>
        <v/>
      </c>
      <c r="BE307" s="530"/>
      <c r="BF307" s="530"/>
      <c r="BG307" s="530"/>
      <c r="BH307" s="530"/>
      <c r="BI3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5-3'!$D$11:$Q319,BI$4,BI$5)"),"")</f>
        <v/>
      </c>
      <c r="BJ307" s="535"/>
      <c r="BK3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5-3'!$D$11:$Q319,BK$4,BK$5)"),"")</f>
        <v/>
      </c>
      <c r="BL307" s="534"/>
      <c r="BM3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5-3'!$D$11:$Q319,BM$4,BM$5)"),"")</f>
        <v/>
      </c>
      <c r="BN307" s="534"/>
      <c r="BO3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5-3'!$D$11:$Q319,BO$4,BO$5)"),"")</f>
        <v/>
      </c>
      <c r="BP307" s="534"/>
      <c r="BQ3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5-3'!$D$11:$Q319,BQ$4,BQ$5)"),"")</f>
        <v/>
      </c>
      <c r="BR307" s="536"/>
      <c r="BS307"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5-3'!$D$11:$Q319,BS$4,BS$5)"),"")</f>
        <v/>
      </c>
      <c r="BT307" s="534"/>
      <c r="BU307" s="534"/>
      <c r="BV307" s="534"/>
      <c r="BW307" s="534"/>
      <c r="BX3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5-3'!$D$11:$Q319,BX$4,BX$5)"),"")</f>
        <v/>
      </c>
      <c r="BY307" s="538"/>
      <c r="BZ3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5-3'!$D$11:$Q319,BZ$4,BZ$5)"),"")</f>
        <v/>
      </c>
      <c r="CA307" s="537"/>
      <c r="CB3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5-3'!$D$11:$Q319,CB$4,CB$5)"),"")</f>
        <v/>
      </c>
      <c r="CC307" s="537"/>
      <c r="CD3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5-3'!$D$11:$Q319,CD$4,CD$5)"),"")</f>
        <v/>
      </c>
      <c r="CE307" s="537"/>
      <c r="CF3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5-3'!$D$11:$Q319,CF$4,CF$5)"),"")</f>
        <v/>
      </c>
      <c r="CG307" s="539"/>
      <c r="CH307"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5-3'!$D$11:$Q319,CH$4,CH$5)"),"")</f>
        <v/>
      </c>
      <c r="CI307" s="537"/>
      <c r="CJ307" s="537"/>
      <c r="CK307" s="537"/>
      <c r="CL307" s="537"/>
      <c r="CM3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5-3'!$D$11:$Q319,CM$4,CM$5)"),"")</f>
        <v/>
      </c>
      <c r="CN307" s="541"/>
      <c r="CO3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5-3'!$D$11:$Q319,CO$4,CO$5)"),"")</f>
        <v/>
      </c>
      <c r="CP307" s="540"/>
      <c r="CQ3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5-3'!$D$11:$Q319,CQ$4,CQ$5)"),"")</f>
        <v/>
      </c>
      <c r="CR307" s="540"/>
      <c r="CS3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5-3'!$D$11:$Q319,CS$4,CS$5)"),"")</f>
        <v/>
      </c>
      <c r="CT307" s="540"/>
      <c r="CU3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5-3'!$D$11:$Q319,CU$4,CU$5)"),"")</f>
        <v/>
      </c>
      <c r="CV307" s="545"/>
      <c r="CW307"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5-3'!$D$11:$Q319,CW$4,CW$5)"),"")</f>
        <v/>
      </c>
      <c r="CX307" s="540"/>
      <c r="CY307" s="540"/>
      <c r="CZ307" s="540"/>
      <c r="DA307" s="540"/>
      <c r="DB3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5-3'!$D$11:$Q319,DB$4,DB$5)"),"")</f>
        <v/>
      </c>
      <c r="DC307" s="555"/>
      <c r="DD3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5-3'!$D$11:$Q319,DD$4,DD$5)"),"")</f>
        <v/>
      </c>
      <c r="DE307" s="554"/>
      <c r="DF3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5-3'!$D$11:$Q319,DF$4,DF$5)"),"")</f>
        <v/>
      </c>
      <c r="DG307" s="554"/>
      <c r="DH3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5-3'!$D$11:$Q319,DH$4,DH$5)"),"")</f>
        <v/>
      </c>
      <c r="DI307" s="554"/>
      <c r="DJ3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5-3'!$D$11:$Q319,DJ$4,DJ$5)"),"")</f>
        <v/>
      </c>
      <c r="DK307" s="566"/>
      <c r="DL307"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5-3'!$D$11:$Q319,DL$4,DL$5)"),"")</f>
        <v/>
      </c>
      <c r="DM307" s="554"/>
      <c r="DN307" s="554"/>
      <c r="DO307" s="554"/>
      <c r="DP307" s="554"/>
      <c r="DQ3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5-3'!$D$11:$Q319,DQ$4,DQ$5)"),"")</f>
        <v/>
      </c>
      <c r="DR307" s="569"/>
      <c r="DS3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5-3'!$D$11:$Q319,DS$4,DS$5)"),"")</f>
        <v/>
      </c>
      <c r="DT307" s="568"/>
      <c r="DU3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5-3'!$D$11:$Q319,DU$4,DU$5)"),"")</f>
        <v/>
      </c>
      <c r="DV307" s="568"/>
      <c r="DW3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5-3'!$D$11:$Q319,DW$4,DW$5)"),"")</f>
        <v/>
      </c>
      <c r="DX307" s="568"/>
      <c r="DY3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5-3'!$D$11:$Q319,DY$4,DY$5)"),"")</f>
        <v/>
      </c>
      <c r="DZ307" s="578"/>
      <c r="EA307"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$C307, 'S-10 Топ 5-3'!$D$11:$Q319,EA$4,EA$5)"),"")</f>
        <v/>
      </c>
      <c r="EB307" s="568"/>
      <c r="EC307" s="568"/>
      <c r="ED307" s="568"/>
      <c r="EE307" s="568"/>
    </row>
    <row r="308">
      <c r="A308" s="519" t="str">
        <f t="shared" si="1"/>
        <v/>
      </c>
      <c r="B308" s="520" t="str">
        <f>'5-0 Товары'!B308</f>
        <v/>
      </c>
      <c r="C308" s="521" t="str">
        <f>'5-1 Сбор КП Закупки'!C308</f>
        <v/>
      </c>
      <c r="D308" s="521" t="str">
        <f>'5-1 Сбор КП Закупки'!D308</f>
        <v/>
      </c>
      <c r="E308" s="521" t="str">
        <f>'5-1 Сбор КП Закупки'!E308</f>
        <v/>
      </c>
      <c r="F308" s="521" t="str">
        <f>'5-1 Сбор КП Закупки'!F308</f>
        <v/>
      </c>
      <c r="G308" s="522" t="str">
        <f>'5-1 Сбор КП Закупки'!G308</f>
        <v/>
      </c>
      <c r="H308" s="522" t="str">
        <f>'5-1 Сбор КП Закупки'!H308</f>
        <v/>
      </c>
      <c r="I308" s="522" t="str">
        <f>'5-1 Сбор КП Закупки'!I308</f>
        <v/>
      </c>
      <c r="J308" s="197"/>
      <c r="K308" s="522" t="str">
        <f>'5-1 Сбор КП Закупки'!G308</f>
        <v/>
      </c>
      <c r="L308" s="523" t="str">
        <f>IF(A308="Да",'5-1 Сбор КП Закупки'!K308,)</f>
        <v/>
      </c>
      <c r="M308" s="197"/>
      <c r="N308" s="197"/>
      <c r="O308" s="197"/>
      <c r="P308" s="525" t="str">
        <f>'5-1 Сбор КП Закупки'!P308</f>
        <v/>
      </c>
      <c r="Q308" s="197"/>
      <c r="R308" s="197"/>
      <c r="S308" s="197"/>
      <c r="T308" s="197"/>
      <c r="U308" s="197"/>
      <c r="V308" s="197"/>
      <c r="W308" s="522" t="str">
        <f>'5-1 Сбор КП Закупки'!O308</f>
        <v/>
      </c>
      <c r="X308" s="197"/>
      <c r="Y308" s="197"/>
      <c r="Z308" s="197"/>
      <c r="AA308" s="197"/>
      <c r="AB308" s="197">
        <v>0.0</v>
      </c>
      <c r="AC308" s="197"/>
      <c r="AD308" s="197"/>
      <c r="AE3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5-3'!$D$11:$Q319,AE$4,AE$5)"),"")</f>
        <v/>
      </c>
      <c r="AF308" s="528"/>
      <c r="AG3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5-3'!$D$11:$Q319,AG$4,AG$5)"),"")</f>
        <v/>
      </c>
      <c r="AH308" s="527"/>
      <c r="AI3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5-3'!$D$11:$Q319,AI$4,AI$5)"),"")</f>
        <v/>
      </c>
      <c r="AJ308" s="527"/>
      <c r="AK3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5-3'!$D$11:$Q319,AK$4,AK$5)"),"")</f>
        <v/>
      </c>
      <c r="AL308" s="527"/>
      <c r="AM3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5-3'!$D$11:$Q319,AM$4,AM$5)"),"")</f>
        <v/>
      </c>
      <c r="AN308" s="529"/>
      <c r="AO308"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5-3'!$D$11:$Q319,AO$4,AO$5)"),"")</f>
        <v/>
      </c>
      <c r="AP308" s="527"/>
      <c r="AQ308" s="527"/>
      <c r="AR308" s="527"/>
      <c r="AS308" s="527"/>
      <c r="AT3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5-3'!$D$11:$Q319,AT$4,AT$5)"),"")</f>
        <v/>
      </c>
      <c r="AU308" s="531"/>
      <c r="AV3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5-3'!$D$11:$Q319,AV$4,AV$5)"),"")</f>
        <v/>
      </c>
      <c r="AW308" s="530"/>
      <c r="AX3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5-3'!$D$11:$Q319,AX$4,AX$5)"),"")</f>
        <v/>
      </c>
      <c r="AY308" s="530"/>
      <c r="AZ3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5-3'!$D$11:$Q319,AZ$4,AZ$5)"),"")</f>
        <v/>
      </c>
      <c r="BA308" s="530"/>
      <c r="BB3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5-3'!$D$11:$Q319,BB$4,BB$5)"),"")</f>
        <v/>
      </c>
      <c r="BC308" s="532"/>
      <c r="BD308"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5-3'!$D$11:$Q319,BD$4,BD$5)"),"")</f>
        <v/>
      </c>
      <c r="BE308" s="530"/>
      <c r="BF308" s="530"/>
      <c r="BG308" s="530"/>
      <c r="BH308" s="530"/>
      <c r="BI3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5-3'!$D$11:$Q319,BI$4,BI$5)"),"")</f>
        <v/>
      </c>
      <c r="BJ308" s="535"/>
      <c r="BK3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5-3'!$D$11:$Q319,BK$4,BK$5)"),"")</f>
        <v/>
      </c>
      <c r="BL308" s="534"/>
      <c r="BM3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5-3'!$D$11:$Q319,BM$4,BM$5)"),"")</f>
        <v/>
      </c>
      <c r="BN308" s="534"/>
      <c r="BO3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5-3'!$D$11:$Q319,BO$4,BO$5)"),"")</f>
        <v/>
      </c>
      <c r="BP308" s="534"/>
      <c r="BQ3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5-3'!$D$11:$Q319,BQ$4,BQ$5)"),"")</f>
        <v/>
      </c>
      <c r="BR308" s="536"/>
      <c r="BS308"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5-3'!$D$11:$Q319,BS$4,BS$5)"),"")</f>
        <v/>
      </c>
      <c r="BT308" s="534"/>
      <c r="BU308" s="534"/>
      <c r="BV308" s="534"/>
      <c r="BW308" s="534"/>
      <c r="BX3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5-3'!$D$11:$Q319,BX$4,BX$5)"),"")</f>
        <v/>
      </c>
      <c r="BY308" s="538"/>
      <c r="BZ3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5-3'!$D$11:$Q319,BZ$4,BZ$5)"),"")</f>
        <v/>
      </c>
      <c r="CA308" s="537"/>
      <c r="CB3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5-3'!$D$11:$Q319,CB$4,CB$5)"),"")</f>
        <v/>
      </c>
      <c r="CC308" s="537"/>
      <c r="CD3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5-3'!$D$11:$Q319,CD$4,CD$5)"),"")</f>
        <v/>
      </c>
      <c r="CE308" s="537"/>
      <c r="CF3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5-3'!$D$11:$Q319,CF$4,CF$5)"),"")</f>
        <v/>
      </c>
      <c r="CG308" s="539"/>
      <c r="CH308"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5-3'!$D$11:$Q319,CH$4,CH$5)"),"")</f>
        <v/>
      </c>
      <c r="CI308" s="537"/>
      <c r="CJ308" s="537"/>
      <c r="CK308" s="537"/>
      <c r="CL308" s="537"/>
      <c r="CM3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5-3'!$D$11:$Q319,CM$4,CM$5)"),"")</f>
        <v/>
      </c>
      <c r="CN308" s="541"/>
      <c r="CO3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5-3'!$D$11:$Q319,CO$4,CO$5)"),"")</f>
        <v/>
      </c>
      <c r="CP308" s="540"/>
      <c r="CQ3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5-3'!$D$11:$Q319,CQ$4,CQ$5)"),"")</f>
        <v/>
      </c>
      <c r="CR308" s="540"/>
      <c r="CS3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5-3'!$D$11:$Q319,CS$4,CS$5)"),"")</f>
        <v/>
      </c>
      <c r="CT308" s="540"/>
      <c r="CU3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5-3'!$D$11:$Q319,CU$4,CU$5)"),"")</f>
        <v/>
      </c>
      <c r="CV308" s="545"/>
      <c r="CW308"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5-3'!$D$11:$Q319,CW$4,CW$5)"),"")</f>
        <v/>
      </c>
      <c r="CX308" s="540"/>
      <c r="CY308" s="540"/>
      <c r="CZ308" s="540"/>
      <c r="DA308" s="540"/>
      <c r="DB3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5-3'!$D$11:$Q319,DB$4,DB$5)"),"")</f>
        <v/>
      </c>
      <c r="DC308" s="555"/>
      <c r="DD3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5-3'!$D$11:$Q319,DD$4,DD$5)"),"")</f>
        <v/>
      </c>
      <c r="DE308" s="554"/>
      <c r="DF3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5-3'!$D$11:$Q319,DF$4,DF$5)"),"")</f>
        <v/>
      </c>
      <c r="DG308" s="554"/>
      <c r="DH3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5-3'!$D$11:$Q319,DH$4,DH$5)"),"")</f>
        <v/>
      </c>
      <c r="DI308" s="554"/>
      <c r="DJ3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5-3'!$D$11:$Q319,DJ$4,DJ$5)"),"")</f>
        <v/>
      </c>
      <c r="DK308" s="566"/>
      <c r="DL308"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5-3'!$D$11:$Q319,DL$4,DL$5)"),"")</f>
        <v/>
      </c>
      <c r="DM308" s="554"/>
      <c r="DN308" s="554"/>
      <c r="DO308" s="554"/>
      <c r="DP308" s="554"/>
      <c r="DQ3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5-3'!$D$11:$Q319,DQ$4,DQ$5)"),"")</f>
        <v/>
      </c>
      <c r="DR308" s="569"/>
      <c r="DS3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5-3'!$D$11:$Q319,DS$4,DS$5)"),"")</f>
        <v/>
      </c>
      <c r="DT308" s="568"/>
      <c r="DU3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5-3'!$D$11:$Q319,DU$4,DU$5)"),"")</f>
        <v/>
      </c>
      <c r="DV308" s="568"/>
      <c r="DW3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5-3'!$D$11:$Q319,DW$4,DW$5)"),"")</f>
        <v/>
      </c>
      <c r="DX308" s="568"/>
      <c r="DY3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5-3'!$D$11:$Q319,DY$4,DY$5)"),"")</f>
        <v/>
      </c>
      <c r="DZ308" s="578"/>
      <c r="EA308"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$C308, 'S-10 Топ 5-3'!$D$11:$Q319,EA$4,EA$5)"),"")</f>
        <v/>
      </c>
      <c r="EB308" s="568"/>
      <c r="EC308" s="568"/>
      <c r="ED308" s="568"/>
      <c r="EE308" s="568"/>
    </row>
    <row r="309">
      <c r="A309" s="519" t="str">
        <f t="shared" si="1"/>
        <v/>
      </c>
      <c r="B309" s="520" t="str">
        <f>'5-0 Товары'!B309</f>
        <v/>
      </c>
      <c r="C309" s="521" t="str">
        <f>'5-1 Сбор КП Закупки'!C309</f>
        <v/>
      </c>
      <c r="D309" s="521" t="str">
        <f>'5-1 Сбор КП Закупки'!D309</f>
        <v/>
      </c>
      <c r="E309" s="521" t="str">
        <f>'5-1 Сбор КП Закупки'!E309</f>
        <v/>
      </c>
      <c r="F309" s="521" t="str">
        <f>'5-1 Сбор КП Закупки'!F309</f>
        <v/>
      </c>
      <c r="G309" s="522" t="str">
        <f>'5-1 Сбор КП Закупки'!G309</f>
        <v/>
      </c>
      <c r="H309" s="522" t="str">
        <f>'5-1 Сбор КП Закупки'!H309</f>
        <v/>
      </c>
      <c r="I309" s="522" t="str">
        <f>'5-1 Сбор КП Закупки'!I309</f>
        <v/>
      </c>
      <c r="J309" s="197"/>
      <c r="K309" s="522" t="str">
        <f>'5-1 Сбор КП Закупки'!G309</f>
        <v/>
      </c>
      <c r="L309" s="523" t="str">
        <f>IF(A309="Да",'5-1 Сбор КП Закупки'!K309,)</f>
        <v/>
      </c>
      <c r="M309" s="197"/>
      <c r="N309" s="197"/>
      <c r="O309" s="197"/>
      <c r="P309" s="525" t="str">
        <f>'5-1 Сбор КП Закупки'!P309</f>
        <v/>
      </c>
      <c r="Q309" s="197"/>
      <c r="R309" s="197"/>
      <c r="S309" s="197"/>
      <c r="T309" s="197"/>
      <c r="U309" s="197"/>
      <c r="V309" s="197"/>
      <c r="W309" s="522" t="str">
        <f>'5-1 Сбор КП Закупки'!O309</f>
        <v/>
      </c>
      <c r="X309" s="197"/>
      <c r="Y309" s="197"/>
      <c r="Z309" s="197"/>
      <c r="AA309" s="197"/>
      <c r="AB309" s="197">
        <v>0.0</v>
      </c>
      <c r="AC309" s="197"/>
      <c r="AD309" s="197"/>
      <c r="AE3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5-3'!$D$11:$Q319,AE$4,AE$5)"),"")</f>
        <v/>
      </c>
      <c r="AF309" s="528"/>
      <c r="AG3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5-3'!$D$11:$Q319,AG$4,AG$5)"),"")</f>
        <v/>
      </c>
      <c r="AH309" s="527"/>
      <c r="AI3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5-3'!$D$11:$Q319,AI$4,AI$5)"),"")</f>
        <v/>
      </c>
      <c r="AJ309" s="527"/>
      <c r="AK3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5-3'!$D$11:$Q319,AK$4,AK$5)"),"")</f>
        <v/>
      </c>
      <c r="AL309" s="527"/>
      <c r="AM3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5-3'!$D$11:$Q319,AM$4,AM$5)"),"")</f>
        <v/>
      </c>
      <c r="AN309" s="529"/>
      <c r="AO309"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5-3'!$D$11:$Q319,AO$4,AO$5)"),"")</f>
        <v/>
      </c>
      <c r="AP309" s="527"/>
      <c r="AQ309" s="527"/>
      <c r="AR309" s="527"/>
      <c r="AS309" s="527"/>
      <c r="AT3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5-3'!$D$11:$Q319,AT$4,AT$5)"),"")</f>
        <v/>
      </c>
      <c r="AU309" s="531"/>
      <c r="AV3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5-3'!$D$11:$Q319,AV$4,AV$5)"),"")</f>
        <v/>
      </c>
      <c r="AW309" s="530"/>
      <c r="AX3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5-3'!$D$11:$Q319,AX$4,AX$5)"),"")</f>
        <v/>
      </c>
      <c r="AY309" s="530"/>
      <c r="AZ3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5-3'!$D$11:$Q319,AZ$4,AZ$5)"),"")</f>
        <v/>
      </c>
      <c r="BA309" s="530"/>
      <c r="BB3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5-3'!$D$11:$Q319,BB$4,BB$5)"),"")</f>
        <v/>
      </c>
      <c r="BC309" s="532"/>
      <c r="BD309"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5-3'!$D$11:$Q319,BD$4,BD$5)"),"")</f>
        <v/>
      </c>
      <c r="BE309" s="530"/>
      <c r="BF309" s="530"/>
      <c r="BG309" s="530"/>
      <c r="BH309" s="530"/>
      <c r="BI3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5-3'!$D$11:$Q319,BI$4,BI$5)"),"")</f>
        <v/>
      </c>
      <c r="BJ309" s="535"/>
      <c r="BK3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5-3'!$D$11:$Q319,BK$4,BK$5)"),"")</f>
        <v/>
      </c>
      <c r="BL309" s="534"/>
      <c r="BM3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5-3'!$D$11:$Q319,BM$4,BM$5)"),"")</f>
        <v/>
      </c>
      <c r="BN309" s="534"/>
      <c r="BO3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5-3'!$D$11:$Q319,BO$4,BO$5)"),"")</f>
        <v/>
      </c>
      <c r="BP309" s="534"/>
      <c r="BQ3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5-3'!$D$11:$Q319,BQ$4,BQ$5)"),"")</f>
        <v/>
      </c>
      <c r="BR309" s="536"/>
      <c r="BS309"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5-3'!$D$11:$Q319,BS$4,BS$5)"),"")</f>
        <v/>
      </c>
      <c r="BT309" s="534"/>
      <c r="BU309" s="534"/>
      <c r="BV309" s="534"/>
      <c r="BW309" s="534"/>
      <c r="BX3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5-3'!$D$11:$Q319,BX$4,BX$5)"),"")</f>
        <v/>
      </c>
      <c r="BY309" s="538"/>
      <c r="BZ3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5-3'!$D$11:$Q319,BZ$4,BZ$5)"),"")</f>
        <v/>
      </c>
      <c r="CA309" s="537"/>
      <c r="CB3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5-3'!$D$11:$Q319,CB$4,CB$5)"),"")</f>
        <v/>
      </c>
      <c r="CC309" s="537"/>
      <c r="CD3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5-3'!$D$11:$Q319,CD$4,CD$5)"),"")</f>
        <v/>
      </c>
      <c r="CE309" s="537"/>
      <c r="CF3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5-3'!$D$11:$Q319,CF$4,CF$5)"),"")</f>
        <v/>
      </c>
      <c r="CG309" s="539"/>
      <c r="CH309"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5-3'!$D$11:$Q319,CH$4,CH$5)"),"")</f>
        <v/>
      </c>
      <c r="CI309" s="537"/>
      <c r="CJ309" s="537"/>
      <c r="CK309" s="537"/>
      <c r="CL309" s="537"/>
      <c r="CM3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5-3'!$D$11:$Q319,CM$4,CM$5)"),"")</f>
        <v/>
      </c>
      <c r="CN309" s="541"/>
      <c r="CO3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5-3'!$D$11:$Q319,CO$4,CO$5)"),"")</f>
        <v/>
      </c>
      <c r="CP309" s="540"/>
      <c r="CQ3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5-3'!$D$11:$Q319,CQ$4,CQ$5)"),"")</f>
        <v/>
      </c>
      <c r="CR309" s="540"/>
      <c r="CS3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5-3'!$D$11:$Q319,CS$4,CS$5)"),"")</f>
        <v/>
      </c>
      <c r="CT309" s="540"/>
      <c r="CU3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5-3'!$D$11:$Q319,CU$4,CU$5)"),"")</f>
        <v/>
      </c>
      <c r="CV309" s="545"/>
      <c r="CW309"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5-3'!$D$11:$Q319,CW$4,CW$5)"),"")</f>
        <v/>
      </c>
      <c r="CX309" s="540"/>
      <c r="CY309" s="540"/>
      <c r="CZ309" s="540"/>
      <c r="DA309" s="540"/>
      <c r="DB3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5-3'!$D$11:$Q319,DB$4,DB$5)"),"")</f>
        <v/>
      </c>
      <c r="DC309" s="555"/>
      <c r="DD3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5-3'!$D$11:$Q319,DD$4,DD$5)"),"")</f>
        <v/>
      </c>
      <c r="DE309" s="554"/>
      <c r="DF3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5-3'!$D$11:$Q319,DF$4,DF$5)"),"")</f>
        <v/>
      </c>
      <c r="DG309" s="554"/>
      <c r="DH3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5-3'!$D$11:$Q319,DH$4,DH$5)"),"")</f>
        <v/>
      </c>
      <c r="DI309" s="554"/>
      <c r="DJ3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5-3'!$D$11:$Q319,DJ$4,DJ$5)"),"")</f>
        <v/>
      </c>
      <c r="DK309" s="566"/>
      <c r="DL309"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5-3'!$D$11:$Q319,DL$4,DL$5)"),"")</f>
        <v/>
      </c>
      <c r="DM309" s="554"/>
      <c r="DN309" s="554"/>
      <c r="DO309" s="554"/>
      <c r="DP309" s="554"/>
      <c r="DQ3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5-3'!$D$11:$Q319,DQ$4,DQ$5)"),"")</f>
        <v/>
      </c>
      <c r="DR309" s="569"/>
      <c r="DS3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5-3'!$D$11:$Q319,DS$4,DS$5)"),"")</f>
        <v/>
      </c>
      <c r="DT309" s="568"/>
      <c r="DU3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5-3'!$D$11:$Q319,DU$4,DU$5)"),"")</f>
        <v/>
      </c>
      <c r="DV309" s="568"/>
      <c r="DW3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5-3'!$D$11:$Q319,DW$4,DW$5)"),"")</f>
        <v/>
      </c>
      <c r="DX309" s="568"/>
      <c r="DY3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5-3'!$D$11:$Q319,DY$4,DY$5)"),"")</f>
        <v/>
      </c>
      <c r="DZ309" s="578"/>
      <c r="EA309"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$C309, 'S-10 Топ 5-3'!$D$11:$Q319,EA$4,EA$5)"),"")</f>
        <v/>
      </c>
      <c r="EB309" s="568"/>
      <c r="EC309" s="568"/>
      <c r="ED309" s="568"/>
      <c r="EE309" s="568"/>
    </row>
    <row r="310">
      <c r="A310" s="519" t="str">
        <f t="shared" si="1"/>
        <v/>
      </c>
      <c r="B310" s="520" t="str">
        <f>'5-0 Товары'!B310</f>
        <v/>
      </c>
      <c r="C310" s="521" t="str">
        <f>'5-1 Сбор КП Закупки'!C310</f>
        <v/>
      </c>
      <c r="D310" s="521" t="str">
        <f>'5-1 Сбор КП Закупки'!D310</f>
        <v/>
      </c>
      <c r="E310" s="521" t="str">
        <f>'5-1 Сбор КП Закупки'!E310</f>
        <v/>
      </c>
      <c r="F310" s="521" t="str">
        <f>'5-1 Сбор КП Закупки'!F310</f>
        <v/>
      </c>
      <c r="G310" s="522" t="str">
        <f>'5-1 Сбор КП Закупки'!G310</f>
        <v/>
      </c>
      <c r="H310" s="522" t="str">
        <f>'5-1 Сбор КП Закупки'!H310</f>
        <v/>
      </c>
      <c r="I310" s="522" t="str">
        <f>'5-1 Сбор КП Закупки'!I310</f>
        <v/>
      </c>
      <c r="J310" s="197"/>
      <c r="K310" s="522" t="str">
        <f>'5-1 Сбор КП Закупки'!G310</f>
        <v/>
      </c>
      <c r="L310" s="523" t="str">
        <f>IF(A310="Да",'5-1 Сбор КП Закупки'!K310,)</f>
        <v/>
      </c>
      <c r="M310" s="197"/>
      <c r="N310" s="197"/>
      <c r="O310" s="197"/>
      <c r="P310" s="525" t="str">
        <f>'5-1 Сбор КП Закупки'!P310</f>
        <v/>
      </c>
      <c r="Q310" s="197"/>
      <c r="R310" s="197"/>
      <c r="S310" s="197"/>
      <c r="T310" s="197"/>
      <c r="U310" s="197"/>
      <c r="V310" s="197"/>
      <c r="W310" s="522" t="str">
        <f>'5-1 Сбор КП Закупки'!O310</f>
        <v/>
      </c>
      <c r="X310" s="197"/>
      <c r="Y310" s="197"/>
      <c r="Z310" s="197"/>
      <c r="AA310" s="197"/>
      <c r="AB310" s="197">
        <v>0.0</v>
      </c>
      <c r="AC310" s="197"/>
      <c r="AD310" s="197"/>
      <c r="AE3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5-3'!$D$11:$Q319,AE$4,AE$5)"),"")</f>
        <v/>
      </c>
      <c r="AF310" s="528"/>
      <c r="AG3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5-3'!$D$11:$Q319,AG$4,AG$5)"),"")</f>
        <v/>
      </c>
      <c r="AH310" s="527"/>
      <c r="AI3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5-3'!$D$11:$Q319,AI$4,AI$5)"),"")</f>
        <v/>
      </c>
      <c r="AJ310" s="527"/>
      <c r="AK3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5-3'!$D$11:$Q319,AK$4,AK$5)"),"")</f>
        <v/>
      </c>
      <c r="AL310" s="527"/>
      <c r="AM3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5-3'!$D$11:$Q319,AM$4,AM$5)"),"")</f>
        <v/>
      </c>
      <c r="AN310" s="529"/>
      <c r="AO310" s="52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5-3'!$D$11:$Q319,AO$4,AO$5)"),"")</f>
        <v/>
      </c>
      <c r="AP310" s="527"/>
      <c r="AQ310" s="527"/>
      <c r="AR310" s="527"/>
      <c r="AS310" s="527"/>
      <c r="AT3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5-3'!$D$11:$Q319,AT$4,AT$5)"),"")</f>
        <v/>
      </c>
      <c r="AU310" s="531"/>
      <c r="AV3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5-3'!$D$11:$Q319,AV$4,AV$5)"),"")</f>
        <v/>
      </c>
      <c r="AW310" s="530"/>
      <c r="AX3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5-3'!$D$11:$Q319,AX$4,AX$5)"),"")</f>
        <v/>
      </c>
      <c r="AY310" s="530"/>
      <c r="AZ3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5-3'!$D$11:$Q319,AZ$4,AZ$5)"),"")</f>
        <v/>
      </c>
      <c r="BA310" s="530"/>
      <c r="BB3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5-3'!$D$11:$Q319,BB$4,BB$5)"),"")</f>
        <v/>
      </c>
      <c r="BC310" s="532"/>
      <c r="BD310" s="53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5-3'!$D$11:$Q319,BD$4,BD$5)"),"")</f>
        <v/>
      </c>
      <c r="BE310" s="530"/>
      <c r="BF310" s="530"/>
      <c r="BG310" s="530"/>
      <c r="BH310" s="530"/>
      <c r="BI3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5-3'!$D$11:$Q319,BI$4,BI$5)"),"")</f>
        <v/>
      </c>
      <c r="BJ310" s="535"/>
      <c r="BK3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5-3'!$D$11:$Q319,BK$4,BK$5)"),"")</f>
        <v/>
      </c>
      <c r="BL310" s="534"/>
      <c r="BM3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5-3'!$D$11:$Q319,BM$4,BM$5)"),"")</f>
        <v/>
      </c>
      <c r="BN310" s="534"/>
      <c r="BO3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5-3'!$D$11:$Q319,BO$4,BO$5)"),"")</f>
        <v/>
      </c>
      <c r="BP310" s="534"/>
      <c r="BQ3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5-3'!$D$11:$Q319,BQ$4,BQ$5)"),"")</f>
        <v/>
      </c>
      <c r="BR310" s="536"/>
      <c r="BS310" s="53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5-3'!$D$11:$Q319,BS$4,BS$5)"),"")</f>
        <v/>
      </c>
      <c r="BT310" s="534"/>
      <c r="BU310" s="534"/>
      <c r="BV310" s="534"/>
      <c r="BW310" s="534"/>
      <c r="BX3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5-3'!$D$11:$Q319,BX$4,BX$5)"),"")</f>
        <v/>
      </c>
      <c r="BY310" s="538"/>
      <c r="BZ3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5-3'!$D$11:$Q319,BZ$4,BZ$5)"),"")</f>
        <v/>
      </c>
      <c r="CA310" s="537"/>
      <c r="CB3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5-3'!$D$11:$Q319,CB$4,CB$5)"),"")</f>
        <v/>
      </c>
      <c r="CC310" s="537"/>
      <c r="CD3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5-3'!$D$11:$Q319,CD$4,CD$5)"),"")</f>
        <v/>
      </c>
      <c r="CE310" s="537"/>
      <c r="CF3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5-3'!$D$11:$Q319,CF$4,CF$5)"),"")</f>
        <v/>
      </c>
      <c r="CG310" s="539"/>
      <c r="CH310" s="537"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5-3'!$D$11:$Q319,CH$4,CH$5)"),"")</f>
        <v/>
      </c>
      <c r="CI310" s="537"/>
      <c r="CJ310" s="537"/>
      <c r="CK310" s="537"/>
      <c r="CL310" s="537"/>
      <c r="CM3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5-3'!$D$11:$Q319,CM$4,CM$5)"),"")</f>
        <v/>
      </c>
      <c r="CN310" s="541"/>
      <c r="CO3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5-3'!$D$11:$Q319,CO$4,CO$5)"),"")</f>
        <v/>
      </c>
      <c r="CP310" s="540"/>
      <c r="CQ3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5-3'!$D$11:$Q319,CQ$4,CQ$5)"),"")</f>
        <v/>
      </c>
      <c r="CR310" s="540"/>
      <c r="CS3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5-3'!$D$11:$Q319,CS$4,CS$5)"),"")</f>
        <v/>
      </c>
      <c r="CT310" s="540"/>
      <c r="CU3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5-3'!$D$11:$Q319,CU$4,CU$5)"),"")</f>
        <v/>
      </c>
      <c r="CV310" s="545"/>
      <c r="CW310" s="540"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5-3'!$D$11:$Q319,CW$4,CW$5)"),"")</f>
        <v/>
      </c>
      <c r="CX310" s="540"/>
      <c r="CY310" s="540"/>
      <c r="CZ310" s="540"/>
      <c r="DA310" s="540"/>
      <c r="DB3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5-3'!$D$11:$Q319,DB$4,DB$5)"),"")</f>
        <v/>
      </c>
      <c r="DC310" s="555"/>
      <c r="DD3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5-3'!$D$11:$Q319,DD$4,DD$5)"),"")</f>
        <v/>
      </c>
      <c r="DE310" s="554"/>
      <c r="DF3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5-3'!$D$11:$Q319,DF$4,DF$5)"),"")</f>
        <v/>
      </c>
      <c r="DG310" s="554"/>
      <c r="DH3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5-3'!$D$11:$Q319,DH$4,DH$5)"),"")</f>
        <v/>
      </c>
      <c r="DI310" s="554"/>
      <c r="DJ3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5-3'!$D$11:$Q319,DJ$4,DJ$5)"),"")</f>
        <v/>
      </c>
      <c r="DK310" s="566"/>
      <c r="DL310" s="554"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5-3'!$D$11:$Q319,DL$4,DL$5)"),"")</f>
        <v/>
      </c>
      <c r="DM310" s="554"/>
      <c r="DN310" s="554"/>
      <c r="DO310" s="554"/>
      <c r="DP310" s="554"/>
      <c r="DQ3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5-3'!$D$11:$Q319,DQ$4,DQ$5)"),"")</f>
        <v/>
      </c>
      <c r="DR310" s="569"/>
      <c r="DS3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5-3'!$D$11:$Q319,DS$4,DS$5)"),"")</f>
        <v/>
      </c>
      <c r="DT310" s="568"/>
      <c r="DU3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5-3'!$D$11:$Q319,DU$4,DU$5)"),"")</f>
        <v/>
      </c>
      <c r="DV310" s="568"/>
      <c r="DW3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5-3'!$D$11:$Q319,DW$4,DW$5)"),"")</f>
        <v/>
      </c>
      <c r="DX310" s="568"/>
      <c r="DY3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5-3'!$D$11:$Q319,DY$4,DY$5)"),"")</f>
        <v/>
      </c>
      <c r="DZ310" s="578"/>
      <c r="EA310" s="568" t="str">
        <f>IFERROR(__xludf.DUMMYFUNCTION("LAMBDA( doSelect, doGetPos,theTov,theData,theRow,theCol,{"""",doGetPos(doSelect(theData,theTov),theRow,theCol)})
( LAMBDA(theData,theTov,IFERROR( QUERY(theData,""Select * Where Col1 is not null And Col6='"" &amp;theTov&amp;""' "" ,0),)), 
  LAMBDA(theData,theRow,"&amp;"theCol,IFERROR(INDEX(theData,theRow,theCol),)), $C310, 'S-10 Топ 5-3'!$D$11:$Q319,EA$4,EA$5)"),"")</f>
        <v/>
      </c>
      <c r="EB310" s="568"/>
      <c r="EC310" s="568"/>
      <c r="ED310" s="568"/>
      <c r="EE310" s="568"/>
    </row>
    <row r="311">
      <c r="A311" s="1195"/>
      <c r="B311" s="1196"/>
      <c r="C311" s="1197" t="s">
        <v>607</v>
      </c>
      <c r="D311" s="1198"/>
      <c r="E311" s="1196"/>
      <c r="F311" s="1196"/>
      <c r="G311" s="1196"/>
      <c r="H311" s="1196"/>
      <c r="I311" s="1196"/>
      <c r="J311" s="1199"/>
      <c r="K311" s="1200"/>
      <c r="L311" s="1201"/>
      <c r="M311" s="1202" t="str">
        <f>"Итого " &amp;N10</f>
        <v>Итого Сумма</v>
      </c>
      <c r="N311" s="1203">
        <f>SUM('5-3 Выбор поставщиков Закупки'!N11:N310)</f>
        <v>0</v>
      </c>
      <c r="O311" s="1204"/>
      <c r="P311" s="1205"/>
      <c r="Q311" s="1206"/>
      <c r="R311" s="1204"/>
      <c r="S311" s="1204"/>
      <c r="T311" s="1204"/>
      <c r="U311" s="1204"/>
      <c r="V311" s="1207" t="str">
        <f>"Итого " &amp;W10</f>
        <v>Итого НМЦ</v>
      </c>
      <c r="W311" s="1208">
        <f>SUM('5-3 Выбор поставщиков Закупки'!W11:W310)</f>
        <v>0</v>
      </c>
      <c r="X311" s="1204"/>
      <c r="Y311" s="1204"/>
      <c r="Z311" s="1204"/>
      <c r="AA311" s="1204"/>
      <c r="AB311" s="1207" t="str">
        <f>AC10</f>
        <v>Итого разница</v>
      </c>
      <c r="AC311" s="1208">
        <f>SUM('5-3 Выбор поставщиков Закупки'!AC11:AC310)</f>
        <v>-1149627</v>
      </c>
      <c r="AD311" s="1198"/>
      <c r="AE311" s="1209"/>
      <c r="AF311" s="1199"/>
      <c r="AG311" s="1201"/>
      <c r="AH311" s="1199"/>
      <c r="AI311" s="1201"/>
      <c r="AJ311" s="1199"/>
      <c r="AK311" s="1201"/>
      <c r="AL311" s="1199"/>
      <c r="AM311" s="1201"/>
      <c r="AN311" s="1200"/>
      <c r="AO311" s="1201"/>
      <c r="AP311" s="1199"/>
      <c r="AQ311" s="1201"/>
      <c r="AR311" s="1201"/>
      <c r="AS311" s="1201"/>
      <c r="AT311" s="1201"/>
      <c r="AU311" s="1199"/>
      <c r="AV311" s="1201"/>
      <c r="AW311" s="1199"/>
      <c r="AX311" s="1201"/>
      <c r="AY311" s="1199"/>
      <c r="AZ311" s="1210"/>
      <c r="BA311" s="1199"/>
      <c r="BB311" s="1201"/>
      <c r="BC311" s="1200"/>
      <c r="BD311" s="1201"/>
      <c r="BE311" s="1199"/>
      <c r="BF311" s="1201"/>
      <c r="BG311" s="1201"/>
      <c r="BH311" s="1201"/>
      <c r="BI311" s="1201"/>
      <c r="BJ311" s="1199"/>
      <c r="BK311" s="1201"/>
      <c r="BL311" s="1199"/>
      <c r="BM311" s="1201"/>
      <c r="BN311" s="1199"/>
      <c r="BO311" s="1201"/>
      <c r="BP311" s="1199"/>
      <c r="BQ311" s="1201"/>
      <c r="BR311" s="1200"/>
      <c r="BS311" s="1201"/>
      <c r="BT311" s="1199"/>
      <c r="BU311" s="1201"/>
      <c r="BV311" s="1201"/>
      <c r="BW311" s="1201"/>
      <c r="BX311" s="1201"/>
      <c r="BY311" s="1199"/>
      <c r="BZ311" s="1201"/>
      <c r="CA311" s="1199"/>
      <c r="CB311" s="1201"/>
      <c r="CC311" s="1199"/>
      <c r="CD311" s="1201"/>
      <c r="CE311" s="1199"/>
      <c r="CF311" s="1201"/>
      <c r="CG311" s="1200"/>
      <c r="CH311" s="1201"/>
      <c r="CI311" s="1199"/>
      <c r="CJ311" s="1201"/>
      <c r="CK311" s="1201"/>
      <c r="CL311" s="1201"/>
      <c r="CM311" s="1201"/>
      <c r="CN311" s="1199"/>
      <c r="CO311" s="1201"/>
      <c r="CP311" s="1199"/>
      <c r="CQ311" s="1201"/>
      <c r="CR311" s="1199"/>
      <c r="CS311" s="1201"/>
      <c r="CT311" s="1199"/>
      <c r="CU311" s="1201"/>
      <c r="CV311" s="1200"/>
      <c r="CW311" s="1201"/>
      <c r="CX311" s="1199"/>
      <c r="CY311" s="1201"/>
      <c r="CZ311" s="1201"/>
      <c r="DA311" s="1201"/>
      <c r="DB311" s="1201"/>
      <c r="DC311" s="1199"/>
      <c r="DD311" s="1201"/>
      <c r="DE311" s="1199"/>
      <c r="DF311" s="1201"/>
      <c r="DG311" s="1199"/>
      <c r="DH311" s="1201"/>
      <c r="DI311" s="1199"/>
      <c r="DJ311" s="1201"/>
      <c r="DK311" s="1200"/>
      <c r="DL311" s="1201"/>
      <c r="DM311" s="1199"/>
      <c r="DN311" s="1201"/>
      <c r="DO311" s="1201"/>
      <c r="DP311" s="1201"/>
      <c r="DQ311" s="1201"/>
      <c r="DR311" s="1199"/>
      <c r="DS311" s="1201"/>
      <c r="DT311" s="1199"/>
      <c r="DU311" s="1201"/>
      <c r="DV311" s="1199"/>
      <c r="DW311" s="1201"/>
      <c r="DX311" s="1199"/>
      <c r="DY311" s="1201"/>
      <c r="DZ311" s="1200"/>
      <c r="EA311" s="1201"/>
      <c r="EB311" s="1199"/>
      <c r="EC311" s="1211"/>
      <c r="ED311" s="1211"/>
      <c r="EE311" s="1211"/>
    </row>
    <row r="312">
      <c r="A312" s="5"/>
      <c r="B312" s="5"/>
      <c r="C312" s="1084" t="s">
        <v>608</v>
      </c>
      <c r="D312" s="5"/>
      <c r="E312" s="94"/>
      <c r="F312" s="468" t="s">
        <v>935</v>
      </c>
      <c r="G312" s="5"/>
      <c r="H312" s="5"/>
      <c r="I312" s="5"/>
      <c r="J312" s="1212"/>
      <c r="K312" s="1213"/>
      <c r="L312" s="1212"/>
      <c r="M312" s="156"/>
      <c r="N312" s="156"/>
      <c r="O312" s="156"/>
      <c r="P312" s="1214"/>
      <c r="Q312" s="1215"/>
      <c r="R312" s="156"/>
      <c r="S312" s="156"/>
      <c r="T312" s="156"/>
      <c r="U312" s="156"/>
      <c r="V312" s="156"/>
      <c r="W312" s="156"/>
      <c r="X312" s="156"/>
      <c r="Y312" s="156"/>
      <c r="Z312" s="156"/>
      <c r="AA312" s="156"/>
      <c r="AB312" s="156"/>
      <c r="AC312" s="156"/>
      <c r="AD312" s="15"/>
      <c r="AE312" s="1216"/>
      <c r="AF312" s="1212"/>
      <c r="AG312" s="1217"/>
      <c r="AH312" s="1212"/>
      <c r="AI312" s="1217"/>
      <c r="AJ312" s="1212"/>
      <c r="AK312" s="1217"/>
      <c r="AL312" s="1212"/>
      <c r="AM312" s="1217"/>
      <c r="AN312" s="1218"/>
      <c r="AO312" s="1217"/>
      <c r="AP312" s="1212"/>
      <c r="AQ312" s="1217"/>
      <c r="AR312" s="1217"/>
      <c r="AS312" s="1217"/>
      <c r="AT312" s="1217"/>
      <c r="AU312" s="1212"/>
      <c r="AV312" s="1217"/>
      <c r="AW312" s="1212"/>
      <c r="AX312" s="1217"/>
      <c r="AY312" s="1212"/>
      <c r="AZ312" s="1219"/>
      <c r="BA312" s="1212"/>
      <c r="BB312" s="1217"/>
      <c r="BC312" s="1218"/>
      <c r="BD312" s="1217"/>
      <c r="BE312" s="1212"/>
      <c r="BF312" s="1217"/>
      <c r="BG312" s="1217"/>
      <c r="BH312" s="1217"/>
      <c r="BI312" s="1217"/>
      <c r="BJ312" s="1212"/>
      <c r="BK312" s="1217"/>
      <c r="BL312" s="1212"/>
      <c r="BM312" s="1217"/>
      <c r="BN312" s="1212"/>
      <c r="BO312" s="1217"/>
      <c r="BP312" s="1212"/>
      <c r="BQ312" s="1217"/>
      <c r="BR312" s="1218"/>
      <c r="BS312" s="1217"/>
      <c r="BT312" s="1212"/>
      <c r="BU312" s="1217"/>
      <c r="BV312" s="1217"/>
      <c r="BW312" s="1217"/>
      <c r="BX312" s="1217"/>
      <c r="BY312" s="1212"/>
      <c r="BZ312" s="1217"/>
      <c r="CA312" s="1212"/>
      <c r="CB312" s="1217"/>
      <c r="CC312" s="1212"/>
      <c r="CD312" s="1217"/>
      <c r="CE312" s="1212"/>
      <c r="CF312" s="1217"/>
      <c r="CG312" s="1218"/>
      <c r="CH312" s="1217"/>
      <c r="CI312" s="1212"/>
      <c r="CJ312" s="1217"/>
      <c r="CK312" s="1217"/>
      <c r="CL312" s="1217"/>
      <c r="CM312" s="1217"/>
      <c r="CN312" s="1212"/>
      <c r="CO312" s="1217"/>
      <c r="CP312" s="1212"/>
      <c r="CQ312" s="1217"/>
      <c r="CR312" s="1212"/>
      <c r="CS312" s="1217"/>
      <c r="CT312" s="1212"/>
      <c r="CU312" s="1217"/>
      <c r="CV312" s="1218"/>
      <c r="CW312" s="1217"/>
      <c r="CX312" s="1212"/>
      <c r="CY312" s="1217"/>
      <c r="CZ312" s="1217"/>
      <c r="DA312" s="1217"/>
      <c r="DB312" s="1217"/>
      <c r="DC312" s="1212"/>
      <c r="DD312" s="1217"/>
      <c r="DE312" s="1212"/>
      <c r="DF312" s="1217"/>
      <c r="DG312" s="1212"/>
      <c r="DH312" s="1217"/>
      <c r="DI312" s="1212"/>
      <c r="DJ312" s="1217"/>
      <c r="DK312" s="1218"/>
      <c r="DL312" s="1217"/>
      <c r="DM312" s="1212"/>
      <c r="DN312" s="1217"/>
      <c r="DO312" s="1217"/>
      <c r="DP312" s="1217"/>
      <c r="DQ312" s="1217"/>
      <c r="DR312" s="1212"/>
      <c r="DS312" s="1217"/>
      <c r="DT312" s="1212"/>
      <c r="DU312" s="1217"/>
      <c r="DV312" s="1212"/>
      <c r="DW312" s="1217"/>
      <c r="DX312" s="1212"/>
      <c r="DY312" s="1217"/>
      <c r="DZ312" s="1218"/>
      <c r="EA312" s="1217"/>
      <c r="EB312" s="1212"/>
      <c r="EC312" s="1220"/>
      <c r="ED312" s="1220"/>
      <c r="EE312" s="1220"/>
    </row>
    <row r="313">
      <c r="A313" s="5"/>
      <c r="B313" s="5"/>
      <c r="C313" s="1084" t="s">
        <v>609</v>
      </c>
      <c r="D313" s="5"/>
      <c r="E313" s="94"/>
      <c r="F313" s="468" t="s">
        <v>936</v>
      </c>
      <c r="G313" s="5"/>
      <c r="H313" s="5"/>
      <c r="I313" s="44"/>
      <c r="J313" s="1221" t="s">
        <v>934</v>
      </c>
      <c r="N313" s="1194" t="str">
        <f>'3-3 Выбор поставщиков'!F22-N311</f>
        <v>#REF!</v>
      </c>
      <c r="O313" s="156"/>
      <c r="P313" s="1214"/>
      <c r="Q313" s="1215"/>
      <c r="R313" s="156"/>
      <c r="S313" s="156"/>
      <c r="T313" s="156"/>
      <c r="U313" s="156"/>
      <c r="V313" s="156"/>
      <c r="W313" s="156"/>
      <c r="X313" s="156"/>
      <c r="Y313" s="156"/>
      <c r="Z313" s="156"/>
      <c r="AA313" s="156"/>
      <c r="AB313" s="156"/>
      <c r="AC313" s="156"/>
      <c r="AD313" s="15"/>
      <c r="AE313" s="1216"/>
      <c r="AF313" s="1222" t="s">
        <v>937</v>
      </c>
      <c r="AG313" s="1223"/>
      <c r="AH313" s="1224"/>
      <c r="AI313" s="1216"/>
      <c r="AJ313" s="1225" t="s">
        <v>938</v>
      </c>
      <c r="AK313" s="1226"/>
      <c r="AL313" s="1227"/>
      <c r="AM313" s="1216"/>
      <c r="AN313" s="1218"/>
      <c r="AO313" s="1216"/>
      <c r="AP313" s="1225" t="s">
        <v>939</v>
      </c>
      <c r="AQ313" s="1226"/>
      <c r="AR313" s="1226"/>
      <c r="AS313" s="1201"/>
      <c r="AT313" s="1201"/>
      <c r="AU313" s="1228"/>
      <c r="AV313" s="1219"/>
      <c r="AW313" s="1229" t="s">
        <v>940</v>
      </c>
      <c r="AX313" s="1230"/>
      <c r="AY313" s="1231"/>
      <c r="AZ313" s="1219"/>
      <c r="BA313" s="1212"/>
      <c r="BB313" s="1217"/>
      <c r="BC313" s="1218"/>
      <c r="BD313" s="1217"/>
      <c r="BE313" s="1212"/>
      <c r="BF313" s="1217"/>
      <c r="BG313" s="1217"/>
      <c r="BH313" s="1217"/>
      <c r="BI313" s="1217"/>
      <c r="BJ313" s="1212"/>
      <c r="BK313" s="1217"/>
      <c r="BL313" s="1212"/>
      <c r="BM313" s="1217"/>
      <c r="BN313" s="1212"/>
      <c r="BO313" s="1217"/>
      <c r="BP313" s="1212"/>
      <c r="BQ313" s="1217"/>
      <c r="BR313" s="1218"/>
      <c r="BS313" s="1217"/>
      <c r="BT313" s="1212"/>
      <c r="BU313" s="1217"/>
      <c r="BV313" s="1217"/>
      <c r="BW313" s="1217"/>
      <c r="BX313" s="1217"/>
      <c r="BY313" s="1212"/>
      <c r="BZ313" s="1217"/>
      <c r="CA313" s="1212"/>
      <c r="CB313" s="1217"/>
      <c r="CC313" s="1212"/>
      <c r="CD313" s="1217"/>
      <c r="CE313" s="1212"/>
      <c r="CF313" s="1217"/>
      <c r="CG313" s="1218"/>
      <c r="CH313" s="1217"/>
      <c r="CI313" s="1212"/>
      <c r="CJ313" s="1217"/>
      <c r="CK313" s="1217"/>
      <c r="CL313" s="1217"/>
      <c r="CM313" s="1217"/>
      <c r="CN313" s="1212"/>
      <c r="CO313" s="1217"/>
      <c r="CP313" s="1212"/>
      <c r="CQ313" s="1217"/>
      <c r="CR313" s="1212"/>
      <c r="CS313" s="1217"/>
      <c r="CT313" s="1212"/>
      <c r="CU313" s="1217"/>
      <c r="CV313" s="1218"/>
      <c r="CW313" s="1217"/>
      <c r="CX313" s="1212"/>
      <c r="CY313" s="1217"/>
      <c r="CZ313" s="1217"/>
      <c r="DA313" s="1217"/>
      <c r="DB313" s="1217"/>
      <c r="DC313" s="1212"/>
      <c r="DD313" s="1217"/>
      <c r="DE313" s="1212"/>
      <c r="DF313" s="1217"/>
      <c r="DG313" s="1212"/>
      <c r="DH313" s="1217"/>
      <c r="DI313" s="1212"/>
      <c r="DJ313" s="1217"/>
      <c r="DK313" s="1218"/>
      <c r="DL313" s="1217"/>
      <c r="DM313" s="1212"/>
      <c r="DN313" s="1217"/>
      <c r="DO313" s="1217"/>
      <c r="DP313" s="1217"/>
      <c r="DQ313" s="1217"/>
      <c r="DR313" s="1212"/>
      <c r="DS313" s="1217"/>
      <c r="DT313" s="1212"/>
      <c r="DU313" s="1217"/>
      <c r="DV313" s="1212"/>
      <c r="DW313" s="1217"/>
      <c r="DX313" s="1212"/>
      <c r="DY313" s="1217"/>
      <c r="DZ313" s="1218"/>
      <c r="EA313" s="1217"/>
      <c r="EB313" s="1212"/>
      <c r="EC313" s="1220"/>
      <c r="ED313" s="1220"/>
      <c r="EE313" s="1220"/>
    </row>
    <row r="314">
      <c r="A314" s="5"/>
      <c r="B314" s="5"/>
      <c r="C314" s="1084" t="s">
        <v>610</v>
      </c>
      <c r="D314" s="5"/>
      <c r="E314" s="5"/>
      <c r="F314" s="5"/>
      <c r="G314" s="5"/>
      <c r="H314" s="5"/>
      <c r="I314" s="5"/>
      <c r="J314" s="1212"/>
      <c r="K314" s="1213"/>
      <c r="L314" s="1212"/>
      <c r="M314" s="1215"/>
      <c r="N314" s="151"/>
      <c r="O314" s="156"/>
      <c r="P314" s="1214"/>
      <c r="Q314" s="1215"/>
      <c r="R314" s="156"/>
      <c r="S314" s="156"/>
      <c r="T314" s="156"/>
      <c r="U314" s="156"/>
      <c r="V314" s="156"/>
      <c r="W314" s="156"/>
      <c r="X314" s="156"/>
      <c r="Y314" s="156"/>
      <c r="Z314" s="156"/>
      <c r="AA314" s="156"/>
      <c r="AB314" s="156"/>
      <c r="AC314" s="156"/>
      <c r="AD314" s="15"/>
      <c r="AE314" s="1216"/>
      <c r="AF314" s="1232" t="s">
        <v>941</v>
      </c>
      <c r="AG314" s="1233"/>
      <c r="AH314" s="1234"/>
      <c r="AI314" s="1216"/>
      <c r="AJ314" s="1232" t="s">
        <v>942</v>
      </c>
      <c r="AK314" s="445"/>
      <c r="AL314" s="1235"/>
      <c r="AM314" s="1216"/>
      <c r="AN314" s="1218"/>
      <c r="AO314" s="1216"/>
      <c r="AP314" s="1232" t="s">
        <v>943</v>
      </c>
      <c r="AQ314" s="1236" t="s">
        <v>53</v>
      </c>
      <c r="AR314" s="1237"/>
      <c r="AS314" s="1237"/>
      <c r="AT314" s="1237"/>
      <c r="AU314" s="1238"/>
      <c r="AV314" s="1219"/>
      <c r="AW314" s="1232" t="s">
        <v>944</v>
      </c>
      <c r="AX314" s="1236"/>
      <c r="AY314" s="1235"/>
      <c r="AZ314" s="1219"/>
      <c r="BA314" s="1212"/>
      <c r="BB314" s="1217"/>
      <c r="BC314" s="1218"/>
      <c r="BD314" s="1217"/>
      <c r="BE314" s="1212"/>
      <c r="BF314" s="1217"/>
      <c r="BG314" s="1217"/>
      <c r="BH314" s="1217"/>
      <c r="BI314" s="1217"/>
      <c r="BJ314" s="1212"/>
      <c r="BK314" s="1217"/>
      <c r="BL314" s="1212"/>
      <c r="BM314" s="1217"/>
      <c r="BN314" s="1212"/>
      <c r="BO314" s="1217"/>
      <c r="BP314" s="1212"/>
      <c r="BQ314" s="1217"/>
      <c r="BR314" s="1218"/>
      <c r="BS314" s="1217"/>
      <c r="BT314" s="1212"/>
      <c r="BU314" s="1217"/>
      <c r="BV314" s="1217"/>
      <c r="BW314" s="1217"/>
      <c r="BX314" s="1217"/>
      <c r="BY314" s="1212"/>
      <c r="BZ314" s="1217"/>
      <c r="CA314" s="1212"/>
      <c r="CB314" s="1217"/>
      <c r="CC314" s="1212"/>
      <c r="CD314" s="1217"/>
      <c r="CE314" s="1212"/>
      <c r="CF314" s="1217"/>
      <c r="CG314" s="1218"/>
      <c r="CH314" s="1217"/>
      <c r="CI314" s="1212"/>
      <c r="CJ314" s="1217"/>
      <c r="CK314" s="1217"/>
      <c r="CL314" s="1217"/>
      <c r="CM314" s="1217"/>
      <c r="CN314" s="1212"/>
      <c r="CO314" s="1217"/>
      <c r="CP314" s="1212"/>
      <c r="CQ314" s="1217"/>
      <c r="CR314" s="1212"/>
      <c r="CS314" s="1217"/>
      <c r="CT314" s="1212"/>
      <c r="CU314" s="1217"/>
      <c r="CV314" s="1218"/>
      <c r="CW314" s="1217"/>
      <c r="CX314" s="1212"/>
      <c r="CY314" s="1217"/>
      <c r="CZ314" s="1217"/>
      <c r="DA314" s="1217"/>
      <c r="DB314" s="1217"/>
      <c r="DC314" s="1212"/>
      <c r="DD314" s="1217"/>
      <c r="DE314" s="1212"/>
      <c r="DF314" s="1217"/>
      <c r="DG314" s="1212"/>
      <c r="DH314" s="1217"/>
      <c r="DI314" s="1212"/>
      <c r="DJ314" s="1217"/>
      <c r="DK314" s="1218"/>
      <c r="DL314" s="1217"/>
      <c r="DM314" s="1212"/>
      <c r="DN314" s="1217"/>
      <c r="DO314" s="1217"/>
      <c r="DP314" s="1217"/>
      <c r="DQ314" s="1217"/>
      <c r="DR314" s="1212"/>
      <c r="DS314" s="1217"/>
      <c r="DT314" s="1212"/>
      <c r="DU314" s="1217"/>
      <c r="DV314" s="1212"/>
      <c r="DW314" s="1217"/>
      <c r="DX314" s="1212"/>
      <c r="DY314" s="1217"/>
      <c r="DZ314" s="1218"/>
      <c r="EA314" s="1217"/>
      <c r="EB314" s="1212"/>
      <c r="EC314" s="1220"/>
      <c r="ED314" s="1220"/>
      <c r="EE314" s="1220"/>
    </row>
    <row r="315">
      <c r="A315" s="5"/>
      <c r="B315" s="5"/>
      <c r="C315" s="1084" t="s">
        <v>611</v>
      </c>
      <c r="D315" s="5"/>
      <c r="E315" s="5"/>
      <c r="F315" s="5"/>
      <c r="G315" s="5"/>
      <c r="H315" s="5"/>
      <c r="I315" s="5"/>
      <c r="J315" s="1212"/>
      <c r="K315" s="1213"/>
      <c r="L315" s="1212"/>
      <c r="M315" s="1215"/>
      <c r="N315" s="156"/>
      <c r="O315" s="156"/>
      <c r="P315" s="1214"/>
      <c r="Q315" s="1215"/>
      <c r="R315" s="156"/>
      <c r="S315" s="156"/>
      <c r="T315" s="156"/>
      <c r="U315" s="156"/>
      <c r="V315" s="156"/>
      <c r="W315" s="156"/>
      <c r="X315" s="156"/>
      <c r="Y315" s="156"/>
      <c r="Z315" s="156"/>
      <c r="AA315" s="156"/>
      <c r="AB315" s="156"/>
      <c r="AC315" s="156"/>
      <c r="AD315" s="15"/>
      <c r="AE315" s="1216"/>
      <c r="AF315" s="1232" t="s">
        <v>945</v>
      </c>
      <c r="AG315" s="1239"/>
      <c r="AH315" s="1240"/>
      <c r="AI315" s="1216"/>
      <c r="AJ315" s="1232" t="s">
        <v>946</v>
      </c>
      <c r="AK315" s="445"/>
      <c r="AL315" s="1241"/>
      <c r="AM315" s="1216"/>
      <c r="AN315" s="1218"/>
      <c r="AO315" s="1216"/>
      <c r="AP315" s="1232" t="s">
        <v>947</v>
      </c>
      <c r="AQ315" s="1236" t="s">
        <v>948</v>
      </c>
      <c r="AR315" s="1242"/>
      <c r="AS315" s="1242"/>
      <c r="AT315" s="1242"/>
      <c r="AU315" s="1243"/>
      <c r="AV315" s="1219"/>
      <c r="AW315" s="1232" t="s">
        <v>949</v>
      </c>
      <c r="AX315" s="1236"/>
      <c r="AY315" s="1241"/>
      <c r="AZ315" s="1219"/>
      <c r="BA315" s="1212"/>
      <c r="BB315" s="1217"/>
      <c r="BC315" s="1218"/>
      <c r="BD315" s="1217"/>
      <c r="BE315" s="1212"/>
      <c r="BF315" s="1217"/>
      <c r="BG315" s="1217"/>
      <c r="BH315" s="1217"/>
      <c r="BI315" s="1217"/>
      <c r="BJ315" s="1212"/>
      <c r="BK315" s="1217"/>
      <c r="BL315" s="1212"/>
      <c r="BM315" s="1217"/>
      <c r="BN315" s="1212"/>
      <c r="BO315" s="1217"/>
      <c r="BP315" s="1212"/>
      <c r="BQ315" s="1217"/>
      <c r="BR315" s="1218"/>
      <c r="BS315" s="1217"/>
      <c r="BT315" s="1212"/>
      <c r="BU315" s="1217"/>
      <c r="BV315" s="1217"/>
      <c r="BW315" s="1217"/>
      <c r="BX315" s="1217"/>
      <c r="BY315" s="1212"/>
      <c r="BZ315" s="1217"/>
      <c r="CA315" s="1212"/>
      <c r="CB315" s="1217"/>
      <c r="CC315" s="1212"/>
      <c r="CD315" s="1217"/>
      <c r="CE315" s="1212"/>
      <c r="CF315" s="1217"/>
      <c r="CG315" s="1218"/>
      <c r="CH315" s="1217"/>
      <c r="CI315" s="1212"/>
      <c r="CJ315" s="1217"/>
      <c r="CK315" s="1217"/>
      <c r="CL315" s="1217"/>
      <c r="CM315" s="1217"/>
      <c r="CN315" s="1212"/>
      <c r="CO315" s="1217"/>
      <c r="CP315" s="1212"/>
      <c r="CQ315" s="1217"/>
      <c r="CR315" s="1212"/>
      <c r="CS315" s="1217"/>
      <c r="CT315" s="1212"/>
      <c r="CU315" s="1217"/>
      <c r="CV315" s="1218"/>
      <c r="CW315" s="1217"/>
      <c r="CX315" s="1212"/>
      <c r="CY315" s="1217"/>
      <c r="CZ315" s="1217"/>
      <c r="DA315" s="1217"/>
      <c r="DB315" s="1217"/>
      <c r="DC315" s="1212"/>
      <c r="DD315" s="1217"/>
      <c r="DE315" s="1212"/>
      <c r="DF315" s="1217"/>
      <c r="DG315" s="1212"/>
      <c r="DH315" s="1217"/>
      <c r="DI315" s="1212"/>
      <c r="DJ315" s="1217"/>
      <c r="DK315" s="1218"/>
      <c r="DL315" s="1217"/>
      <c r="DM315" s="1212"/>
      <c r="DN315" s="1217"/>
      <c r="DO315" s="1217"/>
      <c r="DP315" s="1217"/>
      <c r="DQ315" s="1217"/>
      <c r="DR315" s="1212"/>
      <c r="DS315" s="1217"/>
      <c r="DT315" s="1212"/>
      <c r="DU315" s="1217"/>
      <c r="DV315" s="1212"/>
      <c r="DW315" s="1217"/>
      <c r="DX315" s="1212"/>
      <c r="DY315" s="1217"/>
      <c r="DZ315" s="1218"/>
      <c r="EA315" s="1217"/>
      <c r="EB315" s="1212"/>
      <c r="EC315" s="1220"/>
      <c r="ED315" s="1220"/>
      <c r="EE315" s="1220"/>
    </row>
    <row r="316">
      <c r="A316" s="5"/>
      <c r="B316" s="5"/>
      <c r="C316" s="1084" t="s">
        <v>612</v>
      </c>
      <c r="D316" s="5"/>
      <c r="E316" s="5"/>
      <c r="F316" s="5"/>
      <c r="G316" s="5"/>
      <c r="H316" s="5"/>
      <c r="I316" s="5"/>
      <c r="J316" s="1212"/>
      <c r="K316" s="1213"/>
      <c r="L316" s="1212"/>
      <c r="M316" s="1215"/>
      <c r="N316" s="322"/>
      <c r="O316" s="156"/>
      <c r="P316" s="1214"/>
      <c r="Q316" s="1215"/>
      <c r="R316" s="156"/>
      <c r="S316" s="156"/>
      <c r="T316" s="156"/>
      <c r="U316" s="156"/>
      <c r="V316" s="156"/>
      <c r="W316" s="156"/>
      <c r="X316" s="156"/>
      <c r="Y316" s="156"/>
      <c r="Z316" s="156"/>
      <c r="AA316" s="156"/>
      <c r="AB316" s="156"/>
      <c r="AC316" s="156"/>
      <c r="AD316" s="15"/>
      <c r="AE316" s="1216"/>
      <c r="AF316" s="1244" t="s">
        <v>950</v>
      </c>
      <c r="AG316" s="1245"/>
      <c r="AH316" s="1246"/>
      <c r="AI316" s="1216"/>
      <c r="AJ316" s="1244" t="s">
        <v>951</v>
      </c>
      <c r="AK316" s="445"/>
      <c r="AL316" s="1247"/>
      <c r="AM316" s="1216"/>
      <c r="AN316" s="1218"/>
      <c r="AO316" s="1216"/>
      <c r="AP316" s="1232" t="s">
        <v>952</v>
      </c>
      <c r="AQ316" s="1236" t="s">
        <v>948</v>
      </c>
      <c r="AR316" s="1248"/>
      <c r="AS316" s="1248"/>
      <c r="AT316" s="1248"/>
      <c r="AU316" s="1249"/>
      <c r="AV316" s="1219"/>
      <c r="AW316" s="1232" t="s">
        <v>953</v>
      </c>
      <c r="AX316" s="1219"/>
      <c r="AY316" s="1238"/>
      <c r="AZ316" s="1219"/>
      <c r="BA316" s="1212"/>
      <c r="BB316" s="1217"/>
      <c r="BC316" s="1218"/>
      <c r="BD316" s="1217"/>
      <c r="BE316" s="1212"/>
      <c r="BF316" s="1217"/>
      <c r="BG316" s="1217"/>
      <c r="BH316" s="1217"/>
      <c r="BI316" s="1217"/>
      <c r="BJ316" s="1212"/>
      <c r="BK316" s="1217"/>
      <c r="BL316" s="1212"/>
      <c r="BM316" s="1217"/>
      <c r="BN316" s="1212"/>
      <c r="BO316" s="1217"/>
      <c r="BP316" s="1212"/>
      <c r="BQ316" s="1217"/>
      <c r="BR316" s="1218"/>
      <c r="BS316" s="1217"/>
      <c r="BT316" s="1212"/>
      <c r="BU316" s="1217"/>
      <c r="BV316" s="1217"/>
      <c r="BW316" s="1217"/>
      <c r="BX316" s="1217"/>
      <c r="BY316" s="1212"/>
      <c r="BZ316" s="1217"/>
      <c r="CA316" s="1212"/>
      <c r="CB316" s="1217"/>
      <c r="CC316" s="1212"/>
      <c r="CD316" s="1217"/>
      <c r="CE316" s="1212"/>
      <c r="CF316" s="1217"/>
      <c r="CG316" s="1218"/>
      <c r="CH316" s="1217"/>
      <c r="CI316" s="1212"/>
      <c r="CJ316" s="1217"/>
      <c r="CK316" s="1217"/>
      <c r="CL316" s="1217"/>
      <c r="CM316" s="1217"/>
      <c r="CN316" s="1212"/>
      <c r="CO316" s="1217"/>
      <c r="CP316" s="1212"/>
      <c r="CQ316" s="1217"/>
      <c r="CR316" s="1212"/>
      <c r="CS316" s="1217"/>
      <c r="CT316" s="1212"/>
      <c r="CU316" s="1217"/>
      <c r="CV316" s="1218"/>
      <c r="CW316" s="1217"/>
      <c r="CX316" s="1212"/>
      <c r="CY316" s="1217"/>
      <c r="CZ316" s="1217"/>
      <c r="DA316" s="1217"/>
      <c r="DB316" s="1217"/>
      <c r="DC316" s="1212"/>
      <c r="DD316" s="1217"/>
      <c r="DE316" s="1212"/>
      <c r="DF316" s="1217"/>
      <c r="DG316" s="1212"/>
      <c r="DH316" s="1217"/>
      <c r="DI316" s="1212"/>
      <c r="DJ316" s="1217"/>
      <c r="DK316" s="1218"/>
      <c r="DL316" s="1217"/>
      <c r="DM316" s="1212"/>
      <c r="DN316" s="1217"/>
      <c r="DO316" s="1217"/>
      <c r="DP316" s="1217"/>
      <c r="DQ316" s="1217"/>
      <c r="DR316" s="1212"/>
      <c r="DS316" s="1217"/>
      <c r="DT316" s="1212"/>
      <c r="DU316" s="1217"/>
      <c r="DV316" s="1212"/>
      <c r="DW316" s="1217"/>
      <c r="DX316" s="1212"/>
      <c r="DY316" s="1217"/>
      <c r="DZ316" s="1218"/>
      <c r="EA316" s="1217"/>
      <c r="EB316" s="1212"/>
      <c r="EC316" s="1220"/>
      <c r="ED316" s="1220"/>
      <c r="EE316" s="1220"/>
    </row>
    <row r="317">
      <c r="A317" s="5"/>
      <c r="B317" s="5"/>
      <c r="C317" s="1084" t="s">
        <v>613</v>
      </c>
      <c r="D317" s="5"/>
      <c r="E317" s="5"/>
      <c r="F317" s="5"/>
      <c r="G317" s="5"/>
      <c r="H317" s="5"/>
      <c r="I317" s="5"/>
      <c r="J317" s="1212"/>
      <c r="K317" s="1213"/>
      <c r="L317" s="1212"/>
      <c r="M317" s="156"/>
      <c r="N317" s="156"/>
      <c r="O317" s="156"/>
      <c r="P317" s="1214"/>
      <c r="Q317" s="1215"/>
      <c r="R317" s="156"/>
      <c r="S317" s="156"/>
      <c r="T317" s="156"/>
      <c r="U317" s="156"/>
      <c r="V317" s="156"/>
      <c r="W317" s="156"/>
      <c r="X317" s="156"/>
      <c r="Y317" s="156"/>
      <c r="Z317" s="156"/>
      <c r="AA317" s="156"/>
      <c r="AB317" s="156"/>
      <c r="AC317" s="156"/>
      <c r="AD317" s="15"/>
      <c r="AE317" s="1216"/>
      <c r="AF317" s="1250"/>
      <c r="AG317" s="1251"/>
      <c r="AH317" s="1252"/>
      <c r="AI317" s="1253"/>
      <c r="AJ317" s="1250"/>
      <c r="AK317" s="1251"/>
      <c r="AL317" s="1252"/>
      <c r="AM317" s="1216"/>
      <c r="AN317" s="1218"/>
      <c r="AO317" s="1216"/>
      <c r="AP317" s="1254" t="s">
        <v>954</v>
      </c>
      <c r="AQ317" s="1255" t="s">
        <v>948</v>
      </c>
      <c r="AR317" s="1256"/>
      <c r="AS317" s="1256"/>
      <c r="AT317" s="1256"/>
      <c r="AU317" s="1257"/>
      <c r="AV317" s="1219"/>
      <c r="AW317" s="1258"/>
      <c r="AX317" s="1259"/>
      <c r="AY317" s="1260"/>
      <c r="AZ317" s="1219"/>
      <c r="BA317" s="1212"/>
      <c r="BB317" s="1217"/>
      <c r="BC317" s="1218"/>
      <c r="BD317" s="1217"/>
      <c r="BE317" s="1212"/>
      <c r="BF317" s="1217"/>
      <c r="BG317" s="1217"/>
      <c r="BH317" s="1217"/>
      <c r="BI317" s="1217"/>
      <c r="BJ317" s="1212"/>
      <c r="BK317" s="1217"/>
      <c r="BL317" s="1212"/>
      <c r="BM317" s="1217"/>
      <c r="BN317" s="1212"/>
      <c r="BO317" s="1217"/>
      <c r="BP317" s="1212"/>
      <c r="BQ317" s="1217"/>
      <c r="BR317" s="1218"/>
      <c r="BS317" s="1217"/>
      <c r="BT317" s="1212"/>
      <c r="BU317" s="1217"/>
      <c r="BV317" s="1217"/>
      <c r="BW317" s="1217"/>
      <c r="BX317" s="1217"/>
      <c r="BY317" s="1212"/>
      <c r="BZ317" s="1217"/>
      <c r="CA317" s="1212"/>
      <c r="CB317" s="1217"/>
      <c r="CC317" s="1212"/>
      <c r="CD317" s="1217"/>
      <c r="CE317" s="1212"/>
      <c r="CF317" s="1217"/>
      <c r="CG317" s="1218"/>
      <c r="CH317" s="1217"/>
      <c r="CI317" s="1212"/>
      <c r="CJ317" s="1217"/>
      <c r="CK317" s="1217"/>
      <c r="CL317" s="1217"/>
      <c r="CM317" s="1217"/>
      <c r="CN317" s="1212"/>
      <c r="CO317" s="1217"/>
      <c r="CP317" s="1212"/>
      <c r="CQ317" s="1217"/>
      <c r="CR317" s="1212"/>
      <c r="CS317" s="1217"/>
      <c r="CT317" s="1212"/>
      <c r="CU317" s="1217"/>
      <c r="CV317" s="1218"/>
      <c r="CW317" s="1217"/>
      <c r="CX317" s="1212"/>
      <c r="CY317" s="1217"/>
      <c r="CZ317" s="1217"/>
      <c r="DA317" s="1217"/>
      <c r="DB317" s="1217"/>
      <c r="DC317" s="1212"/>
      <c r="DD317" s="1217"/>
      <c r="DE317" s="1212"/>
      <c r="DF317" s="1217"/>
      <c r="DG317" s="1212"/>
      <c r="DH317" s="1217"/>
      <c r="DI317" s="1212"/>
      <c r="DJ317" s="1217"/>
      <c r="DK317" s="1218"/>
      <c r="DL317" s="1217"/>
      <c r="DM317" s="1212"/>
      <c r="DN317" s="1217"/>
      <c r="DO317" s="1217"/>
      <c r="DP317" s="1217"/>
      <c r="DQ317" s="1217"/>
      <c r="DR317" s="1212"/>
      <c r="DS317" s="1217"/>
      <c r="DT317" s="1212"/>
      <c r="DU317" s="1217"/>
      <c r="DV317" s="1212"/>
      <c r="DW317" s="1217"/>
      <c r="DX317" s="1212"/>
      <c r="DY317" s="1217"/>
      <c r="DZ317" s="1218"/>
      <c r="EA317" s="1217"/>
      <c r="EB317" s="1212"/>
      <c r="EC317" s="1220"/>
      <c r="ED317" s="1220"/>
      <c r="EE317" s="1220"/>
    </row>
    <row r="318">
      <c r="A318" s="5"/>
      <c r="B318" s="5"/>
      <c r="C318" s="1084" t="s">
        <v>614</v>
      </c>
      <c r="D318" s="5"/>
      <c r="E318" s="5"/>
      <c r="F318" s="5"/>
      <c r="G318" s="5"/>
      <c r="H318" s="5"/>
      <c r="I318" s="5"/>
      <c r="J318" s="1212"/>
      <c r="K318" s="1213"/>
      <c r="L318" s="1212"/>
      <c r="M318" s="433"/>
      <c r="N318" s="322"/>
      <c r="O318" s="156"/>
      <c r="P318" s="1214"/>
      <c r="Q318" s="1215"/>
      <c r="R318" s="156"/>
      <c r="S318" s="156"/>
      <c r="T318" s="156"/>
      <c r="U318" s="156"/>
      <c r="V318" s="156"/>
      <c r="W318" s="156"/>
      <c r="X318" s="156"/>
      <c r="Y318" s="156"/>
      <c r="Z318" s="156"/>
      <c r="AA318" s="156"/>
      <c r="AB318" s="156"/>
      <c r="AC318" s="156"/>
      <c r="AD318" s="15"/>
      <c r="AE318" s="1216"/>
      <c r="AF318" s="1212"/>
      <c r="AG318" s="1217"/>
      <c r="AH318" s="1212"/>
      <c r="AI318" s="1217"/>
      <c r="AJ318" s="1212"/>
      <c r="AK318" s="1217"/>
      <c r="AL318" s="1212"/>
      <c r="AM318" s="1216"/>
      <c r="AN318" s="1218"/>
      <c r="AO318" s="1217"/>
      <c r="AP318" s="1212"/>
      <c r="AQ318" s="1217"/>
      <c r="AR318" s="1217"/>
      <c r="AS318" s="1217"/>
      <c r="AT318" s="1217"/>
      <c r="AU318" s="1212"/>
      <c r="AV318" s="1217"/>
      <c r="AW318" s="1212"/>
      <c r="AX318" s="1217"/>
      <c r="AY318" s="1212"/>
      <c r="AZ318" s="1219"/>
      <c r="BA318" s="1212"/>
      <c r="BB318" s="1217"/>
      <c r="BC318" s="1218"/>
      <c r="BD318" s="1217"/>
      <c r="BE318" s="1212"/>
      <c r="BF318" s="1217"/>
      <c r="BG318" s="1217"/>
      <c r="BH318" s="1217"/>
      <c r="BI318" s="1217"/>
      <c r="BJ318" s="1212"/>
      <c r="BK318" s="1217"/>
      <c r="BL318" s="1212"/>
      <c r="BM318" s="1217"/>
      <c r="BN318" s="1212"/>
      <c r="BO318" s="1217"/>
      <c r="BP318" s="1212"/>
      <c r="BQ318" s="1217"/>
      <c r="BR318" s="1218"/>
      <c r="BS318" s="1217"/>
      <c r="BT318" s="1212"/>
      <c r="BU318" s="1217"/>
      <c r="BV318" s="1217"/>
      <c r="BW318" s="1217"/>
      <c r="BX318" s="1217"/>
      <c r="BY318" s="1212"/>
      <c r="BZ318" s="1217"/>
      <c r="CA318" s="1212"/>
      <c r="CB318" s="1217"/>
      <c r="CC318" s="1212"/>
      <c r="CD318" s="1217"/>
      <c r="CE318" s="1212"/>
      <c r="CF318" s="1217"/>
      <c r="CG318" s="1218"/>
      <c r="CH318" s="1217"/>
      <c r="CI318" s="1212"/>
      <c r="CJ318" s="1217"/>
      <c r="CK318" s="1217"/>
      <c r="CL318" s="1217"/>
      <c r="CM318" s="1217"/>
      <c r="CN318" s="1212"/>
      <c r="CO318" s="1217"/>
      <c r="CP318" s="1212"/>
      <c r="CQ318" s="1217"/>
      <c r="CR318" s="1212"/>
      <c r="CS318" s="1217"/>
      <c r="CT318" s="1212"/>
      <c r="CU318" s="1217"/>
      <c r="CV318" s="1218"/>
      <c r="CW318" s="1217"/>
      <c r="CX318" s="1212"/>
      <c r="CY318" s="1217"/>
      <c r="CZ318" s="1217"/>
      <c r="DA318" s="1217"/>
      <c r="DB318" s="1217"/>
      <c r="DC318" s="1212"/>
      <c r="DD318" s="1217"/>
      <c r="DE318" s="1212"/>
      <c r="DF318" s="1217"/>
      <c r="DG318" s="1212"/>
      <c r="DH318" s="1217"/>
      <c r="DI318" s="1212"/>
      <c r="DJ318" s="1217"/>
      <c r="DK318" s="1218"/>
      <c r="DL318" s="1217"/>
      <c r="DM318" s="1212"/>
      <c r="DN318" s="1217"/>
      <c r="DO318" s="1217"/>
      <c r="DP318" s="1217"/>
      <c r="DQ318" s="1217"/>
      <c r="DR318" s="1212"/>
      <c r="DS318" s="1217"/>
      <c r="DT318" s="1212"/>
      <c r="DU318" s="1217"/>
      <c r="DV318" s="1212"/>
      <c r="DW318" s="1217"/>
      <c r="DX318" s="1212"/>
      <c r="DY318" s="1217"/>
      <c r="DZ318" s="1218"/>
      <c r="EA318" s="1217"/>
      <c r="EB318" s="1212"/>
      <c r="EC318" s="1220"/>
      <c r="ED318" s="1220"/>
      <c r="EE318" s="1220"/>
    </row>
    <row r="319">
      <c r="A319" s="5"/>
      <c r="B319" s="5"/>
      <c r="C319" s="1131" t="s">
        <v>615</v>
      </c>
      <c r="D319" s="5"/>
      <c r="E319" s="5"/>
      <c r="F319" s="5"/>
      <c r="G319" s="5"/>
      <c r="H319" s="5"/>
      <c r="I319" s="5"/>
      <c r="J319" s="1212"/>
      <c r="K319" s="1213"/>
      <c r="L319" s="1212"/>
      <c r="M319" s="1212"/>
      <c r="N319" s="1212"/>
      <c r="O319" s="1212"/>
      <c r="P319" s="1214"/>
      <c r="Q319" s="1212"/>
      <c r="R319" s="1212"/>
      <c r="S319" s="1212"/>
      <c r="T319" s="1212"/>
      <c r="U319" s="1212"/>
      <c r="V319" s="1212"/>
      <c r="W319" s="1212"/>
      <c r="X319" s="1212"/>
      <c r="Y319" s="1212"/>
      <c r="Z319" s="1212"/>
      <c r="AA319" s="1212"/>
      <c r="AB319" s="1212"/>
      <c r="AC319" s="1212"/>
      <c r="AD319" s="15"/>
      <c r="AE319" s="1216"/>
      <c r="AF319" s="1212"/>
      <c r="AG319" s="1217"/>
      <c r="AH319" s="1212"/>
      <c r="AI319" s="1217"/>
      <c r="AJ319" s="1212"/>
      <c r="AK319" s="1217"/>
      <c r="AL319" s="1212"/>
      <c r="AM319" s="1216"/>
      <c r="AN319" s="1218"/>
      <c r="AO319" s="1217"/>
      <c r="AP319" s="1212"/>
      <c r="AQ319" s="1217"/>
      <c r="AR319" s="1217"/>
      <c r="AS319" s="1217"/>
      <c r="AT319" s="1217"/>
      <c r="AU319" s="1212"/>
      <c r="AV319" s="1217"/>
      <c r="AW319" s="1212"/>
      <c r="AX319" s="1217"/>
      <c r="AY319" s="1212"/>
      <c r="AZ319" s="1219"/>
      <c r="BA319" s="1212"/>
      <c r="BB319" s="1217"/>
      <c r="BC319" s="1218"/>
      <c r="BD319" s="1217"/>
      <c r="BE319" s="1212"/>
      <c r="BF319" s="1217"/>
      <c r="BG319" s="1217"/>
      <c r="BH319" s="1217"/>
      <c r="BI319" s="1217"/>
      <c r="BJ319" s="1212"/>
      <c r="BK319" s="1217"/>
      <c r="BL319" s="1212"/>
      <c r="BM319" s="1217"/>
      <c r="BN319" s="1212"/>
      <c r="BO319" s="1217"/>
      <c r="BP319" s="1212"/>
      <c r="BQ319" s="1217"/>
      <c r="BR319" s="1218"/>
      <c r="BS319" s="1217"/>
      <c r="BT319" s="1212"/>
      <c r="BU319" s="1217"/>
      <c r="BV319" s="1217"/>
      <c r="BW319" s="1217"/>
      <c r="BX319" s="1217"/>
      <c r="BY319" s="1212"/>
      <c r="BZ319" s="1217"/>
      <c r="CA319" s="1212"/>
      <c r="CB319" s="1217"/>
      <c r="CC319" s="1212"/>
      <c r="CD319" s="1217"/>
      <c r="CE319" s="1212"/>
      <c r="CF319" s="1217"/>
      <c r="CG319" s="1218"/>
      <c r="CH319" s="1217"/>
      <c r="CI319" s="1212"/>
      <c r="CJ319" s="1217"/>
      <c r="CK319" s="1217"/>
      <c r="CL319" s="1217"/>
      <c r="CM319" s="1217"/>
      <c r="CN319" s="1212"/>
      <c r="CO319" s="1217"/>
      <c r="CP319" s="1212"/>
      <c r="CQ319" s="1217"/>
      <c r="CR319" s="1212"/>
      <c r="CS319" s="1217"/>
      <c r="CT319" s="1212"/>
      <c r="CU319" s="1217"/>
      <c r="CV319" s="1218"/>
      <c r="CW319" s="1217"/>
      <c r="CX319" s="1212"/>
      <c r="CY319" s="1217"/>
      <c r="CZ319" s="1217"/>
      <c r="DA319" s="1217"/>
      <c r="DB319" s="1217"/>
      <c r="DC319" s="1212"/>
      <c r="DD319" s="1217"/>
      <c r="DE319" s="1212"/>
      <c r="DF319" s="1217"/>
      <c r="DG319" s="1212"/>
      <c r="DH319" s="1217"/>
      <c r="DI319" s="1212"/>
      <c r="DJ319" s="1217"/>
      <c r="DK319" s="1218"/>
      <c r="DL319" s="1217"/>
      <c r="DM319" s="1212"/>
      <c r="DN319" s="1217"/>
      <c r="DO319" s="1217"/>
      <c r="DP319" s="1217"/>
      <c r="DQ319" s="1217"/>
      <c r="DR319" s="1212"/>
      <c r="DS319" s="1217"/>
      <c r="DT319" s="1212"/>
      <c r="DU319" s="1217"/>
      <c r="DV319" s="1212"/>
      <c r="DW319" s="1217"/>
      <c r="DX319" s="1212"/>
      <c r="DY319" s="1217"/>
      <c r="DZ319" s="1218"/>
      <c r="EA319" s="1217"/>
      <c r="EB319" s="1212"/>
      <c r="EC319" s="1220"/>
      <c r="ED319" s="1220"/>
      <c r="EE319" s="1220"/>
    </row>
  </sheetData>
  <autoFilter ref="$A$10:$EE$310"/>
  <mergeCells count="1">
    <mergeCell ref="J313:M313"/>
  </mergeCells>
  <conditionalFormatting sqref="I9">
    <cfRule type="expression" dxfId="10" priority="1">
      <formula>$N$9="&lt;&lt; Откройте доступ ошибка"</formula>
    </cfRule>
  </conditionalFormatting>
  <conditionalFormatting sqref="N313">
    <cfRule type="cellIs" dxfId="0" priority="2" operator="greaterThan">
      <formula>0</formula>
    </cfRule>
  </conditionalFormatting>
  <conditionalFormatting sqref="N313">
    <cfRule type="cellIs" dxfId="1" priority="3" operator="lessThan">
      <formula>0</formula>
    </cfRule>
  </conditionalFormatting>
  <dataValidations>
    <dataValidation type="list" allowBlank="1" sqref="Y11:Y310">
      <formula1>'Настройки писем'!$AX$1:$AX$30</formula1>
    </dataValidation>
    <dataValidation type="list" allowBlank="1" showInputMessage="1" prompt="Выберете листы, чтобы исключить предложения с листа." sqref="F313">
      <formula1>"1-1 Сбор КП,5-1 Сбор КП Закупки"</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outlineLevelRow="1"/>
  <cols>
    <col customWidth="1" hidden="1" min="1" max="1" width="6.38"/>
    <col customWidth="1" min="2" max="2" width="9.0"/>
    <col customWidth="1" min="3" max="3" width="25.13"/>
    <col customWidth="1" min="4" max="4" width="12.63"/>
    <col customWidth="1" hidden="1" min="5" max="5" width="9.63"/>
    <col customWidth="1" min="6" max="6" width="5.0"/>
    <col customWidth="1" min="7" max="7" width="37.5"/>
    <col customWidth="1" min="8" max="8" width="20.63" outlineLevel="1"/>
    <col customWidth="1" min="9" max="9" width="20.88" outlineLevel="1"/>
    <col customWidth="1" min="10" max="10" width="27.5" outlineLevel="1"/>
    <col customWidth="1" min="11" max="11" width="12.63" outlineLevel="1"/>
    <col customWidth="1" min="12" max="13" width="12.63"/>
    <col customWidth="1" min="14" max="14" width="13.5"/>
    <col customWidth="1" min="15" max="15" width="12.5"/>
    <col customWidth="1" min="16" max="16" width="13.63"/>
    <col customWidth="1" min="17" max="17" width="11.88"/>
    <col customWidth="1" min="18" max="18" width="9.75"/>
    <col customWidth="1" min="19" max="19" width="8.75"/>
    <col customWidth="1" min="20" max="28" width="4.88"/>
  </cols>
  <sheetData>
    <row r="1" collapsed="1">
      <c r="A1" s="542"/>
      <c r="B1" s="543"/>
      <c r="C1" s="542"/>
      <c r="D1" s="544"/>
      <c r="E1" s="546"/>
      <c r="F1" s="547" t="s">
        <v>563</v>
      </c>
      <c r="G1" s="548"/>
      <c r="H1" s="548"/>
      <c r="I1" s="549"/>
      <c r="J1" s="550"/>
      <c r="K1" s="551"/>
      <c r="L1" s="551"/>
      <c r="N1" s="552"/>
      <c r="O1" s="553"/>
      <c r="P1" s="551"/>
      <c r="Q1" s="551"/>
      <c r="R1" s="549"/>
      <c r="S1" s="549"/>
      <c r="T1" s="551"/>
      <c r="U1" s="551"/>
      <c r="V1" s="551"/>
      <c r="W1" s="551"/>
      <c r="X1" s="551"/>
      <c r="Y1" s="551"/>
      <c r="Z1" s="551"/>
      <c r="AA1" s="551"/>
      <c r="AB1" s="551"/>
    </row>
    <row r="2" hidden="1" outlineLevel="1">
      <c r="A2" s="551"/>
      <c r="B2" s="556"/>
      <c r="C2" s="551"/>
      <c r="D2" s="548" t="s">
        <v>564</v>
      </c>
      <c r="E2" s="546"/>
      <c r="F2" s="557"/>
      <c r="G2" s="558"/>
      <c r="H2" s="559"/>
      <c r="I2" s="559"/>
      <c r="J2" s="560"/>
      <c r="K2" s="551"/>
      <c r="L2" s="558"/>
      <c r="M2" s="561"/>
      <c r="N2" s="558"/>
      <c r="O2" s="562"/>
      <c r="P2" s="551"/>
      <c r="Q2" s="551"/>
      <c r="R2" s="559"/>
      <c r="S2" s="559"/>
      <c r="T2" s="551"/>
      <c r="U2" s="551"/>
      <c r="V2" s="551"/>
      <c r="W2" s="551"/>
      <c r="X2" s="551"/>
      <c r="Y2" s="551"/>
      <c r="Z2" s="551"/>
      <c r="AA2" s="551"/>
      <c r="AB2" s="551"/>
    </row>
    <row r="3" hidden="1" outlineLevel="1">
      <c r="A3" s="551"/>
      <c r="B3" s="556"/>
      <c r="C3" s="551"/>
      <c r="D3" s="542" t="s">
        <v>565</v>
      </c>
      <c r="E3" s="546"/>
      <c r="F3" s="557"/>
      <c r="G3" s="551"/>
      <c r="H3" s="563"/>
      <c r="I3" s="563"/>
      <c r="J3" s="551"/>
      <c r="K3" s="551"/>
      <c r="L3" s="551"/>
      <c r="M3" s="551"/>
      <c r="N3" s="558"/>
      <c r="O3" s="551"/>
      <c r="P3" s="551"/>
      <c r="Q3" s="551"/>
      <c r="R3" s="549"/>
      <c r="S3" s="549"/>
      <c r="T3" s="551"/>
      <c r="U3" s="551"/>
      <c r="V3" s="551"/>
      <c r="W3" s="551"/>
      <c r="X3" s="551"/>
      <c r="Y3" s="551"/>
      <c r="Z3" s="551"/>
      <c r="AA3" s="551"/>
      <c r="AB3" s="551"/>
    </row>
    <row r="4" hidden="1" outlineLevel="1">
      <c r="A4" s="551"/>
      <c r="B4" s="556"/>
      <c r="C4" s="551"/>
      <c r="D4" s="542" t="s">
        <v>566</v>
      </c>
      <c r="E4" s="564"/>
      <c r="F4" s="557"/>
      <c r="G4" s="551"/>
      <c r="H4" s="565"/>
      <c r="I4" s="565"/>
      <c r="J4" s="544"/>
      <c r="K4" s="551"/>
      <c r="L4" s="551"/>
      <c r="M4" s="551"/>
      <c r="N4" s="558"/>
      <c r="O4" s="553"/>
      <c r="P4" s="551"/>
      <c r="Q4" s="551"/>
      <c r="R4" s="549"/>
      <c r="S4" s="549"/>
      <c r="T4" s="551"/>
      <c r="U4" s="551"/>
      <c r="V4" s="551"/>
      <c r="W4" s="551"/>
      <c r="X4" s="551"/>
      <c r="Y4" s="551"/>
      <c r="Z4" s="551"/>
      <c r="AA4" s="551"/>
      <c r="AB4" s="551"/>
    </row>
    <row r="5" hidden="1" outlineLevel="1">
      <c r="A5" s="551"/>
      <c r="B5" s="556"/>
      <c r="C5" s="551"/>
      <c r="D5" s="542" t="s">
        <v>567</v>
      </c>
      <c r="E5" s="564"/>
      <c r="F5" s="567" t="str">
        <f t="array" ref="F5:Q5">'5-0 Передача в закупку'!D10:O10</f>
        <v>№</v>
      </c>
      <c r="G5" s="551" t="s">
        <v>8</v>
      </c>
      <c r="H5" s="565" t="s">
        <v>93</v>
      </c>
      <c r="I5" s="565" t="s">
        <v>94</v>
      </c>
      <c r="J5" s="544" t="s">
        <v>10</v>
      </c>
      <c r="K5" s="551" t="s">
        <v>100</v>
      </c>
      <c r="L5" s="551" t="s">
        <v>54</v>
      </c>
      <c r="M5" s="551" t="s">
        <v>55</v>
      </c>
      <c r="N5" s="558" t="s">
        <v>16</v>
      </c>
      <c r="O5" s="553" t="s">
        <v>61</v>
      </c>
      <c r="P5" s="551" t="s">
        <v>59</v>
      </c>
      <c r="Q5" s="551" t="s">
        <v>60</v>
      </c>
      <c r="R5" s="559"/>
      <c r="S5" s="549"/>
      <c r="T5" s="551"/>
      <c r="U5" s="551"/>
      <c r="V5" s="551"/>
      <c r="W5" s="551"/>
      <c r="X5" s="551"/>
      <c r="Y5" s="551"/>
      <c r="Z5" s="551"/>
      <c r="AA5" s="551"/>
      <c r="AB5" s="551"/>
    </row>
    <row r="6" hidden="1" outlineLevel="1">
      <c r="A6" s="551"/>
      <c r="B6" s="556"/>
      <c r="C6" s="551"/>
      <c r="D6" s="542" t="s">
        <v>568</v>
      </c>
      <c r="E6" s="564"/>
      <c r="F6" s="570"/>
      <c r="G6" s="571"/>
      <c r="H6" s="565"/>
      <c r="I6" s="565"/>
      <c r="J6" s="572"/>
      <c r="K6" s="551"/>
      <c r="L6" s="573"/>
      <c r="M6" s="573"/>
      <c r="N6" s="558"/>
      <c r="O6" s="553"/>
      <c r="P6" s="551"/>
      <c r="Q6" s="551"/>
      <c r="R6" s="549"/>
      <c r="S6" s="549"/>
      <c r="T6" s="551"/>
      <c r="U6" s="551"/>
      <c r="V6" s="551"/>
      <c r="W6" s="551"/>
      <c r="X6" s="551"/>
      <c r="Y6" s="551"/>
      <c r="Z6" s="551"/>
      <c r="AA6" s="551"/>
      <c r="AB6" s="551"/>
    </row>
    <row r="7" hidden="1" outlineLevel="1">
      <c r="A7" s="551"/>
      <c r="B7" s="556"/>
      <c r="C7" s="551"/>
      <c r="D7" s="558"/>
      <c r="E7" s="558"/>
      <c r="F7" s="574"/>
      <c r="G7" s="575"/>
      <c r="H7" s="565"/>
      <c r="I7" s="565"/>
      <c r="J7" s="576"/>
      <c r="K7" s="551"/>
      <c r="L7" s="575"/>
      <c r="M7" s="577"/>
      <c r="N7" s="558"/>
      <c r="O7" s="553"/>
      <c r="P7" s="551"/>
      <c r="Q7" s="551"/>
      <c r="R7" s="549"/>
      <c r="S7" s="549"/>
      <c r="T7" s="551"/>
      <c r="U7" s="551"/>
      <c r="V7" s="551"/>
      <c r="W7" s="551"/>
      <c r="X7" s="551"/>
      <c r="Y7" s="551"/>
      <c r="Z7" s="551"/>
      <c r="AA7" s="551"/>
      <c r="AB7" s="551"/>
    </row>
    <row r="8" hidden="1" outlineLevel="1">
      <c r="A8" s="551"/>
      <c r="B8" s="556"/>
      <c r="C8" s="551"/>
      <c r="D8" s="544"/>
      <c r="E8" s="558"/>
      <c r="F8" s="557"/>
      <c r="G8" s="551"/>
      <c r="H8" s="565"/>
      <c r="I8" s="565"/>
      <c r="J8" s="544"/>
      <c r="K8" s="551"/>
      <c r="L8" s="551"/>
      <c r="M8" s="551"/>
      <c r="N8" s="558"/>
      <c r="O8" s="553"/>
      <c r="P8" s="551"/>
      <c r="Q8" s="551"/>
      <c r="R8" s="549"/>
      <c r="S8" s="549"/>
      <c r="T8" s="551"/>
      <c r="U8" s="551"/>
      <c r="V8" s="551"/>
      <c r="W8" s="551"/>
      <c r="X8" s="551"/>
      <c r="Y8" s="551"/>
      <c r="Z8" s="551"/>
      <c r="AA8" s="551"/>
      <c r="AB8" s="551"/>
    </row>
    <row r="9" hidden="1" outlineLevel="1">
      <c r="A9" s="551"/>
      <c r="B9" s="556"/>
      <c r="C9" s="551"/>
      <c r="D9" s="544"/>
      <c r="E9" s="546"/>
      <c r="F9" s="557"/>
      <c r="G9" s="551"/>
      <c r="H9" s="565"/>
      <c r="I9" s="565"/>
      <c r="J9" s="544"/>
      <c r="K9" s="551"/>
      <c r="L9" s="551"/>
      <c r="M9" s="551"/>
      <c r="N9" s="558"/>
      <c r="O9" s="553"/>
      <c r="P9" s="551"/>
      <c r="Q9" s="551"/>
      <c r="R9" s="549"/>
      <c r="S9" s="549"/>
      <c r="T9" s="551"/>
      <c r="U9" s="551"/>
      <c r="V9" s="551"/>
      <c r="W9" s="551"/>
      <c r="X9" s="551"/>
      <c r="Y9" s="551"/>
      <c r="Z9" s="551"/>
      <c r="AA9" s="551"/>
      <c r="AB9" s="551"/>
    </row>
    <row r="10">
      <c r="A10" s="579" t="str">
        <f t="array" ref="A10:B60">{{"ID_Изменения","№ Изменения"} ;LAMBDA(_arr_rs,_rf, BYROW(_arr_rs, LAMBDA(r , 
LAmbda(id,   { IF(id&lt;&gt;0,  "ID_Z"&amp;id,  )    ,  IF(id&lt;&gt;0,    ""&amp;id , )  }   ) ( IF(r&lt;&gt;"",   RIGHT("000" &amp; ROW(r)-_rf+1,3),0) )  )
) )('5-4 Изменения в товарах'!$G$11:$G$60, ROW( '5-4 Изменения в товарах'!$G$11))
}</f>
        <v>ID_Изменения</v>
      </c>
      <c r="B10" s="580" t="s">
        <v>569</v>
      </c>
      <c r="C10" s="581" t="s">
        <v>570</v>
      </c>
      <c r="D10" s="581" t="s">
        <v>571</v>
      </c>
      <c r="E10" s="582" t="str">
        <f t="array" ref="E10:E60">{"ID_Товара";BYROW('5-4 Изменения в товарах'!F11:F60,lambda(_n,IF(_n&lt;&gt;"",IFERROR(VLOOKUP(_n,{'1-0 Товары'!D:D,'1-0 Товары'!C:C},2,FALSE),),)))}</f>
        <v>ID_Товара</v>
      </c>
      <c r="F10" s="583" t="str">
        <f t="array" ref="F10">'5-0 Передача в закупку'!D10</f>
        <v>№</v>
      </c>
      <c r="G10" s="582" t="str">
        <f t="array" ref="G10:Q10">'5-0 Передача в закупку'!E10:O10</f>
        <v>Номенклатура</v>
      </c>
      <c r="H10" s="584" t="s">
        <v>93</v>
      </c>
      <c r="I10" s="584" t="s">
        <v>94</v>
      </c>
      <c r="J10" s="585" t="s">
        <v>10</v>
      </c>
      <c r="K10" s="586" t="s">
        <v>100</v>
      </c>
      <c r="L10" s="582" t="s">
        <v>54</v>
      </c>
      <c r="M10" s="586" t="s">
        <v>55</v>
      </c>
      <c r="N10" s="582" t="s">
        <v>16</v>
      </c>
      <c r="O10" s="587" t="s">
        <v>61</v>
      </c>
      <c r="P10" s="586" t="s">
        <v>59</v>
      </c>
      <c r="Q10" s="586" t="s">
        <v>60</v>
      </c>
      <c r="R10" s="588"/>
      <c r="S10" s="588"/>
      <c r="T10" s="586"/>
      <c r="U10" s="586"/>
      <c r="V10" s="586"/>
      <c r="W10" s="586"/>
      <c r="X10" s="586"/>
      <c r="Y10" s="586"/>
      <c r="Z10" s="586"/>
      <c r="AA10" s="586"/>
      <c r="AB10" s="586"/>
    </row>
    <row r="11">
      <c r="A11" s="589"/>
      <c r="B11" s="590"/>
      <c r="C11" s="589"/>
      <c r="D11" s="591"/>
      <c r="E11" s="592"/>
      <c r="F11" s="593"/>
      <c r="G11" s="594" t="str">
        <f t="array" ref="G11:G60">BYROW($E$11:$E$60,Lambda(_id,IF(_id&lt;&gt;"",IFERROR(VLOOKUP(_id,{ '5-0 Передача в закупку'!C10:C112 ,  '5-0 Передача в закупку'!E10:O112},{2,3,4,5,6,7,7,8,9,10,11,12},FALSE)  ,),)))</f>
        <v/>
      </c>
      <c r="H11" s="595"/>
      <c r="I11" s="595"/>
      <c r="J11" s="596"/>
      <c r="K11" s="597"/>
      <c r="L11" s="594"/>
      <c r="M11" s="598"/>
      <c r="N11" s="599"/>
      <c r="O11" s="600"/>
      <c r="P11" s="597"/>
      <c r="Q11" s="597"/>
      <c r="R11" s="595"/>
      <c r="S11" s="595"/>
      <c r="T11" s="597"/>
      <c r="U11" s="597"/>
      <c r="V11" s="597"/>
      <c r="W11" s="597"/>
      <c r="X11" s="597"/>
      <c r="Y11" s="597"/>
      <c r="Z11" s="597"/>
      <c r="AA11" s="597"/>
      <c r="AB11" s="597"/>
    </row>
    <row r="12">
      <c r="A12" s="601"/>
      <c r="B12" s="602"/>
      <c r="C12" s="601"/>
      <c r="D12" s="603"/>
      <c r="E12" s="592"/>
      <c r="F12" s="593"/>
      <c r="G12" s="604"/>
      <c r="H12" s="605"/>
      <c r="I12" s="605"/>
      <c r="J12" s="606"/>
      <c r="K12" s="607"/>
      <c r="L12" s="608"/>
      <c r="M12" s="598"/>
      <c r="N12" s="609"/>
      <c r="O12" s="610"/>
      <c r="P12" s="607"/>
      <c r="Q12" s="607"/>
      <c r="R12" s="605"/>
      <c r="S12" s="605"/>
      <c r="T12" s="607"/>
      <c r="U12" s="607"/>
      <c r="V12" s="607"/>
      <c r="W12" s="607"/>
      <c r="X12" s="607"/>
      <c r="Y12" s="607"/>
      <c r="Z12" s="607"/>
      <c r="AA12" s="607"/>
      <c r="AB12" s="607"/>
    </row>
    <row r="13">
      <c r="A13" s="601"/>
      <c r="B13" s="602"/>
      <c r="C13" s="601"/>
      <c r="D13" s="603"/>
      <c r="E13" s="592"/>
      <c r="F13" s="593"/>
      <c r="G13" s="604"/>
      <c r="H13" s="605"/>
      <c r="I13" s="605"/>
      <c r="J13" s="606"/>
      <c r="K13" s="607"/>
      <c r="L13" s="608"/>
      <c r="M13" s="598"/>
      <c r="N13" s="609"/>
      <c r="O13" s="610"/>
      <c r="P13" s="607"/>
      <c r="Q13" s="607"/>
      <c r="R13" s="605"/>
      <c r="S13" s="605"/>
      <c r="T13" s="607"/>
      <c r="U13" s="607"/>
      <c r="V13" s="607"/>
      <c r="W13" s="607"/>
      <c r="X13" s="607"/>
      <c r="Y13" s="607"/>
      <c r="Z13" s="607"/>
      <c r="AA13" s="607"/>
      <c r="AB13" s="607"/>
    </row>
    <row r="14">
      <c r="A14" s="601"/>
      <c r="B14" s="602"/>
      <c r="C14" s="601"/>
      <c r="D14" s="603"/>
      <c r="E14" s="592"/>
      <c r="F14" s="593"/>
      <c r="G14" s="608"/>
      <c r="H14" s="605"/>
      <c r="I14" s="605"/>
      <c r="J14" s="606"/>
      <c r="K14" s="607"/>
      <c r="L14" s="608"/>
      <c r="M14" s="598"/>
      <c r="N14" s="609"/>
      <c r="O14" s="610"/>
      <c r="P14" s="607"/>
      <c r="Q14" s="607"/>
      <c r="R14" s="605"/>
      <c r="S14" s="605"/>
      <c r="T14" s="607"/>
      <c r="U14" s="607"/>
      <c r="V14" s="607"/>
      <c r="W14" s="607"/>
      <c r="X14" s="607"/>
      <c r="Y14" s="607"/>
      <c r="Z14" s="607"/>
      <c r="AA14" s="607"/>
      <c r="AB14" s="607"/>
    </row>
    <row r="15" collapsed="1">
      <c r="A15" s="601"/>
      <c r="B15" s="602"/>
      <c r="C15" s="601"/>
      <c r="D15" s="603"/>
      <c r="E15" s="592"/>
      <c r="F15" s="593"/>
      <c r="G15" s="608"/>
      <c r="H15" s="605"/>
      <c r="I15" s="605"/>
      <c r="J15" s="606"/>
      <c r="K15" s="607"/>
      <c r="L15" s="608"/>
      <c r="M15" s="598"/>
      <c r="N15" s="609"/>
      <c r="O15" s="610"/>
      <c r="P15" s="607"/>
      <c r="Q15" s="607"/>
      <c r="R15" s="605"/>
      <c r="S15" s="605"/>
      <c r="T15" s="607"/>
      <c r="U15" s="607"/>
      <c r="V15" s="607"/>
      <c r="W15" s="607"/>
      <c r="X15" s="607"/>
      <c r="Y15" s="607"/>
      <c r="Z15" s="607"/>
      <c r="AA15" s="607"/>
      <c r="AB15" s="607"/>
    </row>
    <row r="16" hidden="1" outlineLevel="1">
      <c r="A16" s="601"/>
      <c r="B16" s="602"/>
      <c r="C16" s="601"/>
      <c r="D16" s="603"/>
      <c r="E16" s="592"/>
      <c r="F16" s="593"/>
      <c r="G16" s="608"/>
      <c r="H16" s="605"/>
      <c r="I16" s="605"/>
      <c r="J16" s="606"/>
      <c r="K16" s="607"/>
      <c r="L16" s="608"/>
      <c r="M16" s="598"/>
      <c r="N16" s="609"/>
      <c r="O16" s="610"/>
      <c r="P16" s="607"/>
      <c r="Q16" s="607"/>
      <c r="R16" s="605"/>
      <c r="S16" s="605"/>
      <c r="T16" s="607"/>
      <c r="U16" s="607"/>
      <c r="V16" s="607"/>
      <c r="W16" s="607"/>
      <c r="X16" s="607"/>
      <c r="Y16" s="607"/>
      <c r="Z16" s="607"/>
      <c r="AA16" s="607"/>
      <c r="AB16" s="607"/>
    </row>
    <row r="17" hidden="1" outlineLevel="1">
      <c r="A17" s="601"/>
      <c r="B17" s="602"/>
      <c r="C17" s="601"/>
      <c r="D17" s="603"/>
      <c r="E17" s="592"/>
      <c r="F17" s="593"/>
      <c r="G17" s="608"/>
      <c r="H17" s="605"/>
      <c r="I17" s="605"/>
      <c r="J17" s="606"/>
      <c r="K17" s="607"/>
      <c r="L17" s="608"/>
      <c r="M17" s="598"/>
      <c r="N17" s="609"/>
      <c r="O17" s="610"/>
      <c r="P17" s="607"/>
      <c r="Q17" s="607"/>
      <c r="R17" s="605"/>
      <c r="S17" s="605"/>
      <c r="T17" s="607"/>
      <c r="U17" s="607"/>
      <c r="V17" s="607"/>
      <c r="W17" s="607"/>
      <c r="X17" s="607"/>
      <c r="Y17" s="607"/>
      <c r="Z17" s="607"/>
      <c r="AA17" s="607"/>
      <c r="AB17" s="607"/>
    </row>
    <row r="18" hidden="1" outlineLevel="1">
      <c r="A18" s="601"/>
      <c r="B18" s="602"/>
      <c r="C18" s="601"/>
      <c r="D18" s="603"/>
      <c r="E18" s="592"/>
      <c r="F18" s="593"/>
      <c r="G18" s="608"/>
      <c r="H18" s="605"/>
      <c r="I18" s="605"/>
      <c r="J18" s="606"/>
      <c r="K18" s="607"/>
      <c r="L18" s="608"/>
      <c r="M18" s="598"/>
      <c r="N18" s="609"/>
      <c r="O18" s="610"/>
      <c r="P18" s="607"/>
      <c r="Q18" s="607"/>
      <c r="R18" s="605"/>
      <c r="S18" s="605"/>
      <c r="T18" s="607"/>
      <c r="U18" s="607"/>
      <c r="V18" s="607"/>
      <c r="W18" s="607"/>
      <c r="X18" s="607"/>
      <c r="Y18" s="607"/>
      <c r="Z18" s="607"/>
      <c r="AA18" s="607"/>
      <c r="AB18" s="607"/>
    </row>
    <row r="19" hidden="1" outlineLevel="1">
      <c r="A19" s="601"/>
      <c r="B19" s="602"/>
      <c r="C19" s="601"/>
      <c r="D19" s="603"/>
      <c r="E19" s="592"/>
      <c r="F19" s="593"/>
      <c r="G19" s="608"/>
      <c r="H19" s="605"/>
      <c r="I19" s="605"/>
      <c r="J19" s="606"/>
      <c r="K19" s="607"/>
      <c r="L19" s="608"/>
      <c r="M19" s="598"/>
      <c r="N19" s="609"/>
      <c r="O19" s="610"/>
      <c r="P19" s="607"/>
      <c r="Q19" s="607"/>
      <c r="R19" s="605"/>
      <c r="S19" s="605"/>
      <c r="T19" s="607"/>
      <c r="U19" s="607"/>
      <c r="V19" s="607"/>
      <c r="W19" s="607"/>
      <c r="X19" s="607"/>
      <c r="Y19" s="607"/>
      <c r="Z19" s="607"/>
      <c r="AA19" s="607"/>
      <c r="AB19" s="607"/>
    </row>
    <row r="20" hidden="1" outlineLevel="1">
      <c r="A20" s="601"/>
      <c r="B20" s="602"/>
      <c r="C20" s="601"/>
      <c r="D20" s="603"/>
      <c r="E20" s="592"/>
      <c r="F20" s="593"/>
      <c r="G20" s="608"/>
      <c r="H20" s="605"/>
      <c r="I20" s="605"/>
      <c r="J20" s="606"/>
      <c r="K20" s="607"/>
      <c r="L20" s="608"/>
      <c r="M20" s="598"/>
      <c r="N20" s="609"/>
      <c r="O20" s="610"/>
      <c r="P20" s="607"/>
      <c r="Q20" s="607"/>
      <c r="R20" s="605"/>
      <c r="S20" s="605"/>
      <c r="T20" s="607"/>
      <c r="U20" s="607"/>
      <c r="V20" s="607"/>
      <c r="W20" s="607"/>
      <c r="X20" s="607"/>
      <c r="Y20" s="607"/>
      <c r="Z20" s="607"/>
      <c r="AA20" s="607"/>
      <c r="AB20" s="607"/>
    </row>
    <row r="21" hidden="1" outlineLevel="1">
      <c r="A21" s="601"/>
      <c r="B21" s="602"/>
      <c r="C21" s="601"/>
      <c r="D21" s="603"/>
      <c r="E21" s="592"/>
      <c r="F21" s="593"/>
      <c r="G21" s="608"/>
      <c r="H21" s="605"/>
      <c r="I21" s="605"/>
      <c r="J21" s="606"/>
      <c r="K21" s="607"/>
      <c r="L21" s="608"/>
      <c r="M21" s="598"/>
      <c r="N21" s="609"/>
      <c r="O21" s="610"/>
      <c r="P21" s="607"/>
      <c r="Q21" s="607"/>
      <c r="R21" s="605"/>
      <c r="S21" s="605"/>
      <c r="T21" s="607"/>
      <c r="U21" s="607"/>
      <c r="V21" s="607"/>
      <c r="W21" s="607"/>
      <c r="X21" s="607"/>
      <c r="Y21" s="607"/>
      <c r="Z21" s="607"/>
      <c r="AA21" s="607"/>
      <c r="AB21" s="607"/>
    </row>
    <row r="22" hidden="1" outlineLevel="1">
      <c r="A22" s="601"/>
      <c r="B22" s="602"/>
      <c r="C22" s="601"/>
      <c r="D22" s="603"/>
      <c r="E22" s="592"/>
      <c r="F22" s="593"/>
      <c r="G22" s="608"/>
      <c r="H22" s="605"/>
      <c r="I22" s="605"/>
      <c r="J22" s="606"/>
      <c r="K22" s="607"/>
      <c r="L22" s="608"/>
      <c r="M22" s="598"/>
      <c r="N22" s="609"/>
      <c r="O22" s="610"/>
      <c r="P22" s="607"/>
      <c r="Q22" s="607"/>
      <c r="R22" s="605"/>
      <c r="S22" s="605"/>
      <c r="T22" s="607"/>
      <c r="U22" s="607"/>
      <c r="V22" s="607"/>
      <c r="W22" s="607"/>
      <c r="X22" s="607"/>
      <c r="Y22" s="607"/>
      <c r="Z22" s="607"/>
      <c r="AA22" s="607"/>
      <c r="AB22" s="607"/>
    </row>
    <row r="23" hidden="1" outlineLevel="1">
      <c r="A23" s="601"/>
      <c r="B23" s="602"/>
      <c r="C23" s="601"/>
      <c r="D23" s="603"/>
      <c r="E23" s="592"/>
      <c r="F23" s="593"/>
      <c r="G23" s="608"/>
      <c r="H23" s="605"/>
      <c r="I23" s="605"/>
      <c r="J23" s="606"/>
      <c r="K23" s="607"/>
      <c r="L23" s="608"/>
      <c r="M23" s="598"/>
      <c r="N23" s="609"/>
      <c r="O23" s="610"/>
      <c r="P23" s="607"/>
      <c r="Q23" s="607"/>
      <c r="R23" s="605"/>
      <c r="S23" s="605"/>
      <c r="T23" s="607"/>
      <c r="U23" s="607"/>
      <c r="V23" s="607"/>
      <c r="W23" s="607"/>
      <c r="X23" s="607"/>
      <c r="Y23" s="607"/>
      <c r="Z23" s="607"/>
      <c r="AA23" s="607"/>
      <c r="AB23" s="607"/>
    </row>
    <row r="24" hidden="1" outlineLevel="1">
      <c r="A24" s="601"/>
      <c r="B24" s="602"/>
      <c r="C24" s="601"/>
      <c r="D24" s="603"/>
      <c r="E24" s="592"/>
      <c r="F24" s="593"/>
      <c r="G24" s="608"/>
      <c r="H24" s="605"/>
      <c r="I24" s="605"/>
      <c r="J24" s="606"/>
      <c r="K24" s="607"/>
      <c r="L24" s="608"/>
      <c r="M24" s="598"/>
      <c r="N24" s="609"/>
      <c r="O24" s="610"/>
      <c r="P24" s="607"/>
      <c r="Q24" s="607"/>
      <c r="R24" s="605"/>
      <c r="S24" s="605"/>
      <c r="T24" s="607"/>
      <c r="U24" s="607"/>
      <c r="V24" s="607"/>
      <c r="W24" s="607"/>
      <c r="X24" s="607"/>
      <c r="Y24" s="607"/>
      <c r="Z24" s="607"/>
      <c r="AA24" s="607"/>
      <c r="AB24" s="607"/>
    </row>
    <row r="25" hidden="1" outlineLevel="1">
      <c r="A25" s="601"/>
      <c r="B25" s="602"/>
      <c r="C25" s="601"/>
      <c r="D25" s="603"/>
      <c r="E25" s="592"/>
      <c r="F25" s="593"/>
      <c r="G25" s="608"/>
      <c r="H25" s="605"/>
      <c r="I25" s="605"/>
      <c r="J25" s="606"/>
      <c r="K25" s="607"/>
      <c r="L25" s="608"/>
      <c r="M25" s="598"/>
      <c r="N25" s="609"/>
      <c r="O25" s="610"/>
      <c r="P25" s="607"/>
      <c r="Q25" s="607"/>
      <c r="R25" s="605"/>
      <c r="S25" s="605"/>
      <c r="T25" s="607"/>
      <c r="U25" s="607"/>
      <c r="V25" s="607"/>
      <c r="W25" s="607"/>
      <c r="X25" s="607"/>
      <c r="Y25" s="607"/>
      <c r="Z25" s="607"/>
      <c r="AA25" s="607"/>
      <c r="AB25" s="607"/>
    </row>
    <row r="26" hidden="1" outlineLevel="1">
      <c r="A26" s="601"/>
      <c r="B26" s="602"/>
      <c r="C26" s="601"/>
      <c r="D26" s="603"/>
      <c r="E26" s="592"/>
      <c r="F26" s="593"/>
      <c r="G26" s="608"/>
      <c r="H26" s="605"/>
      <c r="I26" s="605"/>
      <c r="J26" s="606"/>
      <c r="K26" s="607"/>
      <c r="L26" s="608"/>
      <c r="M26" s="598"/>
      <c r="N26" s="609"/>
      <c r="O26" s="610"/>
      <c r="P26" s="607"/>
      <c r="Q26" s="607"/>
      <c r="R26" s="605"/>
      <c r="S26" s="605"/>
      <c r="T26" s="607"/>
      <c r="U26" s="607"/>
      <c r="V26" s="607"/>
      <c r="W26" s="607"/>
      <c r="X26" s="607"/>
      <c r="Y26" s="607"/>
      <c r="Z26" s="607"/>
      <c r="AA26" s="607"/>
      <c r="AB26" s="607"/>
    </row>
    <row r="27" hidden="1" outlineLevel="1">
      <c r="A27" s="601"/>
      <c r="B27" s="602"/>
      <c r="C27" s="601"/>
      <c r="D27" s="603"/>
      <c r="E27" s="592"/>
      <c r="F27" s="593"/>
      <c r="G27" s="608"/>
      <c r="H27" s="605"/>
      <c r="I27" s="605"/>
      <c r="J27" s="606"/>
      <c r="K27" s="607"/>
      <c r="L27" s="608"/>
      <c r="M27" s="598"/>
      <c r="N27" s="609"/>
      <c r="O27" s="610"/>
      <c r="P27" s="607"/>
      <c r="Q27" s="607"/>
      <c r="R27" s="605"/>
      <c r="S27" s="605"/>
      <c r="T27" s="607"/>
      <c r="U27" s="607"/>
      <c r="V27" s="607"/>
      <c r="W27" s="607"/>
      <c r="X27" s="607"/>
      <c r="Y27" s="607"/>
      <c r="Z27" s="607"/>
      <c r="AA27" s="607"/>
      <c r="AB27" s="607"/>
    </row>
    <row r="28" hidden="1" outlineLevel="1">
      <c r="A28" s="601"/>
      <c r="B28" s="602"/>
      <c r="C28" s="601"/>
      <c r="D28" s="603"/>
      <c r="E28" s="592"/>
      <c r="F28" s="593"/>
      <c r="G28" s="608"/>
      <c r="H28" s="605"/>
      <c r="I28" s="605"/>
      <c r="J28" s="606"/>
      <c r="K28" s="607"/>
      <c r="L28" s="608"/>
      <c r="M28" s="598"/>
      <c r="N28" s="609"/>
      <c r="O28" s="610"/>
      <c r="P28" s="607"/>
      <c r="Q28" s="607"/>
      <c r="R28" s="605"/>
      <c r="S28" s="605"/>
      <c r="T28" s="607"/>
      <c r="U28" s="607"/>
      <c r="V28" s="607"/>
      <c r="W28" s="607"/>
      <c r="X28" s="607"/>
      <c r="Y28" s="607"/>
      <c r="Z28" s="607"/>
      <c r="AA28" s="607"/>
      <c r="AB28" s="607"/>
    </row>
    <row r="29" hidden="1" outlineLevel="1">
      <c r="A29" s="601"/>
      <c r="B29" s="602"/>
      <c r="C29" s="601"/>
      <c r="D29" s="603"/>
      <c r="E29" s="592"/>
      <c r="F29" s="593"/>
      <c r="G29" s="608"/>
      <c r="H29" s="605"/>
      <c r="I29" s="605"/>
      <c r="J29" s="606"/>
      <c r="K29" s="607"/>
      <c r="L29" s="608"/>
      <c r="M29" s="598"/>
      <c r="N29" s="609"/>
      <c r="O29" s="610"/>
      <c r="P29" s="607"/>
      <c r="Q29" s="607"/>
      <c r="R29" s="605"/>
      <c r="S29" s="605"/>
      <c r="T29" s="607"/>
      <c r="U29" s="607"/>
      <c r="V29" s="607"/>
      <c r="W29" s="607"/>
      <c r="X29" s="607"/>
      <c r="Y29" s="607"/>
      <c r="Z29" s="607"/>
      <c r="AA29" s="607"/>
      <c r="AB29" s="607"/>
    </row>
    <row r="30" hidden="1" outlineLevel="1">
      <c r="A30" s="601"/>
      <c r="B30" s="602"/>
      <c r="C30" s="601"/>
      <c r="D30" s="603"/>
      <c r="E30" s="592"/>
      <c r="F30" s="593"/>
      <c r="G30" s="608"/>
      <c r="H30" s="605"/>
      <c r="I30" s="605"/>
      <c r="J30" s="606"/>
      <c r="K30" s="607"/>
      <c r="L30" s="608"/>
      <c r="M30" s="598"/>
      <c r="N30" s="609"/>
      <c r="O30" s="610"/>
      <c r="P30" s="607"/>
      <c r="Q30" s="607"/>
      <c r="R30" s="605"/>
      <c r="S30" s="605"/>
      <c r="T30" s="607"/>
      <c r="U30" s="607"/>
      <c r="V30" s="607"/>
      <c r="W30" s="607"/>
      <c r="X30" s="607"/>
      <c r="Y30" s="607"/>
      <c r="Z30" s="607"/>
      <c r="AA30" s="607"/>
      <c r="AB30" s="607"/>
    </row>
    <row r="31" hidden="1" outlineLevel="1">
      <c r="A31" s="601"/>
      <c r="B31" s="602"/>
      <c r="C31" s="601"/>
      <c r="D31" s="603"/>
      <c r="E31" s="592"/>
      <c r="F31" s="593"/>
      <c r="G31" s="608"/>
      <c r="H31" s="605"/>
      <c r="I31" s="605"/>
      <c r="J31" s="606"/>
      <c r="K31" s="607"/>
      <c r="L31" s="608"/>
      <c r="M31" s="598"/>
      <c r="N31" s="609"/>
      <c r="O31" s="610"/>
      <c r="P31" s="607"/>
      <c r="Q31" s="607"/>
      <c r="R31" s="605"/>
      <c r="S31" s="605"/>
      <c r="T31" s="607"/>
      <c r="U31" s="607"/>
      <c r="V31" s="607"/>
      <c r="W31" s="607"/>
      <c r="X31" s="607"/>
      <c r="Y31" s="607"/>
      <c r="Z31" s="607"/>
      <c r="AA31" s="607"/>
      <c r="AB31" s="607"/>
    </row>
    <row r="32" hidden="1" outlineLevel="1">
      <c r="A32" s="601"/>
      <c r="B32" s="602"/>
      <c r="C32" s="601"/>
      <c r="D32" s="603"/>
      <c r="E32" s="592"/>
      <c r="F32" s="593"/>
      <c r="G32" s="608"/>
      <c r="H32" s="605"/>
      <c r="I32" s="605"/>
      <c r="J32" s="606"/>
      <c r="K32" s="607"/>
      <c r="L32" s="608"/>
      <c r="M32" s="598"/>
      <c r="N32" s="609"/>
      <c r="O32" s="610"/>
      <c r="P32" s="607"/>
      <c r="Q32" s="607"/>
      <c r="R32" s="605"/>
      <c r="S32" s="605"/>
      <c r="T32" s="607"/>
      <c r="U32" s="607"/>
      <c r="V32" s="607"/>
      <c r="W32" s="607"/>
      <c r="X32" s="607"/>
      <c r="Y32" s="607"/>
      <c r="Z32" s="607"/>
      <c r="AA32" s="607"/>
      <c r="AB32" s="607"/>
    </row>
    <row r="33" hidden="1" outlineLevel="1">
      <c r="A33" s="601"/>
      <c r="B33" s="602"/>
      <c r="C33" s="601"/>
      <c r="D33" s="603"/>
      <c r="E33" s="592"/>
      <c r="F33" s="593"/>
      <c r="G33" s="608"/>
      <c r="H33" s="605"/>
      <c r="I33" s="605"/>
      <c r="J33" s="606"/>
      <c r="K33" s="607"/>
      <c r="L33" s="608"/>
      <c r="M33" s="598"/>
      <c r="N33" s="609"/>
      <c r="O33" s="610"/>
      <c r="P33" s="607"/>
      <c r="Q33" s="607"/>
      <c r="R33" s="605"/>
      <c r="S33" s="605"/>
      <c r="T33" s="607"/>
      <c r="U33" s="607"/>
      <c r="V33" s="607"/>
      <c r="W33" s="607"/>
      <c r="X33" s="607"/>
      <c r="Y33" s="607"/>
      <c r="Z33" s="607"/>
      <c r="AA33" s="607"/>
      <c r="AB33" s="607"/>
    </row>
    <row r="34" hidden="1" outlineLevel="1">
      <c r="A34" s="601"/>
      <c r="B34" s="602"/>
      <c r="C34" s="601"/>
      <c r="D34" s="603"/>
      <c r="E34" s="592"/>
      <c r="F34" s="593"/>
      <c r="G34" s="608"/>
      <c r="H34" s="605"/>
      <c r="I34" s="605"/>
      <c r="J34" s="606"/>
      <c r="K34" s="607"/>
      <c r="L34" s="608"/>
      <c r="M34" s="598"/>
      <c r="N34" s="609"/>
      <c r="O34" s="610"/>
      <c r="P34" s="607"/>
      <c r="Q34" s="607"/>
      <c r="R34" s="605"/>
      <c r="S34" s="605"/>
      <c r="T34" s="607"/>
      <c r="U34" s="607"/>
      <c r="V34" s="607"/>
      <c r="W34" s="607"/>
      <c r="X34" s="607"/>
      <c r="Y34" s="607"/>
      <c r="Z34" s="607"/>
      <c r="AA34" s="607"/>
      <c r="AB34" s="607"/>
    </row>
    <row r="35" hidden="1" outlineLevel="1">
      <c r="A35" s="601"/>
      <c r="B35" s="602"/>
      <c r="C35" s="601"/>
      <c r="D35" s="603"/>
      <c r="E35" s="592"/>
      <c r="F35" s="593"/>
      <c r="G35" s="608"/>
      <c r="H35" s="605"/>
      <c r="I35" s="605"/>
      <c r="J35" s="606"/>
      <c r="K35" s="607"/>
      <c r="L35" s="608"/>
      <c r="M35" s="598"/>
      <c r="N35" s="609"/>
      <c r="O35" s="610"/>
      <c r="P35" s="607"/>
      <c r="Q35" s="607"/>
      <c r="R35" s="605"/>
      <c r="S35" s="605"/>
      <c r="T35" s="607"/>
      <c r="U35" s="607"/>
      <c r="V35" s="607"/>
      <c r="W35" s="607"/>
      <c r="X35" s="607"/>
      <c r="Y35" s="607"/>
      <c r="Z35" s="607"/>
      <c r="AA35" s="607"/>
      <c r="AB35" s="607"/>
    </row>
    <row r="36" hidden="1" outlineLevel="1">
      <c r="A36" s="601"/>
      <c r="B36" s="602"/>
      <c r="C36" s="601"/>
      <c r="D36" s="603"/>
      <c r="E36" s="592"/>
      <c r="F36" s="593"/>
      <c r="G36" s="608"/>
      <c r="H36" s="605"/>
      <c r="I36" s="605"/>
      <c r="J36" s="606"/>
      <c r="K36" s="607"/>
      <c r="L36" s="608"/>
      <c r="M36" s="598"/>
      <c r="N36" s="609"/>
      <c r="O36" s="610"/>
      <c r="P36" s="607"/>
      <c r="Q36" s="607"/>
      <c r="R36" s="605"/>
      <c r="S36" s="605"/>
      <c r="T36" s="607"/>
      <c r="U36" s="607"/>
      <c r="V36" s="607"/>
      <c r="W36" s="607"/>
      <c r="X36" s="607"/>
      <c r="Y36" s="607"/>
      <c r="Z36" s="607"/>
      <c r="AA36" s="607"/>
      <c r="AB36" s="607"/>
    </row>
    <row r="37" hidden="1" outlineLevel="1">
      <c r="A37" s="601"/>
      <c r="B37" s="602"/>
      <c r="C37" s="601"/>
      <c r="D37" s="603"/>
      <c r="E37" s="592"/>
      <c r="F37" s="593"/>
      <c r="G37" s="608"/>
      <c r="H37" s="605"/>
      <c r="I37" s="605"/>
      <c r="J37" s="606"/>
      <c r="K37" s="607"/>
      <c r="L37" s="608"/>
      <c r="M37" s="598"/>
      <c r="N37" s="609"/>
      <c r="O37" s="610"/>
      <c r="P37" s="607"/>
      <c r="Q37" s="607"/>
      <c r="R37" s="605"/>
      <c r="S37" s="605"/>
      <c r="T37" s="607"/>
      <c r="U37" s="607"/>
      <c r="V37" s="607"/>
      <c r="W37" s="607"/>
      <c r="X37" s="607"/>
      <c r="Y37" s="607"/>
      <c r="Z37" s="607"/>
      <c r="AA37" s="607"/>
      <c r="AB37" s="607"/>
    </row>
    <row r="38" hidden="1" outlineLevel="1">
      <c r="A38" s="601"/>
      <c r="B38" s="602"/>
      <c r="C38" s="601"/>
      <c r="D38" s="603"/>
      <c r="E38" s="592"/>
      <c r="F38" s="593"/>
      <c r="G38" s="608"/>
      <c r="H38" s="605"/>
      <c r="I38" s="605"/>
      <c r="J38" s="606"/>
      <c r="K38" s="607"/>
      <c r="L38" s="608"/>
      <c r="M38" s="598"/>
      <c r="N38" s="609"/>
      <c r="O38" s="610"/>
      <c r="P38" s="607"/>
      <c r="Q38" s="607"/>
      <c r="R38" s="605"/>
      <c r="S38" s="605"/>
      <c r="T38" s="607"/>
      <c r="U38" s="607"/>
      <c r="V38" s="607"/>
      <c r="W38" s="607"/>
      <c r="X38" s="607"/>
      <c r="Y38" s="607"/>
      <c r="Z38" s="607"/>
      <c r="AA38" s="607"/>
      <c r="AB38" s="607"/>
    </row>
    <row r="39" hidden="1" outlineLevel="1">
      <c r="A39" s="601"/>
      <c r="B39" s="602"/>
      <c r="C39" s="601"/>
      <c r="D39" s="603"/>
      <c r="E39" s="592"/>
      <c r="F39" s="593"/>
      <c r="G39" s="608"/>
      <c r="H39" s="605"/>
      <c r="I39" s="605"/>
      <c r="J39" s="606"/>
      <c r="K39" s="607"/>
      <c r="L39" s="608"/>
      <c r="M39" s="598"/>
      <c r="N39" s="609"/>
      <c r="O39" s="610"/>
      <c r="P39" s="607"/>
      <c r="Q39" s="607"/>
      <c r="R39" s="605"/>
      <c r="S39" s="605"/>
      <c r="T39" s="607"/>
      <c r="U39" s="607"/>
      <c r="V39" s="607"/>
      <c r="W39" s="607"/>
      <c r="X39" s="607"/>
      <c r="Y39" s="607"/>
      <c r="Z39" s="607"/>
      <c r="AA39" s="607"/>
      <c r="AB39" s="607"/>
    </row>
    <row r="40" hidden="1" outlineLevel="1">
      <c r="A40" s="601"/>
      <c r="B40" s="602"/>
      <c r="C40" s="601"/>
      <c r="D40" s="603"/>
      <c r="E40" s="592"/>
      <c r="F40" s="593"/>
      <c r="G40" s="608"/>
      <c r="H40" s="605"/>
      <c r="I40" s="605"/>
      <c r="J40" s="606"/>
      <c r="K40" s="607"/>
      <c r="L40" s="608"/>
      <c r="M40" s="598"/>
      <c r="N40" s="609"/>
      <c r="O40" s="610"/>
      <c r="P40" s="607"/>
      <c r="Q40" s="607"/>
      <c r="R40" s="605"/>
      <c r="S40" s="605"/>
      <c r="T40" s="607"/>
      <c r="U40" s="607"/>
      <c r="V40" s="607"/>
      <c r="W40" s="607"/>
      <c r="X40" s="607"/>
      <c r="Y40" s="607"/>
      <c r="Z40" s="607"/>
      <c r="AA40" s="607"/>
      <c r="AB40" s="607"/>
    </row>
    <row r="41" hidden="1" outlineLevel="1">
      <c r="A41" s="601"/>
      <c r="B41" s="602"/>
      <c r="C41" s="601"/>
      <c r="D41" s="603"/>
      <c r="E41" s="592"/>
      <c r="F41" s="593"/>
      <c r="G41" s="608"/>
      <c r="H41" s="605"/>
      <c r="I41" s="605"/>
      <c r="J41" s="606"/>
      <c r="K41" s="607"/>
      <c r="L41" s="608"/>
      <c r="M41" s="598"/>
      <c r="N41" s="609"/>
      <c r="O41" s="610"/>
      <c r="P41" s="607"/>
      <c r="Q41" s="607"/>
      <c r="R41" s="605"/>
      <c r="S41" s="605"/>
      <c r="T41" s="607"/>
      <c r="U41" s="607"/>
      <c r="V41" s="607"/>
      <c r="W41" s="607"/>
      <c r="X41" s="607"/>
      <c r="Y41" s="607"/>
      <c r="Z41" s="607"/>
      <c r="AA41" s="607"/>
      <c r="AB41" s="607"/>
    </row>
    <row r="42" hidden="1" outlineLevel="1">
      <c r="A42" s="601"/>
      <c r="B42" s="602"/>
      <c r="C42" s="601"/>
      <c r="D42" s="603"/>
      <c r="E42" s="592"/>
      <c r="F42" s="593"/>
      <c r="G42" s="608"/>
      <c r="H42" s="605"/>
      <c r="I42" s="605"/>
      <c r="J42" s="606"/>
      <c r="K42" s="607"/>
      <c r="L42" s="608"/>
      <c r="M42" s="598"/>
      <c r="N42" s="609"/>
      <c r="O42" s="610"/>
      <c r="P42" s="607"/>
      <c r="Q42" s="607"/>
      <c r="R42" s="605"/>
      <c r="S42" s="605"/>
      <c r="T42" s="607"/>
      <c r="U42" s="607"/>
      <c r="V42" s="607"/>
      <c r="W42" s="607"/>
      <c r="X42" s="607"/>
      <c r="Y42" s="607"/>
      <c r="Z42" s="607"/>
      <c r="AA42" s="607"/>
      <c r="AB42" s="607"/>
    </row>
    <row r="43" hidden="1" outlineLevel="1">
      <c r="A43" s="601"/>
      <c r="B43" s="602"/>
      <c r="C43" s="601"/>
      <c r="D43" s="603"/>
      <c r="E43" s="592"/>
      <c r="F43" s="593"/>
      <c r="G43" s="608"/>
      <c r="H43" s="605"/>
      <c r="I43" s="605"/>
      <c r="J43" s="606"/>
      <c r="K43" s="607"/>
      <c r="L43" s="608"/>
      <c r="M43" s="598"/>
      <c r="N43" s="609"/>
      <c r="O43" s="610"/>
      <c r="P43" s="607"/>
      <c r="Q43" s="607"/>
      <c r="R43" s="605"/>
      <c r="S43" s="605"/>
      <c r="T43" s="607"/>
      <c r="U43" s="607"/>
      <c r="V43" s="607"/>
      <c r="W43" s="607"/>
      <c r="X43" s="607"/>
      <c r="Y43" s="607"/>
      <c r="Z43" s="607"/>
      <c r="AA43" s="607"/>
      <c r="AB43" s="607"/>
    </row>
    <row r="44" hidden="1" outlineLevel="1">
      <c r="A44" s="601"/>
      <c r="B44" s="602"/>
      <c r="C44" s="601"/>
      <c r="D44" s="603"/>
      <c r="E44" s="592"/>
      <c r="F44" s="593"/>
      <c r="G44" s="608"/>
      <c r="H44" s="605"/>
      <c r="I44" s="605"/>
      <c r="J44" s="606"/>
      <c r="K44" s="607"/>
      <c r="L44" s="608"/>
      <c r="M44" s="598"/>
      <c r="N44" s="609"/>
      <c r="O44" s="610"/>
      <c r="P44" s="607"/>
      <c r="Q44" s="607"/>
      <c r="R44" s="605"/>
      <c r="S44" s="605"/>
      <c r="T44" s="607"/>
      <c r="U44" s="607"/>
      <c r="V44" s="607"/>
      <c r="W44" s="607"/>
      <c r="X44" s="607"/>
      <c r="Y44" s="607"/>
      <c r="Z44" s="607"/>
      <c r="AA44" s="607"/>
      <c r="AB44" s="607"/>
    </row>
    <row r="45" hidden="1" outlineLevel="1">
      <c r="A45" s="601"/>
      <c r="B45" s="602"/>
      <c r="C45" s="601"/>
      <c r="D45" s="603"/>
      <c r="E45" s="592"/>
      <c r="F45" s="593"/>
      <c r="G45" s="608"/>
      <c r="H45" s="605"/>
      <c r="I45" s="605"/>
      <c r="J45" s="606"/>
      <c r="K45" s="607"/>
      <c r="L45" s="608"/>
      <c r="M45" s="598"/>
      <c r="N45" s="609"/>
      <c r="O45" s="610"/>
      <c r="P45" s="607"/>
      <c r="Q45" s="607"/>
      <c r="R45" s="605"/>
      <c r="S45" s="605"/>
      <c r="T45" s="607"/>
      <c r="U45" s="607"/>
      <c r="V45" s="607"/>
      <c r="W45" s="607"/>
      <c r="X45" s="607"/>
      <c r="Y45" s="607"/>
      <c r="Z45" s="607"/>
      <c r="AA45" s="607"/>
      <c r="AB45" s="607"/>
    </row>
    <row r="46" hidden="1" outlineLevel="1">
      <c r="A46" s="601"/>
      <c r="B46" s="602"/>
      <c r="C46" s="601"/>
      <c r="D46" s="603"/>
      <c r="E46" s="592"/>
      <c r="F46" s="593"/>
      <c r="G46" s="608"/>
      <c r="H46" s="605"/>
      <c r="I46" s="605"/>
      <c r="J46" s="606"/>
      <c r="K46" s="607"/>
      <c r="L46" s="608"/>
      <c r="M46" s="598"/>
      <c r="N46" s="609"/>
      <c r="O46" s="610"/>
      <c r="P46" s="607"/>
      <c r="Q46" s="607"/>
      <c r="R46" s="605"/>
      <c r="S46" s="605"/>
      <c r="T46" s="607"/>
      <c r="U46" s="607"/>
      <c r="V46" s="607"/>
      <c r="W46" s="607"/>
      <c r="X46" s="607"/>
      <c r="Y46" s="607"/>
      <c r="Z46" s="607"/>
      <c r="AA46" s="607"/>
      <c r="AB46" s="607"/>
    </row>
    <row r="47" hidden="1" outlineLevel="1">
      <c r="A47" s="601"/>
      <c r="B47" s="602"/>
      <c r="C47" s="601"/>
      <c r="D47" s="603"/>
      <c r="E47" s="592"/>
      <c r="F47" s="593"/>
      <c r="G47" s="608"/>
      <c r="H47" s="605"/>
      <c r="I47" s="605"/>
      <c r="J47" s="606"/>
      <c r="K47" s="607"/>
      <c r="L47" s="608"/>
      <c r="M47" s="598"/>
      <c r="N47" s="609"/>
      <c r="O47" s="610"/>
      <c r="P47" s="607"/>
      <c r="Q47" s="607"/>
      <c r="R47" s="605"/>
      <c r="S47" s="605"/>
      <c r="T47" s="607"/>
      <c r="U47" s="607"/>
      <c r="V47" s="607"/>
      <c r="W47" s="607"/>
      <c r="X47" s="607"/>
      <c r="Y47" s="607"/>
      <c r="Z47" s="607"/>
      <c r="AA47" s="607"/>
      <c r="AB47" s="607"/>
    </row>
    <row r="48" hidden="1" outlineLevel="1">
      <c r="A48" s="601"/>
      <c r="B48" s="602"/>
      <c r="C48" s="601"/>
      <c r="D48" s="603"/>
      <c r="E48" s="592"/>
      <c r="F48" s="593"/>
      <c r="G48" s="608"/>
      <c r="H48" s="605"/>
      <c r="I48" s="605"/>
      <c r="J48" s="606"/>
      <c r="K48" s="607"/>
      <c r="L48" s="608"/>
      <c r="M48" s="598"/>
      <c r="N48" s="609"/>
      <c r="O48" s="610"/>
      <c r="P48" s="607"/>
      <c r="Q48" s="607"/>
      <c r="R48" s="605"/>
      <c r="S48" s="605"/>
      <c r="T48" s="607"/>
      <c r="U48" s="607"/>
      <c r="V48" s="607"/>
      <c r="W48" s="607"/>
      <c r="X48" s="607"/>
      <c r="Y48" s="607"/>
      <c r="Z48" s="607"/>
      <c r="AA48" s="607"/>
      <c r="AB48" s="607"/>
    </row>
    <row r="49" hidden="1" outlineLevel="1">
      <c r="A49" s="601"/>
      <c r="B49" s="602"/>
      <c r="C49" s="601"/>
      <c r="D49" s="603"/>
      <c r="E49" s="592"/>
      <c r="F49" s="593"/>
      <c r="G49" s="608"/>
      <c r="H49" s="605"/>
      <c r="I49" s="605"/>
      <c r="J49" s="606"/>
      <c r="K49" s="607"/>
      <c r="L49" s="608"/>
      <c r="M49" s="598"/>
      <c r="N49" s="609"/>
      <c r="O49" s="610"/>
      <c r="P49" s="607"/>
      <c r="Q49" s="607"/>
      <c r="R49" s="605"/>
      <c r="S49" s="605"/>
      <c r="T49" s="607"/>
      <c r="U49" s="607"/>
      <c r="V49" s="607"/>
      <c r="W49" s="607"/>
      <c r="X49" s="607"/>
      <c r="Y49" s="607"/>
      <c r="Z49" s="607"/>
      <c r="AA49" s="607"/>
      <c r="AB49" s="607"/>
    </row>
    <row r="50" hidden="1" outlineLevel="1">
      <c r="A50" s="601"/>
      <c r="B50" s="602"/>
      <c r="C50" s="601"/>
      <c r="D50" s="603"/>
      <c r="E50" s="592"/>
      <c r="F50" s="593"/>
      <c r="G50" s="608"/>
      <c r="H50" s="605"/>
      <c r="I50" s="605"/>
      <c r="J50" s="606"/>
      <c r="K50" s="607"/>
      <c r="L50" s="608"/>
      <c r="M50" s="598"/>
      <c r="N50" s="609"/>
      <c r="O50" s="610"/>
      <c r="P50" s="607"/>
      <c r="Q50" s="607"/>
      <c r="R50" s="605"/>
      <c r="S50" s="605"/>
      <c r="T50" s="607"/>
      <c r="U50" s="607"/>
      <c r="V50" s="607"/>
      <c r="W50" s="607"/>
      <c r="X50" s="607"/>
      <c r="Y50" s="607"/>
      <c r="Z50" s="607"/>
      <c r="AA50" s="607"/>
      <c r="AB50" s="607"/>
    </row>
    <row r="51" hidden="1" outlineLevel="1">
      <c r="A51" s="601"/>
      <c r="B51" s="602"/>
      <c r="C51" s="601"/>
      <c r="D51" s="603"/>
      <c r="E51" s="592"/>
      <c r="F51" s="593"/>
      <c r="G51" s="608"/>
      <c r="H51" s="605"/>
      <c r="I51" s="605"/>
      <c r="J51" s="606"/>
      <c r="K51" s="607"/>
      <c r="L51" s="608"/>
      <c r="M51" s="598"/>
      <c r="N51" s="609"/>
      <c r="O51" s="610"/>
      <c r="P51" s="607"/>
      <c r="Q51" s="607"/>
      <c r="R51" s="605"/>
      <c r="S51" s="605"/>
      <c r="T51" s="607"/>
      <c r="U51" s="607"/>
      <c r="V51" s="607"/>
      <c r="W51" s="607"/>
      <c r="X51" s="607"/>
      <c r="Y51" s="607"/>
      <c r="Z51" s="607"/>
      <c r="AA51" s="607"/>
      <c r="AB51" s="607"/>
    </row>
    <row r="52" hidden="1" outlineLevel="1">
      <c r="A52" s="601"/>
      <c r="B52" s="602"/>
      <c r="C52" s="601"/>
      <c r="D52" s="603"/>
      <c r="E52" s="592"/>
      <c r="F52" s="593"/>
      <c r="G52" s="608"/>
      <c r="H52" s="605"/>
      <c r="I52" s="605"/>
      <c r="J52" s="606"/>
      <c r="K52" s="607"/>
      <c r="L52" s="608"/>
      <c r="M52" s="598"/>
      <c r="N52" s="609"/>
      <c r="O52" s="610"/>
      <c r="P52" s="607"/>
      <c r="Q52" s="607"/>
      <c r="R52" s="605"/>
      <c r="S52" s="605"/>
      <c r="T52" s="607"/>
      <c r="U52" s="607"/>
      <c r="V52" s="607"/>
      <c r="W52" s="607"/>
      <c r="X52" s="607"/>
      <c r="Y52" s="607"/>
      <c r="Z52" s="607"/>
      <c r="AA52" s="607"/>
      <c r="AB52" s="607"/>
    </row>
    <row r="53" hidden="1" outlineLevel="1">
      <c r="A53" s="601"/>
      <c r="B53" s="602"/>
      <c r="C53" s="601"/>
      <c r="D53" s="603"/>
      <c r="E53" s="592"/>
      <c r="F53" s="593"/>
      <c r="G53" s="608"/>
      <c r="H53" s="605"/>
      <c r="I53" s="605"/>
      <c r="J53" s="606"/>
      <c r="K53" s="607"/>
      <c r="L53" s="608"/>
      <c r="M53" s="598"/>
      <c r="N53" s="609"/>
      <c r="O53" s="610"/>
      <c r="P53" s="607"/>
      <c r="Q53" s="607"/>
      <c r="R53" s="605"/>
      <c r="S53" s="605"/>
      <c r="T53" s="607"/>
      <c r="U53" s="607"/>
      <c r="V53" s="607"/>
      <c r="W53" s="607"/>
      <c r="X53" s="607"/>
      <c r="Y53" s="607"/>
      <c r="Z53" s="607"/>
      <c r="AA53" s="607"/>
      <c r="AB53" s="607"/>
    </row>
    <row r="54" hidden="1" outlineLevel="1">
      <c r="A54" s="601"/>
      <c r="B54" s="602"/>
      <c r="C54" s="601"/>
      <c r="D54" s="603"/>
      <c r="E54" s="592"/>
      <c r="F54" s="593"/>
      <c r="G54" s="608"/>
      <c r="H54" s="605"/>
      <c r="I54" s="605"/>
      <c r="J54" s="606"/>
      <c r="K54" s="607"/>
      <c r="L54" s="608"/>
      <c r="M54" s="598"/>
      <c r="N54" s="609"/>
      <c r="O54" s="610"/>
      <c r="P54" s="607"/>
      <c r="Q54" s="607"/>
      <c r="R54" s="605"/>
      <c r="S54" s="605"/>
      <c r="T54" s="607"/>
      <c r="U54" s="607"/>
      <c r="V54" s="607"/>
      <c r="W54" s="607"/>
      <c r="X54" s="607"/>
      <c r="Y54" s="607"/>
      <c r="Z54" s="607"/>
      <c r="AA54" s="607"/>
      <c r="AB54" s="607"/>
    </row>
    <row r="55" hidden="1" outlineLevel="1">
      <c r="A55" s="601"/>
      <c r="B55" s="602"/>
      <c r="C55" s="601"/>
      <c r="D55" s="603"/>
      <c r="E55" s="592"/>
      <c r="F55" s="593"/>
      <c r="G55" s="608"/>
      <c r="H55" s="605"/>
      <c r="I55" s="605"/>
      <c r="J55" s="606"/>
      <c r="K55" s="607"/>
      <c r="L55" s="608"/>
      <c r="M55" s="598"/>
      <c r="N55" s="609"/>
      <c r="O55" s="610"/>
      <c r="P55" s="607"/>
      <c r="Q55" s="607"/>
      <c r="R55" s="605"/>
      <c r="S55" s="605"/>
      <c r="T55" s="607"/>
      <c r="U55" s="607"/>
      <c r="V55" s="607"/>
      <c r="W55" s="607"/>
      <c r="X55" s="607"/>
      <c r="Y55" s="607"/>
      <c r="Z55" s="607"/>
      <c r="AA55" s="607"/>
      <c r="AB55" s="607"/>
    </row>
    <row r="56" hidden="1" outlineLevel="1">
      <c r="A56" s="601"/>
      <c r="B56" s="602"/>
      <c r="C56" s="601"/>
      <c r="D56" s="603"/>
      <c r="E56" s="592"/>
      <c r="F56" s="593"/>
      <c r="G56" s="608"/>
      <c r="H56" s="605"/>
      <c r="I56" s="605"/>
      <c r="J56" s="606"/>
      <c r="K56" s="607"/>
      <c r="L56" s="608"/>
      <c r="M56" s="598"/>
      <c r="N56" s="609"/>
      <c r="O56" s="610"/>
      <c r="P56" s="607"/>
      <c r="Q56" s="607"/>
      <c r="R56" s="605"/>
      <c r="S56" s="605"/>
      <c r="T56" s="607"/>
      <c r="U56" s="607"/>
      <c r="V56" s="607"/>
      <c r="W56" s="607"/>
      <c r="X56" s="607"/>
      <c r="Y56" s="607"/>
      <c r="Z56" s="607"/>
      <c r="AA56" s="607"/>
      <c r="AB56" s="607"/>
    </row>
    <row r="57" hidden="1" outlineLevel="1">
      <c r="A57" s="601"/>
      <c r="B57" s="602"/>
      <c r="C57" s="601"/>
      <c r="D57" s="603"/>
      <c r="E57" s="592"/>
      <c r="F57" s="593"/>
      <c r="G57" s="608"/>
      <c r="H57" s="605"/>
      <c r="I57" s="605"/>
      <c r="J57" s="606"/>
      <c r="K57" s="607"/>
      <c r="L57" s="608"/>
      <c r="M57" s="598"/>
      <c r="N57" s="609"/>
      <c r="O57" s="610"/>
      <c r="P57" s="607"/>
      <c r="Q57" s="607"/>
      <c r="R57" s="605"/>
      <c r="S57" s="605"/>
      <c r="T57" s="607"/>
      <c r="U57" s="607"/>
      <c r="V57" s="607"/>
      <c r="W57" s="607"/>
      <c r="X57" s="607"/>
      <c r="Y57" s="607"/>
      <c r="Z57" s="607"/>
      <c r="AA57" s="607"/>
      <c r="AB57" s="607"/>
    </row>
    <row r="58" hidden="1" outlineLevel="1">
      <c r="A58" s="601"/>
      <c r="B58" s="602"/>
      <c r="C58" s="601"/>
      <c r="D58" s="603"/>
      <c r="E58" s="592"/>
      <c r="F58" s="593"/>
      <c r="G58" s="608"/>
      <c r="H58" s="605"/>
      <c r="I58" s="605"/>
      <c r="J58" s="606"/>
      <c r="K58" s="607"/>
      <c r="L58" s="608"/>
      <c r="M58" s="598"/>
      <c r="N58" s="609"/>
      <c r="O58" s="610"/>
      <c r="P58" s="607"/>
      <c r="Q58" s="607"/>
      <c r="R58" s="605"/>
      <c r="S58" s="605"/>
      <c r="T58" s="607"/>
      <c r="U58" s="607"/>
      <c r="V58" s="607"/>
      <c r="W58" s="607"/>
      <c r="X58" s="607"/>
      <c r="Y58" s="607"/>
      <c r="Z58" s="607"/>
      <c r="AA58" s="607"/>
      <c r="AB58" s="607"/>
    </row>
    <row r="59" hidden="1" outlineLevel="1">
      <c r="A59" s="601"/>
      <c r="B59" s="602"/>
      <c r="C59" s="601"/>
      <c r="D59" s="603"/>
      <c r="E59" s="592"/>
      <c r="F59" s="593"/>
      <c r="G59" s="608"/>
      <c r="H59" s="605"/>
      <c r="I59" s="605"/>
      <c r="J59" s="606"/>
      <c r="K59" s="607"/>
      <c r="L59" s="608"/>
      <c r="M59" s="598"/>
      <c r="N59" s="609"/>
      <c r="O59" s="610"/>
      <c r="P59" s="607"/>
      <c r="Q59" s="607"/>
      <c r="R59" s="605"/>
      <c r="S59" s="605"/>
      <c r="T59" s="607"/>
      <c r="U59" s="607"/>
      <c r="V59" s="607"/>
      <c r="W59" s="607"/>
      <c r="X59" s="607"/>
      <c r="Y59" s="607"/>
      <c r="Z59" s="607"/>
      <c r="AA59" s="607"/>
      <c r="AB59" s="607"/>
    </row>
    <row r="60">
      <c r="A60" s="601"/>
      <c r="B60" s="602"/>
      <c r="C60" s="601"/>
      <c r="D60" s="603"/>
      <c r="E60" s="611"/>
      <c r="F60" s="612"/>
      <c r="G60" s="613"/>
      <c r="H60" s="605"/>
      <c r="I60" s="605"/>
      <c r="J60" s="614"/>
      <c r="K60" s="607"/>
      <c r="L60" s="615"/>
      <c r="M60" s="598"/>
      <c r="N60" s="609"/>
      <c r="O60" s="610"/>
      <c r="P60" s="607"/>
      <c r="Q60" s="607"/>
      <c r="R60" s="605"/>
      <c r="S60" s="605"/>
      <c r="T60" s="607"/>
      <c r="U60" s="607"/>
      <c r="V60" s="607"/>
      <c r="W60" s="607"/>
      <c r="X60" s="607"/>
      <c r="Y60" s="607"/>
      <c r="Z60" s="607"/>
      <c r="AA60" s="607"/>
      <c r="AB60" s="607"/>
    </row>
    <row r="61">
      <c r="A61" s="616" t="str">
        <f t="array" ref="A61:A112">{"ID_Изменения";BYROW('5-4 Изменения в товарах'!B62:B112,lambda(_n,IF(_n&lt;&gt;"",IFERROR(VLOOKUP(_n,{'5-4 Изменения в товарах'!B11:B60,'5-4 Изменения в товарах'!A11:A60},2,FALSE),),)))}</f>
        <v>ID_Изменения</v>
      </c>
      <c r="B61" s="617" t="s">
        <v>569</v>
      </c>
      <c r="C61" s="618" t="s">
        <v>572</v>
      </c>
      <c r="D61" s="618" t="s">
        <v>571</v>
      </c>
      <c r="E61" s="619" t="str">
        <f t="array" ref="E61:F112">{{"ID_Товара","№"} ;LAMBDA(_arr_rs,_rf, BYROW(_arr_rs, LAMBDA(r , 
LAmbda(id,   { IF(id&lt;&gt;0,  "ID_T"&amp;id,  )    ,  IF(id&lt;&gt;0,    ""&amp;id , )  }   ) ( IF(r&lt;&gt;"",ROW(r)-_rf+501,0) )  )
) )('5-4 Изменения в товарах'!$G$62:$G$112, ROW( '5-4 Изменения в товарах'!$G$62))
}</f>
        <v>ID_Товара</v>
      </c>
      <c r="F61" s="620" t="s">
        <v>41</v>
      </c>
      <c r="G61" s="621" t="s">
        <v>573</v>
      </c>
      <c r="H61" s="622" t="s">
        <v>93</v>
      </c>
      <c r="I61" s="622" t="s">
        <v>94</v>
      </c>
      <c r="J61" s="623" t="s">
        <v>10</v>
      </c>
      <c r="K61" s="624"/>
      <c r="L61" s="625" t="s">
        <v>54</v>
      </c>
      <c r="M61" s="624" t="s">
        <v>55</v>
      </c>
      <c r="N61" s="625" t="s">
        <v>16</v>
      </c>
      <c r="O61" s="626" t="s">
        <v>61</v>
      </c>
      <c r="P61" s="624" t="s">
        <v>59</v>
      </c>
      <c r="Q61" s="624" t="s">
        <v>60</v>
      </c>
      <c r="R61" s="627"/>
      <c r="S61" s="627"/>
      <c r="T61" s="624"/>
      <c r="U61" s="624"/>
      <c r="V61" s="624"/>
      <c r="W61" s="624"/>
      <c r="X61" s="624"/>
      <c r="Y61" s="624"/>
      <c r="Z61" s="624"/>
      <c r="AA61" s="624"/>
      <c r="AB61" s="624"/>
    </row>
    <row r="62">
      <c r="A62" s="601"/>
      <c r="B62" s="628"/>
      <c r="C62" s="629"/>
      <c r="D62" s="630"/>
      <c r="E62" s="592"/>
      <c r="F62" s="631"/>
      <c r="G62" s="632"/>
      <c r="H62" s="633"/>
      <c r="I62" s="633"/>
      <c r="J62" s="634"/>
      <c r="K62" s="601"/>
      <c r="L62" s="632"/>
      <c r="M62" s="635"/>
      <c r="N62" s="636"/>
      <c r="O62" s="637"/>
      <c r="P62" s="629"/>
      <c r="Q62" s="601"/>
      <c r="R62" s="633"/>
      <c r="S62" s="633"/>
      <c r="T62" s="601"/>
      <c r="U62" s="601"/>
      <c r="V62" s="601"/>
      <c r="W62" s="601"/>
      <c r="X62" s="601"/>
      <c r="Y62" s="601"/>
      <c r="Z62" s="601"/>
      <c r="AA62" s="601"/>
      <c r="AB62" s="629"/>
    </row>
    <row r="63">
      <c r="A63" s="601"/>
      <c r="B63" s="628"/>
      <c r="C63" s="629"/>
      <c r="D63" s="630"/>
      <c r="E63" s="592"/>
      <c r="F63" s="631"/>
      <c r="G63" s="638"/>
      <c r="H63" s="605"/>
      <c r="I63" s="605"/>
      <c r="J63" s="639"/>
      <c r="K63" s="601"/>
      <c r="L63" s="638"/>
      <c r="M63" s="640"/>
      <c r="N63" s="641"/>
      <c r="O63" s="642"/>
      <c r="P63" s="601"/>
      <c r="Q63" s="601"/>
      <c r="R63" s="605"/>
      <c r="S63" s="605"/>
      <c r="T63" s="601"/>
      <c r="U63" s="601"/>
      <c r="V63" s="601"/>
      <c r="W63" s="601"/>
      <c r="X63" s="601"/>
      <c r="Y63" s="601"/>
      <c r="Z63" s="601"/>
      <c r="AA63" s="601"/>
      <c r="AB63" s="601"/>
    </row>
    <row r="64">
      <c r="A64" s="601"/>
      <c r="B64" s="628"/>
      <c r="C64" s="629"/>
      <c r="D64" s="630"/>
      <c r="E64" s="592"/>
      <c r="F64" s="631"/>
      <c r="G64" s="638"/>
      <c r="H64" s="605"/>
      <c r="I64" s="605"/>
      <c r="J64" s="639"/>
      <c r="K64" s="601"/>
      <c r="L64" s="638"/>
      <c r="M64" s="640"/>
      <c r="N64" s="641"/>
      <c r="O64" s="642"/>
      <c r="P64" s="601"/>
      <c r="Q64" s="601"/>
      <c r="R64" s="605"/>
      <c r="S64" s="605"/>
      <c r="T64" s="601"/>
      <c r="U64" s="601"/>
      <c r="V64" s="601"/>
      <c r="W64" s="601"/>
      <c r="X64" s="601"/>
      <c r="Y64" s="601"/>
      <c r="Z64" s="601"/>
      <c r="AA64" s="601"/>
      <c r="AB64" s="601"/>
    </row>
    <row r="65" collapsed="1">
      <c r="A65" s="601"/>
      <c r="B65" s="628"/>
      <c r="C65" s="629"/>
      <c r="D65" s="630"/>
      <c r="E65" s="592"/>
      <c r="F65" s="631"/>
      <c r="G65" s="638"/>
      <c r="H65" s="605"/>
      <c r="I65" s="605"/>
      <c r="J65" s="639"/>
      <c r="K65" s="601"/>
      <c r="L65" s="638"/>
      <c r="M65" s="640"/>
      <c r="N65" s="641"/>
      <c r="O65" s="642"/>
      <c r="P65" s="601"/>
      <c r="Q65" s="601"/>
      <c r="R65" s="605"/>
      <c r="S65" s="605"/>
      <c r="T65" s="601"/>
      <c r="U65" s="601"/>
      <c r="V65" s="601"/>
      <c r="W65" s="601"/>
      <c r="X65" s="601"/>
      <c r="Y65" s="601"/>
      <c r="Z65" s="601"/>
      <c r="AA65" s="601"/>
      <c r="AB65" s="629"/>
    </row>
    <row r="66" hidden="1" outlineLevel="1">
      <c r="A66" s="601"/>
      <c r="B66" s="602"/>
      <c r="C66" s="601"/>
      <c r="D66" s="603"/>
      <c r="E66" s="592"/>
      <c r="F66" s="631"/>
      <c r="G66" s="638"/>
      <c r="H66" s="643"/>
      <c r="I66" s="643"/>
      <c r="J66" s="639"/>
      <c r="K66" s="601"/>
      <c r="L66" s="644"/>
      <c r="M66" s="645"/>
      <c r="N66" s="641"/>
      <c r="O66" s="642"/>
      <c r="P66" s="601"/>
      <c r="Q66" s="601"/>
      <c r="R66" s="605"/>
      <c r="S66" s="605"/>
      <c r="T66" s="601"/>
      <c r="U66" s="601"/>
      <c r="V66" s="601"/>
      <c r="W66" s="601"/>
      <c r="X66" s="601"/>
      <c r="Y66" s="601"/>
      <c r="Z66" s="601"/>
      <c r="AA66" s="601"/>
      <c r="AB66" s="601"/>
    </row>
    <row r="67" hidden="1" outlineLevel="1">
      <c r="A67" s="601"/>
      <c r="B67" s="602"/>
      <c r="C67" s="629"/>
      <c r="D67" s="630"/>
      <c r="E67" s="592"/>
      <c r="F67" s="631"/>
      <c r="G67" s="638"/>
      <c r="H67" s="643"/>
      <c r="I67" s="643"/>
      <c r="J67" s="639"/>
      <c r="K67" s="601"/>
      <c r="L67" s="644"/>
      <c r="M67" s="645"/>
      <c r="N67" s="641"/>
      <c r="O67" s="642"/>
      <c r="P67" s="601"/>
      <c r="Q67" s="601"/>
      <c r="R67" s="605"/>
      <c r="S67" s="605"/>
      <c r="T67" s="601"/>
      <c r="U67" s="601"/>
      <c r="V67" s="601"/>
      <c r="W67" s="601"/>
      <c r="X67" s="601"/>
      <c r="Y67" s="601"/>
      <c r="Z67" s="601"/>
      <c r="AA67" s="601"/>
      <c r="AB67" s="601"/>
    </row>
    <row r="68" hidden="1" outlineLevel="1">
      <c r="A68" s="601"/>
      <c r="B68" s="602"/>
      <c r="C68" s="601"/>
      <c r="D68" s="603"/>
      <c r="E68" s="592"/>
      <c r="F68" s="631"/>
      <c r="G68" s="644"/>
      <c r="H68" s="643"/>
      <c r="I68" s="643"/>
      <c r="J68" s="639"/>
      <c r="K68" s="601"/>
      <c r="L68" s="644"/>
      <c r="M68" s="645"/>
      <c r="N68" s="641"/>
      <c r="O68" s="642"/>
      <c r="P68" s="601"/>
      <c r="Q68" s="601"/>
      <c r="R68" s="605"/>
      <c r="S68" s="605"/>
      <c r="T68" s="601"/>
      <c r="U68" s="601"/>
      <c r="V68" s="601"/>
      <c r="W68" s="601"/>
      <c r="X68" s="601"/>
      <c r="Y68" s="601"/>
      <c r="Z68" s="601"/>
      <c r="AA68" s="601"/>
      <c r="AB68" s="601"/>
    </row>
    <row r="69" hidden="1" outlineLevel="1">
      <c r="A69" s="601"/>
      <c r="B69" s="602"/>
      <c r="C69" s="601"/>
      <c r="D69" s="603"/>
      <c r="E69" s="592"/>
      <c r="F69" s="631"/>
      <c r="G69" s="644"/>
      <c r="H69" s="643"/>
      <c r="I69" s="643"/>
      <c r="J69" s="639"/>
      <c r="K69" s="601"/>
      <c r="L69" s="644"/>
      <c r="M69" s="645"/>
      <c r="N69" s="641"/>
      <c r="O69" s="642"/>
      <c r="P69" s="601"/>
      <c r="Q69" s="601"/>
      <c r="R69" s="605"/>
      <c r="S69" s="605"/>
      <c r="T69" s="601"/>
      <c r="U69" s="601"/>
      <c r="V69" s="601"/>
      <c r="W69" s="601"/>
      <c r="X69" s="601"/>
      <c r="Y69" s="601"/>
      <c r="Z69" s="601"/>
      <c r="AA69" s="601"/>
      <c r="AB69" s="601"/>
    </row>
    <row r="70" hidden="1" outlineLevel="1">
      <c r="A70" s="601"/>
      <c r="B70" s="602"/>
      <c r="C70" s="601"/>
      <c r="D70" s="603"/>
      <c r="E70" s="592"/>
      <c r="F70" s="631"/>
      <c r="G70" s="644"/>
      <c r="H70" s="643"/>
      <c r="I70" s="643"/>
      <c r="J70" s="639"/>
      <c r="K70" s="601"/>
      <c r="L70" s="644"/>
      <c r="M70" s="645"/>
      <c r="N70" s="641"/>
      <c r="O70" s="642"/>
      <c r="P70" s="601"/>
      <c r="Q70" s="601"/>
      <c r="R70" s="605"/>
      <c r="S70" s="605"/>
      <c r="T70" s="601"/>
      <c r="U70" s="601"/>
      <c r="V70" s="601"/>
      <c r="W70" s="601"/>
      <c r="X70" s="601"/>
      <c r="Y70" s="601"/>
      <c r="Z70" s="601"/>
      <c r="AA70" s="601"/>
      <c r="AB70" s="601"/>
    </row>
    <row r="71" hidden="1" outlineLevel="1">
      <c r="A71" s="601"/>
      <c r="B71" s="602"/>
      <c r="C71" s="601"/>
      <c r="D71" s="603"/>
      <c r="E71" s="592"/>
      <c r="F71" s="631"/>
      <c r="G71" s="644"/>
      <c r="H71" s="643"/>
      <c r="I71" s="643"/>
      <c r="J71" s="639"/>
      <c r="K71" s="601"/>
      <c r="L71" s="644"/>
      <c r="M71" s="645"/>
      <c r="N71" s="641"/>
      <c r="O71" s="642"/>
      <c r="P71" s="601"/>
      <c r="Q71" s="601"/>
      <c r="R71" s="605"/>
      <c r="S71" s="605"/>
      <c r="T71" s="601"/>
      <c r="U71" s="601"/>
      <c r="V71" s="601"/>
      <c r="W71" s="601"/>
      <c r="X71" s="601"/>
      <c r="Y71" s="601"/>
      <c r="Z71" s="601"/>
      <c r="AA71" s="601"/>
      <c r="AB71" s="601"/>
    </row>
    <row r="72" hidden="1" outlineLevel="1">
      <c r="A72" s="601"/>
      <c r="B72" s="602"/>
      <c r="C72" s="601"/>
      <c r="D72" s="603"/>
      <c r="E72" s="592"/>
      <c r="F72" s="631"/>
      <c r="G72" s="644"/>
      <c r="H72" s="643"/>
      <c r="I72" s="643"/>
      <c r="J72" s="639"/>
      <c r="K72" s="601"/>
      <c r="L72" s="644"/>
      <c r="M72" s="645"/>
      <c r="N72" s="641"/>
      <c r="O72" s="642"/>
      <c r="P72" s="601"/>
      <c r="Q72" s="601"/>
      <c r="R72" s="605"/>
      <c r="S72" s="605"/>
      <c r="T72" s="601"/>
      <c r="U72" s="601"/>
      <c r="V72" s="601"/>
      <c r="W72" s="601"/>
      <c r="X72" s="601"/>
      <c r="Y72" s="601"/>
      <c r="Z72" s="601"/>
      <c r="AA72" s="601"/>
      <c r="AB72" s="601"/>
    </row>
    <row r="73" hidden="1" outlineLevel="1">
      <c r="A73" s="601"/>
      <c r="B73" s="602"/>
      <c r="C73" s="601"/>
      <c r="D73" s="603"/>
      <c r="E73" s="592"/>
      <c r="F73" s="631"/>
      <c r="G73" s="644"/>
      <c r="H73" s="643"/>
      <c r="I73" s="643"/>
      <c r="J73" s="639"/>
      <c r="K73" s="601"/>
      <c r="L73" s="644"/>
      <c r="M73" s="645"/>
      <c r="N73" s="641"/>
      <c r="O73" s="642"/>
      <c r="P73" s="601"/>
      <c r="Q73" s="601"/>
      <c r="R73" s="605"/>
      <c r="S73" s="605"/>
      <c r="T73" s="601"/>
      <c r="U73" s="601"/>
      <c r="V73" s="601"/>
      <c r="W73" s="601"/>
      <c r="X73" s="601"/>
      <c r="Y73" s="601"/>
      <c r="Z73" s="601"/>
      <c r="AA73" s="601"/>
      <c r="AB73" s="601"/>
    </row>
    <row r="74" hidden="1" outlineLevel="1">
      <c r="A74" s="601"/>
      <c r="B74" s="602"/>
      <c r="C74" s="601"/>
      <c r="D74" s="603"/>
      <c r="E74" s="592"/>
      <c r="F74" s="631"/>
      <c r="G74" s="644"/>
      <c r="H74" s="643"/>
      <c r="I74" s="643"/>
      <c r="J74" s="639"/>
      <c r="K74" s="601"/>
      <c r="L74" s="644"/>
      <c r="M74" s="645"/>
      <c r="N74" s="641"/>
      <c r="O74" s="642"/>
      <c r="P74" s="601"/>
      <c r="Q74" s="601"/>
      <c r="R74" s="605"/>
      <c r="S74" s="605"/>
      <c r="T74" s="601"/>
      <c r="U74" s="601"/>
      <c r="V74" s="601"/>
      <c r="W74" s="601"/>
      <c r="X74" s="601"/>
      <c r="Y74" s="601"/>
      <c r="Z74" s="601"/>
      <c r="AA74" s="601"/>
      <c r="AB74" s="601"/>
    </row>
    <row r="75" hidden="1" outlineLevel="1">
      <c r="A75" s="601"/>
      <c r="B75" s="602"/>
      <c r="C75" s="601"/>
      <c r="D75" s="603"/>
      <c r="E75" s="592"/>
      <c r="F75" s="631"/>
      <c r="G75" s="644"/>
      <c r="H75" s="643"/>
      <c r="I75" s="643"/>
      <c r="J75" s="639"/>
      <c r="K75" s="601"/>
      <c r="L75" s="644"/>
      <c r="M75" s="645"/>
      <c r="N75" s="641"/>
      <c r="O75" s="642"/>
      <c r="P75" s="601"/>
      <c r="Q75" s="601"/>
      <c r="R75" s="605"/>
      <c r="S75" s="605"/>
      <c r="T75" s="601"/>
      <c r="U75" s="601"/>
      <c r="V75" s="601"/>
      <c r="W75" s="601"/>
      <c r="X75" s="601"/>
      <c r="Y75" s="601"/>
      <c r="Z75" s="601"/>
      <c r="AA75" s="601"/>
      <c r="AB75" s="601"/>
    </row>
    <row r="76" hidden="1" outlineLevel="1">
      <c r="A76" s="601"/>
      <c r="B76" s="602"/>
      <c r="C76" s="601"/>
      <c r="D76" s="603"/>
      <c r="E76" s="592"/>
      <c r="F76" s="631"/>
      <c r="G76" s="644"/>
      <c r="H76" s="643"/>
      <c r="I76" s="643"/>
      <c r="J76" s="639"/>
      <c r="K76" s="601"/>
      <c r="L76" s="644"/>
      <c r="M76" s="645"/>
      <c r="N76" s="641"/>
      <c r="O76" s="642"/>
      <c r="P76" s="601"/>
      <c r="Q76" s="601"/>
      <c r="R76" s="605"/>
      <c r="S76" s="605"/>
      <c r="T76" s="601"/>
      <c r="U76" s="601"/>
      <c r="V76" s="601"/>
      <c r="W76" s="601"/>
      <c r="X76" s="601"/>
      <c r="Y76" s="601"/>
      <c r="Z76" s="601"/>
      <c r="AA76" s="601"/>
      <c r="AB76" s="601"/>
    </row>
    <row r="77" hidden="1" outlineLevel="1">
      <c r="A77" s="601"/>
      <c r="B77" s="602"/>
      <c r="C77" s="601"/>
      <c r="D77" s="603"/>
      <c r="E77" s="592"/>
      <c r="F77" s="631"/>
      <c r="G77" s="644"/>
      <c r="H77" s="643"/>
      <c r="I77" s="643"/>
      <c r="J77" s="639"/>
      <c r="K77" s="601"/>
      <c r="L77" s="644"/>
      <c r="M77" s="645"/>
      <c r="N77" s="641"/>
      <c r="O77" s="642"/>
      <c r="P77" s="601"/>
      <c r="Q77" s="601"/>
      <c r="R77" s="605"/>
      <c r="S77" s="605"/>
      <c r="T77" s="601"/>
      <c r="U77" s="601"/>
      <c r="V77" s="601"/>
      <c r="W77" s="601"/>
      <c r="X77" s="601"/>
      <c r="Y77" s="601"/>
      <c r="Z77" s="601"/>
      <c r="AA77" s="601"/>
      <c r="AB77" s="601"/>
    </row>
    <row r="78" hidden="1" outlineLevel="1">
      <c r="A78" s="601"/>
      <c r="B78" s="602"/>
      <c r="C78" s="601"/>
      <c r="D78" s="603"/>
      <c r="E78" s="592"/>
      <c r="F78" s="631"/>
      <c r="G78" s="644"/>
      <c r="H78" s="643"/>
      <c r="I78" s="643"/>
      <c r="J78" s="639"/>
      <c r="K78" s="601"/>
      <c r="L78" s="644"/>
      <c r="M78" s="645"/>
      <c r="N78" s="641"/>
      <c r="O78" s="642"/>
      <c r="P78" s="601"/>
      <c r="Q78" s="601"/>
      <c r="R78" s="605"/>
      <c r="S78" s="605"/>
      <c r="T78" s="601"/>
      <c r="U78" s="601"/>
      <c r="V78" s="601"/>
      <c r="W78" s="601"/>
      <c r="X78" s="601"/>
      <c r="Y78" s="601"/>
      <c r="Z78" s="601"/>
      <c r="AA78" s="601"/>
      <c r="AB78" s="601"/>
    </row>
    <row r="79" hidden="1" outlineLevel="1">
      <c r="A79" s="601"/>
      <c r="B79" s="602"/>
      <c r="C79" s="601"/>
      <c r="D79" s="603"/>
      <c r="E79" s="592"/>
      <c r="F79" s="631"/>
      <c r="G79" s="644"/>
      <c r="H79" s="643"/>
      <c r="I79" s="643"/>
      <c r="J79" s="639"/>
      <c r="K79" s="601"/>
      <c r="L79" s="644"/>
      <c r="M79" s="645"/>
      <c r="N79" s="641"/>
      <c r="O79" s="642"/>
      <c r="P79" s="601"/>
      <c r="Q79" s="601"/>
      <c r="R79" s="605"/>
      <c r="S79" s="605"/>
      <c r="T79" s="601"/>
      <c r="U79" s="601"/>
      <c r="V79" s="601"/>
      <c r="W79" s="601"/>
      <c r="X79" s="601"/>
      <c r="Y79" s="601"/>
      <c r="Z79" s="601"/>
      <c r="AA79" s="601"/>
      <c r="AB79" s="601"/>
    </row>
    <row r="80" hidden="1" outlineLevel="1">
      <c r="A80" s="601"/>
      <c r="B80" s="602"/>
      <c r="C80" s="601"/>
      <c r="D80" s="603"/>
      <c r="E80" s="592"/>
      <c r="F80" s="631"/>
      <c r="G80" s="644"/>
      <c r="H80" s="643"/>
      <c r="I80" s="643"/>
      <c r="J80" s="639"/>
      <c r="K80" s="601"/>
      <c r="L80" s="644"/>
      <c r="M80" s="645"/>
      <c r="N80" s="641"/>
      <c r="O80" s="642"/>
      <c r="P80" s="601"/>
      <c r="Q80" s="601"/>
      <c r="R80" s="605"/>
      <c r="S80" s="605"/>
      <c r="T80" s="601"/>
      <c r="U80" s="601"/>
      <c r="V80" s="601"/>
      <c r="W80" s="601"/>
      <c r="X80" s="601"/>
      <c r="Y80" s="601"/>
      <c r="Z80" s="601"/>
      <c r="AA80" s="601"/>
      <c r="AB80" s="601"/>
    </row>
    <row r="81" hidden="1" outlineLevel="1">
      <c r="A81" s="601"/>
      <c r="B81" s="602"/>
      <c r="C81" s="601"/>
      <c r="D81" s="603"/>
      <c r="E81" s="592"/>
      <c r="F81" s="631"/>
      <c r="G81" s="644"/>
      <c r="H81" s="643"/>
      <c r="I81" s="643"/>
      <c r="J81" s="639"/>
      <c r="K81" s="601"/>
      <c r="L81" s="644"/>
      <c r="M81" s="645"/>
      <c r="N81" s="641"/>
      <c r="O81" s="642"/>
      <c r="P81" s="601"/>
      <c r="Q81" s="601"/>
      <c r="R81" s="605"/>
      <c r="S81" s="605"/>
      <c r="T81" s="601"/>
      <c r="U81" s="601"/>
      <c r="V81" s="601"/>
      <c r="W81" s="601"/>
      <c r="X81" s="601"/>
      <c r="Y81" s="601"/>
      <c r="Z81" s="601"/>
      <c r="AA81" s="601"/>
      <c r="AB81" s="601"/>
    </row>
    <row r="82" hidden="1" outlineLevel="1">
      <c r="A82" s="601"/>
      <c r="B82" s="602"/>
      <c r="C82" s="601"/>
      <c r="D82" s="603"/>
      <c r="E82" s="592"/>
      <c r="F82" s="631"/>
      <c r="G82" s="644"/>
      <c r="H82" s="643"/>
      <c r="I82" s="643"/>
      <c r="J82" s="639"/>
      <c r="K82" s="601"/>
      <c r="L82" s="644"/>
      <c r="M82" s="645"/>
      <c r="N82" s="641"/>
      <c r="O82" s="642"/>
      <c r="P82" s="601"/>
      <c r="Q82" s="601"/>
      <c r="R82" s="605"/>
      <c r="S82" s="605"/>
      <c r="T82" s="601"/>
      <c r="U82" s="601"/>
      <c r="V82" s="601"/>
      <c r="W82" s="601"/>
      <c r="X82" s="601"/>
      <c r="Y82" s="601"/>
      <c r="Z82" s="601"/>
      <c r="AA82" s="601"/>
      <c r="AB82" s="601"/>
    </row>
    <row r="83" hidden="1" outlineLevel="1">
      <c r="A83" s="601"/>
      <c r="B83" s="602"/>
      <c r="C83" s="601"/>
      <c r="D83" s="603"/>
      <c r="E83" s="592"/>
      <c r="F83" s="631"/>
      <c r="G83" s="644"/>
      <c r="H83" s="643"/>
      <c r="I83" s="643"/>
      <c r="J83" s="639"/>
      <c r="K83" s="601"/>
      <c r="L83" s="644"/>
      <c r="M83" s="645"/>
      <c r="N83" s="641"/>
      <c r="O83" s="642"/>
      <c r="P83" s="601"/>
      <c r="Q83" s="601"/>
      <c r="R83" s="605"/>
      <c r="S83" s="605"/>
      <c r="T83" s="601"/>
      <c r="U83" s="601"/>
      <c r="V83" s="601"/>
      <c r="W83" s="601"/>
      <c r="X83" s="601"/>
      <c r="Y83" s="601"/>
      <c r="Z83" s="601"/>
      <c r="AA83" s="601"/>
      <c r="AB83" s="601"/>
    </row>
    <row r="84" hidden="1" outlineLevel="1">
      <c r="A84" s="601"/>
      <c r="B84" s="602"/>
      <c r="C84" s="601"/>
      <c r="D84" s="603"/>
      <c r="E84" s="592"/>
      <c r="F84" s="631"/>
      <c r="G84" s="644"/>
      <c r="H84" s="643"/>
      <c r="I84" s="643"/>
      <c r="J84" s="639"/>
      <c r="K84" s="601"/>
      <c r="L84" s="644"/>
      <c r="M84" s="645"/>
      <c r="N84" s="641"/>
      <c r="O84" s="642"/>
      <c r="P84" s="601"/>
      <c r="Q84" s="601"/>
      <c r="R84" s="605"/>
      <c r="S84" s="605"/>
      <c r="T84" s="601"/>
      <c r="U84" s="601"/>
      <c r="V84" s="601"/>
      <c r="W84" s="601"/>
      <c r="X84" s="601"/>
      <c r="Y84" s="601"/>
      <c r="Z84" s="601"/>
      <c r="AA84" s="601"/>
      <c r="AB84" s="601"/>
    </row>
    <row r="85" hidden="1" outlineLevel="1">
      <c r="A85" s="601"/>
      <c r="B85" s="602"/>
      <c r="C85" s="601"/>
      <c r="D85" s="603"/>
      <c r="E85" s="592"/>
      <c r="F85" s="631"/>
      <c r="G85" s="644"/>
      <c r="H85" s="643"/>
      <c r="I85" s="643"/>
      <c r="J85" s="639"/>
      <c r="K85" s="601"/>
      <c r="L85" s="644"/>
      <c r="M85" s="645"/>
      <c r="N85" s="641"/>
      <c r="O85" s="642"/>
      <c r="P85" s="601"/>
      <c r="Q85" s="601"/>
      <c r="R85" s="605"/>
      <c r="S85" s="605"/>
      <c r="T85" s="601"/>
      <c r="U85" s="601"/>
      <c r="V85" s="601"/>
      <c r="W85" s="601"/>
      <c r="X85" s="601"/>
      <c r="Y85" s="601"/>
      <c r="Z85" s="601"/>
      <c r="AA85" s="601"/>
      <c r="AB85" s="601"/>
    </row>
    <row r="86" hidden="1" outlineLevel="1">
      <c r="A86" s="601"/>
      <c r="B86" s="602"/>
      <c r="C86" s="601"/>
      <c r="D86" s="603"/>
      <c r="E86" s="592"/>
      <c r="F86" s="631"/>
      <c r="G86" s="644"/>
      <c r="H86" s="643"/>
      <c r="I86" s="643"/>
      <c r="J86" s="639"/>
      <c r="K86" s="601"/>
      <c r="L86" s="644"/>
      <c r="M86" s="645"/>
      <c r="N86" s="641"/>
      <c r="O86" s="642"/>
      <c r="P86" s="601"/>
      <c r="Q86" s="601"/>
      <c r="R86" s="605"/>
      <c r="S86" s="605"/>
      <c r="T86" s="601"/>
      <c r="U86" s="601"/>
      <c r="V86" s="601"/>
      <c r="W86" s="601"/>
      <c r="X86" s="601"/>
      <c r="Y86" s="601"/>
      <c r="Z86" s="601"/>
      <c r="AA86" s="601"/>
      <c r="AB86" s="601"/>
    </row>
    <row r="87" hidden="1" outlineLevel="1">
      <c r="A87" s="601"/>
      <c r="B87" s="602"/>
      <c r="C87" s="601"/>
      <c r="D87" s="603"/>
      <c r="E87" s="592"/>
      <c r="F87" s="631"/>
      <c r="G87" s="644"/>
      <c r="H87" s="643"/>
      <c r="I87" s="643"/>
      <c r="J87" s="639"/>
      <c r="K87" s="601"/>
      <c r="L87" s="644"/>
      <c r="M87" s="645"/>
      <c r="N87" s="641"/>
      <c r="O87" s="642"/>
      <c r="P87" s="601"/>
      <c r="Q87" s="601"/>
      <c r="R87" s="605"/>
      <c r="S87" s="605"/>
      <c r="T87" s="601"/>
      <c r="U87" s="601"/>
      <c r="V87" s="601"/>
      <c r="W87" s="601"/>
      <c r="X87" s="601"/>
      <c r="Y87" s="601"/>
      <c r="Z87" s="601"/>
      <c r="AA87" s="601"/>
      <c r="AB87" s="601"/>
    </row>
    <row r="88" hidden="1" outlineLevel="1">
      <c r="A88" s="601"/>
      <c r="B88" s="602"/>
      <c r="C88" s="601"/>
      <c r="D88" s="603"/>
      <c r="E88" s="592"/>
      <c r="F88" s="631"/>
      <c r="G88" s="644"/>
      <c r="H88" s="643"/>
      <c r="I88" s="643"/>
      <c r="J88" s="639"/>
      <c r="K88" s="601"/>
      <c r="L88" s="644"/>
      <c r="M88" s="645"/>
      <c r="N88" s="641"/>
      <c r="O88" s="642"/>
      <c r="P88" s="601"/>
      <c r="Q88" s="601"/>
      <c r="R88" s="605"/>
      <c r="S88" s="605"/>
      <c r="T88" s="601"/>
      <c r="U88" s="601"/>
      <c r="V88" s="601"/>
      <c r="W88" s="601"/>
      <c r="X88" s="601"/>
      <c r="Y88" s="601"/>
      <c r="Z88" s="601"/>
      <c r="AA88" s="601"/>
      <c r="AB88" s="601"/>
    </row>
    <row r="89" hidden="1" outlineLevel="1">
      <c r="A89" s="601"/>
      <c r="B89" s="602"/>
      <c r="C89" s="601"/>
      <c r="D89" s="603"/>
      <c r="E89" s="592"/>
      <c r="F89" s="631"/>
      <c r="G89" s="644"/>
      <c r="H89" s="643"/>
      <c r="I89" s="643"/>
      <c r="J89" s="639"/>
      <c r="K89" s="601"/>
      <c r="L89" s="644"/>
      <c r="M89" s="645"/>
      <c r="N89" s="641"/>
      <c r="O89" s="642"/>
      <c r="P89" s="601"/>
      <c r="Q89" s="601"/>
      <c r="R89" s="605"/>
      <c r="S89" s="605"/>
      <c r="T89" s="601"/>
      <c r="U89" s="601"/>
      <c r="V89" s="601"/>
      <c r="W89" s="601"/>
      <c r="X89" s="601"/>
      <c r="Y89" s="601"/>
      <c r="Z89" s="601"/>
      <c r="AA89" s="601"/>
      <c r="AB89" s="601"/>
    </row>
    <row r="90" hidden="1" outlineLevel="1">
      <c r="A90" s="601"/>
      <c r="B90" s="602"/>
      <c r="C90" s="601"/>
      <c r="D90" s="603"/>
      <c r="E90" s="592"/>
      <c r="F90" s="631"/>
      <c r="G90" s="644"/>
      <c r="H90" s="643"/>
      <c r="I90" s="643"/>
      <c r="J90" s="639"/>
      <c r="K90" s="601"/>
      <c r="L90" s="644"/>
      <c r="M90" s="645"/>
      <c r="N90" s="641"/>
      <c r="O90" s="642"/>
      <c r="P90" s="601"/>
      <c r="Q90" s="601"/>
      <c r="R90" s="605"/>
      <c r="S90" s="605"/>
      <c r="T90" s="601"/>
      <c r="U90" s="601"/>
      <c r="V90" s="601"/>
      <c r="W90" s="601"/>
      <c r="X90" s="601"/>
      <c r="Y90" s="601"/>
      <c r="Z90" s="601"/>
      <c r="AA90" s="601"/>
      <c r="AB90" s="601"/>
    </row>
    <row r="91" hidden="1" outlineLevel="1">
      <c r="A91" s="601"/>
      <c r="B91" s="602"/>
      <c r="C91" s="601"/>
      <c r="D91" s="603"/>
      <c r="E91" s="592"/>
      <c r="F91" s="631"/>
      <c r="G91" s="644"/>
      <c r="H91" s="643"/>
      <c r="I91" s="643"/>
      <c r="J91" s="639"/>
      <c r="K91" s="601"/>
      <c r="L91" s="644"/>
      <c r="M91" s="645"/>
      <c r="N91" s="641"/>
      <c r="O91" s="642"/>
      <c r="P91" s="601"/>
      <c r="Q91" s="601"/>
      <c r="R91" s="605"/>
      <c r="S91" s="605"/>
      <c r="T91" s="601"/>
      <c r="U91" s="601"/>
      <c r="V91" s="601"/>
      <c r="W91" s="601"/>
      <c r="X91" s="601"/>
      <c r="Y91" s="601"/>
      <c r="Z91" s="601"/>
      <c r="AA91" s="601"/>
      <c r="AB91" s="601"/>
    </row>
    <row r="92" hidden="1" outlineLevel="1">
      <c r="A92" s="601"/>
      <c r="B92" s="602"/>
      <c r="C92" s="601"/>
      <c r="D92" s="603"/>
      <c r="E92" s="592"/>
      <c r="F92" s="631"/>
      <c r="G92" s="644"/>
      <c r="H92" s="643"/>
      <c r="I92" s="643"/>
      <c r="J92" s="639"/>
      <c r="K92" s="601"/>
      <c r="L92" s="644"/>
      <c r="M92" s="645"/>
      <c r="N92" s="641"/>
      <c r="O92" s="642"/>
      <c r="P92" s="601"/>
      <c r="Q92" s="601"/>
      <c r="R92" s="605"/>
      <c r="S92" s="605"/>
      <c r="T92" s="601"/>
      <c r="U92" s="601"/>
      <c r="V92" s="601"/>
      <c r="W92" s="601"/>
      <c r="X92" s="601"/>
      <c r="Y92" s="601"/>
      <c r="Z92" s="601"/>
      <c r="AA92" s="601"/>
      <c r="AB92" s="601"/>
    </row>
    <row r="93" hidden="1" outlineLevel="1">
      <c r="A93" s="601"/>
      <c r="B93" s="602"/>
      <c r="C93" s="601"/>
      <c r="D93" s="603"/>
      <c r="E93" s="592"/>
      <c r="F93" s="631"/>
      <c r="G93" s="644"/>
      <c r="H93" s="643"/>
      <c r="I93" s="643"/>
      <c r="J93" s="639"/>
      <c r="K93" s="601"/>
      <c r="L93" s="644"/>
      <c r="M93" s="645"/>
      <c r="N93" s="641"/>
      <c r="O93" s="642"/>
      <c r="P93" s="601"/>
      <c r="Q93" s="601"/>
      <c r="R93" s="605"/>
      <c r="S93" s="605"/>
      <c r="T93" s="601"/>
      <c r="U93" s="601"/>
      <c r="V93" s="601"/>
      <c r="W93" s="601"/>
      <c r="X93" s="601"/>
      <c r="Y93" s="601"/>
      <c r="Z93" s="601"/>
      <c r="AA93" s="601"/>
      <c r="AB93" s="601"/>
    </row>
    <row r="94" hidden="1" outlineLevel="1">
      <c r="A94" s="601"/>
      <c r="B94" s="602"/>
      <c r="C94" s="601"/>
      <c r="D94" s="603"/>
      <c r="E94" s="592"/>
      <c r="F94" s="631"/>
      <c r="G94" s="644"/>
      <c r="H94" s="643"/>
      <c r="I94" s="643"/>
      <c r="J94" s="639"/>
      <c r="K94" s="601"/>
      <c r="L94" s="644"/>
      <c r="M94" s="645"/>
      <c r="N94" s="641"/>
      <c r="O94" s="642"/>
      <c r="P94" s="601"/>
      <c r="Q94" s="601"/>
      <c r="R94" s="605"/>
      <c r="S94" s="605"/>
      <c r="T94" s="601"/>
      <c r="U94" s="601"/>
      <c r="V94" s="601"/>
      <c r="W94" s="601"/>
      <c r="X94" s="601"/>
      <c r="Y94" s="601"/>
      <c r="Z94" s="601"/>
      <c r="AA94" s="601"/>
      <c r="AB94" s="601"/>
    </row>
    <row r="95" hidden="1" outlineLevel="1">
      <c r="A95" s="601"/>
      <c r="B95" s="602"/>
      <c r="C95" s="601"/>
      <c r="D95" s="603"/>
      <c r="E95" s="592"/>
      <c r="F95" s="631"/>
      <c r="G95" s="644"/>
      <c r="H95" s="643"/>
      <c r="I95" s="643"/>
      <c r="J95" s="639"/>
      <c r="K95" s="601"/>
      <c r="L95" s="644"/>
      <c r="M95" s="645"/>
      <c r="N95" s="641"/>
      <c r="O95" s="642"/>
      <c r="P95" s="601"/>
      <c r="Q95" s="601"/>
      <c r="R95" s="605"/>
      <c r="S95" s="605"/>
      <c r="T95" s="601"/>
      <c r="U95" s="601"/>
      <c r="V95" s="601"/>
      <c r="W95" s="601"/>
      <c r="X95" s="601"/>
      <c r="Y95" s="601"/>
      <c r="Z95" s="601"/>
      <c r="AA95" s="601"/>
      <c r="AB95" s="601"/>
    </row>
    <row r="96" hidden="1" outlineLevel="1">
      <c r="A96" s="601"/>
      <c r="B96" s="602"/>
      <c r="C96" s="601"/>
      <c r="D96" s="603"/>
      <c r="E96" s="592"/>
      <c r="F96" s="631"/>
      <c r="G96" s="644"/>
      <c r="H96" s="643"/>
      <c r="I96" s="643"/>
      <c r="J96" s="639"/>
      <c r="K96" s="601"/>
      <c r="L96" s="644"/>
      <c r="M96" s="645"/>
      <c r="N96" s="641"/>
      <c r="O96" s="642"/>
      <c r="P96" s="601"/>
      <c r="Q96" s="601"/>
      <c r="R96" s="605"/>
      <c r="S96" s="605"/>
      <c r="T96" s="601"/>
      <c r="U96" s="601"/>
      <c r="V96" s="601"/>
      <c r="W96" s="601"/>
      <c r="X96" s="601"/>
      <c r="Y96" s="601"/>
      <c r="Z96" s="601"/>
      <c r="AA96" s="601"/>
      <c r="AB96" s="601"/>
    </row>
    <row r="97" hidden="1" outlineLevel="1">
      <c r="A97" s="601"/>
      <c r="B97" s="602"/>
      <c r="C97" s="601"/>
      <c r="D97" s="603"/>
      <c r="E97" s="592"/>
      <c r="F97" s="631"/>
      <c r="G97" s="644"/>
      <c r="H97" s="643"/>
      <c r="I97" s="643"/>
      <c r="J97" s="639"/>
      <c r="K97" s="601"/>
      <c r="L97" s="644"/>
      <c r="M97" s="645"/>
      <c r="N97" s="641"/>
      <c r="O97" s="642"/>
      <c r="P97" s="601"/>
      <c r="Q97" s="601"/>
      <c r="R97" s="605"/>
      <c r="S97" s="605"/>
      <c r="T97" s="601"/>
      <c r="U97" s="601"/>
      <c r="V97" s="601"/>
      <c r="W97" s="601"/>
      <c r="X97" s="601"/>
      <c r="Y97" s="601"/>
      <c r="Z97" s="601"/>
      <c r="AA97" s="601"/>
      <c r="AB97" s="601"/>
    </row>
    <row r="98" hidden="1" outlineLevel="1">
      <c r="A98" s="601"/>
      <c r="B98" s="602"/>
      <c r="C98" s="601"/>
      <c r="D98" s="603"/>
      <c r="E98" s="592"/>
      <c r="F98" s="631"/>
      <c r="G98" s="644"/>
      <c r="H98" s="643"/>
      <c r="I98" s="643"/>
      <c r="J98" s="639"/>
      <c r="K98" s="601"/>
      <c r="L98" s="644"/>
      <c r="M98" s="645"/>
      <c r="N98" s="641"/>
      <c r="O98" s="642"/>
      <c r="P98" s="601"/>
      <c r="Q98" s="601"/>
      <c r="R98" s="605"/>
      <c r="S98" s="605"/>
      <c r="T98" s="601"/>
      <c r="U98" s="601"/>
      <c r="V98" s="601"/>
      <c r="W98" s="601"/>
      <c r="X98" s="601"/>
      <c r="Y98" s="601"/>
      <c r="Z98" s="601"/>
      <c r="AA98" s="601"/>
      <c r="AB98" s="601"/>
    </row>
    <row r="99" hidden="1" outlineLevel="1">
      <c r="A99" s="601"/>
      <c r="B99" s="602"/>
      <c r="C99" s="601"/>
      <c r="D99" s="603"/>
      <c r="E99" s="592"/>
      <c r="F99" s="631"/>
      <c r="G99" s="644"/>
      <c r="H99" s="643"/>
      <c r="I99" s="643"/>
      <c r="J99" s="639"/>
      <c r="K99" s="601"/>
      <c r="L99" s="644"/>
      <c r="M99" s="645"/>
      <c r="N99" s="641"/>
      <c r="O99" s="642"/>
      <c r="P99" s="601"/>
      <c r="Q99" s="601"/>
      <c r="R99" s="605"/>
      <c r="S99" s="605"/>
      <c r="T99" s="601"/>
      <c r="U99" s="601"/>
      <c r="V99" s="601"/>
      <c r="W99" s="601"/>
      <c r="X99" s="601"/>
      <c r="Y99" s="601"/>
      <c r="Z99" s="601"/>
      <c r="AA99" s="601"/>
      <c r="AB99" s="601"/>
    </row>
    <row r="100" hidden="1" outlineLevel="1">
      <c r="A100" s="601"/>
      <c r="B100" s="602"/>
      <c r="C100" s="601"/>
      <c r="D100" s="603"/>
      <c r="E100" s="592"/>
      <c r="F100" s="631"/>
      <c r="G100" s="644"/>
      <c r="H100" s="643"/>
      <c r="I100" s="643"/>
      <c r="J100" s="639"/>
      <c r="K100" s="601"/>
      <c r="L100" s="644"/>
      <c r="M100" s="645"/>
      <c r="N100" s="641"/>
      <c r="O100" s="642"/>
      <c r="P100" s="601"/>
      <c r="Q100" s="601"/>
      <c r="R100" s="605"/>
      <c r="S100" s="605"/>
      <c r="T100" s="601"/>
      <c r="U100" s="601"/>
      <c r="V100" s="601"/>
      <c r="W100" s="601"/>
      <c r="X100" s="601"/>
      <c r="Y100" s="601"/>
      <c r="Z100" s="601"/>
      <c r="AA100" s="601"/>
      <c r="AB100" s="601"/>
    </row>
    <row r="101" hidden="1" outlineLevel="1">
      <c r="A101" s="601"/>
      <c r="B101" s="602"/>
      <c r="C101" s="601"/>
      <c r="D101" s="603"/>
      <c r="E101" s="592"/>
      <c r="F101" s="631"/>
      <c r="G101" s="644"/>
      <c r="H101" s="643"/>
      <c r="I101" s="643"/>
      <c r="J101" s="639"/>
      <c r="K101" s="601"/>
      <c r="L101" s="644"/>
      <c r="M101" s="645"/>
      <c r="N101" s="641"/>
      <c r="O101" s="642"/>
      <c r="P101" s="601"/>
      <c r="Q101" s="601"/>
      <c r="R101" s="605"/>
      <c r="S101" s="605"/>
      <c r="T101" s="601"/>
      <c r="U101" s="601"/>
      <c r="V101" s="601"/>
      <c r="W101" s="601"/>
      <c r="X101" s="601"/>
      <c r="Y101" s="601"/>
      <c r="Z101" s="601"/>
      <c r="AA101" s="601"/>
      <c r="AB101" s="601"/>
    </row>
    <row r="102" hidden="1" outlineLevel="1">
      <c r="A102" s="601"/>
      <c r="B102" s="602"/>
      <c r="C102" s="601"/>
      <c r="D102" s="603"/>
      <c r="E102" s="592"/>
      <c r="F102" s="631"/>
      <c r="G102" s="644"/>
      <c r="H102" s="643"/>
      <c r="I102" s="643"/>
      <c r="J102" s="639"/>
      <c r="K102" s="601"/>
      <c r="L102" s="644"/>
      <c r="M102" s="645"/>
      <c r="N102" s="641"/>
      <c r="O102" s="642"/>
      <c r="P102" s="601"/>
      <c r="Q102" s="601"/>
      <c r="R102" s="605"/>
      <c r="S102" s="605"/>
      <c r="T102" s="601"/>
      <c r="U102" s="601"/>
      <c r="V102" s="601"/>
      <c r="W102" s="601"/>
      <c r="X102" s="601"/>
      <c r="Y102" s="601"/>
      <c r="Z102" s="601"/>
      <c r="AA102" s="601"/>
      <c r="AB102" s="601"/>
    </row>
    <row r="103" hidden="1" outlineLevel="1">
      <c r="A103" s="601"/>
      <c r="B103" s="602"/>
      <c r="C103" s="601"/>
      <c r="D103" s="603"/>
      <c r="E103" s="592"/>
      <c r="F103" s="631"/>
      <c r="G103" s="644"/>
      <c r="H103" s="643"/>
      <c r="I103" s="643"/>
      <c r="J103" s="639"/>
      <c r="K103" s="601"/>
      <c r="L103" s="644"/>
      <c r="M103" s="645"/>
      <c r="N103" s="641"/>
      <c r="O103" s="642"/>
      <c r="P103" s="601"/>
      <c r="Q103" s="601"/>
      <c r="R103" s="605"/>
      <c r="S103" s="605"/>
      <c r="T103" s="601"/>
      <c r="U103" s="601"/>
      <c r="V103" s="601"/>
      <c r="W103" s="601"/>
      <c r="X103" s="601"/>
      <c r="Y103" s="601"/>
      <c r="Z103" s="601"/>
      <c r="AA103" s="601"/>
      <c r="AB103" s="601"/>
    </row>
    <row r="104" hidden="1" outlineLevel="1">
      <c r="A104" s="601"/>
      <c r="B104" s="602"/>
      <c r="C104" s="601"/>
      <c r="D104" s="603"/>
      <c r="E104" s="592"/>
      <c r="F104" s="631"/>
      <c r="G104" s="644"/>
      <c r="H104" s="643"/>
      <c r="I104" s="643"/>
      <c r="J104" s="639"/>
      <c r="K104" s="601"/>
      <c r="L104" s="644"/>
      <c r="M104" s="645"/>
      <c r="N104" s="641"/>
      <c r="O104" s="642"/>
      <c r="P104" s="601"/>
      <c r="Q104" s="601"/>
      <c r="R104" s="605"/>
      <c r="S104" s="605"/>
      <c r="T104" s="601"/>
      <c r="U104" s="601"/>
      <c r="V104" s="601"/>
      <c r="W104" s="601"/>
      <c r="X104" s="601"/>
      <c r="Y104" s="601"/>
      <c r="Z104" s="601"/>
      <c r="AA104" s="601"/>
      <c r="AB104" s="601"/>
    </row>
    <row r="105" hidden="1" outlineLevel="1">
      <c r="A105" s="601"/>
      <c r="B105" s="602"/>
      <c r="C105" s="601"/>
      <c r="D105" s="603"/>
      <c r="E105" s="592"/>
      <c r="F105" s="631"/>
      <c r="G105" s="644"/>
      <c r="H105" s="643"/>
      <c r="I105" s="643"/>
      <c r="J105" s="639"/>
      <c r="K105" s="601"/>
      <c r="L105" s="644"/>
      <c r="M105" s="645"/>
      <c r="N105" s="641"/>
      <c r="O105" s="642"/>
      <c r="P105" s="601"/>
      <c r="Q105" s="601"/>
      <c r="R105" s="605"/>
      <c r="S105" s="605"/>
      <c r="T105" s="601"/>
      <c r="U105" s="601"/>
      <c r="V105" s="601"/>
      <c r="W105" s="601"/>
      <c r="X105" s="601"/>
      <c r="Y105" s="601"/>
      <c r="Z105" s="601"/>
      <c r="AA105" s="601"/>
      <c r="AB105" s="601"/>
    </row>
    <row r="106" hidden="1" outlineLevel="1">
      <c r="A106" s="601"/>
      <c r="B106" s="602"/>
      <c r="C106" s="601"/>
      <c r="D106" s="603"/>
      <c r="E106" s="592"/>
      <c r="F106" s="631"/>
      <c r="G106" s="644"/>
      <c r="H106" s="643"/>
      <c r="I106" s="643"/>
      <c r="J106" s="639"/>
      <c r="K106" s="601"/>
      <c r="L106" s="644"/>
      <c r="M106" s="645"/>
      <c r="N106" s="641"/>
      <c r="O106" s="642"/>
      <c r="P106" s="601"/>
      <c r="Q106" s="601"/>
      <c r="R106" s="605"/>
      <c r="S106" s="605"/>
      <c r="T106" s="601"/>
      <c r="U106" s="601"/>
      <c r="V106" s="601"/>
      <c r="W106" s="601"/>
      <c r="X106" s="601"/>
      <c r="Y106" s="601"/>
      <c r="Z106" s="601"/>
      <c r="AA106" s="601"/>
      <c r="AB106" s="601"/>
    </row>
    <row r="107" hidden="1" outlineLevel="1">
      <c r="A107" s="601"/>
      <c r="B107" s="602"/>
      <c r="C107" s="601"/>
      <c r="D107" s="603"/>
      <c r="E107" s="592"/>
      <c r="F107" s="631"/>
      <c r="G107" s="644"/>
      <c r="H107" s="643"/>
      <c r="I107" s="643"/>
      <c r="J107" s="639"/>
      <c r="K107" s="601"/>
      <c r="L107" s="644"/>
      <c r="M107" s="645"/>
      <c r="N107" s="641"/>
      <c r="O107" s="642"/>
      <c r="P107" s="601"/>
      <c r="Q107" s="601"/>
      <c r="R107" s="605"/>
      <c r="S107" s="605"/>
      <c r="T107" s="601"/>
      <c r="U107" s="601"/>
      <c r="V107" s="601"/>
      <c r="W107" s="601"/>
      <c r="X107" s="601"/>
      <c r="Y107" s="601"/>
      <c r="Z107" s="601"/>
      <c r="AA107" s="601"/>
      <c r="AB107" s="601"/>
    </row>
    <row r="108" hidden="1" outlineLevel="1">
      <c r="A108" s="601"/>
      <c r="B108" s="602"/>
      <c r="C108" s="601"/>
      <c r="D108" s="603"/>
      <c r="E108" s="592"/>
      <c r="F108" s="631"/>
      <c r="G108" s="644"/>
      <c r="H108" s="643"/>
      <c r="I108" s="643"/>
      <c r="J108" s="639"/>
      <c r="K108" s="601"/>
      <c r="L108" s="644"/>
      <c r="M108" s="645"/>
      <c r="N108" s="641"/>
      <c r="O108" s="642"/>
      <c r="P108" s="601"/>
      <c r="Q108" s="601"/>
      <c r="R108" s="605"/>
      <c r="S108" s="605"/>
      <c r="T108" s="601"/>
      <c r="U108" s="601"/>
      <c r="V108" s="601"/>
      <c r="W108" s="601"/>
      <c r="X108" s="601"/>
      <c r="Y108" s="601"/>
      <c r="Z108" s="601"/>
      <c r="AA108" s="601"/>
      <c r="AB108" s="601"/>
    </row>
    <row r="109" hidden="1" outlineLevel="1">
      <c r="A109" s="601"/>
      <c r="B109" s="602"/>
      <c r="C109" s="601"/>
      <c r="D109" s="603"/>
      <c r="E109" s="592"/>
      <c r="F109" s="631"/>
      <c r="G109" s="644"/>
      <c r="H109" s="643"/>
      <c r="I109" s="643"/>
      <c r="J109" s="639"/>
      <c r="K109" s="601"/>
      <c r="L109" s="644"/>
      <c r="M109" s="645"/>
      <c r="N109" s="641"/>
      <c r="O109" s="642"/>
      <c r="P109" s="601"/>
      <c r="Q109" s="601"/>
      <c r="R109" s="605"/>
      <c r="S109" s="605"/>
      <c r="T109" s="601"/>
      <c r="U109" s="601"/>
      <c r="V109" s="601"/>
      <c r="W109" s="601"/>
      <c r="X109" s="601"/>
      <c r="Y109" s="601"/>
      <c r="Z109" s="601"/>
      <c r="AA109" s="601"/>
      <c r="AB109" s="601"/>
    </row>
    <row r="110" hidden="1" outlineLevel="1">
      <c r="A110" s="601"/>
      <c r="B110" s="602"/>
      <c r="C110" s="601"/>
      <c r="D110" s="603"/>
      <c r="E110" s="592"/>
      <c r="F110" s="631"/>
      <c r="G110" s="644"/>
      <c r="H110" s="643"/>
      <c r="I110" s="643"/>
      <c r="J110" s="639"/>
      <c r="K110" s="601"/>
      <c r="L110" s="644"/>
      <c r="M110" s="645"/>
      <c r="N110" s="641"/>
      <c r="O110" s="642"/>
      <c r="P110" s="601"/>
      <c r="Q110" s="601"/>
      <c r="R110" s="605"/>
      <c r="S110" s="605"/>
      <c r="T110" s="601"/>
      <c r="U110" s="601"/>
      <c r="V110" s="601"/>
      <c r="W110" s="601"/>
      <c r="X110" s="601"/>
      <c r="Y110" s="601"/>
      <c r="Z110" s="601"/>
      <c r="AA110" s="601"/>
      <c r="AB110" s="601"/>
    </row>
    <row r="111" hidden="1" outlineLevel="1">
      <c r="A111" s="601"/>
      <c r="B111" s="602"/>
      <c r="C111" s="601"/>
      <c r="D111" s="603"/>
      <c r="E111" s="592"/>
      <c r="F111" s="631"/>
      <c r="G111" s="644"/>
      <c r="H111" s="643"/>
      <c r="I111" s="643"/>
      <c r="J111" s="639"/>
      <c r="K111" s="601"/>
      <c r="L111" s="644"/>
      <c r="M111" s="645"/>
      <c r="N111" s="641"/>
      <c r="O111" s="642"/>
      <c r="P111" s="601"/>
      <c r="Q111" s="601"/>
      <c r="R111" s="605"/>
      <c r="S111" s="605"/>
      <c r="T111" s="601"/>
      <c r="U111" s="601"/>
      <c r="V111" s="601"/>
      <c r="W111" s="601"/>
      <c r="X111" s="601"/>
      <c r="Y111" s="601"/>
      <c r="Z111" s="601"/>
      <c r="AA111" s="601"/>
      <c r="AB111" s="601"/>
    </row>
    <row r="112" hidden="1" outlineLevel="1">
      <c r="A112" s="601"/>
      <c r="B112" s="602"/>
      <c r="C112" s="601"/>
      <c r="D112" s="603"/>
      <c r="E112" s="592"/>
      <c r="F112" s="646"/>
      <c r="G112" s="644"/>
      <c r="H112" s="643"/>
      <c r="I112" s="643"/>
      <c r="J112" s="639"/>
      <c r="K112" s="601"/>
      <c r="L112" s="644"/>
      <c r="M112" s="645"/>
      <c r="N112" s="641"/>
      <c r="O112" s="642"/>
      <c r="P112" s="601"/>
      <c r="Q112" s="601"/>
      <c r="R112" s="605"/>
      <c r="S112" s="605"/>
      <c r="T112" s="601"/>
      <c r="U112" s="601"/>
      <c r="V112" s="601"/>
      <c r="W112" s="601"/>
      <c r="X112" s="601"/>
      <c r="Y112" s="601"/>
      <c r="Z112" s="601"/>
      <c r="AA112" s="601"/>
      <c r="AB112" s="601"/>
    </row>
  </sheetData>
  <dataValidations>
    <dataValidation type="list" allowBlank="1" sqref="D11:D60 D62:D112">
      <formula1>'5-4 Изменения в товарах'!$D$2:$D$8</formula1>
    </dataValidation>
    <dataValidation type="list" allowBlank="1" sqref="F11:F60">
      <formula1>'1-0 Товары'!$D$11:$D112</formula1>
    </dataValidation>
    <dataValidation type="list" allowBlank="1" sqref="B62:B112">
      <formula1>'5-4 Изменения в товарах'!$B$11:$B$60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Right="0"/>
  </sheetPr>
  <sheetViews>
    <sheetView workbookViewId="0">
      <pane xSplit="11.0" ySplit="10.0" topLeftCell="L11" activePane="bottomRight" state="frozen"/>
      <selection activeCell="L1" sqref="L1" pane="topRight"/>
      <selection activeCell="A11" sqref="A11" pane="bottomLeft"/>
      <selection activeCell="L11" sqref="L11" pane="bottomRight"/>
    </sheetView>
  </sheetViews>
  <sheetFormatPr customHeight="1" defaultColWidth="12.63" defaultRowHeight="15.75" outlineLevelRow="1"/>
  <cols>
    <col customWidth="1" hidden="1" min="1" max="1" width="6.0"/>
    <col customWidth="1" hidden="1" min="2" max="2" width="5.13"/>
    <col customWidth="1" hidden="1" min="3" max="3" width="10.63"/>
    <col collapsed="1" customWidth="1" min="4" max="4" width="4.13"/>
    <col customWidth="1" hidden="1" min="5" max="5" width="24.0" outlineLevel="1"/>
    <col collapsed="1" customWidth="1" min="6" max="6" width="21.0"/>
    <col customWidth="1" hidden="1" min="7" max="9" width="15.0" outlineLevel="1"/>
    <col customWidth="1" min="10" max="10" width="5.13"/>
    <col customWidth="1" min="11" max="11" width="4.63"/>
    <col customWidth="1" min="12" max="12" width="9.13"/>
    <col customWidth="1" min="13" max="13" width="7.63"/>
    <col customWidth="1" min="14" max="14" width="8.0"/>
    <col customWidth="1" min="15" max="15" width="9.13"/>
    <col collapsed="1" customWidth="1" min="16" max="16" width="10.5"/>
    <col customWidth="1" hidden="1" min="17" max="20" width="10.5" outlineLevel="1"/>
    <col customWidth="1" hidden="1" min="21" max="21" width="13.13" outlineLevel="1"/>
    <col customWidth="1" hidden="1" min="22" max="27" width="10.5" outlineLevel="1"/>
    <col customWidth="1" min="28" max="28" width="10.5"/>
    <col customWidth="1" min="29" max="29" width="11.63"/>
    <col customWidth="1" min="30" max="30" width="11.88"/>
    <col customWidth="1" hidden="1" min="31" max="31" width="13.0"/>
    <col customWidth="1" min="32" max="32" width="13.0"/>
    <col customWidth="1" min="33" max="33" width="11.38"/>
    <col customWidth="1" min="34" max="36" width="3.25"/>
    <col customWidth="1" hidden="1" min="37" max="37" width="8.38"/>
    <col customWidth="1" min="38" max="38" width="17.63"/>
    <col customWidth="1" hidden="1" min="39" max="39" width="8.88"/>
    <col customWidth="1" min="40" max="40" width="12.63"/>
    <col customWidth="1" hidden="1" min="41" max="41" width="12.63"/>
    <col customWidth="1" min="42" max="42" width="7.63"/>
    <col customWidth="1" min="43" max="43" width="8.0"/>
    <col customWidth="1" hidden="1" min="44" max="44" width="12.63"/>
    <col customWidth="1" min="45" max="45" width="4.38"/>
    <col customWidth="1" hidden="1" min="46" max="46" width="4.38"/>
    <col customWidth="1" min="47" max="49" width="8.5"/>
    <col customWidth="1" min="50" max="51" width="7.63"/>
    <col customWidth="1" hidden="1" min="52" max="52" width="12.63"/>
    <col customWidth="1" min="53" max="53" width="9.88"/>
    <col customWidth="1" hidden="1" min="54" max="54" width="12.63"/>
    <col customWidth="1" min="55" max="55" width="8.88"/>
    <col customWidth="1" hidden="1" min="56" max="56" width="12.63"/>
    <col customWidth="1" min="57" max="57" width="12.63"/>
    <col customWidth="1" hidden="1" min="58" max="58" width="15.75"/>
    <col customWidth="1" min="59" max="59" width="15.75"/>
    <col customWidth="1" hidden="1" min="60" max="60" width="15.75"/>
    <col customWidth="1" min="61" max="61" width="9.25"/>
    <col customWidth="1" hidden="1" min="62" max="62" width="12.63"/>
    <col customWidth="1" min="63" max="63" width="15.63"/>
    <col customWidth="1" hidden="1" min="64" max="64" width="12.63"/>
    <col customWidth="1" min="65" max="65" width="13.75"/>
    <col customWidth="1" hidden="1" min="66" max="66" width="12.63"/>
    <col customWidth="1" min="67" max="67" width="12.63"/>
    <col customWidth="1" hidden="1" min="68" max="68" width="12.63"/>
    <col customWidth="1" min="69" max="69" width="8.38"/>
    <col customWidth="1" hidden="1" min="70" max="70" width="12.63"/>
    <col customWidth="1" min="71" max="71" width="13.5"/>
    <col customWidth="1" hidden="1" min="72" max="72" width="12.63"/>
    <col customWidth="1" min="73" max="73" width="15.75"/>
    <col customWidth="1" hidden="1" min="74" max="74" width="15.75"/>
    <col customWidth="1" min="75" max="75" width="22.5"/>
    <col customWidth="1" min="76" max="76" width="6.38"/>
  </cols>
  <sheetData>
    <row r="1" hidden="1" outlineLevel="1">
      <c r="A1" s="647"/>
      <c r="B1" s="647"/>
      <c r="C1" s="648" t="s">
        <v>0</v>
      </c>
      <c r="D1" s="647"/>
      <c r="E1" s="648"/>
      <c r="F1" s="648"/>
      <c r="G1" s="648"/>
      <c r="H1" s="648"/>
      <c r="I1" s="648"/>
      <c r="J1" s="649"/>
      <c r="K1" s="649"/>
      <c r="L1" s="650"/>
      <c r="M1" s="650"/>
      <c r="N1" s="650"/>
      <c r="O1" s="648"/>
      <c r="P1" s="651"/>
      <c r="Q1" s="649"/>
      <c r="R1" s="649"/>
      <c r="S1" s="649"/>
      <c r="T1" s="649"/>
      <c r="U1" s="649"/>
      <c r="V1" s="263"/>
      <c r="W1" s="652"/>
      <c r="X1" s="263"/>
      <c r="Y1" s="263"/>
      <c r="Z1" s="263"/>
      <c r="AA1" s="649"/>
      <c r="AB1" s="653"/>
      <c r="AC1" s="654"/>
      <c r="AD1" s="655"/>
      <c r="AE1" s="647"/>
      <c r="AF1" s="656" t="s">
        <v>574</v>
      </c>
      <c r="AG1" s="647"/>
      <c r="AH1" s="647"/>
      <c r="AI1" s="650"/>
      <c r="AJ1" s="648"/>
      <c r="AK1" s="648"/>
      <c r="AL1" s="657"/>
      <c r="AM1" s="648"/>
      <c r="AN1" s="658"/>
      <c r="AO1" s="648"/>
      <c r="AP1" s="650"/>
      <c r="AQ1" s="650"/>
      <c r="AR1" s="647"/>
      <c r="AS1" s="657"/>
      <c r="AT1" s="657"/>
      <c r="AU1" s="659"/>
      <c r="AV1" s="659"/>
      <c r="AW1" s="659"/>
      <c r="AX1" s="650"/>
      <c r="AY1" s="650"/>
      <c r="AZ1" s="648"/>
      <c r="BA1" s="660"/>
      <c r="BB1" s="648"/>
      <c r="BC1" s="657"/>
      <c r="BD1" s="648"/>
      <c r="BE1" s="657"/>
      <c r="BF1" s="658"/>
      <c r="BG1" s="658"/>
      <c r="BH1" s="658"/>
      <c r="BI1" s="658"/>
      <c r="BJ1" s="648"/>
      <c r="BK1" s="657"/>
      <c r="BL1" s="648"/>
      <c r="BM1" s="661"/>
      <c r="BN1" s="648"/>
      <c r="BO1" s="662"/>
      <c r="BP1" s="648"/>
      <c r="BQ1" s="662"/>
      <c r="BR1" s="648"/>
      <c r="BS1" s="658"/>
      <c r="BT1" s="658"/>
      <c r="BU1" s="658"/>
      <c r="BV1" s="658"/>
      <c r="BW1" s="663"/>
      <c r="BX1" s="664"/>
    </row>
    <row r="2" hidden="1" outlineLevel="1">
      <c r="A2" s="468" t="s">
        <v>5</v>
      </c>
      <c r="B2" s="468" t="s">
        <v>6</v>
      </c>
      <c r="C2" s="468" t="s">
        <v>7</v>
      </c>
      <c r="D2" s="468" t="s">
        <v>2</v>
      </c>
      <c r="E2" s="468" t="s">
        <v>8</v>
      </c>
      <c r="F2" s="468" t="s">
        <v>17</v>
      </c>
      <c r="G2" s="468" t="s">
        <v>20</v>
      </c>
      <c r="H2" s="297" t="s">
        <v>10</v>
      </c>
      <c r="I2" s="297" t="s">
        <v>235</v>
      </c>
      <c r="J2" s="665" t="s">
        <v>12</v>
      </c>
      <c r="K2" s="665" t="s">
        <v>13</v>
      </c>
      <c r="L2" s="468" t="s">
        <v>436</v>
      </c>
      <c r="M2" s="666" t="s">
        <v>56</v>
      </c>
      <c r="N2" s="666" t="s">
        <v>542</v>
      </c>
      <c r="O2" s="468" t="s">
        <v>543</v>
      </c>
      <c r="P2" s="667" t="s">
        <v>24</v>
      </c>
      <c r="Q2" s="668" t="s">
        <v>575</v>
      </c>
      <c r="R2" s="668" t="s">
        <v>576</v>
      </c>
      <c r="S2" s="668" t="s">
        <v>545</v>
      </c>
      <c r="T2" s="668" t="s">
        <v>548</v>
      </c>
      <c r="U2" s="668" t="str">
        <f>'S-10 Оформление сделок Выборка'!U2</f>
        <v>КонтактируетСЗаказчикомПоВопросуИсполнения</v>
      </c>
      <c r="V2" s="668" t="str">
        <f>'S-10 Оформление сделок Выборка'!V2</f>
        <v>ОсобыеУсловия</v>
      </c>
      <c r="W2" s="667" t="str">
        <f>'S-10 Оформление сделок Выборка'!W2</f>
        <v>ДатаПодписанияДоговора</v>
      </c>
      <c r="X2" s="668" t="str">
        <f>'S-10 Оформление сделок Выборка'!X2</f>
        <v>МестоПоставкиТовара</v>
      </c>
      <c r="Y2" s="668" t="str">
        <f>'S-10 Оформление сделок Выборка'!Y2</f>
        <v>КонтактыПокупателя</v>
      </c>
      <c r="Z2" s="668" t="s">
        <v>577</v>
      </c>
      <c r="AA2" s="665" t="s">
        <v>578</v>
      </c>
      <c r="AB2" s="150" t="s">
        <v>579</v>
      </c>
      <c r="AC2" s="665" t="s">
        <v>555</v>
      </c>
      <c r="AD2" s="468" t="s">
        <v>212</v>
      </c>
      <c r="AE2" s="468" t="s">
        <v>580</v>
      </c>
      <c r="AF2" s="468" t="s">
        <v>551</v>
      </c>
      <c r="AG2" s="468" t="s">
        <v>581</v>
      </c>
      <c r="AH2" s="669" t="s">
        <v>582</v>
      </c>
      <c r="AI2" s="669" t="s">
        <v>583</v>
      </c>
      <c r="AJ2" s="669" t="s">
        <v>584</v>
      </c>
      <c r="AK2" s="468" t="s">
        <v>585</v>
      </c>
      <c r="AL2" s="468" t="s">
        <v>586</v>
      </c>
      <c r="AM2" s="468" t="str">
        <f>AN2&amp;".Ф"</f>
        <v>ДатаСледКонтакта.Ф</v>
      </c>
      <c r="AN2" s="670" t="s">
        <v>587</v>
      </c>
      <c r="AO2" s="468" t="str">
        <f>AP2&amp;".Ф"</f>
        <v>РеальнаяЦена.Ф</v>
      </c>
      <c r="AP2" s="666" t="s">
        <v>588</v>
      </c>
      <c r="AQ2" s="671" t="s">
        <v>589</v>
      </c>
      <c r="AR2" s="468" t="str">
        <f>AS2&amp;".Ф"</f>
        <v>РеальныйСрок.Ф</v>
      </c>
      <c r="AS2" s="468" t="s">
        <v>590</v>
      </c>
      <c r="AT2" s="468" t="str">
        <f>AU2&amp;".Ф"</f>
        <v>НДС.Ф</v>
      </c>
      <c r="AU2" s="672" t="s">
        <v>591</v>
      </c>
      <c r="AV2" s="468" t="str">
        <f>AW2&amp;".Ф"</f>
        <v>ВидОплаты.Ф</v>
      </c>
      <c r="AW2" s="673" t="s">
        <v>592</v>
      </c>
      <c r="AX2" s="666" t="s">
        <v>593</v>
      </c>
      <c r="AY2" s="666" t="s">
        <v>594</v>
      </c>
      <c r="AZ2" s="468" t="str">
        <f>BA2&amp;".Ф"</f>
        <v>ИннПоставщика.Ф</v>
      </c>
      <c r="BA2" s="674" t="s">
        <v>595</v>
      </c>
      <c r="BB2" s="468" t="str">
        <f>BC2&amp;".Ф"</f>
        <v>ПроцентПервоначальнойОплаты.Ф</v>
      </c>
      <c r="BC2" s="675" t="s">
        <v>596</v>
      </c>
      <c r="BD2" s="468" t="str">
        <f>BE2&amp;".Ф"</f>
        <v>УсловияОплаты.Ф</v>
      </c>
      <c r="BE2" s="676" t="s">
        <v>597</v>
      </c>
      <c r="BF2" s="670" t="str">
        <f>BG2&amp;".Ф"</f>
        <v>ИныеУсловияОплаты.Ф</v>
      </c>
      <c r="BG2" s="677" t="s">
        <v>598</v>
      </c>
      <c r="BH2" s="678" t="str">
        <f>BI2&amp;".Ф"</f>
        <v>ОтсрочкаКалендарныхДней.Ф</v>
      </c>
      <c r="BI2" s="679" t="s">
        <v>599</v>
      </c>
      <c r="BJ2" s="468" t="str">
        <f>BK2&amp;".Ф"</f>
        <v>КудаДоставитьГруз.Ф</v>
      </c>
      <c r="BK2" s="676" t="s">
        <v>600</v>
      </c>
      <c r="BL2" s="468" t="str">
        <f>BM2&amp;".Ф"</f>
        <v>ОбязательстваПоставщикаПоДоставке.Ф</v>
      </c>
      <c r="BM2" s="680" t="s">
        <v>601</v>
      </c>
      <c r="BN2" s="468" t="str">
        <f>BO2&amp;".Ф"</f>
        <v>СтатусОплаты.Ф</v>
      </c>
      <c r="BO2" s="675" t="s">
        <v>602</v>
      </c>
      <c r="BP2" s="468" t="str">
        <f>BQ2&amp;".Ф"</f>
        <v>ПроцентОплаты.Ф</v>
      </c>
      <c r="BQ2" s="676" t="s">
        <v>603</v>
      </c>
      <c r="BR2" s="468" t="str">
        <f>BS2&amp;".Ф"</f>
        <v>ДатаПолученияФинальногоСчетДоговора.Ф</v>
      </c>
      <c r="BS2" s="681" t="s">
        <v>604</v>
      </c>
      <c r="BT2" s="670" t="str">
        <f>BU2&amp;".Ф"</f>
        <v>ДатаОтправкиПодписанногоСНашейСтороныСчетДоговора.Ф</v>
      </c>
      <c r="BU2" s="681" t="s">
        <v>605</v>
      </c>
      <c r="BV2" s="670" t="str">
        <f>BW2&amp;".Ф"</f>
        <v>ПроверкаОшибок.Ф</v>
      </c>
      <c r="BW2" s="682" t="s">
        <v>606</v>
      </c>
      <c r="BX2" s="683"/>
    </row>
    <row r="3" hidden="1" outlineLevel="1">
      <c r="A3" s="310"/>
      <c r="B3" s="310"/>
      <c r="C3" s="684" t="s">
        <v>236</v>
      </c>
      <c r="D3" s="685" t="s">
        <v>25</v>
      </c>
      <c r="E3" s="685" t="s">
        <v>25</v>
      </c>
      <c r="F3" s="685" t="s">
        <v>25</v>
      </c>
      <c r="G3" s="685" t="s">
        <v>25</v>
      </c>
      <c r="H3" s="685"/>
      <c r="I3" s="685"/>
      <c r="J3" s="686" t="s">
        <v>25</v>
      </c>
      <c r="K3" s="686" t="s">
        <v>25</v>
      </c>
      <c r="L3" s="685" t="s">
        <v>25</v>
      </c>
      <c r="M3" s="687" t="s">
        <v>25</v>
      </c>
      <c r="N3" s="687" t="s">
        <v>25</v>
      </c>
      <c r="O3" s="685" t="s">
        <v>25</v>
      </c>
      <c r="P3" s="688" t="s">
        <v>25</v>
      </c>
      <c r="Q3" s="685"/>
      <c r="R3" s="685"/>
      <c r="S3" s="685"/>
      <c r="T3" s="685"/>
      <c r="U3" s="685" t="str">
        <f>'S-10 Оформление сделок Выборка'!U3</f>
        <v>formulaColl</v>
      </c>
      <c r="V3" s="685" t="str">
        <f>'S-10 Оформление сделок Выборка'!V3</f>
        <v>formulaColl</v>
      </c>
      <c r="W3" s="688" t="str">
        <f>'S-10 Оформление сделок Выборка'!W3</f>
        <v>formulaColl</v>
      </c>
      <c r="X3" s="685" t="str">
        <f>'S-10 Оформление сделок Выборка'!X3</f>
        <v>formulaColl</v>
      </c>
      <c r="Y3" s="685" t="str">
        <f>'S-10 Оформление сделок Выборка'!Y3</f>
        <v>formulaColl</v>
      </c>
      <c r="Z3" s="685" t="s">
        <v>25</v>
      </c>
      <c r="AA3" s="685" t="s">
        <v>25</v>
      </c>
      <c r="AB3" s="689"/>
      <c r="AC3" s="685" t="s">
        <v>25</v>
      </c>
      <c r="AD3" s="690" t="s">
        <v>25</v>
      </c>
      <c r="AE3" s="685" t="s">
        <v>236</v>
      </c>
      <c r="AF3" s="685" t="s">
        <v>32</v>
      </c>
      <c r="AG3" s="685" t="s">
        <v>25</v>
      </c>
      <c r="AH3" s="685" t="s">
        <v>25</v>
      </c>
      <c r="AI3" s="685" t="s">
        <v>25</v>
      </c>
      <c r="AJ3" s="685" t="s">
        <v>25</v>
      </c>
      <c r="AK3" s="685" t="s">
        <v>236</v>
      </c>
      <c r="AL3" s="685" t="s">
        <v>32</v>
      </c>
      <c r="AM3" s="685" t="s">
        <v>236</v>
      </c>
      <c r="AN3" s="688" t="s">
        <v>32</v>
      </c>
      <c r="AO3" s="685" t="s">
        <v>236</v>
      </c>
      <c r="AP3" s="687" t="s">
        <v>32</v>
      </c>
      <c r="AQ3" s="687" t="s">
        <v>25</v>
      </c>
      <c r="AR3" s="685" t="s">
        <v>236</v>
      </c>
      <c r="AS3" s="685" t="s">
        <v>32</v>
      </c>
      <c r="AT3" s="685" t="s">
        <v>236</v>
      </c>
      <c r="AU3" s="691" t="s">
        <v>32</v>
      </c>
      <c r="AV3" s="685" t="s">
        <v>236</v>
      </c>
      <c r="AW3" s="691" t="s">
        <v>32</v>
      </c>
      <c r="AX3" s="687" t="s">
        <v>25</v>
      </c>
      <c r="AY3" s="687" t="s">
        <v>25</v>
      </c>
      <c r="AZ3" s="685" t="s">
        <v>236</v>
      </c>
      <c r="BA3" s="692" t="s">
        <v>32</v>
      </c>
      <c r="BB3" s="685" t="s">
        <v>236</v>
      </c>
      <c r="BC3" s="685" t="s">
        <v>32</v>
      </c>
      <c r="BD3" s="685" t="s">
        <v>236</v>
      </c>
      <c r="BE3" s="685" t="s">
        <v>32</v>
      </c>
      <c r="BF3" s="688" t="s">
        <v>236</v>
      </c>
      <c r="BG3" s="688" t="s">
        <v>32</v>
      </c>
      <c r="BH3" s="693" t="s">
        <v>236</v>
      </c>
      <c r="BI3" s="693" t="s">
        <v>32</v>
      </c>
      <c r="BJ3" s="685" t="s">
        <v>236</v>
      </c>
      <c r="BK3" s="685" t="s">
        <v>32</v>
      </c>
      <c r="BL3" s="685" t="s">
        <v>236</v>
      </c>
      <c r="BM3" s="694" t="s">
        <v>32</v>
      </c>
      <c r="BN3" s="685" t="s">
        <v>236</v>
      </c>
      <c r="BO3" s="690" t="s">
        <v>32</v>
      </c>
      <c r="BP3" s="685" t="s">
        <v>236</v>
      </c>
      <c r="BQ3" s="690"/>
      <c r="BR3" s="685" t="s">
        <v>236</v>
      </c>
      <c r="BS3" s="688" t="s">
        <v>32</v>
      </c>
      <c r="BT3" s="688" t="s">
        <v>236</v>
      </c>
      <c r="BU3" s="688" t="s">
        <v>32</v>
      </c>
      <c r="BV3" s="688" t="s">
        <v>236</v>
      </c>
      <c r="BW3" s="695" t="s">
        <v>32</v>
      </c>
      <c r="BX3" s="696"/>
    </row>
    <row r="4" hidden="1" outlineLevel="1">
      <c r="A4" s="697"/>
      <c r="B4" s="310"/>
      <c r="C4" s="698" t="s">
        <v>28</v>
      </c>
      <c r="D4" s="310"/>
      <c r="E4" s="310"/>
      <c r="F4" s="310"/>
      <c r="G4" s="310"/>
      <c r="H4" s="310"/>
      <c r="I4" s="310"/>
      <c r="J4" s="699"/>
      <c r="K4" s="699"/>
      <c r="L4" s="311"/>
      <c r="M4" s="305"/>
      <c r="N4" s="305"/>
      <c r="O4" s="310"/>
      <c r="P4" s="700"/>
      <c r="Q4" s="334"/>
      <c r="R4" s="334"/>
      <c r="S4" s="334"/>
      <c r="T4" s="334"/>
      <c r="U4" s="334"/>
      <c r="V4" s="16"/>
      <c r="W4" s="701"/>
      <c r="X4" s="16"/>
      <c r="Y4" s="16"/>
      <c r="Z4" s="16"/>
      <c r="AA4" s="334"/>
      <c r="AB4" s="144"/>
      <c r="AC4" s="334"/>
      <c r="AD4" s="702"/>
      <c r="AE4" s="311"/>
      <c r="AF4" s="311"/>
      <c r="AG4" s="310"/>
      <c r="AH4" s="310"/>
      <c r="AI4" s="310"/>
      <c r="AJ4" s="310"/>
      <c r="AK4" s="310"/>
      <c r="AL4" s="310"/>
      <c r="AM4" s="310"/>
      <c r="AN4" s="664"/>
      <c r="AO4" s="310"/>
      <c r="AP4" s="305"/>
      <c r="AQ4" s="305"/>
      <c r="AR4" s="310"/>
      <c r="AS4" s="310"/>
      <c r="AT4" s="310"/>
      <c r="AU4" s="703"/>
      <c r="AV4" s="703"/>
      <c r="AW4" s="703"/>
      <c r="AX4" s="305"/>
      <c r="AY4" s="305"/>
      <c r="AZ4" s="310"/>
      <c r="BA4" s="704"/>
      <c r="BB4" s="310"/>
      <c r="BC4" s="310"/>
      <c r="BD4" s="310"/>
      <c r="BE4" s="310"/>
      <c r="BF4" s="664"/>
      <c r="BG4" s="664"/>
      <c r="BH4" s="705"/>
      <c r="BI4" s="705"/>
      <c r="BJ4" s="310"/>
      <c r="BK4" s="310"/>
      <c r="BL4" s="310"/>
      <c r="BM4" s="706"/>
      <c r="BN4" s="310"/>
      <c r="BO4" s="707"/>
      <c r="BP4" s="310"/>
      <c r="BQ4" s="707"/>
      <c r="BR4" s="310"/>
      <c r="BS4" s="664"/>
      <c r="BT4" s="664"/>
      <c r="BU4" s="664"/>
      <c r="BV4" s="664"/>
      <c r="BW4" s="708"/>
      <c r="BX4" s="664"/>
    </row>
    <row r="5" hidden="1" outlineLevel="1">
      <c r="A5" s="697"/>
      <c r="B5" s="310"/>
      <c r="C5" s="698" t="s">
        <v>31</v>
      </c>
      <c r="D5" s="310" t="str">
        <f t="shared" ref="D5:F5" si="1">'Настройки писем'!AY1</f>
        <v>#REF!</v>
      </c>
      <c r="E5" s="310" t="str">
        <f t="shared" si="1"/>
        <v>#REF!</v>
      </c>
      <c r="F5" s="310" t="str">
        <f t="shared" si="1"/>
        <v>#REF!</v>
      </c>
      <c r="G5" s="310"/>
      <c r="H5" s="310"/>
      <c r="I5" s="310"/>
      <c r="J5" s="334"/>
      <c r="K5" s="334"/>
      <c r="L5" s="310"/>
      <c r="M5" s="305"/>
      <c r="N5" s="305"/>
      <c r="O5" s="310"/>
      <c r="P5" s="700"/>
      <c r="Q5" s="334"/>
      <c r="R5" s="334"/>
      <c r="S5" s="334"/>
      <c r="T5" s="334"/>
      <c r="U5" s="334"/>
      <c r="V5" s="16"/>
      <c r="W5" s="701"/>
      <c r="X5" s="16"/>
      <c r="Y5" s="16"/>
      <c r="Z5" s="16"/>
      <c r="AA5" s="334"/>
      <c r="AB5" s="144"/>
      <c r="AC5" s="334"/>
      <c r="AD5" s="702"/>
      <c r="AE5" s="311"/>
      <c r="AF5" s="311"/>
      <c r="AG5" s="310"/>
      <c r="AH5" s="310"/>
      <c r="AI5" s="310"/>
      <c r="AJ5" s="310"/>
      <c r="AK5" s="310"/>
      <c r="AL5" s="310"/>
      <c r="AM5" s="310"/>
      <c r="AN5" s="664"/>
      <c r="AO5" s="310"/>
      <c r="AP5" s="305"/>
      <c r="AQ5" s="305"/>
      <c r="AR5" s="310"/>
      <c r="AS5" s="310"/>
      <c r="AT5" s="310"/>
      <c r="AU5" s="703"/>
      <c r="AV5" s="703"/>
      <c r="AW5" s="703"/>
      <c r="AX5" s="305"/>
      <c r="AY5" s="305"/>
      <c r="AZ5" s="310"/>
      <c r="BA5" s="704"/>
      <c r="BB5" s="310"/>
      <c r="BC5" s="310"/>
      <c r="BD5" s="310"/>
      <c r="BE5" s="310"/>
      <c r="BF5" s="664"/>
      <c r="BG5" s="664"/>
      <c r="BH5" s="705"/>
      <c r="BI5" s="705"/>
      <c r="BJ5" s="310"/>
      <c r="BK5" s="310"/>
      <c r="BL5" s="310"/>
      <c r="BM5" s="706"/>
      <c r="BN5" s="310"/>
      <c r="BO5" s="707"/>
      <c r="BP5" s="310"/>
      <c r="BQ5" s="707"/>
      <c r="BR5" s="310"/>
      <c r="BS5" s="664"/>
      <c r="BT5" s="664"/>
      <c r="BU5" s="664"/>
      <c r="BV5" s="664"/>
      <c r="BW5" s="708"/>
      <c r="BX5" s="664"/>
    </row>
    <row r="6" hidden="1" outlineLevel="1">
      <c r="A6" s="709"/>
      <c r="B6" s="334"/>
      <c r="C6" s="710" t="s">
        <v>35</v>
      </c>
      <c r="D6" s="334" t="str">
        <f t="shared" ref="D6:F6" si="2">'Настройки писем'!AY2</f>
        <v>#REF!</v>
      </c>
      <c r="E6" s="334" t="str">
        <f t="shared" si="2"/>
        <v>#REF!</v>
      </c>
      <c r="F6" s="334" t="str">
        <f t="shared" si="2"/>
        <v>#REF!</v>
      </c>
      <c r="G6" s="317"/>
      <c r="H6" s="317"/>
      <c r="I6" s="317"/>
      <c r="J6" s="334"/>
      <c r="K6" s="334"/>
      <c r="L6" s="334"/>
      <c r="M6" s="711"/>
      <c r="N6" s="711"/>
      <c r="O6" s="712"/>
      <c r="P6" s="700"/>
      <c r="Q6" s="334"/>
      <c r="R6" s="334"/>
      <c r="S6" s="334"/>
      <c r="T6" s="334"/>
      <c r="U6" s="334"/>
      <c r="V6" s="16"/>
      <c r="W6" s="701"/>
      <c r="X6" s="16"/>
      <c r="Y6" s="16"/>
      <c r="Z6" s="16"/>
      <c r="AA6" s="334"/>
      <c r="AB6" s="153"/>
      <c r="AC6" s="334"/>
      <c r="AD6" s="699"/>
      <c r="AE6" s="699"/>
      <c r="AF6" s="699"/>
      <c r="AG6" s="334"/>
      <c r="AH6" s="334"/>
      <c r="AI6" s="334"/>
      <c r="AJ6" s="334"/>
      <c r="AK6" s="334"/>
      <c r="AL6" s="334"/>
      <c r="AM6" s="334"/>
      <c r="AN6" s="700"/>
      <c r="AO6" s="334"/>
      <c r="AP6" s="711"/>
      <c r="AQ6" s="711"/>
      <c r="AR6" s="334"/>
      <c r="AS6" s="334"/>
      <c r="AT6" s="334"/>
      <c r="AU6" s="713"/>
      <c r="AV6" s="703"/>
      <c r="AW6" s="703"/>
      <c r="AX6" s="711"/>
      <c r="AY6" s="711"/>
      <c r="AZ6" s="334"/>
      <c r="BA6" s="714"/>
      <c r="BB6" s="334"/>
      <c r="BC6" s="334"/>
      <c r="BD6" s="334"/>
      <c r="BE6" s="334"/>
      <c r="BF6" s="700"/>
      <c r="BG6" s="700"/>
      <c r="BH6" s="715"/>
      <c r="BI6" s="715"/>
      <c r="BJ6" s="334"/>
      <c r="BK6" s="334"/>
      <c r="BL6" s="334"/>
      <c r="BM6" s="716"/>
      <c r="BN6" s="334"/>
      <c r="BO6" s="334"/>
      <c r="BP6" s="334"/>
      <c r="BQ6" s="334"/>
      <c r="BR6" s="334"/>
      <c r="BS6" s="700"/>
      <c r="BT6" s="700"/>
      <c r="BU6" s="700"/>
      <c r="BV6" s="700"/>
      <c r="BW6" s="717"/>
      <c r="BX6" s="700"/>
    </row>
    <row r="7" hidden="1" outlineLevel="1">
      <c r="A7" s="669" t="s">
        <v>237</v>
      </c>
      <c r="B7" s="669" t="s">
        <v>237</v>
      </c>
      <c r="C7" s="468" t="s">
        <v>37</v>
      </c>
      <c r="D7" s="242"/>
      <c r="E7" s="149" t="s">
        <v>455</v>
      </c>
      <c r="F7" s="149"/>
      <c r="G7" s="149" t="s">
        <v>455</v>
      </c>
      <c r="H7" s="149" t="s">
        <v>455</v>
      </c>
      <c r="I7" s="149" t="s">
        <v>455</v>
      </c>
      <c r="J7" s="344"/>
      <c r="K7" s="344"/>
      <c r="L7" s="718"/>
      <c r="M7" s="719"/>
      <c r="N7" s="719"/>
      <c r="O7" s="718"/>
      <c r="P7" s="720"/>
      <c r="Q7" s="721" t="s">
        <v>237</v>
      </c>
      <c r="R7" s="721" t="s">
        <v>237</v>
      </c>
      <c r="S7" s="721" t="s">
        <v>237</v>
      </c>
      <c r="T7" s="721" t="s">
        <v>237</v>
      </c>
      <c r="U7" s="721" t="s">
        <v>237</v>
      </c>
      <c r="V7" s="721" t="s">
        <v>237</v>
      </c>
      <c r="W7" s="720" t="s">
        <v>237</v>
      </c>
      <c r="X7" s="721" t="s">
        <v>237</v>
      </c>
      <c r="Y7" s="721" t="s">
        <v>237</v>
      </c>
      <c r="Z7" s="721" t="s">
        <v>237</v>
      </c>
      <c r="AA7" s="721" t="s">
        <v>237</v>
      </c>
      <c r="AB7" s="722"/>
      <c r="AC7" s="344"/>
      <c r="AD7" s="723"/>
      <c r="AE7" s="669" t="s">
        <v>237</v>
      </c>
      <c r="AF7" s="724"/>
      <c r="AG7" s="310"/>
      <c r="AH7" s="310"/>
      <c r="AI7" s="310"/>
      <c r="AJ7" s="310"/>
      <c r="AK7" s="669" t="s">
        <v>237</v>
      </c>
      <c r="AL7" s="310"/>
      <c r="AM7" s="669" t="s">
        <v>237</v>
      </c>
      <c r="AN7" s="664"/>
      <c r="AO7" s="669" t="s">
        <v>237</v>
      </c>
      <c r="AP7" s="305"/>
      <c r="AQ7" s="305"/>
      <c r="AR7" s="669" t="s">
        <v>237</v>
      </c>
      <c r="AS7" s="310"/>
      <c r="AT7" s="669" t="s">
        <v>237</v>
      </c>
      <c r="AU7" s="703"/>
      <c r="AV7" s="669" t="s">
        <v>237</v>
      </c>
      <c r="AW7" s="703"/>
      <c r="AX7" s="305"/>
      <c r="AY7" s="305"/>
      <c r="AZ7" s="669" t="s">
        <v>237</v>
      </c>
      <c r="BA7" s="704"/>
      <c r="BB7" s="669" t="s">
        <v>237</v>
      </c>
      <c r="BC7" s="310"/>
      <c r="BD7" s="669" t="s">
        <v>237</v>
      </c>
      <c r="BE7" s="310"/>
      <c r="BF7" s="696" t="s">
        <v>237</v>
      </c>
      <c r="BG7" s="664"/>
      <c r="BH7" s="678" t="s">
        <v>237</v>
      </c>
      <c r="BI7" s="705"/>
      <c r="BJ7" s="669" t="s">
        <v>237</v>
      </c>
      <c r="BK7" s="310"/>
      <c r="BL7" s="669" t="s">
        <v>237</v>
      </c>
      <c r="BM7" s="706"/>
      <c r="BN7" s="669" t="s">
        <v>237</v>
      </c>
      <c r="BO7" s="707"/>
      <c r="BP7" s="669" t="s">
        <v>237</v>
      </c>
      <c r="BQ7" s="707"/>
      <c r="BR7" s="669" t="s">
        <v>237</v>
      </c>
      <c r="BS7" s="664"/>
      <c r="BT7" s="696" t="s">
        <v>237</v>
      </c>
      <c r="BU7" s="664"/>
      <c r="BV7" s="696" t="s">
        <v>237</v>
      </c>
      <c r="BW7" s="708"/>
      <c r="BX7" s="664"/>
    </row>
    <row r="8" hidden="1" outlineLevel="1">
      <c r="A8" s="310"/>
      <c r="B8" s="310"/>
      <c r="C8" s="468" t="s">
        <v>39</v>
      </c>
      <c r="D8" s="310"/>
      <c r="E8" s="310"/>
      <c r="F8" s="310"/>
      <c r="G8" s="310"/>
      <c r="H8" s="310"/>
      <c r="I8" s="310"/>
      <c r="J8" s="334"/>
      <c r="K8" s="334"/>
      <c r="L8" s="310"/>
      <c r="M8" s="305"/>
      <c r="N8" s="305"/>
      <c r="O8" s="310"/>
      <c r="P8" s="725"/>
      <c r="Q8" s="726"/>
      <c r="R8" s="726"/>
      <c r="S8" s="726"/>
      <c r="T8" s="726"/>
      <c r="U8" s="726"/>
      <c r="V8" s="727"/>
      <c r="W8" s="728"/>
      <c r="X8" s="727"/>
      <c r="Y8" s="727"/>
      <c r="Z8" s="727"/>
      <c r="AA8" s="726"/>
      <c r="AB8" s="726"/>
      <c r="AC8" s="726"/>
      <c r="AD8" s="702"/>
      <c r="AE8" s="311"/>
      <c r="AF8" s="311"/>
      <c r="AG8" s="310"/>
      <c r="AH8" s="310"/>
      <c r="AI8" s="310"/>
      <c r="AJ8" s="310"/>
      <c r="AK8" s="310"/>
      <c r="AL8" s="310"/>
      <c r="AM8" s="310"/>
      <c r="AN8" s="664"/>
      <c r="AO8" s="310"/>
      <c r="AP8" s="305"/>
      <c r="AQ8" s="305"/>
      <c r="AR8" s="310"/>
      <c r="AS8" s="310"/>
      <c r="AT8" s="310"/>
      <c r="AU8" s="703"/>
      <c r="AV8" s="703"/>
      <c r="AW8" s="703"/>
      <c r="AX8" s="305"/>
      <c r="AY8" s="305"/>
      <c r="AZ8" s="310"/>
      <c r="BA8" s="704"/>
      <c r="BB8" s="310"/>
      <c r="BC8" s="310"/>
      <c r="BD8" s="310"/>
      <c r="BE8" s="310"/>
      <c r="BF8" s="664"/>
      <c r="BG8" s="664"/>
      <c r="BH8" s="664"/>
      <c r="BI8" s="664"/>
      <c r="BJ8" s="310"/>
      <c r="BK8" s="310"/>
      <c r="BL8" s="310"/>
      <c r="BM8" s="706"/>
      <c r="BN8" s="310"/>
      <c r="BO8" s="707"/>
      <c r="BP8" s="310"/>
      <c r="BQ8" s="707"/>
      <c r="BR8" s="310"/>
      <c r="BS8" s="664"/>
      <c r="BT8" s="664"/>
      <c r="BU8" s="664"/>
      <c r="BV8" s="664"/>
      <c r="BW8" s="708"/>
      <c r="BX8" s="664"/>
    </row>
    <row r="9" collapsed="1">
      <c r="A9" s="310"/>
      <c r="B9" s="310"/>
      <c r="C9" s="729" t="s">
        <v>44</v>
      </c>
      <c r="D9" s="334"/>
      <c r="E9" s="730"/>
      <c r="F9" s="730" t="str">
        <f>HYPERLINK(D9,"Папка со счетами")</f>
        <v>Папка со счетами</v>
      </c>
      <c r="G9" s="310"/>
      <c r="H9" s="310"/>
      <c r="I9" s="310"/>
      <c r="J9" s="334"/>
      <c r="K9" s="334"/>
      <c r="L9" s="731" t="str">
        <f>'S-10 Для Внешней Оплаты'!F6</f>
        <v/>
      </c>
      <c r="M9" s="468" t="str">
        <f>IFERROR(__xludf.DUMMYFUNCTION("IF(LEN(L9)&gt;0,IMPORTRANGE(L9,""A1""),)"),"")</f>
        <v/>
      </c>
      <c r="N9" s="732" t="str">
        <f>IF(ISERR(M9),"&lt;&lt; Откройте доступ ошибка",)</f>
        <v/>
      </c>
      <c r="O9" s="310"/>
      <c r="P9" s="725"/>
      <c r="Q9" s="153"/>
      <c r="R9" s="153"/>
      <c r="S9" s="153"/>
      <c r="T9" s="153"/>
      <c r="U9" s="153"/>
      <c r="V9" s="733"/>
      <c r="W9" s="734"/>
      <c r="X9" s="733"/>
      <c r="Y9" s="733"/>
      <c r="Z9" s="733"/>
      <c r="AA9" s="153"/>
      <c r="AB9" s="153" t="str">
        <f>IF('S-10 Триггеры'!F6 = "Триггеры проекта запушены","Триггеры проекта запушены","Не запущены триггеры проекта")</f>
        <v>Не запущены триггеры проекта</v>
      </c>
      <c r="AD9" s="702"/>
      <c r="AE9" s="311"/>
      <c r="AF9" s="311"/>
      <c r="AG9" s="310"/>
      <c r="AH9" s="310"/>
      <c r="AI9" s="310"/>
      <c r="AJ9" s="310"/>
      <c r="AK9" s="310"/>
      <c r="AL9" s="310"/>
      <c r="AM9" s="310"/>
      <c r="AN9" s="664"/>
      <c r="AO9" s="310"/>
      <c r="AP9" s="305"/>
      <c r="AQ9" s="305"/>
      <c r="AR9" s="310"/>
      <c r="AS9" s="310"/>
      <c r="AT9" s="310"/>
      <c r="AU9" s="703"/>
      <c r="AV9" s="703"/>
      <c r="AW9" s="703"/>
      <c r="AX9" s="305"/>
      <c r="AY9" s="305"/>
      <c r="AZ9" s="310"/>
      <c r="BA9" s="704"/>
      <c r="BB9" s="310"/>
      <c r="BC9" s="310"/>
      <c r="BD9" s="310"/>
      <c r="BE9" s="310"/>
      <c r="BF9" s="664"/>
      <c r="BG9" s="664"/>
      <c r="BH9" s="664"/>
      <c r="BI9" s="664"/>
      <c r="BJ9" s="310"/>
      <c r="BK9" s="310"/>
      <c r="BL9" s="310"/>
      <c r="BM9" s="706"/>
      <c r="BN9" s="310"/>
      <c r="BO9" s="707"/>
      <c r="BP9" s="310"/>
      <c r="BQ9" s="707"/>
      <c r="BR9" s="310"/>
      <c r="BS9" s="664"/>
      <c r="BT9" s="664"/>
      <c r="BU9" s="664"/>
      <c r="BV9" s="664"/>
      <c r="BW9" s="708"/>
      <c r="BX9" s="664"/>
    </row>
    <row r="10">
      <c r="A10" s="735"/>
      <c r="B10" s="735"/>
      <c r="C10" s="736" t="str">
        <f>'5-1 Сбор КП Закупки'!C10</f>
        <v>ID_Товара</v>
      </c>
      <c r="D10" s="737" t="str">
        <f t="array" ref="D10:D310">LAMBDA(doNothing,doFind,doRezolve,theIds,theData,
byrow(doRezolve(doNothing,doFind,theIds,theData),LAMBDA(t,t))
)( 
LAMBDA(theIds,theData,),
LAMBDA(theId,theData, VLOOKUP(theId,theData,2,FALSE) ),
LAMBDA(doNothing,doFind,theIds,theData, ByRow(theIds,LAMBDA(theId,IF(theId&lt;&gt;"",doFind,doNothing)(theId,theData)  ))),
'5-5 Оформление сделок'!$C$10:$C310,{'5-1 Сбор КП Закупки'!$C$10:$C319,'5-1 Сбор КП Закупки'!$D$10:D319}
)</f>
        <v>№</v>
      </c>
      <c r="E10" s="737" t="str">
        <f t="array" ref="E10:E310">LAMBDA(doNothing,doFind,doRezolve,theIds,theData,
byrow(doRezolve(doNothing,doFind,theIds,theData),LAMBDA(t,t))
)( 
LAMBDA(theIds,theData,),
LAMBDA(theId,theData, VLOOKUP(theId,theData,2,FALSE) ),
LAMBDA(doNothing,doFind,theIds,theData, ByRow(theIds,LAMBDA(theId,IF(theId&lt;&gt;"",doFind,doNothing)(theId,theData)  ))),
'5-5 Оформление сделок'!$C$10:$C310,{'5-1 Сбор КП Закупки'!$C$10:$C319,'5-1 Сбор КП Закупки'!$E$10:E319}
)</f>
        <v>Номенклатура</v>
      </c>
      <c r="F10" s="738" t="str">
        <f t="array" ref="F10:F310">LAMBDA(doNothing,doFind,doRezolve,theIds,theData,
byrow(doRezolve(doNothing,doFind,theIds,theData),LAMBDA(t,t))
)( 
LAMBDA(theIds,theData,),
LAMBDA(theId,theData, VLOOKUP(theId,theData,2,FALSE) ),
LAMBDA(doNothing,doFind,theIds,theData, ByRow(theIds,LAMBDA(theId,IF(theId&lt;&gt;"",doFind,doNothing)(theId,theData)  ))),
'5-5 Оформление сделок'!$C$10:$C310,{'5-1 Сбор КП Закупки'!$C$10:$C319,'5-1 Сбор КП Закупки'!$F$10:F319}
)</f>
        <v>Название товара по договору</v>
      </c>
      <c r="G10" s="738" t="str">
        <f t="array" ref="G10:G310">LAMBDA(doNothing,doFind,doRezolve,theIds,theData,
byrow(doRezolve(doNothing,doFind,theIds,theData),LAMBDA(t,t))
)( 
LAMBDA(theIds,theData,),
LAMBDA(theId,theData, VLOOKUP(theId,theData,2,FALSE) ),
LAMBDA(doNothing,doFind,theIds,theData, ByRow(theIds,LAMBDA(theId,IF(theId&lt;&gt;"",doFind,doNothing)(theId,theData)  ))),
'5-5 Оформление сделок'!$C$10:$C$310,{'5-1 Сбор КП Закупки'!$C$10:$C319,'5-1 Сбор КП Закупки'!$G$10:G319}
)</f>
        <v>Изготовитель товара по договору</v>
      </c>
      <c r="H10" s="738" t="str">
        <f t="array" ref="H10:H310">LAMBDA(doNothing,doFind,doRezolve,theIds,theData,
byrow(doRezolve(doNothing,doFind,theIds,theData),LAMBDA(t,t))
)( 
LAMBDA(theIds,theData,),
LAMBDA(theId,theData, VLOOKUP(theId,theData,2,FALSE) ),
LAMBDA(doNothing,doFind,theIds,theData, ByRow(theIds,LAMBDA(theId,IF(theId&lt;&gt;"",doFind,doNothing)(theId,theData)  ))),
'5-5 Оформление сделок'!$C$10:$C$310,{'5-1 Сбор КП Закупки'!$C$10:$C319,'5-1 Сбор КП Закупки'!$H$10:H319}
)</f>
        <v>Характеристики</v>
      </c>
      <c r="I10" s="739" t="str">
        <f t="array" ref="I10:I310">LAMBDA(doNothing,doFind,doRezolve,theIds,theData,
byrow(doRezolve(doNothing,doFind,theIds,theData),LAMBDA(t,t))
)( 
LAMBDA(theIds,theData,),
LAMBDA(theId,theData, VLOOKUP(theId,theData,2,FALSE) ),
LAMBDA(doNothing,doFind,theIds,theData, ByRow(theIds,LAMBDA(theId,IF(theId&lt;&gt;"",doFind,doNothing)(theId,theData)  ))),
'5-5 Оформление сделок'!$C$10:$C$310,{'5-1 Сбор КП Закупки'!$C$10:$C319,'5-1 Сбор КП Закупки'!$I$10:I319}
)</f>
        <v>Состав поставляемой с продукцией технической документации</v>
      </c>
      <c r="J10" s="752" t="str">
        <f t="array" ref="J10:J310">LAMBDA(doNothing,doFind,doRezolve,theIds,theData,
byrow(doRezolve(doNothing,doFind,theIds,theData),LAMBDA(t,t))
)( 
LAMBDA(theIds,theData,),
LAMBDA(theId,theData, VLOOKUP(theId,theData,2,FALSE) ),
LAMBDA(doNothing,doFind,theIds,theData, ByRow(theIds,LAMBDA(theId,IF(theId&lt;&gt;"",doFind,doNothing)(theId,theData)  ))),
'5-5 Оформление сделок'!$C$10:$C$310,{'5-1 Сбор КП Закупки'!$C$10:$C319,'5-1 Сбор КП Закупки'!$J$10:J319}
)</f>
        <v>Ед. Изм</v>
      </c>
      <c r="K10" s="752" t="str">
        <f t="array" ref="K10:K310">LAMBDA(doNothing,doFind,doRezolve,theIds,theData,
byrow(doRezolve(doNothing,doFind,theIds,theData),LAMBDA(t,t))
)( 
LAMBDA(theIds,theData,),
LAMBDA(theId,theData, VLOOKUP(theId,theData,2,FALSE) ),
LAMBDA(doNothing,doFind,theIds,theData, ByRow(theIds,LAMBDA(theId,IF(theId&lt;&gt;"",doFind,doNothing)(theId,theData)  ))),
'5-5 Оформление сделок'!$C$10:$C$310,{'5-1 Сбор КП Закупки'!$C$10:$C319,'5-1 Сбор КП Закупки'!$K$10:K319}
)</f>
        <v>Кол-во</v>
      </c>
      <c r="L10" s="737" t="str">
        <f t="array" ref="L10:L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{'5-3 Выбор поставщиков Закупки'!$C$10:$C319,'5-3 Выбор поставщиков Закупки'!$J10:$J319}
)</f>
        <v>Группа</v>
      </c>
      <c r="M10" s="754" t="str">
        <f t="array" ref="M10:M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{'5-3 Выбор поставщиков Закупки'!$C$10:$C319,'5-3 Выбор поставщиков Закупки'!$M10:M319}
)</f>
        <v>Цена</v>
      </c>
      <c r="N10" s="754" t="str">
        <f t="array" ref="N10:N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{'5-3 Выбор поставщиков Закупки'!$C$10:$C319,'5-3 Выбор поставщиков Закупки'!$N10:$N319}
)</f>
        <v>Сумма</v>
      </c>
      <c r="O10" s="737" t="str">
        <f t="array" ref="O10:O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{'5-3 Выбор поставщиков Закупки'!$C$10:$C319,'5-3 Выбор поставщиков Закупки'!$O10:$O319}
)</f>
        <v>Срок поставки</v>
      </c>
      <c r="P10" s="762" t="str">
        <f t="array" ref="P10:P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{'5-3 Выбор поставщиков Закупки'!$C$10:$C319,'5-3 Выбор поставщиков Закупки'!$P10:$P319}
)</f>
        <v>Срок поставки по договору</v>
      </c>
      <c r="Q10" s="763"/>
      <c r="R10" s="763"/>
      <c r="S10" s="763"/>
      <c r="T10" s="763"/>
      <c r="U10" s="764" t="str">
        <f t="array" ref="U10:U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{'S-10 Оформление сделок Выборка'!$C$10:$C319,'S-10 Оформление сделок Выборка'!U$10:U319}
)</f>
        <v>Кто контактирует с заказчиком по вопросу исполнения</v>
      </c>
      <c r="V10" s="737" t="str">
        <f t="array" ref="V10:V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{'S-10 Оформление сделок Выборка'!$C$10:$C319,'S-10 Оформление сделок Выборка'!V$10:V319}
)</f>
        <v>Особые условия</v>
      </c>
      <c r="W10" s="762" t="str">
        <f t="array" ref="W10:W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{'S-10 Оформление сделок Выборка'!$C$10:$C319,'S-10 Оформление сделок Выборка'!W$10:W319}
)</f>
        <v>Дата подписания договора</v>
      </c>
      <c r="X10" s="737" t="str">
        <f t="array" ref="X10:X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{'S-10 Оформление сделок Выборка'!$C$10:$C319,'S-10 Оформление сделок Выборка'!X$10:X319}
)</f>
        <v>Место поставки товара</v>
      </c>
      <c r="Y10" s="737" t="str">
        <f t="array" ref="Y10:Y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{'S-10 Оформление сделок Выборка'!$C$10:$C319,'S-10 Оформление сделок Выборка'!Y$10:Y319}
)</f>
        <v>Контакты покупателя</v>
      </c>
      <c r="Z10" s="737" t="str">
        <f t="array" ref="Z10:Z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{'S-10 Оформление сделок Выборка'!$C$10:$C319,'S-10 Оформление сделок Выборка'!Z$10:Z319}
)</f>
        <v>Экспортный контракт</v>
      </c>
      <c r="AA10" s="737" t="str">
        <f t="array" ref="AA10:AA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{'5-3 Выбор поставщиков Закупки'!$C$10:$C319,'5-3 Выбор поставщиков Закупки'!$Q10:$Q319}
)</f>
        <v>Основной Поставщик</v>
      </c>
      <c r="AB10" s="737" t="s">
        <v>579</v>
      </c>
      <c r="AC10" s="737" t="str">
        <f t="array" ref="AC10:AC310">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сделок'!$C$10:$C$310,
{'5-3 Выбор поставщиков Закупки'!$C$10:$C319,'5-3 Выбор поставщиков Закупки'!$S10:$S319}
)</f>
        <v>Основное Предложение</v>
      </c>
      <c r="AD10" s="737" t="str">
        <f t="array" ref="AD10:AD310">{"Комментарий к товару с листа 5-3";LAMBDA(doNothing, doFind, doRezolve, theIds, theData,
doRezolve(doNothing,doFind,theIds,theData))( 
LAMBDA(theIds,theData,),
LAMBDA(theId,theData, VLOOKUP(theId,theData,2,FALSE) ),
LAMBDA(doNothing,doFind,theIds,theData, ByRow(theIds,LAMBDA(theId,IF(theId&lt;&gt;"",doFind,doNothing)(theId,theData)   ))),
'5-5 Оформление сделок'!$C$11:$C$310,
{'5-3 Выбор поставщиков Закупки'!$C$11:$C319,'5-3 Выбор поставщиков Закупки'!$AA11:$AA319}
)}</f>
        <v>Комментарий к товару с листа 5-3</v>
      </c>
      <c r="AE10" s="768" t="str">
        <f t="array" ref="AE10:AF10">{"",'S-10 Оформление сделок Выборка'!AF10}</f>
        <v/>
      </c>
      <c r="AF10" s="737" t="s">
        <v>551</v>
      </c>
      <c r="AG10" s="737" t="str">
        <f t="array" ref="AG10:AG310">{"Результат проверки контаргента";LAMBDA(doNafing, doFind,doRezolve, theMails,theReviews,
doRezolve(doNafing, doFind,theMails,theReviews))(
LAMBDA( theMail,theReviews,),
LAMBDA(theMail, theReviews, IFERROR(HYPERLINK("#gid=365917017&amp;range=B"&amp;VLOOKUP(theMail,theReviews,3,0), LAMBDA(the,IF(the="","Без оценки",the))(VLOOKUP(theMail,theReviews,2,0)) ),"Надо проверить")),
LAMBDA(doNafing, doFind, theMails,theReviews,BYROW(theMails,LAMBDA(theMail,  IF(LEN(theMail)&gt;0, doFind,  doNafing)(theMail,theReviews)   ))),
'5-5 Оформление сделок'!$AB$11:$AB$310,
{ 'Отзывы о поставщиках'!$B:$B,'Отзывы о поставщиках'!$C:$C, ROW('Отзывы о поставщиках'!$B:$B)}
)}</f>
        <v>Результат проверки контаргента</v>
      </c>
      <c r="AH10" s="737" t="str">
        <f t="array" ref="AH10:AH310">{"Завершенных сделок";LAMBDA(doNafing, doFind,doRezolve, theMails,theReviews,
doRezolve(doNafing, doFind,theMails,theReviews))(
LAMBDA( theMail,theReviews,),
LAMBDA(theMail, theReviews, IFERROR(VLOOKUP(theMail,theReviews,2,0),"-")),
LAMBDA(doNafing, doFind, theMails,theReviews,BYROW(theMails,LAMBDA(theMail,  IF(LEN(theMail)&gt;0, doFind,  doNafing)(theMail,theReviews)   ))),
'5-5 Оформление сделок'!$AB$11:$AB$310,
{ 'Отзывы о поставщиках'!$B:$B, 'Отзывы о поставщиках'!$F:$F}
)}</f>
        <v>Завершенных сделок</v>
      </c>
      <c r="AI10" s="737" t="str">
        <f t="array" ref="AI10:AI310">{"Кинул";LAMBDA(doNafing, doFind,doRezolve, theMails,theReviews,
doRezolve(doNafing, doFind,theMails,theReviews))(
LAMBDA( theMail,theReviews,),
LAMBDA(theMail, theReviews, IFERROR(VLOOKUP(theMail,theReviews,2,0),"-")),
LAMBDA(doNafing, doFind, theMails,theReviews,BYROW(theMails,LAMBDA(theMail,  IF(LEN(theMail)&gt;0, doFind,  doNafing)(theMail,theReviews)   ))),
'5-5 Оформление сделок'!$AB$11:$AB$310,
{ 'Отзывы о поставщиках'!$B:$B, 'Отзывы о поставщиках'!$H:$H}
)}</f>
        <v>Кинул</v>
      </c>
      <c r="AJ10" s="737" t="str">
        <f t="array" ref="AJ10:AJ310">{"Сделок в работе";LAMBDA(doNafing, doFind,doRezolve, theMails,theReviews,
doRezolve(doNafing, doFind,theMails,theReviews))(
LAMBDA( theMail,theReviews,),
LAMBDA(theMail, theReviews, IFERROR(VLOOKUP(theMail,theReviews,2,0),"-")),
LAMBDA(doNafing, doFind, theMails,theReviews,BYROW(theMails,LAMBDA(theMail,  IF(LEN(theMail)&gt;0, doFind,  doNafing)(theMail,theReviews)   ))),
'5-5 Оформление сделок'!$AB$11:$AB$310,
{ 'Отзывы о поставщиках'!$B:$B, 'Отзывы о поставщиках'!$H:$H}
)}</f>
        <v>Сделок в работе</v>
      </c>
      <c r="AK10" s="769" t="str">
        <f t="array" ref="AK10:AL10">{"",'S-10 Оформление сделок Выборка'!AL10}</f>
        <v/>
      </c>
      <c r="AL10" s="737" t="s">
        <v>646</v>
      </c>
      <c r="AM10" s="768" t="str">
        <f t="array" ref="AM10:AN10">{"",'S-10 Оформление сделок Выборка'!AN10}</f>
        <v/>
      </c>
      <c r="AN10" s="762" t="s">
        <v>647</v>
      </c>
      <c r="AO10" s="768" t="str">
        <f t="array" ref="AO10:AP10">{"",'S-10 Оформление сделок Выборка'!AP10}</f>
        <v/>
      </c>
      <c r="AP10" s="754" t="s">
        <v>648</v>
      </c>
      <c r="AQ10" s="754" t="str">
        <f t="array" ref="AQ10:AQ311">{"Реальная цена Итого";LAMBDA(theData,{ theData;  SUM(theData)} )(IF(E11:E$310&lt;&gt;"",(K11:K$310* AP11:AP$310),))}</f>
        <v>Реальная цена Итого</v>
      </c>
      <c r="AR10" s="735" t="str">
        <f t="array" ref="AR10:AS10">{"",'S-10 Оформление сделок Выборка'!AS10}</f>
        <v/>
      </c>
      <c r="AS10" s="752" t="s">
        <v>649</v>
      </c>
      <c r="AT10" s="735" t="str">
        <f t="array" ref="AT10:AU10">{"",'S-10 Оформление сделок Выборка'!AU10}</f>
        <v/>
      </c>
      <c r="AU10" s="770" t="s">
        <v>591</v>
      </c>
      <c r="AV10" s="771" t="str">
        <f t="array" ref="AV10:AW10">{"",'S-10 Оформление сделок Выборка'!AW10}</f>
        <v/>
      </c>
      <c r="AW10" s="771" t="s">
        <v>650</v>
      </c>
      <c r="AX10" s="754" t="str">
        <f t="array" ref="AX10:AX310">{"Разница в цене за штуку";IF(E11:E$310&lt;&gt;"",(M11:M$310-AP11:AP$310),)}</f>
        <v>Разница в цене за штуку</v>
      </c>
      <c r="AY10" s="754" t="str">
        <f t="array" ref="AY10:AY311">{"Разница итого"; LAMBDA(theData,{theData;SUM(theData)})( IF(E11:E$310&lt;&gt;"",(K11:K$310* AX11:AX$310),) ) }</f>
        <v>Разница итого</v>
      </c>
      <c r="AZ10" s="768" t="str">
        <f t="array" ref="AZ10:BA10">{"",'S-10 Оформление сделок Выборка'!BA10}</f>
        <v/>
      </c>
      <c r="BA10" s="738" t="s">
        <v>651</v>
      </c>
      <c r="BB10" s="768" t="str">
        <f t="array" ref="BB10:BC10">{"",'S-10 Оформление сделок Выборка'!BC10}</f>
        <v/>
      </c>
      <c r="BC10" s="737" t="s">
        <v>652</v>
      </c>
      <c r="BD10" s="768" t="str">
        <f t="array" ref="BD10:BE10">{"",'S-10 Оформление сделок Выборка'!BE10}</f>
        <v/>
      </c>
      <c r="BE10" s="775" t="s">
        <v>653</v>
      </c>
      <c r="BF10" s="777" t="str">
        <f t="array" ref="BF10:BG10">{"",'S-10 Оформление сделок Выборка'!BG10}</f>
        <v/>
      </c>
      <c r="BG10" s="737" t="s">
        <v>654</v>
      </c>
      <c r="BH10" s="777" t="str">
        <f t="array" ref="BH10:BI10">{"",'S-10 Оформление сделок Выборка'!BI10}</f>
        <v/>
      </c>
      <c r="BI10" s="737" t="s">
        <v>655</v>
      </c>
      <c r="BJ10" s="768" t="str">
        <f t="array" ref="BJ10:BK10">{"",'S-10 Оформление сделок Выборка'!BK10}</f>
        <v/>
      </c>
      <c r="BK10" s="737" t="s">
        <v>656</v>
      </c>
      <c r="BL10" s="768" t="str">
        <f t="array" ref="BL10:BM10">{"",'S-10 Оформление сделок Выборка'!BM10}</f>
        <v/>
      </c>
      <c r="BM10" s="754" t="s">
        <v>657</v>
      </c>
      <c r="BN10" s="768" t="str">
        <f t="array" ref="BN10:BO10">{"",'S-10 Оформление сделок Выборка'!BO10}</f>
        <v/>
      </c>
      <c r="BO10" s="737" t="s">
        <v>658</v>
      </c>
      <c r="BP10" s="768" t="str">
        <f t="array" ref="BP10:BQ10">{"",'S-10 Оформление сделок Выборка'!BQ10}</f>
        <v/>
      </c>
      <c r="BQ10" s="775" t="s">
        <v>659</v>
      </c>
      <c r="BR10" s="768" t="str">
        <f t="array" ref="BR10:BS10">{"",'S-10 Оформление сделок Выборка'!BS10}</f>
        <v/>
      </c>
      <c r="BS10" s="762" t="s">
        <v>660</v>
      </c>
      <c r="BT10" s="777" t="str">
        <f t="array" ref="BT10:BU10">{"",'S-10 Оформление сделок Выборка'!BU10}</f>
        <v/>
      </c>
      <c r="BU10" s="737" t="s">
        <v>661</v>
      </c>
      <c r="BV10" s="777" t="str">
        <f t="array" ref="BV10:BW10">{"",'S-10 Оформление сделок Выборка'!BW10}</f>
        <v/>
      </c>
      <c r="BW10" s="775" t="s">
        <v>662</v>
      </c>
      <c r="BX10" s="778"/>
    </row>
    <row r="11">
      <c r="A11" s="779"/>
      <c r="B11" s="779"/>
      <c r="C11" s="780" t="str">
        <f>'5-1 Сбор КП Закупки'!C11</f>
        <v>ID_T001</v>
      </c>
      <c r="D11" s="781" t="s">
        <v>275</v>
      </c>
      <c r="E11" s="782" t="s">
        <v>276</v>
      </c>
      <c r="F11" s="783"/>
      <c r="G11" s="783"/>
      <c r="H11" s="783"/>
      <c r="I11" s="783"/>
      <c r="J11" s="780" t="s">
        <v>278</v>
      </c>
      <c r="K11" s="784">
        <v>3.0</v>
      </c>
      <c r="L11" s="785"/>
      <c r="M11" s="786"/>
      <c r="N11" s="786">
        <v>0.0</v>
      </c>
      <c r="O11" s="780"/>
      <c r="P11" s="787"/>
      <c r="Q11" s="780"/>
      <c r="R11" s="780"/>
      <c r="S11" s="780"/>
      <c r="T11" s="780"/>
      <c r="U11" s="780"/>
      <c r="V11" s="780"/>
      <c r="W11" s="787"/>
      <c r="X11" s="780" t="s">
        <v>70</v>
      </c>
      <c r="Y11" s="780" t="s">
        <v>96</v>
      </c>
      <c r="Z11" s="780" t="s">
        <v>117</v>
      </c>
      <c r="AA11" s="780"/>
      <c r="AB11" s="788"/>
      <c r="AC11" s="781"/>
      <c r="AD11" s="780"/>
      <c r="AE11" s="789" t="str">
        <f t="array" ref="AE11:AF11">{"",'S-10 Оформление сделок Выборка'!AF11}</f>
        <v/>
      </c>
      <c r="AF11" s="790"/>
      <c r="AG11" s="781"/>
      <c r="AH11" s="791"/>
      <c r="AI11" s="785"/>
      <c r="AJ11" s="780"/>
      <c r="AK11" s="792" t="str">
        <f t="array" ref="AK11:AL11">{"",'S-10 Оформление сделок Выборка'!AL11}</f>
        <v/>
      </c>
      <c r="AL11" s="793"/>
      <c r="AM11" s="792" t="str">
        <f t="array" ref="AM11:AN11">{"",'S-10 Оформление сделок Выборка'!AN11}</f>
        <v/>
      </c>
      <c r="AN11" s="794"/>
      <c r="AO11" s="792" t="str">
        <f t="array" ref="AO11:AP11">{"",'S-10 Оформление сделок Выборка'!AP11}</f>
        <v/>
      </c>
      <c r="AP11" s="784"/>
      <c r="AQ11" s="786">
        <v>0.0</v>
      </c>
      <c r="AR11" s="779" t="str">
        <f t="array" ref="AR11:AS11">{"",'S-10 Оформление сделок Выборка'!AS11}</f>
        <v/>
      </c>
      <c r="AS11" s="795"/>
      <c r="AT11" s="779" t="str">
        <f t="array" ref="AT11:AU11">{"",'S-10 Оформление сделок Выборка'!AU11}</f>
        <v/>
      </c>
      <c r="AU11" s="796"/>
      <c r="AV11" s="779" t="str">
        <f t="array" ref="AV11:AW11">{"",'S-10 Оформление сделок Выборка'!AW11}</f>
        <v/>
      </c>
      <c r="AW11" s="797"/>
      <c r="AX11" s="786">
        <v>0.0</v>
      </c>
      <c r="AY11" s="786">
        <v>0.0</v>
      </c>
      <c r="AZ11" s="792" t="str">
        <f t="array" ref="AZ11:BA11">{"",'S-10 Оформление сделок Выборка'!BA11}</f>
        <v/>
      </c>
      <c r="BA11" s="798"/>
      <c r="BB11" s="792" t="str">
        <f t="array" ref="BB11:BC11">{"",'S-10 Оформление сделок Выборка'!BC11}</f>
        <v/>
      </c>
      <c r="BC11" s="799"/>
      <c r="BD11" s="792" t="str">
        <f t="array" ref="BD11:BE11">{"",'S-10 Оформление сделок Выборка'!BE11}</f>
        <v/>
      </c>
      <c r="BE11" s="793"/>
      <c r="BF11" s="800" t="str">
        <f t="array" ref="BF11:BG11">{"",'S-10 Оформление сделок Выборка'!BG11}</f>
        <v/>
      </c>
      <c r="BG11" s="794"/>
      <c r="BH11" s="794" t="str">
        <f t="array" ref="BH11:BI11">{"",'S-10 Оформление сделок Выборка'!BI11}</f>
        <v/>
      </c>
      <c r="BI11" s="794"/>
      <c r="BJ11" s="792" t="str">
        <f t="array" ref="BJ11:BK11">{"",'S-10 Оформление сделок Выборка'!BK11}</f>
        <v/>
      </c>
      <c r="BK11" s="793"/>
      <c r="BL11" s="792" t="str">
        <f t="array" ref="BL11:BM11">{"",'S-10 Оформление сделок Выборка'!BM11}</f>
        <v/>
      </c>
      <c r="BM11" s="801"/>
      <c r="BN11" s="792" t="str">
        <f t="array" ref="BN11:BO11">{"",'S-10 Оформление сделок Выборка'!BO11}</f>
        <v/>
      </c>
      <c r="BO11" s="793"/>
      <c r="BP11" s="792" t="str">
        <f t="array" ref="BP11:BQ11">{"",'S-10 Оформление сделок Выборка'!BQ11}</f>
        <v/>
      </c>
      <c r="BQ11" s="802"/>
      <c r="BR11" s="792" t="str">
        <f t="array" ref="BR11:BS11">{"",'S-10 Оформление сделок Выборка'!BS11}</f>
        <v/>
      </c>
      <c r="BS11" s="794"/>
      <c r="BT11" s="800" t="str">
        <f t="array" ref="BT11:BU11">{"",'S-10 Оформление сделок Выборка'!BU11}</f>
        <v/>
      </c>
      <c r="BU11" s="794"/>
      <c r="BV11" s="800" t="str">
        <f t="array" ref="BV11:BW11">{"",'S-10 Оформление сделок Выборка'!BW11}</f>
        <v/>
      </c>
      <c r="BW11" s="803" t="s">
        <v>96</v>
      </c>
      <c r="BX11" s="804"/>
    </row>
    <row r="12">
      <c r="A12" s="779"/>
      <c r="B12" s="779"/>
      <c r="C12" s="780" t="str">
        <f>'5-1 Сбор КП Закупки'!C12</f>
        <v>ID_T002</v>
      </c>
      <c r="D12" s="781" t="s">
        <v>298</v>
      </c>
      <c r="E12" s="780" t="s">
        <v>299</v>
      </c>
      <c r="F12" s="783"/>
      <c r="G12" s="783"/>
      <c r="H12" s="783"/>
      <c r="I12" s="783"/>
      <c r="J12" s="780" t="s">
        <v>278</v>
      </c>
      <c r="K12" s="786">
        <v>6.0</v>
      </c>
      <c r="L12" s="785"/>
      <c r="M12" s="786"/>
      <c r="N12" s="786">
        <v>0.0</v>
      </c>
      <c r="O12" s="780"/>
      <c r="P12" s="787"/>
      <c r="Q12" s="780"/>
      <c r="R12" s="780"/>
      <c r="S12" s="780"/>
      <c r="T12" s="780"/>
      <c r="U12" s="780"/>
      <c r="V12" s="780"/>
      <c r="W12" s="787"/>
      <c r="X12" s="780" t="s">
        <v>70</v>
      </c>
      <c r="Y12" s="780" t="s">
        <v>96</v>
      </c>
      <c r="Z12" s="780" t="s">
        <v>117</v>
      </c>
      <c r="AA12" s="780"/>
      <c r="AB12" s="788"/>
      <c r="AC12" s="781"/>
      <c r="AD12" s="780"/>
      <c r="AE12" s="789" t="str">
        <f t="array" ref="AE12:AF12">{"",'S-10 Оформление сделок Выборка'!AF12}</f>
        <v/>
      </c>
      <c r="AF12" s="790"/>
      <c r="AG12" s="781"/>
      <c r="AH12" s="781"/>
      <c r="AI12" s="785"/>
      <c r="AJ12" s="780"/>
      <c r="AK12" s="792" t="str">
        <f t="array" ref="AK12:AL12">{"",'S-10 Оформление сделок Выборка'!AL12}</f>
        <v/>
      </c>
      <c r="AL12" s="793"/>
      <c r="AM12" s="792" t="str">
        <f t="array" ref="AM12:AN12">{"",'S-10 Оформление сделок Выборка'!AN12}</f>
        <v/>
      </c>
      <c r="AN12" s="794"/>
      <c r="AO12" s="792" t="str">
        <f t="array" ref="AO12:AP12">{"",'S-10 Оформление сделок Выборка'!AP12}</f>
        <v/>
      </c>
      <c r="AP12" s="786"/>
      <c r="AQ12" s="786">
        <v>0.0</v>
      </c>
      <c r="AR12" s="779" t="str">
        <f t="array" ref="AR12:AS12">{"",'S-10 Оформление сделок Выборка'!AS12}</f>
        <v/>
      </c>
      <c r="AS12" s="795"/>
      <c r="AT12" s="779" t="str">
        <f t="array" ref="AT12:AU12">{"",'S-10 Оформление сделок Выборка'!AU12}</f>
        <v/>
      </c>
      <c r="AU12" s="805"/>
      <c r="AV12" s="779" t="str">
        <f t="array" ref="AV12:AW12">{"",'S-10 Оформление сделок Выборка'!AW12}</f>
        <v/>
      </c>
      <c r="AW12" s="797"/>
      <c r="AX12" s="786">
        <v>0.0</v>
      </c>
      <c r="AY12" s="786">
        <v>0.0</v>
      </c>
      <c r="AZ12" s="792" t="str">
        <f t="array" ref="AZ12:BA12">{"",'S-10 Оформление сделок Выборка'!BA12}</f>
        <v/>
      </c>
      <c r="BA12" s="798"/>
      <c r="BB12" s="792" t="str">
        <f t="array" ref="BB12:BC12">{"",'S-10 Оформление сделок Выборка'!BC12}</f>
        <v/>
      </c>
      <c r="BC12" s="799"/>
      <c r="BD12" s="792" t="str">
        <f t="array" ref="BD12:BE12">{"",'S-10 Оформление сделок Выборка'!BE12}</f>
        <v/>
      </c>
      <c r="BE12" s="807"/>
      <c r="BF12" s="800" t="str">
        <f t="array" ref="BF12:BG12">{"",'S-10 Оформление сделок Выборка'!BG12}</f>
        <v/>
      </c>
      <c r="BG12" s="794"/>
      <c r="BH12" s="794" t="str">
        <f t="array" ref="BH12:BI12">{"",'S-10 Оформление сделок Выборка'!BI12}</f>
        <v/>
      </c>
      <c r="BI12" s="794"/>
      <c r="BJ12" s="792" t="str">
        <f t="array" ref="BJ12:BK12">{"",'S-10 Оформление сделок Выборка'!BK12}</f>
        <v/>
      </c>
      <c r="BK12" s="793"/>
      <c r="BL12" s="792" t="str">
        <f t="array" ref="BL12:BM12">{"",'S-10 Оформление сделок Выборка'!BM12}</f>
        <v/>
      </c>
      <c r="BM12" s="801"/>
      <c r="BN12" s="792" t="str">
        <f t="array" ref="BN12:BO12">{"",'S-10 Оформление сделок Выборка'!BO12}</f>
        <v/>
      </c>
      <c r="BO12" s="793"/>
      <c r="BP12" s="792" t="str">
        <f t="array" ref="BP12:BQ12">{"",'S-10 Оформление сделок Выборка'!BQ12}</f>
        <v/>
      </c>
      <c r="BQ12" s="802"/>
      <c r="BR12" s="792" t="str">
        <f t="array" ref="BR12:BS12">{"",'S-10 Оформление сделок Выборка'!BS12}</f>
        <v/>
      </c>
      <c r="BS12" s="794"/>
      <c r="BT12" s="800" t="str">
        <f t="array" ref="BT12:BU12">{"",'S-10 Оформление сделок Выборка'!BU12}</f>
        <v/>
      </c>
      <c r="BU12" s="794"/>
      <c r="BV12" s="800" t="str">
        <f t="array" ref="BV12:BW12">{"",'S-10 Оформление сделок Выборка'!BW12}</f>
        <v/>
      </c>
      <c r="BW12" s="803" t="s">
        <v>96</v>
      </c>
      <c r="BX12" s="804"/>
    </row>
    <row r="13">
      <c r="A13" s="779"/>
      <c r="B13" s="779"/>
      <c r="C13" s="780" t="str">
        <f>'5-1 Сбор КП Закупки'!C13</f>
        <v>ID_T003</v>
      </c>
      <c r="D13" s="781" t="s">
        <v>313</v>
      </c>
      <c r="E13" s="780" t="s">
        <v>314</v>
      </c>
      <c r="F13" s="783"/>
      <c r="G13" s="783"/>
      <c r="H13" s="783"/>
      <c r="I13" s="783"/>
      <c r="J13" s="780" t="s">
        <v>278</v>
      </c>
      <c r="K13" s="786">
        <v>16.0</v>
      </c>
      <c r="L13" s="785"/>
      <c r="M13" s="786"/>
      <c r="N13" s="786">
        <v>0.0</v>
      </c>
      <c r="O13" s="780"/>
      <c r="P13" s="787"/>
      <c r="Q13" s="780"/>
      <c r="R13" s="780"/>
      <c r="S13" s="780"/>
      <c r="T13" s="780"/>
      <c r="U13" s="780"/>
      <c r="V13" s="780"/>
      <c r="W13" s="787"/>
      <c r="X13" s="780" t="s">
        <v>70</v>
      </c>
      <c r="Y13" s="780" t="s">
        <v>96</v>
      </c>
      <c r="Z13" s="780" t="s">
        <v>117</v>
      </c>
      <c r="AA13" s="780"/>
      <c r="AB13" s="788"/>
      <c r="AC13" s="781"/>
      <c r="AD13" s="780"/>
      <c r="AE13" s="789" t="str">
        <f t="array" ref="AE13:AF13">{"",'S-10 Оформление сделок Выборка'!AF13}</f>
        <v/>
      </c>
      <c r="AF13" s="790"/>
      <c r="AG13" s="781"/>
      <c r="AH13" s="781"/>
      <c r="AI13" s="785"/>
      <c r="AJ13" s="780"/>
      <c r="AK13" s="792" t="str">
        <f t="array" ref="AK13:AL13">{"",'S-10 Оформление сделок Выборка'!AL13}</f>
        <v/>
      </c>
      <c r="AL13" s="793"/>
      <c r="AM13" s="792" t="str">
        <f t="array" ref="AM13:AN13">{"",'S-10 Оформление сделок Выборка'!AN13}</f>
        <v/>
      </c>
      <c r="AN13" s="794"/>
      <c r="AO13" s="792" t="str">
        <f t="array" ref="AO13:AP13">{"",'S-10 Оформление сделок Выборка'!AP13}</f>
        <v/>
      </c>
      <c r="AP13" s="786"/>
      <c r="AQ13" s="786">
        <v>0.0</v>
      </c>
      <c r="AR13" s="779" t="str">
        <f t="array" ref="AR13:AS13">{"",'S-10 Оформление сделок Выборка'!AS13}</f>
        <v/>
      </c>
      <c r="AS13" s="795"/>
      <c r="AT13" s="779" t="str">
        <f t="array" ref="AT13:AU13">{"",'S-10 Оформление сделок Выборка'!AU13}</f>
        <v/>
      </c>
      <c r="AU13" s="805"/>
      <c r="AV13" s="779" t="str">
        <f t="array" ref="AV13:AW13">{"",'S-10 Оформление сделок Выборка'!AW13}</f>
        <v/>
      </c>
      <c r="AW13" s="808"/>
      <c r="AX13" s="786">
        <v>0.0</v>
      </c>
      <c r="AY13" s="786">
        <v>0.0</v>
      </c>
      <c r="AZ13" s="792" t="str">
        <f t="array" ref="AZ13:BA13">{"",'S-10 Оформление сделок Выборка'!BA13}</f>
        <v/>
      </c>
      <c r="BA13" s="798"/>
      <c r="BB13" s="792" t="str">
        <f t="array" ref="BB13:BC13">{"",'S-10 Оформление сделок Выборка'!BC13}</f>
        <v/>
      </c>
      <c r="BC13" s="799"/>
      <c r="BD13" s="792" t="str">
        <f t="array" ref="BD13:BE13">{"",'S-10 Оформление сделок Выборка'!BE13}</f>
        <v/>
      </c>
      <c r="BE13" s="793"/>
      <c r="BF13" s="800" t="str">
        <f t="array" ref="BF13:BG13">{"",'S-10 Оформление сделок Выборка'!BG13}</f>
        <v/>
      </c>
      <c r="BG13" s="794"/>
      <c r="BH13" s="794" t="str">
        <f t="array" ref="BH13:BI13">{"",'S-10 Оформление сделок Выборка'!BI13}</f>
        <v/>
      </c>
      <c r="BI13" s="794"/>
      <c r="BJ13" s="792" t="str">
        <f t="array" ref="BJ13:BK13">{"",'S-10 Оформление сделок Выборка'!BK13}</f>
        <v/>
      </c>
      <c r="BK13" s="793"/>
      <c r="BL13" s="792" t="str">
        <f t="array" ref="BL13:BM13">{"",'S-10 Оформление сделок Выборка'!BM13}</f>
        <v/>
      </c>
      <c r="BM13" s="801"/>
      <c r="BN13" s="792" t="str">
        <f t="array" ref="BN13:BO13">{"",'S-10 Оформление сделок Выборка'!BO13}</f>
        <v/>
      </c>
      <c r="BO13" s="793"/>
      <c r="BP13" s="792" t="str">
        <f t="array" ref="BP13:BQ13">{"",'S-10 Оформление сделок Выборка'!BQ13}</f>
        <v/>
      </c>
      <c r="BQ13" s="802"/>
      <c r="BR13" s="792" t="str">
        <f t="array" ref="BR13:BS13">{"",'S-10 Оформление сделок Выборка'!BS13}</f>
        <v/>
      </c>
      <c r="BS13" s="794"/>
      <c r="BT13" s="800" t="str">
        <f t="array" ref="BT13:BU13">{"",'S-10 Оформление сделок Выборка'!BU13}</f>
        <v/>
      </c>
      <c r="BU13" s="794"/>
      <c r="BV13" s="800" t="str">
        <f t="array" ref="BV13:BW13">{"",'S-10 Оформление сделок Выборка'!BW13}</f>
        <v/>
      </c>
      <c r="BW13" s="803" t="s">
        <v>96</v>
      </c>
      <c r="BX13" s="804"/>
    </row>
    <row r="14">
      <c r="A14" s="779"/>
      <c r="B14" s="779"/>
      <c r="C14" s="780" t="str">
        <f>'5-1 Сбор КП Закупки'!C14</f>
        <v>ID_T004</v>
      </c>
      <c r="D14" s="781" t="s">
        <v>330</v>
      </c>
      <c r="E14" s="780" t="s">
        <v>331</v>
      </c>
      <c r="F14" s="783"/>
      <c r="G14" s="783"/>
      <c r="H14" s="783"/>
      <c r="I14" s="783"/>
      <c r="J14" s="780" t="s">
        <v>278</v>
      </c>
      <c r="K14" s="786">
        <v>2.0</v>
      </c>
      <c r="L14" s="785"/>
      <c r="M14" s="786"/>
      <c r="N14" s="786">
        <v>0.0</v>
      </c>
      <c r="O14" s="780"/>
      <c r="P14" s="787"/>
      <c r="Q14" s="780"/>
      <c r="R14" s="780"/>
      <c r="S14" s="780"/>
      <c r="T14" s="780"/>
      <c r="U14" s="780"/>
      <c r="V14" s="780"/>
      <c r="W14" s="787"/>
      <c r="X14" s="780" t="s">
        <v>70</v>
      </c>
      <c r="Y14" s="780" t="s">
        <v>96</v>
      </c>
      <c r="Z14" s="780" t="s">
        <v>117</v>
      </c>
      <c r="AA14" s="780"/>
      <c r="AB14" s="788"/>
      <c r="AC14" s="781"/>
      <c r="AD14" s="780"/>
      <c r="AE14" s="789" t="str">
        <f t="array" ref="AE14:AF14">{"",'S-10 Оформление сделок Выборка'!AF14}</f>
        <v/>
      </c>
      <c r="AF14" s="790"/>
      <c r="AG14" s="781"/>
      <c r="AH14" s="781"/>
      <c r="AI14" s="785"/>
      <c r="AJ14" s="780"/>
      <c r="AK14" s="792" t="str">
        <f t="array" ref="AK14:AL14">{"",'S-10 Оформление сделок Выборка'!AL14}</f>
        <v/>
      </c>
      <c r="AL14" s="793"/>
      <c r="AM14" s="792" t="str">
        <f t="array" ref="AM14:AN14">{"",'S-10 Оформление сделок Выборка'!AN14}</f>
        <v/>
      </c>
      <c r="AN14" s="794"/>
      <c r="AO14" s="792" t="str">
        <f t="array" ref="AO14:AP14">{"",'S-10 Оформление сделок Выборка'!AP14}</f>
        <v/>
      </c>
      <c r="AP14" s="786"/>
      <c r="AQ14" s="786">
        <v>0.0</v>
      </c>
      <c r="AR14" s="779" t="str">
        <f t="array" ref="AR14:AS14">{"",'S-10 Оформление сделок Выборка'!AS14}</f>
        <v/>
      </c>
      <c r="AS14" s="795"/>
      <c r="AT14" s="779" t="str">
        <f t="array" ref="AT14:AU14">{"",'S-10 Оформление сделок Выборка'!AU14}</f>
        <v/>
      </c>
      <c r="AU14" s="805"/>
      <c r="AV14" s="779" t="str">
        <f t="array" ref="AV14:AW14">{"",'S-10 Оформление сделок Выборка'!AW14}</f>
        <v/>
      </c>
      <c r="AW14" s="808"/>
      <c r="AX14" s="786">
        <v>0.0</v>
      </c>
      <c r="AY14" s="786">
        <v>0.0</v>
      </c>
      <c r="AZ14" s="792" t="str">
        <f t="array" ref="AZ14:BA14">{"",'S-10 Оформление сделок Выборка'!BA14}</f>
        <v/>
      </c>
      <c r="BA14" s="798"/>
      <c r="BB14" s="792" t="str">
        <f t="array" ref="BB14:BC14">{"",'S-10 Оформление сделок Выборка'!BC14}</f>
        <v/>
      </c>
      <c r="BC14" s="799"/>
      <c r="BD14" s="792" t="str">
        <f t="array" ref="BD14:BE14">{"",'S-10 Оформление сделок Выборка'!BE14}</f>
        <v/>
      </c>
      <c r="BE14" s="793"/>
      <c r="BF14" s="800" t="str">
        <f t="array" ref="BF14:BG14">{"",'S-10 Оформление сделок Выборка'!BG14}</f>
        <v/>
      </c>
      <c r="BG14" s="794"/>
      <c r="BH14" s="794" t="str">
        <f t="array" ref="BH14:BI14">{"",'S-10 Оформление сделок Выборка'!BI14}</f>
        <v/>
      </c>
      <c r="BI14" s="794"/>
      <c r="BJ14" s="792" t="str">
        <f t="array" ref="BJ14:BK14">{"",'S-10 Оформление сделок Выборка'!BK14}</f>
        <v/>
      </c>
      <c r="BK14" s="793"/>
      <c r="BL14" s="792" t="str">
        <f t="array" ref="BL14:BM14">{"",'S-10 Оформление сделок Выборка'!BM14}</f>
        <v/>
      </c>
      <c r="BM14" s="801"/>
      <c r="BN14" s="792" t="str">
        <f t="array" ref="BN14:BO14">{"",'S-10 Оформление сделок Выборка'!BO14}</f>
        <v/>
      </c>
      <c r="BO14" s="793"/>
      <c r="BP14" s="792" t="str">
        <f t="array" ref="BP14:BQ14">{"",'S-10 Оформление сделок Выборка'!BQ14}</f>
        <v/>
      </c>
      <c r="BQ14" s="802"/>
      <c r="BR14" s="792" t="str">
        <f t="array" ref="BR14:BS14">{"",'S-10 Оформление сделок Выборка'!BS14}</f>
        <v/>
      </c>
      <c r="BS14" s="794"/>
      <c r="BT14" s="800" t="str">
        <f t="array" ref="BT14:BU14">{"",'S-10 Оформление сделок Выборка'!BU14}</f>
        <v/>
      </c>
      <c r="BU14" s="794"/>
      <c r="BV14" s="800" t="str">
        <f t="array" ref="BV14:BW14">{"",'S-10 Оформление сделок Выборка'!BW14}</f>
        <v/>
      </c>
      <c r="BW14" s="803" t="s">
        <v>96</v>
      </c>
      <c r="BX14" s="804"/>
    </row>
    <row r="15">
      <c r="A15" s="779"/>
      <c r="B15" s="779"/>
      <c r="C15" s="780" t="str">
        <f>'5-1 Сбор КП Закупки'!C15</f>
        <v>ID_T005</v>
      </c>
      <c r="D15" s="781" t="s">
        <v>337</v>
      </c>
      <c r="E15" s="780" t="s">
        <v>338</v>
      </c>
      <c r="F15" s="783"/>
      <c r="G15" s="783"/>
      <c r="H15" s="783"/>
      <c r="I15" s="783"/>
      <c r="J15" s="780" t="s">
        <v>278</v>
      </c>
      <c r="K15" s="786">
        <v>3.0</v>
      </c>
      <c r="L15" s="785"/>
      <c r="M15" s="786"/>
      <c r="N15" s="786">
        <v>0.0</v>
      </c>
      <c r="O15" s="780"/>
      <c r="P15" s="787"/>
      <c r="Q15" s="780"/>
      <c r="R15" s="780"/>
      <c r="S15" s="780"/>
      <c r="T15" s="780"/>
      <c r="U15" s="780"/>
      <c r="V15" s="780"/>
      <c r="W15" s="787"/>
      <c r="X15" s="780" t="s">
        <v>70</v>
      </c>
      <c r="Y15" s="780" t="s">
        <v>96</v>
      </c>
      <c r="Z15" s="780" t="s">
        <v>117</v>
      </c>
      <c r="AA15" s="780"/>
      <c r="AB15" s="788"/>
      <c r="AC15" s="781"/>
      <c r="AD15" s="780"/>
      <c r="AE15" s="789" t="str">
        <f t="array" ref="AE15:AF15">{"",'S-10 Оформление сделок Выборка'!AF15}</f>
        <v/>
      </c>
      <c r="AF15" s="790"/>
      <c r="AG15" s="781"/>
      <c r="AH15" s="781"/>
      <c r="AI15" s="785"/>
      <c r="AJ15" s="780"/>
      <c r="AK15" s="792" t="str">
        <f t="array" ref="AK15:AL15">{"",'S-10 Оформление сделок Выборка'!AL15}</f>
        <v/>
      </c>
      <c r="AL15" s="793"/>
      <c r="AM15" s="792" t="str">
        <f t="array" ref="AM15:AN15">{"",'S-10 Оформление сделок Выборка'!AN15}</f>
        <v/>
      </c>
      <c r="AN15" s="794"/>
      <c r="AO15" s="792" t="str">
        <f t="array" ref="AO15:AP15">{"",'S-10 Оформление сделок Выборка'!AP15}</f>
        <v/>
      </c>
      <c r="AP15" s="786"/>
      <c r="AQ15" s="786">
        <v>0.0</v>
      </c>
      <c r="AR15" s="779" t="str">
        <f t="array" ref="AR15:AS15">{"",'S-10 Оформление сделок Выборка'!AS15}</f>
        <v/>
      </c>
      <c r="AS15" s="795"/>
      <c r="AT15" s="779" t="str">
        <f t="array" ref="AT15:AU15">{"",'S-10 Оформление сделок Выборка'!AU15}</f>
        <v/>
      </c>
      <c r="AU15" s="805"/>
      <c r="AV15" s="779" t="str">
        <f t="array" ref="AV15:AW15">{"",'S-10 Оформление сделок Выборка'!AW15}</f>
        <v/>
      </c>
      <c r="AW15" s="797"/>
      <c r="AX15" s="786">
        <v>0.0</v>
      </c>
      <c r="AY15" s="786">
        <v>0.0</v>
      </c>
      <c r="AZ15" s="792" t="str">
        <f t="array" ref="AZ15:BA15">{"",'S-10 Оформление сделок Выборка'!BA15}</f>
        <v/>
      </c>
      <c r="BA15" s="798"/>
      <c r="BB15" s="792" t="str">
        <f t="array" ref="BB15:BC15">{"",'S-10 Оформление сделок Выборка'!BC15}</f>
        <v/>
      </c>
      <c r="BC15" s="799"/>
      <c r="BD15" s="792" t="str">
        <f t="array" ref="BD15:BE15">{"",'S-10 Оформление сделок Выборка'!BE15}</f>
        <v/>
      </c>
      <c r="BE15" s="793"/>
      <c r="BF15" s="800" t="str">
        <f t="array" ref="BF15:BG15">{"",'S-10 Оформление сделок Выборка'!BG15}</f>
        <v/>
      </c>
      <c r="BG15" s="794"/>
      <c r="BH15" s="794" t="str">
        <f t="array" ref="BH15:BI15">{"",'S-10 Оформление сделок Выборка'!BI15}</f>
        <v/>
      </c>
      <c r="BI15" s="794"/>
      <c r="BJ15" s="792" t="str">
        <f t="array" ref="BJ15:BK15">{"",'S-10 Оформление сделок Выборка'!BK15}</f>
        <v/>
      </c>
      <c r="BK15" s="793"/>
      <c r="BL15" s="792" t="str">
        <f t="array" ref="BL15:BM15">{"",'S-10 Оформление сделок Выборка'!BM15}</f>
        <v/>
      </c>
      <c r="BM15" s="801"/>
      <c r="BN15" s="792" t="str">
        <f t="array" ref="BN15:BO15">{"",'S-10 Оформление сделок Выборка'!BO15}</f>
        <v/>
      </c>
      <c r="BO15" s="793"/>
      <c r="BP15" s="792" t="str">
        <f t="array" ref="BP15:BQ15">{"",'S-10 Оформление сделок Выборка'!BQ15}</f>
        <v/>
      </c>
      <c r="BQ15" s="802"/>
      <c r="BR15" s="792" t="str">
        <f t="array" ref="BR15:BS15">{"",'S-10 Оформление сделок Выборка'!BS15}</f>
        <v/>
      </c>
      <c r="BS15" s="794"/>
      <c r="BT15" s="800" t="str">
        <f t="array" ref="BT15:BU15">{"",'S-10 Оформление сделок Выборка'!BU15}</f>
        <v/>
      </c>
      <c r="BU15" s="794"/>
      <c r="BV15" s="800" t="str">
        <f t="array" ref="BV15:BW15">{"",'S-10 Оформление сделок Выборка'!BW15}</f>
        <v/>
      </c>
      <c r="BW15" s="803" t="s">
        <v>96</v>
      </c>
      <c r="BX15" s="804"/>
    </row>
    <row r="16">
      <c r="A16" s="779"/>
      <c r="B16" s="779"/>
      <c r="C16" s="780" t="str">
        <f>'5-1 Сбор КП Закупки'!C16</f>
        <v>ID_T006</v>
      </c>
      <c r="D16" s="781" t="s">
        <v>356</v>
      </c>
      <c r="E16" s="780" t="s">
        <v>357</v>
      </c>
      <c r="F16" s="783"/>
      <c r="G16" s="783"/>
      <c r="H16" s="783"/>
      <c r="I16" s="783"/>
      <c r="J16" s="780" t="s">
        <v>278</v>
      </c>
      <c r="K16" s="786">
        <v>3.0</v>
      </c>
      <c r="L16" s="785"/>
      <c r="M16" s="786"/>
      <c r="N16" s="786">
        <v>0.0</v>
      </c>
      <c r="O16" s="780"/>
      <c r="P16" s="787"/>
      <c r="Q16" s="780"/>
      <c r="R16" s="780"/>
      <c r="S16" s="780"/>
      <c r="T16" s="780"/>
      <c r="U16" s="780"/>
      <c r="V16" s="780"/>
      <c r="W16" s="787"/>
      <c r="X16" s="780" t="s">
        <v>70</v>
      </c>
      <c r="Y16" s="780" t="s">
        <v>96</v>
      </c>
      <c r="Z16" s="780" t="s">
        <v>117</v>
      </c>
      <c r="AA16" s="780"/>
      <c r="AB16" s="788"/>
      <c r="AC16" s="781"/>
      <c r="AD16" s="780"/>
      <c r="AE16" s="789" t="str">
        <f t="array" ref="AE16:AF16">{"",'S-10 Оформление сделок Выборка'!AF16}</f>
        <v/>
      </c>
      <c r="AF16" s="790"/>
      <c r="AG16" s="781"/>
      <c r="AH16" s="781"/>
      <c r="AI16" s="785"/>
      <c r="AJ16" s="780"/>
      <c r="AK16" s="792" t="str">
        <f t="array" ref="AK16:AL16">{"",'S-10 Оформление сделок Выборка'!AL16}</f>
        <v/>
      </c>
      <c r="AL16" s="793"/>
      <c r="AM16" s="792" t="str">
        <f t="array" ref="AM16:AN16">{"",'S-10 Оформление сделок Выборка'!AN16}</f>
        <v/>
      </c>
      <c r="AN16" s="794"/>
      <c r="AO16" s="792" t="str">
        <f t="array" ref="AO16:AP16">{"",'S-10 Оформление сделок Выборка'!AP16}</f>
        <v/>
      </c>
      <c r="AP16" s="786"/>
      <c r="AQ16" s="786">
        <v>0.0</v>
      </c>
      <c r="AR16" s="779" t="str">
        <f t="array" ref="AR16:AS16">{"",'S-10 Оформление сделок Выборка'!AS16}</f>
        <v/>
      </c>
      <c r="AS16" s="795"/>
      <c r="AT16" s="779" t="str">
        <f t="array" ref="AT16:AU16">{"",'S-10 Оформление сделок Выборка'!AU16}</f>
        <v/>
      </c>
      <c r="AU16" s="805"/>
      <c r="AV16" s="779" t="str">
        <f t="array" ref="AV16:AW16">{"",'S-10 Оформление сделок Выборка'!AW16}</f>
        <v/>
      </c>
      <c r="AW16" s="797"/>
      <c r="AX16" s="786">
        <v>0.0</v>
      </c>
      <c r="AY16" s="786">
        <v>0.0</v>
      </c>
      <c r="AZ16" s="792" t="str">
        <f t="array" ref="AZ16:BA16">{"",'S-10 Оформление сделок Выборка'!BA16}</f>
        <v/>
      </c>
      <c r="BA16" s="798"/>
      <c r="BB16" s="792" t="str">
        <f t="array" ref="BB16:BC16">{"",'S-10 Оформление сделок Выборка'!BC16}</f>
        <v/>
      </c>
      <c r="BC16" s="799"/>
      <c r="BD16" s="792" t="str">
        <f t="array" ref="BD16:BE16">{"",'S-10 Оформление сделок Выборка'!BE16}</f>
        <v/>
      </c>
      <c r="BE16" s="793"/>
      <c r="BF16" s="800" t="str">
        <f t="array" ref="BF16:BG16">{"",'S-10 Оформление сделок Выборка'!BG16}</f>
        <v/>
      </c>
      <c r="BG16" s="794"/>
      <c r="BH16" s="794" t="str">
        <f t="array" ref="BH16:BI16">{"",'S-10 Оформление сделок Выборка'!BI16}</f>
        <v/>
      </c>
      <c r="BI16" s="794"/>
      <c r="BJ16" s="792" t="str">
        <f t="array" ref="BJ16:BK16">{"",'S-10 Оформление сделок Выборка'!BK16}</f>
        <v/>
      </c>
      <c r="BK16" s="793"/>
      <c r="BL16" s="792" t="str">
        <f t="array" ref="BL16:BM16">{"",'S-10 Оформление сделок Выборка'!BM16}</f>
        <v/>
      </c>
      <c r="BM16" s="801"/>
      <c r="BN16" s="792" t="str">
        <f t="array" ref="BN16:BO16">{"",'S-10 Оформление сделок Выборка'!BO16}</f>
        <v/>
      </c>
      <c r="BO16" s="793"/>
      <c r="BP16" s="792" t="str">
        <f t="array" ref="BP16:BQ16">{"",'S-10 Оформление сделок Выборка'!BQ16}</f>
        <v/>
      </c>
      <c r="BQ16" s="802"/>
      <c r="BR16" s="792" t="str">
        <f t="array" ref="BR16:BS16">{"",'S-10 Оформление сделок Выборка'!BS16}</f>
        <v/>
      </c>
      <c r="BS16" s="794"/>
      <c r="BT16" s="800" t="str">
        <f t="array" ref="BT16:BU16">{"",'S-10 Оформление сделок Выборка'!BU16}</f>
        <v/>
      </c>
      <c r="BU16" s="794"/>
      <c r="BV16" s="800" t="str">
        <f t="array" ref="BV16:BW16">{"",'S-10 Оформление сделок Выборка'!BW16}</f>
        <v/>
      </c>
      <c r="BW16" s="803" t="s">
        <v>96</v>
      </c>
      <c r="BX16" s="804"/>
    </row>
    <row r="17">
      <c r="A17" s="779"/>
      <c r="B17" s="779"/>
      <c r="C17" s="780" t="str">
        <f>'5-1 Сбор КП Закупки'!C17</f>
        <v>ID_T007</v>
      </c>
      <c r="D17" s="781" t="s">
        <v>372</v>
      </c>
      <c r="E17" s="780" t="s">
        <v>373</v>
      </c>
      <c r="F17" s="783"/>
      <c r="G17" s="783"/>
      <c r="H17" s="783"/>
      <c r="I17" s="783"/>
      <c r="J17" s="780" t="s">
        <v>278</v>
      </c>
      <c r="K17" s="786">
        <v>3.0</v>
      </c>
      <c r="L17" s="785"/>
      <c r="M17" s="786"/>
      <c r="N17" s="786">
        <v>0.0</v>
      </c>
      <c r="O17" s="780"/>
      <c r="P17" s="787"/>
      <c r="Q17" s="780"/>
      <c r="R17" s="780"/>
      <c r="S17" s="780"/>
      <c r="T17" s="780"/>
      <c r="U17" s="780"/>
      <c r="V17" s="780"/>
      <c r="W17" s="787"/>
      <c r="X17" s="780" t="s">
        <v>70</v>
      </c>
      <c r="Y17" s="780" t="s">
        <v>96</v>
      </c>
      <c r="Z17" s="780" t="s">
        <v>117</v>
      </c>
      <c r="AA17" s="780"/>
      <c r="AB17" s="788"/>
      <c r="AC17" s="781"/>
      <c r="AD17" s="780"/>
      <c r="AE17" s="789" t="str">
        <f t="array" ref="AE17:AF17">{"",'S-10 Оформление сделок Выборка'!AF17}</f>
        <v/>
      </c>
      <c r="AF17" s="790"/>
      <c r="AG17" s="781"/>
      <c r="AH17" s="781"/>
      <c r="AI17" s="785"/>
      <c r="AJ17" s="780"/>
      <c r="AK17" s="792" t="str">
        <f t="array" ref="AK17:AL17">{"",'S-10 Оформление сделок Выборка'!AL17}</f>
        <v/>
      </c>
      <c r="AL17" s="793"/>
      <c r="AM17" s="792" t="str">
        <f t="array" ref="AM17:AN17">{"",'S-10 Оформление сделок Выборка'!AN17}</f>
        <v/>
      </c>
      <c r="AN17" s="794"/>
      <c r="AO17" s="792" t="str">
        <f t="array" ref="AO17:AP17">{"",'S-10 Оформление сделок Выборка'!AP17}</f>
        <v/>
      </c>
      <c r="AP17" s="786"/>
      <c r="AQ17" s="786">
        <v>0.0</v>
      </c>
      <c r="AR17" s="779" t="str">
        <f t="array" ref="AR17:AS17">{"",'S-10 Оформление сделок Выборка'!AS17}</f>
        <v/>
      </c>
      <c r="AS17" s="795"/>
      <c r="AT17" s="779" t="str">
        <f t="array" ref="AT17:AU17">{"",'S-10 Оформление сделок Выборка'!AU17}</f>
        <v/>
      </c>
      <c r="AU17" s="805"/>
      <c r="AV17" s="779" t="str">
        <f t="array" ref="AV17:AW17">{"",'S-10 Оформление сделок Выборка'!AW17}</f>
        <v/>
      </c>
      <c r="AW17" s="797"/>
      <c r="AX17" s="786">
        <v>0.0</v>
      </c>
      <c r="AY17" s="786">
        <v>0.0</v>
      </c>
      <c r="AZ17" s="792" t="str">
        <f t="array" ref="AZ17:BA17">{"",'S-10 Оформление сделок Выборка'!BA17}</f>
        <v/>
      </c>
      <c r="BA17" s="798"/>
      <c r="BB17" s="792" t="str">
        <f t="array" ref="BB17:BC17">{"",'S-10 Оформление сделок Выборка'!BC17}</f>
        <v/>
      </c>
      <c r="BC17" s="799"/>
      <c r="BD17" s="792" t="str">
        <f t="array" ref="BD17:BE17">{"",'S-10 Оформление сделок Выборка'!BE17}</f>
        <v/>
      </c>
      <c r="BE17" s="793"/>
      <c r="BF17" s="800" t="str">
        <f t="array" ref="BF17:BG17">{"",'S-10 Оформление сделок Выборка'!BG17}</f>
        <v/>
      </c>
      <c r="BG17" s="794"/>
      <c r="BH17" s="794" t="str">
        <f t="array" ref="BH17:BI17">{"",'S-10 Оформление сделок Выборка'!BI17}</f>
        <v/>
      </c>
      <c r="BI17" s="794"/>
      <c r="BJ17" s="792" t="str">
        <f t="array" ref="BJ17:BK17">{"",'S-10 Оформление сделок Выборка'!BK17}</f>
        <v/>
      </c>
      <c r="BK17" s="793"/>
      <c r="BL17" s="792" t="str">
        <f t="array" ref="BL17:BM17">{"",'S-10 Оформление сделок Выборка'!BM17}</f>
        <v/>
      </c>
      <c r="BM17" s="801"/>
      <c r="BN17" s="792" t="str">
        <f t="array" ref="BN17:BO17">{"",'S-10 Оформление сделок Выборка'!BO17}</f>
        <v/>
      </c>
      <c r="BO17" s="793"/>
      <c r="BP17" s="792" t="str">
        <f t="array" ref="BP17:BQ17">{"",'S-10 Оформление сделок Выборка'!BQ17}</f>
        <v/>
      </c>
      <c r="BQ17" s="802"/>
      <c r="BR17" s="792" t="str">
        <f t="array" ref="BR17:BS17">{"",'S-10 Оформление сделок Выборка'!BS17}</f>
        <v/>
      </c>
      <c r="BS17" s="794"/>
      <c r="BT17" s="800" t="str">
        <f t="array" ref="BT17:BU17">{"",'S-10 Оформление сделок Выборка'!BU17}</f>
        <v/>
      </c>
      <c r="BU17" s="794"/>
      <c r="BV17" s="800" t="str">
        <f t="array" ref="BV17:BW17">{"",'S-10 Оформление сделок Выборка'!BW17}</f>
        <v/>
      </c>
      <c r="BW17" s="803" t="s">
        <v>96</v>
      </c>
      <c r="BX17" s="804"/>
    </row>
    <row r="18">
      <c r="A18" s="779"/>
      <c r="B18" s="779"/>
      <c r="C18" s="780" t="str">
        <f>'5-1 Сбор КП Закупки'!C18</f>
        <v>ID_T008</v>
      </c>
      <c r="D18" s="781" t="s">
        <v>385</v>
      </c>
      <c r="E18" s="780" t="s">
        <v>386</v>
      </c>
      <c r="F18" s="783"/>
      <c r="G18" s="783"/>
      <c r="H18" s="783"/>
      <c r="I18" s="783"/>
      <c r="J18" s="780" t="s">
        <v>278</v>
      </c>
      <c r="K18" s="786">
        <v>3.0</v>
      </c>
      <c r="L18" s="785"/>
      <c r="M18" s="786"/>
      <c r="N18" s="786">
        <v>0.0</v>
      </c>
      <c r="O18" s="780"/>
      <c r="P18" s="787"/>
      <c r="Q18" s="780"/>
      <c r="R18" s="780"/>
      <c r="S18" s="780"/>
      <c r="T18" s="780"/>
      <c r="U18" s="780"/>
      <c r="V18" s="780"/>
      <c r="W18" s="787"/>
      <c r="X18" s="780" t="s">
        <v>70</v>
      </c>
      <c r="Y18" s="780" t="s">
        <v>96</v>
      </c>
      <c r="Z18" s="780" t="s">
        <v>117</v>
      </c>
      <c r="AA18" s="780"/>
      <c r="AB18" s="788"/>
      <c r="AC18" s="781"/>
      <c r="AD18" s="780"/>
      <c r="AE18" s="789" t="str">
        <f t="array" ref="AE18:AF18">{"",'S-10 Оформление сделок Выборка'!AF18}</f>
        <v/>
      </c>
      <c r="AF18" s="790"/>
      <c r="AG18" s="781"/>
      <c r="AH18" s="781"/>
      <c r="AI18" s="785"/>
      <c r="AJ18" s="780"/>
      <c r="AK18" s="792" t="str">
        <f t="array" ref="AK18:AL18">{"",'S-10 Оформление сделок Выборка'!AL18}</f>
        <v/>
      </c>
      <c r="AL18" s="793"/>
      <c r="AM18" s="792" t="str">
        <f t="array" ref="AM18:AN18">{"",'S-10 Оформление сделок Выборка'!AN18}</f>
        <v/>
      </c>
      <c r="AN18" s="794"/>
      <c r="AO18" s="792" t="str">
        <f t="array" ref="AO18:AP18">{"",'S-10 Оформление сделок Выборка'!AP18}</f>
        <v/>
      </c>
      <c r="AP18" s="786"/>
      <c r="AQ18" s="786">
        <v>0.0</v>
      </c>
      <c r="AR18" s="779" t="str">
        <f t="array" ref="AR18:AS18">{"",'S-10 Оформление сделок Выборка'!AS18}</f>
        <v/>
      </c>
      <c r="AS18" s="795"/>
      <c r="AT18" s="779" t="str">
        <f t="array" ref="AT18:AU18">{"",'S-10 Оформление сделок Выборка'!AU18}</f>
        <v/>
      </c>
      <c r="AU18" s="805"/>
      <c r="AV18" s="779" t="str">
        <f t="array" ref="AV18:AW18">{"",'S-10 Оформление сделок Выборка'!AW18}</f>
        <v/>
      </c>
      <c r="AW18" s="797"/>
      <c r="AX18" s="786">
        <v>0.0</v>
      </c>
      <c r="AY18" s="786">
        <v>0.0</v>
      </c>
      <c r="AZ18" s="792" t="str">
        <f t="array" ref="AZ18:BA18">{"",'S-10 Оформление сделок Выборка'!BA18}</f>
        <v/>
      </c>
      <c r="BA18" s="798"/>
      <c r="BB18" s="792" t="str">
        <f t="array" ref="BB18:BC18">{"",'S-10 Оформление сделок Выборка'!BC18}</f>
        <v/>
      </c>
      <c r="BC18" s="799"/>
      <c r="BD18" s="792" t="str">
        <f t="array" ref="BD18:BE18">{"",'S-10 Оформление сделок Выборка'!BE18}</f>
        <v/>
      </c>
      <c r="BE18" s="793"/>
      <c r="BF18" s="800" t="str">
        <f t="array" ref="BF18:BG18">{"",'S-10 Оформление сделок Выборка'!BG18}</f>
        <v/>
      </c>
      <c r="BG18" s="794"/>
      <c r="BH18" s="794" t="str">
        <f t="array" ref="BH18:BI18">{"",'S-10 Оформление сделок Выборка'!BI18}</f>
        <v/>
      </c>
      <c r="BI18" s="794"/>
      <c r="BJ18" s="792" t="str">
        <f t="array" ref="BJ18:BK18">{"",'S-10 Оформление сделок Выборка'!BK18}</f>
        <v/>
      </c>
      <c r="BK18" s="793"/>
      <c r="BL18" s="792" t="str">
        <f t="array" ref="BL18:BM18">{"",'S-10 Оформление сделок Выборка'!BM18}</f>
        <v/>
      </c>
      <c r="BM18" s="801"/>
      <c r="BN18" s="792" t="str">
        <f t="array" ref="BN18:BO18">{"",'S-10 Оформление сделок Выборка'!BO18}</f>
        <v/>
      </c>
      <c r="BO18" s="793"/>
      <c r="BP18" s="792" t="str">
        <f t="array" ref="BP18:BQ18">{"",'S-10 Оформление сделок Выборка'!BQ18}</f>
        <v/>
      </c>
      <c r="BQ18" s="802"/>
      <c r="BR18" s="792" t="str">
        <f t="array" ref="BR18:BS18">{"",'S-10 Оформление сделок Выборка'!BS18}</f>
        <v/>
      </c>
      <c r="BS18" s="794"/>
      <c r="BT18" s="800" t="str">
        <f t="array" ref="BT18:BU18">{"",'S-10 Оформление сделок Выборка'!BU18}</f>
        <v/>
      </c>
      <c r="BU18" s="794"/>
      <c r="BV18" s="800" t="str">
        <f t="array" ref="BV18:BW18">{"",'S-10 Оформление сделок Выборка'!BW18}</f>
        <v/>
      </c>
      <c r="BW18" s="803" t="s">
        <v>96</v>
      </c>
      <c r="BX18" s="804"/>
    </row>
    <row r="19">
      <c r="A19" s="779"/>
      <c r="B19" s="779"/>
      <c r="C19" s="780" t="str">
        <f>'5-1 Сбор КП Закупки'!C19</f>
        <v>ID_T009</v>
      </c>
      <c r="D19" s="781" t="s">
        <v>388</v>
      </c>
      <c r="E19" s="780" t="s">
        <v>389</v>
      </c>
      <c r="F19" s="783"/>
      <c r="G19" s="783"/>
      <c r="H19" s="783"/>
      <c r="I19" s="783"/>
      <c r="J19" s="780" t="s">
        <v>278</v>
      </c>
      <c r="K19" s="786">
        <v>3.0</v>
      </c>
      <c r="L19" s="785"/>
      <c r="M19" s="786"/>
      <c r="N19" s="786">
        <v>0.0</v>
      </c>
      <c r="O19" s="780"/>
      <c r="P19" s="787"/>
      <c r="Q19" s="780"/>
      <c r="R19" s="780"/>
      <c r="S19" s="780"/>
      <c r="T19" s="780"/>
      <c r="U19" s="780"/>
      <c r="V19" s="780"/>
      <c r="W19" s="787"/>
      <c r="X19" s="780" t="s">
        <v>70</v>
      </c>
      <c r="Y19" s="780" t="s">
        <v>96</v>
      </c>
      <c r="Z19" s="780" t="s">
        <v>117</v>
      </c>
      <c r="AA19" s="780"/>
      <c r="AB19" s="788"/>
      <c r="AC19" s="781"/>
      <c r="AD19" s="780"/>
      <c r="AE19" s="789" t="str">
        <f t="array" ref="AE19:AF19">{"",'S-10 Оформление сделок Выборка'!AF19}</f>
        <v/>
      </c>
      <c r="AF19" s="790"/>
      <c r="AG19" s="781"/>
      <c r="AH19" s="781"/>
      <c r="AI19" s="785"/>
      <c r="AJ19" s="780"/>
      <c r="AK19" s="792" t="str">
        <f t="array" ref="AK19:AL19">{"",'S-10 Оформление сделок Выборка'!AL19}</f>
        <v/>
      </c>
      <c r="AL19" s="793"/>
      <c r="AM19" s="792" t="str">
        <f t="array" ref="AM19:AN19">{"",'S-10 Оформление сделок Выборка'!AN19}</f>
        <v/>
      </c>
      <c r="AN19" s="794"/>
      <c r="AO19" s="792" t="str">
        <f t="array" ref="AO19:AP19">{"",'S-10 Оформление сделок Выборка'!AP19}</f>
        <v/>
      </c>
      <c r="AP19" s="786"/>
      <c r="AQ19" s="786">
        <v>0.0</v>
      </c>
      <c r="AR19" s="779" t="str">
        <f t="array" ref="AR19:AS19">{"",'S-10 Оформление сделок Выборка'!AS19}</f>
        <v/>
      </c>
      <c r="AS19" s="795"/>
      <c r="AT19" s="779" t="str">
        <f t="array" ref="AT19:AU19">{"",'S-10 Оформление сделок Выборка'!AU19}</f>
        <v/>
      </c>
      <c r="AU19" s="805"/>
      <c r="AV19" s="779" t="str">
        <f t="array" ref="AV19:AW19">{"",'S-10 Оформление сделок Выборка'!AW19}</f>
        <v/>
      </c>
      <c r="AW19" s="797"/>
      <c r="AX19" s="786">
        <v>0.0</v>
      </c>
      <c r="AY19" s="786">
        <v>0.0</v>
      </c>
      <c r="AZ19" s="792" t="str">
        <f t="array" ref="AZ19:BA19">{"",'S-10 Оформление сделок Выборка'!BA19}</f>
        <v/>
      </c>
      <c r="BA19" s="798"/>
      <c r="BB19" s="792" t="str">
        <f t="array" ref="BB19:BC19">{"",'S-10 Оформление сделок Выборка'!BC19}</f>
        <v/>
      </c>
      <c r="BC19" s="799"/>
      <c r="BD19" s="792" t="str">
        <f t="array" ref="BD19:BE19">{"",'S-10 Оформление сделок Выборка'!BE19}</f>
        <v/>
      </c>
      <c r="BE19" s="793"/>
      <c r="BF19" s="800" t="str">
        <f t="array" ref="BF19:BG19">{"",'S-10 Оформление сделок Выборка'!BG19}</f>
        <v/>
      </c>
      <c r="BG19" s="794"/>
      <c r="BH19" s="794" t="str">
        <f t="array" ref="BH19:BI19">{"",'S-10 Оформление сделок Выборка'!BI19}</f>
        <v/>
      </c>
      <c r="BI19" s="794"/>
      <c r="BJ19" s="792" t="str">
        <f t="array" ref="BJ19:BK19">{"",'S-10 Оформление сделок Выборка'!BK19}</f>
        <v/>
      </c>
      <c r="BK19" s="793"/>
      <c r="BL19" s="792" t="str">
        <f t="array" ref="BL19:BM19">{"",'S-10 Оформление сделок Выборка'!BM19}</f>
        <v/>
      </c>
      <c r="BM19" s="801"/>
      <c r="BN19" s="792" t="str">
        <f t="array" ref="BN19:BO19">{"",'S-10 Оформление сделок Выборка'!BO19}</f>
        <v/>
      </c>
      <c r="BO19" s="793"/>
      <c r="BP19" s="792" t="str">
        <f t="array" ref="BP19:BQ19">{"",'S-10 Оформление сделок Выборка'!BQ19}</f>
        <v/>
      </c>
      <c r="BQ19" s="802"/>
      <c r="BR19" s="792" t="str">
        <f t="array" ref="BR19:BS19">{"",'S-10 Оформление сделок Выборка'!BS19}</f>
        <v/>
      </c>
      <c r="BS19" s="794"/>
      <c r="BT19" s="800" t="str">
        <f t="array" ref="BT19:BU19">{"",'S-10 Оформление сделок Выборка'!BU19}</f>
        <v/>
      </c>
      <c r="BU19" s="794"/>
      <c r="BV19" s="800" t="str">
        <f t="array" ref="BV19:BW19">{"",'S-10 Оформление сделок Выборка'!BW19}</f>
        <v/>
      </c>
      <c r="BW19" s="803" t="s">
        <v>96</v>
      </c>
      <c r="BX19" s="804"/>
    </row>
    <row r="20">
      <c r="A20" s="779"/>
      <c r="B20" s="779"/>
      <c r="C20" s="780" t="str">
        <f>'5-1 Сбор КП Закупки'!C20</f>
        <v>ID_T010</v>
      </c>
      <c r="D20" s="781" t="s">
        <v>391</v>
      </c>
      <c r="E20" s="780" t="s">
        <v>392</v>
      </c>
      <c r="F20" s="783"/>
      <c r="G20" s="783"/>
      <c r="H20" s="783"/>
      <c r="I20" s="783"/>
      <c r="J20" s="780" t="s">
        <v>278</v>
      </c>
      <c r="K20" s="786">
        <v>3.0</v>
      </c>
      <c r="L20" s="785"/>
      <c r="M20" s="786"/>
      <c r="N20" s="786">
        <v>0.0</v>
      </c>
      <c r="O20" s="780"/>
      <c r="P20" s="787"/>
      <c r="Q20" s="780"/>
      <c r="R20" s="780"/>
      <c r="S20" s="780"/>
      <c r="T20" s="780"/>
      <c r="U20" s="780"/>
      <c r="V20" s="780"/>
      <c r="W20" s="787"/>
      <c r="X20" s="780" t="s">
        <v>70</v>
      </c>
      <c r="Y20" s="780" t="s">
        <v>96</v>
      </c>
      <c r="Z20" s="780" t="s">
        <v>117</v>
      </c>
      <c r="AA20" s="780"/>
      <c r="AB20" s="788"/>
      <c r="AC20" s="781"/>
      <c r="AD20" s="780"/>
      <c r="AE20" s="789" t="str">
        <f t="array" ref="AE20:AF20">{"",'S-10 Оформление сделок Выборка'!AF20}</f>
        <v/>
      </c>
      <c r="AF20" s="790"/>
      <c r="AG20" s="781"/>
      <c r="AH20" s="781"/>
      <c r="AI20" s="785"/>
      <c r="AJ20" s="780"/>
      <c r="AK20" s="792" t="str">
        <f t="array" ref="AK20:AL20">{"",'S-10 Оформление сделок Выборка'!AL20}</f>
        <v/>
      </c>
      <c r="AL20" s="793"/>
      <c r="AM20" s="792" t="str">
        <f t="array" ref="AM20:AN20">{"",'S-10 Оформление сделок Выборка'!AN20}</f>
        <v/>
      </c>
      <c r="AN20" s="794"/>
      <c r="AO20" s="792" t="str">
        <f t="array" ref="AO20:AP20">{"",'S-10 Оформление сделок Выборка'!AP20}</f>
        <v/>
      </c>
      <c r="AP20" s="786"/>
      <c r="AQ20" s="786">
        <v>0.0</v>
      </c>
      <c r="AR20" s="779" t="str">
        <f t="array" ref="AR20:AS20">{"",'S-10 Оформление сделок Выборка'!AS20}</f>
        <v/>
      </c>
      <c r="AS20" s="795"/>
      <c r="AT20" s="779" t="str">
        <f t="array" ref="AT20:AU20">{"",'S-10 Оформление сделок Выборка'!AU20}</f>
        <v/>
      </c>
      <c r="AU20" s="805"/>
      <c r="AV20" s="779" t="str">
        <f t="array" ref="AV20:AW20">{"",'S-10 Оформление сделок Выборка'!AW20}</f>
        <v/>
      </c>
      <c r="AW20" s="797"/>
      <c r="AX20" s="786">
        <v>0.0</v>
      </c>
      <c r="AY20" s="786">
        <v>0.0</v>
      </c>
      <c r="AZ20" s="792" t="str">
        <f t="array" ref="AZ20:BA20">{"",'S-10 Оформление сделок Выборка'!BA20}</f>
        <v/>
      </c>
      <c r="BA20" s="798"/>
      <c r="BB20" s="792" t="str">
        <f t="array" ref="BB20:BC20">{"",'S-10 Оформление сделок Выборка'!BC20}</f>
        <v/>
      </c>
      <c r="BC20" s="799"/>
      <c r="BD20" s="792" t="str">
        <f t="array" ref="BD20:BE20">{"",'S-10 Оформление сделок Выборка'!BE20}</f>
        <v/>
      </c>
      <c r="BE20" s="793"/>
      <c r="BF20" s="800" t="str">
        <f t="array" ref="BF20:BG20">{"",'S-10 Оформление сделок Выборка'!BG20}</f>
        <v/>
      </c>
      <c r="BG20" s="794"/>
      <c r="BH20" s="794" t="str">
        <f t="array" ref="BH20:BI20">{"",'S-10 Оформление сделок Выборка'!BI20}</f>
        <v/>
      </c>
      <c r="BI20" s="794"/>
      <c r="BJ20" s="792" t="str">
        <f t="array" ref="BJ20:BK20">{"",'S-10 Оформление сделок Выборка'!BK20}</f>
        <v/>
      </c>
      <c r="BK20" s="793"/>
      <c r="BL20" s="792" t="str">
        <f t="array" ref="BL20:BM20">{"",'S-10 Оформление сделок Выборка'!BM20}</f>
        <v/>
      </c>
      <c r="BM20" s="801"/>
      <c r="BN20" s="792" t="str">
        <f t="array" ref="BN20:BO20">{"",'S-10 Оформление сделок Выборка'!BO20}</f>
        <v/>
      </c>
      <c r="BO20" s="793"/>
      <c r="BP20" s="792" t="str">
        <f t="array" ref="BP20:BQ20">{"",'S-10 Оформление сделок Выборка'!BQ20}</f>
        <v/>
      </c>
      <c r="BQ20" s="802"/>
      <c r="BR20" s="792" t="str">
        <f t="array" ref="BR20:BS20">{"",'S-10 Оформление сделок Выборка'!BS20}</f>
        <v/>
      </c>
      <c r="BS20" s="794"/>
      <c r="BT20" s="800" t="str">
        <f t="array" ref="BT20:BU20">{"",'S-10 Оформление сделок Выборка'!BU20}</f>
        <v/>
      </c>
      <c r="BU20" s="794"/>
      <c r="BV20" s="800" t="str">
        <f t="array" ref="BV20:BW20">{"",'S-10 Оформление сделок Выборка'!BW20}</f>
        <v/>
      </c>
      <c r="BW20" s="803" t="s">
        <v>96</v>
      </c>
      <c r="BX20" s="804"/>
    </row>
    <row r="21">
      <c r="A21" s="779"/>
      <c r="B21" s="779"/>
      <c r="C21" s="780" t="str">
        <f>'5-1 Сбор КП Закупки'!C21</f>
        <v>ID_T011</v>
      </c>
      <c r="D21" s="781" t="s">
        <v>394</v>
      </c>
      <c r="E21" s="780" t="s">
        <v>395</v>
      </c>
      <c r="F21" s="783"/>
      <c r="G21" s="783"/>
      <c r="H21" s="783"/>
      <c r="I21" s="783"/>
      <c r="J21" s="780" t="s">
        <v>278</v>
      </c>
      <c r="K21" s="786">
        <v>6.0</v>
      </c>
      <c r="L21" s="785"/>
      <c r="M21" s="786"/>
      <c r="N21" s="786">
        <v>0.0</v>
      </c>
      <c r="O21" s="780"/>
      <c r="P21" s="787"/>
      <c r="Q21" s="780"/>
      <c r="R21" s="780"/>
      <c r="S21" s="780"/>
      <c r="T21" s="780"/>
      <c r="U21" s="780"/>
      <c r="V21" s="780"/>
      <c r="W21" s="787"/>
      <c r="X21" s="780" t="s">
        <v>70</v>
      </c>
      <c r="Y21" s="780" t="s">
        <v>96</v>
      </c>
      <c r="Z21" s="780" t="s">
        <v>117</v>
      </c>
      <c r="AA21" s="780"/>
      <c r="AB21" s="788"/>
      <c r="AC21" s="781"/>
      <c r="AD21" s="780"/>
      <c r="AE21" s="789" t="str">
        <f t="array" ref="AE21:AF21">{"",'S-10 Оформление сделок Выборка'!AF21}</f>
        <v/>
      </c>
      <c r="AF21" s="790"/>
      <c r="AG21" s="781"/>
      <c r="AH21" s="781"/>
      <c r="AI21" s="785"/>
      <c r="AJ21" s="780"/>
      <c r="AK21" s="792" t="str">
        <f t="array" ref="AK21:AL21">{"",'S-10 Оформление сделок Выборка'!AL21}</f>
        <v/>
      </c>
      <c r="AL21" s="793"/>
      <c r="AM21" s="792" t="str">
        <f t="array" ref="AM21:AN21">{"",'S-10 Оформление сделок Выборка'!AN21}</f>
        <v/>
      </c>
      <c r="AN21" s="794"/>
      <c r="AO21" s="792" t="str">
        <f t="array" ref="AO21:AP21">{"",'S-10 Оформление сделок Выборка'!AP21}</f>
        <v/>
      </c>
      <c r="AP21" s="786"/>
      <c r="AQ21" s="786">
        <v>0.0</v>
      </c>
      <c r="AR21" s="779" t="str">
        <f t="array" ref="AR21:AS21">{"",'S-10 Оформление сделок Выборка'!AS21}</f>
        <v/>
      </c>
      <c r="AS21" s="795"/>
      <c r="AT21" s="779" t="str">
        <f t="array" ref="AT21:AU21">{"",'S-10 Оформление сделок Выборка'!AU21}</f>
        <v/>
      </c>
      <c r="AU21" s="805"/>
      <c r="AV21" s="779" t="str">
        <f t="array" ref="AV21:AW21">{"",'S-10 Оформление сделок Выборка'!AW21}</f>
        <v/>
      </c>
      <c r="AW21" s="797"/>
      <c r="AX21" s="786">
        <v>0.0</v>
      </c>
      <c r="AY21" s="786">
        <v>0.0</v>
      </c>
      <c r="AZ21" s="792" t="str">
        <f t="array" ref="AZ21:BA21">{"",'S-10 Оформление сделок Выборка'!BA21}</f>
        <v/>
      </c>
      <c r="BA21" s="798"/>
      <c r="BB21" s="792" t="str">
        <f t="array" ref="BB21:BC21">{"",'S-10 Оформление сделок Выборка'!BC21}</f>
        <v/>
      </c>
      <c r="BC21" s="799"/>
      <c r="BD21" s="792" t="str">
        <f t="array" ref="BD21:BE21">{"",'S-10 Оформление сделок Выборка'!BE21}</f>
        <v/>
      </c>
      <c r="BE21" s="793"/>
      <c r="BF21" s="800" t="str">
        <f t="array" ref="BF21:BG21">{"",'S-10 Оформление сделок Выборка'!BG21}</f>
        <v/>
      </c>
      <c r="BG21" s="794"/>
      <c r="BH21" s="794" t="str">
        <f t="array" ref="BH21:BI21">{"",'S-10 Оформление сделок Выборка'!BI21}</f>
        <v/>
      </c>
      <c r="BI21" s="794"/>
      <c r="BJ21" s="792" t="str">
        <f t="array" ref="BJ21:BK21">{"",'S-10 Оформление сделок Выборка'!BK21}</f>
        <v/>
      </c>
      <c r="BK21" s="793"/>
      <c r="BL21" s="792" t="str">
        <f t="array" ref="BL21:BM21">{"",'S-10 Оформление сделок Выборка'!BM21}</f>
        <v/>
      </c>
      <c r="BM21" s="801"/>
      <c r="BN21" s="792" t="str">
        <f t="array" ref="BN21:BO21">{"",'S-10 Оформление сделок Выборка'!BO21}</f>
        <v/>
      </c>
      <c r="BO21" s="793"/>
      <c r="BP21" s="792" t="str">
        <f t="array" ref="BP21:BQ21">{"",'S-10 Оформление сделок Выборка'!BQ21}</f>
        <v/>
      </c>
      <c r="BQ21" s="802"/>
      <c r="BR21" s="792" t="str">
        <f t="array" ref="BR21:BS21">{"",'S-10 Оформление сделок Выборка'!BS21}</f>
        <v/>
      </c>
      <c r="BS21" s="794"/>
      <c r="BT21" s="800" t="str">
        <f t="array" ref="BT21:BU21">{"",'S-10 Оформление сделок Выборка'!BU21}</f>
        <v/>
      </c>
      <c r="BU21" s="794"/>
      <c r="BV21" s="800" t="str">
        <f t="array" ref="BV21:BW21">{"",'S-10 Оформление сделок Выборка'!BW21}</f>
        <v/>
      </c>
      <c r="BW21" s="803" t="s">
        <v>96</v>
      </c>
      <c r="BX21" s="804"/>
    </row>
    <row r="22">
      <c r="A22" s="779"/>
      <c r="B22" s="779"/>
      <c r="C22" s="780" t="str">
        <f>'5-1 Сбор КП Закупки'!C22</f>
        <v>ID_T012</v>
      </c>
      <c r="D22" s="781" t="s">
        <v>397</v>
      </c>
      <c r="E22" s="780" t="s">
        <v>398</v>
      </c>
      <c r="F22" s="783"/>
      <c r="G22" s="783"/>
      <c r="H22" s="783"/>
      <c r="I22" s="783"/>
      <c r="J22" s="780" t="s">
        <v>278</v>
      </c>
      <c r="K22" s="786">
        <v>6.0</v>
      </c>
      <c r="L22" s="785"/>
      <c r="M22" s="786"/>
      <c r="N22" s="786">
        <v>0.0</v>
      </c>
      <c r="O22" s="780"/>
      <c r="P22" s="787"/>
      <c r="Q22" s="780"/>
      <c r="R22" s="780"/>
      <c r="S22" s="780"/>
      <c r="T22" s="780"/>
      <c r="U22" s="780"/>
      <c r="V22" s="780"/>
      <c r="W22" s="787"/>
      <c r="X22" s="780" t="s">
        <v>70</v>
      </c>
      <c r="Y22" s="780" t="s">
        <v>96</v>
      </c>
      <c r="Z22" s="780" t="s">
        <v>117</v>
      </c>
      <c r="AA22" s="780"/>
      <c r="AB22" s="788"/>
      <c r="AC22" s="781"/>
      <c r="AD22" s="780"/>
      <c r="AE22" s="789" t="str">
        <f t="array" ref="AE22:AF22">{"",'S-10 Оформление сделок Выборка'!AF22}</f>
        <v/>
      </c>
      <c r="AF22" s="790"/>
      <c r="AG22" s="781"/>
      <c r="AH22" s="781"/>
      <c r="AI22" s="785"/>
      <c r="AJ22" s="780"/>
      <c r="AK22" s="792" t="str">
        <f t="array" ref="AK22:AL22">{"",'S-10 Оформление сделок Выборка'!AL22}</f>
        <v/>
      </c>
      <c r="AL22" s="793"/>
      <c r="AM22" s="792" t="str">
        <f t="array" ref="AM22:AN22">{"",'S-10 Оформление сделок Выборка'!AN22}</f>
        <v/>
      </c>
      <c r="AN22" s="794"/>
      <c r="AO22" s="792" t="str">
        <f t="array" ref="AO22:AP22">{"",'S-10 Оформление сделок Выборка'!AP22}</f>
        <v/>
      </c>
      <c r="AP22" s="786"/>
      <c r="AQ22" s="786">
        <v>0.0</v>
      </c>
      <c r="AR22" s="779" t="str">
        <f t="array" ref="AR22:AS22">{"",'S-10 Оформление сделок Выборка'!AS22}</f>
        <v/>
      </c>
      <c r="AS22" s="795"/>
      <c r="AT22" s="779" t="str">
        <f t="array" ref="AT22:AU22">{"",'S-10 Оформление сделок Выборка'!AU22}</f>
        <v/>
      </c>
      <c r="AU22" s="805"/>
      <c r="AV22" s="779" t="str">
        <f t="array" ref="AV22:AW22">{"",'S-10 Оформление сделок Выборка'!AW22}</f>
        <v/>
      </c>
      <c r="AW22" s="797"/>
      <c r="AX22" s="786">
        <v>0.0</v>
      </c>
      <c r="AY22" s="786">
        <v>0.0</v>
      </c>
      <c r="AZ22" s="792" t="str">
        <f t="array" ref="AZ22:BA22">{"",'S-10 Оформление сделок Выборка'!BA22}</f>
        <v/>
      </c>
      <c r="BA22" s="798"/>
      <c r="BB22" s="792" t="str">
        <f t="array" ref="BB22:BC22">{"",'S-10 Оформление сделок Выборка'!BC22}</f>
        <v/>
      </c>
      <c r="BC22" s="799"/>
      <c r="BD22" s="792" t="str">
        <f t="array" ref="BD22:BE22">{"",'S-10 Оформление сделок Выборка'!BE22}</f>
        <v/>
      </c>
      <c r="BE22" s="793"/>
      <c r="BF22" s="800" t="str">
        <f t="array" ref="BF22:BG22">{"",'S-10 Оформление сделок Выборка'!BG22}</f>
        <v/>
      </c>
      <c r="BG22" s="794"/>
      <c r="BH22" s="794" t="str">
        <f t="array" ref="BH22:BI22">{"",'S-10 Оформление сделок Выборка'!BI22}</f>
        <v/>
      </c>
      <c r="BI22" s="794"/>
      <c r="BJ22" s="792" t="str">
        <f t="array" ref="BJ22:BK22">{"",'S-10 Оформление сделок Выборка'!BK22}</f>
        <v/>
      </c>
      <c r="BK22" s="793"/>
      <c r="BL22" s="792" t="str">
        <f t="array" ref="BL22:BM22">{"",'S-10 Оформление сделок Выборка'!BM22}</f>
        <v/>
      </c>
      <c r="BM22" s="801"/>
      <c r="BN22" s="792" t="str">
        <f t="array" ref="BN22:BO22">{"",'S-10 Оформление сделок Выборка'!BO22}</f>
        <v/>
      </c>
      <c r="BO22" s="793"/>
      <c r="BP22" s="792" t="str">
        <f t="array" ref="BP22:BQ22">{"",'S-10 Оформление сделок Выборка'!BQ22}</f>
        <v/>
      </c>
      <c r="BQ22" s="802"/>
      <c r="BR22" s="792" t="str">
        <f t="array" ref="BR22:BS22">{"",'S-10 Оформление сделок Выборка'!BS22}</f>
        <v/>
      </c>
      <c r="BS22" s="794"/>
      <c r="BT22" s="800" t="str">
        <f t="array" ref="BT22:BU22">{"",'S-10 Оформление сделок Выборка'!BU22}</f>
        <v/>
      </c>
      <c r="BU22" s="794"/>
      <c r="BV22" s="800" t="str">
        <f t="array" ref="BV22:BW22">{"",'S-10 Оформление сделок Выборка'!BW22}</f>
        <v/>
      </c>
      <c r="BW22" s="803" t="s">
        <v>96</v>
      </c>
      <c r="BX22" s="804"/>
    </row>
    <row r="23">
      <c r="A23" s="779"/>
      <c r="B23" s="779"/>
      <c r="C23" s="780" t="str">
        <f>'5-1 Сбор КП Закупки'!C23</f>
        <v>ID_T013</v>
      </c>
      <c r="D23" s="781" t="s">
        <v>400</v>
      </c>
      <c r="E23" s="780" t="s">
        <v>401</v>
      </c>
      <c r="F23" s="783"/>
      <c r="G23" s="783"/>
      <c r="H23" s="783"/>
      <c r="I23" s="783"/>
      <c r="J23" s="780" t="s">
        <v>278</v>
      </c>
      <c r="K23" s="786">
        <v>2.0</v>
      </c>
      <c r="L23" s="785"/>
      <c r="M23" s="786"/>
      <c r="N23" s="786">
        <v>0.0</v>
      </c>
      <c r="O23" s="780"/>
      <c r="P23" s="787"/>
      <c r="Q23" s="780"/>
      <c r="R23" s="780"/>
      <c r="S23" s="780"/>
      <c r="T23" s="780"/>
      <c r="U23" s="780"/>
      <c r="V23" s="780"/>
      <c r="W23" s="787"/>
      <c r="X23" s="780" t="s">
        <v>70</v>
      </c>
      <c r="Y23" s="780" t="s">
        <v>96</v>
      </c>
      <c r="Z23" s="780" t="s">
        <v>117</v>
      </c>
      <c r="AA23" s="780"/>
      <c r="AB23" s="788"/>
      <c r="AC23" s="781"/>
      <c r="AD23" s="780"/>
      <c r="AE23" s="789" t="str">
        <f t="array" ref="AE23:AF23">{"",'S-10 Оформление сделок Выборка'!AF23}</f>
        <v/>
      </c>
      <c r="AF23" s="790"/>
      <c r="AG23" s="781"/>
      <c r="AH23" s="781"/>
      <c r="AI23" s="785"/>
      <c r="AJ23" s="780"/>
      <c r="AK23" s="792" t="str">
        <f t="array" ref="AK23:AL23">{"",'S-10 Оформление сделок Выборка'!AL23}</f>
        <v/>
      </c>
      <c r="AL23" s="793"/>
      <c r="AM23" s="792" t="str">
        <f t="array" ref="AM23:AN23">{"",'S-10 Оформление сделок Выборка'!AN23}</f>
        <v/>
      </c>
      <c r="AN23" s="794"/>
      <c r="AO23" s="792" t="str">
        <f t="array" ref="AO23:AP23">{"",'S-10 Оформление сделок Выборка'!AP23}</f>
        <v/>
      </c>
      <c r="AP23" s="786"/>
      <c r="AQ23" s="786">
        <v>0.0</v>
      </c>
      <c r="AR23" s="779" t="str">
        <f t="array" ref="AR23:AS23">{"",'S-10 Оформление сделок Выборка'!AS23}</f>
        <v/>
      </c>
      <c r="AS23" s="795"/>
      <c r="AT23" s="779" t="str">
        <f t="array" ref="AT23:AU23">{"",'S-10 Оформление сделок Выборка'!AU23}</f>
        <v/>
      </c>
      <c r="AU23" s="805"/>
      <c r="AV23" s="779" t="str">
        <f t="array" ref="AV23:AW23">{"",'S-10 Оформление сделок Выборка'!AW23}</f>
        <v/>
      </c>
      <c r="AW23" s="797"/>
      <c r="AX23" s="786">
        <v>0.0</v>
      </c>
      <c r="AY23" s="786">
        <v>0.0</v>
      </c>
      <c r="AZ23" s="792" t="str">
        <f t="array" ref="AZ23:BA23">{"",'S-10 Оформление сделок Выборка'!BA23}</f>
        <v/>
      </c>
      <c r="BA23" s="798"/>
      <c r="BB23" s="792" t="str">
        <f t="array" ref="BB23:BC23">{"",'S-10 Оформление сделок Выборка'!BC23}</f>
        <v/>
      </c>
      <c r="BC23" s="799"/>
      <c r="BD23" s="792" t="str">
        <f t="array" ref="BD23:BE23">{"",'S-10 Оформление сделок Выборка'!BE23}</f>
        <v/>
      </c>
      <c r="BE23" s="793"/>
      <c r="BF23" s="800" t="str">
        <f t="array" ref="BF23:BG23">{"",'S-10 Оформление сделок Выборка'!BG23}</f>
        <v/>
      </c>
      <c r="BG23" s="794"/>
      <c r="BH23" s="794" t="str">
        <f t="array" ref="BH23:BI23">{"",'S-10 Оформление сделок Выборка'!BI23}</f>
        <v/>
      </c>
      <c r="BI23" s="794"/>
      <c r="BJ23" s="792" t="str">
        <f t="array" ref="BJ23:BK23">{"",'S-10 Оформление сделок Выборка'!BK23}</f>
        <v/>
      </c>
      <c r="BK23" s="793"/>
      <c r="BL23" s="792" t="str">
        <f t="array" ref="BL23:BM23">{"",'S-10 Оформление сделок Выборка'!BM23}</f>
        <v/>
      </c>
      <c r="BM23" s="801"/>
      <c r="BN23" s="792" t="str">
        <f t="array" ref="BN23:BO23">{"",'S-10 Оформление сделок Выборка'!BO23}</f>
        <v/>
      </c>
      <c r="BO23" s="793"/>
      <c r="BP23" s="792" t="str">
        <f t="array" ref="BP23:BQ23">{"",'S-10 Оформление сделок Выборка'!BQ23}</f>
        <v/>
      </c>
      <c r="BQ23" s="802"/>
      <c r="BR23" s="792" t="str">
        <f t="array" ref="BR23:BS23">{"",'S-10 Оформление сделок Выборка'!BS23}</f>
        <v/>
      </c>
      <c r="BS23" s="794"/>
      <c r="BT23" s="800" t="str">
        <f t="array" ref="BT23:BU23">{"",'S-10 Оформление сделок Выборка'!BU23}</f>
        <v/>
      </c>
      <c r="BU23" s="794"/>
      <c r="BV23" s="800" t="str">
        <f t="array" ref="BV23:BW23">{"",'S-10 Оформление сделок Выборка'!BW23}</f>
        <v/>
      </c>
      <c r="BW23" s="803" t="s">
        <v>96</v>
      </c>
      <c r="BX23" s="804"/>
    </row>
    <row r="24">
      <c r="A24" s="779"/>
      <c r="B24" s="779"/>
      <c r="C24" s="780" t="str">
        <f>'5-1 Сбор КП Закупки'!C24</f>
        <v>ID_T014</v>
      </c>
      <c r="D24" s="781" t="s">
        <v>403</v>
      </c>
      <c r="E24" s="780" t="s">
        <v>404</v>
      </c>
      <c r="F24" s="783"/>
      <c r="G24" s="783"/>
      <c r="H24" s="783"/>
      <c r="I24" s="783"/>
      <c r="J24" s="780" t="s">
        <v>278</v>
      </c>
      <c r="K24" s="786">
        <v>4.0</v>
      </c>
      <c r="L24" s="785"/>
      <c r="M24" s="786"/>
      <c r="N24" s="786">
        <v>0.0</v>
      </c>
      <c r="O24" s="780"/>
      <c r="P24" s="787"/>
      <c r="Q24" s="780"/>
      <c r="R24" s="780"/>
      <c r="S24" s="780"/>
      <c r="T24" s="780"/>
      <c r="U24" s="780"/>
      <c r="V24" s="780"/>
      <c r="W24" s="787"/>
      <c r="X24" s="780" t="s">
        <v>70</v>
      </c>
      <c r="Y24" s="780" t="s">
        <v>96</v>
      </c>
      <c r="Z24" s="780" t="s">
        <v>117</v>
      </c>
      <c r="AA24" s="780"/>
      <c r="AB24" s="788"/>
      <c r="AC24" s="781"/>
      <c r="AD24" s="780"/>
      <c r="AE24" s="789" t="str">
        <f t="array" ref="AE24:AF24">{"",'S-10 Оформление сделок Выборка'!AF24}</f>
        <v/>
      </c>
      <c r="AF24" s="790"/>
      <c r="AG24" s="781"/>
      <c r="AH24" s="781"/>
      <c r="AI24" s="785"/>
      <c r="AJ24" s="780"/>
      <c r="AK24" s="792" t="str">
        <f t="array" ref="AK24:AL24">{"",'S-10 Оформление сделок Выборка'!AL24}</f>
        <v/>
      </c>
      <c r="AL24" s="793"/>
      <c r="AM24" s="792" t="str">
        <f t="array" ref="AM24:AN24">{"",'S-10 Оформление сделок Выборка'!AN24}</f>
        <v/>
      </c>
      <c r="AN24" s="794"/>
      <c r="AO24" s="792" t="str">
        <f t="array" ref="AO24:AP24">{"",'S-10 Оформление сделок Выборка'!AP24}</f>
        <v/>
      </c>
      <c r="AP24" s="786"/>
      <c r="AQ24" s="786">
        <v>0.0</v>
      </c>
      <c r="AR24" s="779" t="str">
        <f t="array" ref="AR24:AS24">{"",'S-10 Оформление сделок Выборка'!AS24}</f>
        <v/>
      </c>
      <c r="AS24" s="795"/>
      <c r="AT24" s="779" t="str">
        <f t="array" ref="AT24:AU24">{"",'S-10 Оформление сделок Выборка'!AU24}</f>
        <v/>
      </c>
      <c r="AU24" s="805"/>
      <c r="AV24" s="779" t="str">
        <f t="array" ref="AV24:AW24">{"",'S-10 Оформление сделок Выборка'!AW24}</f>
        <v/>
      </c>
      <c r="AW24" s="797"/>
      <c r="AX24" s="786">
        <v>0.0</v>
      </c>
      <c r="AY24" s="786">
        <v>0.0</v>
      </c>
      <c r="AZ24" s="792" t="str">
        <f t="array" ref="AZ24:BA24">{"",'S-10 Оформление сделок Выборка'!BA24}</f>
        <v/>
      </c>
      <c r="BA24" s="798"/>
      <c r="BB24" s="792" t="str">
        <f t="array" ref="BB24:BC24">{"",'S-10 Оформление сделок Выборка'!BC24}</f>
        <v/>
      </c>
      <c r="BC24" s="799"/>
      <c r="BD24" s="792" t="str">
        <f t="array" ref="BD24:BE24">{"",'S-10 Оформление сделок Выборка'!BE24}</f>
        <v/>
      </c>
      <c r="BE24" s="793"/>
      <c r="BF24" s="800" t="str">
        <f t="array" ref="BF24:BG24">{"",'S-10 Оформление сделок Выборка'!BG24}</f>
        <v/>
      </c>
      <c r="BG24" s="794"/>
      <c r="BH24" s="794" t="str">
        <f t="array" ref="BH24:BI24">{"",'S-10 Оформление сделок Выборка'!BI24}</f>
        <v/>
      </c>
      <c r="BI24" s="794"/>
      <c r="BJ24" s="792" t="str">
        <f t="array" ref="BJ24:BK24">{"",'S-10 Оформление сделок Выборка'!BK24}</f>
        <v/>
      </c>
      <c r="BK24" s="793"/>
      <c r="BL24" s="792" t="str">
        <f t="array" ref="BL24:BM24">{"",'S-10 Оформление сделок Выборка'!BM24}</f>
        <v/>
      </c>
      <c r="BM24" s="801"/>
      <c r="BN24" s="792" t="str">
        <f t="array" ref="BN24:BO24">{"",'S-10 Оформление сделок Выборка'!BO24}</f>
        <v/>
      </c>
      <c r="BO24" s="793"/>
      <c r="BP24" s="792" t="str">
        <f t="array" ref="BP24:BQ24">{"",'S-10 Оформление сделок Выборка'!BQ24}</f>
        <v/>
      </c>
      <c r="BQ24" s="802"/>
      <c r="BR24" s="792" t="str">
        <f t="array" ref="BR24:BS24">{"",'S-10 Оформление сделок Выборка'!BS24}</f>
        <v/>
      </c>
      <c r="BS24" s="794"/>
      <c r="BT24" s="800" t="str">
        <f t="array" ref="BT24:BU24">{"",'S-10 Оформление сделок Выборка'!BU24}</f>
        <v/>
      </c>
      <c r="BU24" s="794"/>
      <c r="BV24" s="800" t="str">
        <f t="array" ref="BV24:BW24">{"",'S-10 Оформление сделок Выборка'!BW24}</f>
        <v/>
      </c>
      <c r="BW24" s="803" t="s">
        <v>96</v>
      </c>
      <c r="BX24" s="804"/>
    </row>
    <row r="25">
      <c r="A25" s="779"/>
      <c r="B25" s="779"/>
      <c r="C25" s="780" t="str">
        <f>'5-1 Сбор КП Закупки'!C25</f>
        <v>ID_T015</v>
      </c>
      <c r="D25" s="781" t="s">
        <v>406</v>
      </c>
      <c r="E25" s="780" t="s">
        <v>407</v>
      </c>
      <c r="F25" s="783"/>
      <c r="G25" s="783"/>
      <c r="H25" s="783"/>
      <c r="I25" s="783"/>
      <c r="J25" s="780" t="s">
        <v>278</v>
      </c>
      <c r="K25" s="786">
        <v>4.0</v>
      </c>
      <c r="L25" s="785"/>
      <c r="M25" s="786"/>
      <c r="N25" s="786">
        <v>0.0</v>
      </c>
      <c r="O25" s="780"/>
      <c r="P25" s="787"/>
      <c r="Q25" s="780"/>
      <c r="R25" s="780"/>
      <c r="S25" s="780"/>
      <c r="T25" s="780"/>
      <c r="U25" s="780"/>
      <c r="V25" s="780"/>
      <c r="W25" s="787"/>
      <c r="X25" s="780" t="s">
        <v>70</v>
      </c>
      <c r="Y25" s="780" t="s">
        <v>96</v>
      </c>
      <c r="Z25" s="780" t="s">
        <v>117</v>
      </c>
      <c r="AA25" s="780"/>
      <c r="AB25" s="788"/>
      <c r="AC25" s="781"/>
      <c r="AD25" s="780"/>
      <c r="AE25" s="789" t="str">
        <f t="array" ref="AE25:AF25">{"",'S-10 Оформление сделок Выборка'!AF25}</f>
        <v/>
      </c>
      <c r="AF25" s="790"/>
      <c r="AG25" s="781"/>
      <c r="AH25" s="781"/>
      <c r="AI25" s="785"/>
      <c r="AJ25" s="780"/>
      <c r="AK25" s="792" t="str">
        <f t="array" ref="AK25:AL25">{"",'S-10 Оформление сделок Выборка'!AL25}</f>
        <v/>
      </c>
      <c r="AL25" s="793"/>
      <c r="AM25" s="792" t="str">
        <f t="array" ref="AM25:AN25">{"",'S-10 Оформление сделок Выборка'!AN25}</f>
        <v/>
      </c>
      <c r="AN25" s="794"/>
      <c r="AO25" s="792" t="str">
        <f t="array" ref="AO25:AP25">{"",'S-10 Оформление сделок Выборка'!AP25}</f>
        <v/>
      </c>
      <c r="AP25" s="786"/>
      <c r="AQ25" s="786">
        <v>0.0</v>
      </c>
      <c r="AR25" s="779" t="str">
        <f t="array" ref="AR25:AS25">{"",'S-10 Оформление сделок Выборка'!AS25}</f>
        <v/>
      </c>
      <c r="AS25" s="795"/>
      <c r="AT25" s="779" t="str">
        <f t="array" ref="AT25:AU25">{"",'S-10 Оформление сделок Выборка'!AU25}</f>
        <v/>
      </c>
      <c r="AU25" s="805"/>
      <c r="AV25" s="779" t="str">
        <f t="array" ref="AV25:AW25">{"",'S-10 Оформление сделок Выборка'!AW25}</f>
        <v/>
      </c>
      <c r="AW25" s="797"/>
      <c r="AX25" s="786">
        <v>0.0</v>
      </c>
      <c r="AY25" s="786">
        <v>0.0</v>
      </c>
      <c r="AZ25" s="792" t="str">
        <f t="array" ref="AZ25:BA25">{"",'S-10 Оформление сделок Выборка'!BA25}</f>
        <v/>
      </c>
      <c r="BA25" s="798"/>
      <c r="BB25" s="792" t="str">
        <f t="array" ref="BB25:BC25">{"",'S-10 Оформление сделок Выборка'!BC25}</f>
        <v/>
      </c>
      <c r="BC25" s="799"/>
      <c r="BD25" s="792" t="str">
        <f t="array" ref="BD25:BE25">{"",'S-10 Оформление сделок Выборка'!BE25}</f>
        <v/>
      </c>
      <c r="BE25" s="793"/>
      <c r="BF25" s="800" t="str">
        <f t="array" ref="BF25:BG25">{"",'S-10 Оформление сделок Выборка'!BG25}</f>
        <v/>
      </c>
      <c r="BG25" s="794"/>
      <c r="BH25" s="794" t="str">
        <f t="array" ref="BH25:BI25">{"",'S-10 Оформление сделок Выборка'!BI25}</f>
        <v/>
      </c>
      <c r="BI25" s="794"/>
      <c r="BJ25" s="792" t="str">
        <f t="array" ref="BJ25:BK25">{"",'S-10 Оформление сделок Выборка'!BK25}</f>
        <v/>
      </c>
      <c r="BK25" s="793"/>
      <c r="BL25" s="792" t="str">
        <f t="array" ref="BL25:BM25">{"",'S-10 Оформление сделок Выборка'!BM25}</f>
        <v/>
      </c>
      <c r="BM25" s="801"/>
      <c r="BN25" s="792" t="str">
        <f t="array" ref="BN25:BO25">{"",'S-10 Оформление сделок Выборка'!BO25}</f>
        <v/>
      </c>
      <c r="BO25" s="793"/>
      <c r="BP25" s="792" t="str">
        <f t="array" ref="BP25:BQ25">{"",'S-10 Оформление сделок Выборка'!BQ25}</f>
        <v/>
      </c>
      <c r="BQ25" s="802"/>
      <c r="BR25" s="792" t="str">
        <f t="array" ref="BR25:BS25">{"",'S-10 Оформление сделок Выборка'!BS25}</f>
        <v/>
      </c>
      <c r="BS25" s="794"/>
      <c r="BT25" s="800" t="str">
        <f t="array" ref="BT25:BU25">{"",'S-10 Оформление сделок Выборка'!BU25}</f>
        <v/>
      </c>
      <c r="BU25" s="794"/>
      <c r="BV25" s="800" t="str">
        <f t="array" ref="BV25:BW25">{"",'S-10 Оформление сделок Выборка'!BW25}</f>
        <v/>
      </c>
      <c r="BW25" s="803" t="s">
        <v>96</v>
      </c>
      <c r="BX25" s="804"/>
    </row>
    <row r="26">
      <c r="A26" s="779"/>
      <c r="B26" s="779"/>
      <c r="C26" s="780" t="str">
        <f>'5-1 Сбор КП Закупки'!C26</f>
        <v>ID_T016</v>
      </c>
      <c r="D26" s="781" t="s">
        <v>409</v>
      </c>
      <c r="E26" s="780"/>
      <c r="F26" s="783"/>
      <c r="G26" s="783"/>
      <c r="H26" s="783"/>
      <c r="I26" s="783"/>
      <c r="J26" s="780"/>
      <c r="K26" s="786"/>
      <c r="L26" s="785"/>
      <c r="M26" s="786"/>
      <c r="N26" s="786">
        <v>0.0</v>
      </c>
      <c r="O26" s="780"/>
      <c r="P26" s="787"/>
      <c r="Q26" s="780"/>
      <c r="R26" s="780"/>
      <c r="S26" s="780"/>
      <c r="T26" s="780"/>
      <c r="U26" s="780" t="s">
        <v>96</v>
      </c>
      <c r="V26" s="780" t="s">
        <v>96</v>
      </c>
      <c r="W26" s="787"/>
      <c r="X26" s="780" t="s">
        <v>96</v>
      </c>
      <c r="Y26" s="780" t="s">
        <v>96</v>
      </c>
      <c r="Z26" s="780" t="s">
        <v>96</v>
      </c>
      <c r="AA26" s="780"/>
      <c r="AB26" s="788"/>
      <c r="AC26" s="781"/>
      <c r="AD26" s="780"/>
      <c r="AE26" s="789" t="str">
        <f t="array" ref="AE26:AF26">{"",'S-10 Оформление сделок Выборка'!AF26}</f>
        <v/>
      </c>
      <c r="AF26" s="790"/>
      <c r="AG26" s="781"/>
      <c r="AH26" s="781"/>
      <c r="AI26" s="785"/>
      <c r="AJ26" s="780"/>
      <c r="AK26" s="792" t="str">
        <f t="array" ref="AK26:AL26">{"",'S-10 Оформление сделок Выборка'!AL26}</f>
        <v/>
      </c>
      <c r="AL26" s="793"/>
      <c r="AM26" s="792" t="str">
        <f t="array" ref="AM26:AN26">{"",'S-10 Оформление сделок Выборка'!AN26}</f>
        <v/>
      </c>
      <c r="AN26" s="794"/>
      <c r="AO26" s="792" t="str">
        <f t="array" ref="AO26:AP26">{"",'S-10 Оформление сделок Выборка'!AP26}</f>
        <v/>
      </c>
      <c r="AP26" s="786"/>
      <c r="AQ26" s="786"/>
      <c r="AR26" s="779" t="str">
        <f t="array" ref="AR26:AS26">{"",'S-10 Оформление сделок Выборка'!AS26}</f>
        <v/>
      </c>
      <c r="AS26" s="795"/>
      <c r="AT26" s="779" t="str">
        <f t="array" ref="AT26:AU26">{"",'S-10 Оформление сделок Выборка'!AU26}</f>
        <v/>
      </c>
      <c r="AU26" s="805"/>
      <c r="AV26" s="779" t="str">
        <f t="array" ref="AV26:AW26">{"",'S-10 Оформление сделок Выборка'!AW26}</f>
        <v/>
      </c>
      <c r="AW26" s="797"/>
      <c r="AX26" s="786"/>
      <c r="AY26" s="786"/>
      <c r="AZ26" s="792" t="str">
        <f t="array" ref="AZ26:BA26">{"",'S-10 Оформление сделок Выборка'!BA26}</f>
        <v/>
      </c>
      <c r="BA26" s="798"/>
      <c r="BB26" s="792" t="str">
        <f t="array" ref="BB26:BC26">{"",'S-10 Оформление сделок Выборка'!BC26}</f>
        <v/>
      </c>
      <c r="BC26" s="799"/>
      <c r="BD26" s="792" t="str">
        <f t="array" ref="BD26:BE26">{"",'S-10 Оформление сделок Выборка'!BE26}</f>
        <v/>
      </c>
      <c r="BE26" s="793"/>
      <c r="BF26" s="800" t="str">
        <f t="array" ref="BF26:BG26">{"",'S-10 Оформление сделок Выборка'!BG26}</f>
        <v/>
      </c>
      <c r="BG26" s="794"/>
      <c r="BH26" s="794" t="str">
        <f t="array" ref="BH26:BI26">{"",'S-10 Оформление сделок Выборка'!BI26}</f>
        <v/>
      </c>
      <c r="BI26" s="794"/>
      <c r="BJ26" s="792" t="str">
        <f t="array" ref="BJ26:BK26">{"",'S-10 Оформление сделок Выборка'!BK26}</f>
        <v/>
      </c>
      <c r="BK26" s="793"/>
      <c r="BL26" s="792" t="str">
        <f t="array" ref="BL26:BM26">{"",'S-10 Оформление сделок Выборка'!BM26}</f>
        <v/>
      </c>
      <c r="BM26" s="801"/>
      <c r="BN26" s="792" t="str">
        <f t="array" ref="BN26:BO26">{"",'S-10 Оформление сделок Выборка'!BO26}</f>
        <v/>
      </c>
      <c r="BO26" s="793"/>
      <c r="BP26" s="792" t="str">
        <f t="array" ref="BP26:BQ26">{"",'S-10 Оформление сделок Выборка'!BQ26}</f>
        <v/>
      </c>
      <c r="BQ26" s="802"/>
      <c r="BR26" s="792" t="str">
        <f t="array" ref="BR26:BS26">{"",'S-10 Оформление сделок Выборка'!BS26}</f>
        <v/>
      </c>
      <c r="BS26" s="794"/>
      <c r="BT26" s="800" t="str">
        <f t="array" ref="BT26:BU26">{"",'S-10 Оформление сделок Выборка'!BU26}</f>
        <v/>
      </c>
      <c r="BU26" s="794"/>
      <c r="BV26" s="800" t="str">
        <f t="array" ref="BV26:BW26">{"",'S-10 Оформление сделок Выборка'!BW26}</f>
        <v/>
      </c>
      <c r="BW26" s="803" t="s">
        <v>96</v>
      </c>
      <c r="BX26" s="804"/>
    </row>
    <row r="27">
      <c r="A27" s="779"/>
      <c r="B27" s="779"/>
      <c r="C27" s="780" t="str">
        <f>'5-1 Сбор КП Закупки'!C27</f>
        <v>ID_T017</v>
      </c>
      <c r="D27" s="781" t="s">
        <v>411</v>
      </c>
      <c r="E27" s="780"/>
      <c r="F27" s="783"/>
      <c r="G27" s="783"/>
      <c r="H27" s="783"/>
      <c r="I27" s="783"/>
      <c r="J27" s="780"/>
      <c r="K27" s="786"/>
      <c r="L27" s="785"/>
      <c r="M27" s="786"/>
      <c r="N27" s="786">
        <v>0.0</v>
      </c>
      <c r="O27" s="780"/>
      <c r="P27" s="787"/>
      <c r="Q27" s="780"/>
      <c r="R27" s="780"/>
      <c r="S27" s="780"/>
      <c r="T27" s="780"/>
      <c r="U27" s="780" t="s">
        <v>96</v>
      </c>
      <c r="V27" s="780" t="s">
        <v>96</v>
      </c>
      <c r="W27" s="787"/>
      <c r="X27" s="780" t="s">
        <v>96</v>
      </c>
      <c r="Y27" s="780" t="s">
        <v>96</v>
      </c>
      <c r="Z27" s="780" t="s">
        <v>96</v>
      </c>
      <c r="AA27" s="780"/>
      <c r="AB27" s="788"/>
      <c r="AC27" s="781"/>
      <c r="AD27" s="780"/>
      <c r="AE27" s="789" t="str">
        <f t="array" ref="AE27:AF27">{"",'S-10 Оформление сделок Выборка'!AF27}</f>
        <v/>
      </c>
      <c r="AF27" s="790"/>
      <c r="AG27" s="781"/>
      <c r="AH27" s="781"/>
      <c r="AI27" s="785"/>
      <c r="AJ27" s="780"/>
      <c r="AK27" s="792" t="str">
        <f t="array" ref="AK27:AL27">{"",'S-10 Оформление сделок Выборка'!AL27}</f>
        <v/>
      </c>
      <c r="AL27" s="793"/>
      <c r="AM27" s="792" t="str">
        <f t="array" ref="AM27:AN27">{"",'S-10 Оформление сделок Выборка'!AN27}</f>
        <v/>
      </c>
      <c r="AN27" s="794"/>
      <c r="AO27" s="792" t="str">
        <f t="array" ref="AO27:AP27">{"",'S-10 Оформление сделок Выборка'!AP27}</f>
        <v/>
      </c>
      <c r="AP27" s="786"/>
      <c r="AQ27" s="786"/>
      <c r="AR27" s="779" t="str">
        <f t="array" ref="AR27:AS27">{"",'S-10 Оформление сделок Выборка'!AS27}</f>
        <v/>
      </c>
      <c r="AS27" s="795"/>
      <c r="AT27" s="779" t="str">
        <f t="array" ref="AT27:AU27">{"",'S-10 Оформление сделок Выборка'!AU27}</f>
        <v/>
      </c>
      <c r="AU27" s="805"/>
      <c r="AV27" s="779" t="str">
        <f t="array" ref="AV27:AW27">{"",'S-10 Оформление сделок Выборка'!AW27}</f>
        <v/>
      </c>
      <c r="AW27" s="797"/>
      <c r="AX27" s="786"/>
      <c r="AY27" s="786"/>
      <c r="AZ27" s="792" t="str">
        <f t="array" ref="AZ27:BA27">{"",'S-10 Оформление сделок Выборка'!BA27}</f>
        <v/>
      </c>
      <c r="BA27" s="798"/>
      <c r="BB27" s="792" t="str">
        <f t="array" ref="BB27:BC27">{"",'S-10 Оформление сделок Выборка'!BC27}</f>
        <v/>
      </c>
      <c r="BC27" s="799"/>
      <c r="BD27" s="792" t="str">
        <f t="array" ref="BD27:BE27">{"",'S-10 Оформление сделок Выборка'!BE27}</f>
        <v/>
      </c>
      <c r="BE27" s="793"/>
      <c r="BF27" s="800" t="str">
        <f t="array" ref="BF27:BG27">{"",'S-10 Оформление сделок Выборка'!BG27}</f>
        <v/>
      </c>
      <c r="BG27" s="794"/>
      <c r="BH27" s="794" t="str">
        <f t="array" ref="BH27:BI27">{"",'S-10 Оформление сделок Выборка'!BI27}</f>
        <v/>
      </c>
      <c r="BI27" s="794"/>
      <c r="BJ27" s="792" t="str">
        <f t="array" ref="BJ27:BK27">{"",'S-10 Оформление сделок Выборка'!BK27}</f>
        <v/>
      </c>
      <c r="BK27" s="793"/>
      <c r="BL27" s="792" t="str">
        <f t="array" ref="BL27:BM27">{"",'S-10 Оформление сделок Выборка'!BM27}</f>
        <v/>
      </c>
      <c r="BM27" s="801"/>
      <c r="BN27" s="792" t="str">
        <f t="array" ref="BN27:BO27">{"",'S-10 Оформление сделок Выборка'!BO27}</f>
        <v/>
      </c>
      <c r="BO27" s="793"/>
      <c r="BP27" s="792" t="str">
        <f t="array" ref="BP27:BQ27">{"",'S-10 Оформление сделок Выборка'!BQ27}</f>
        <v/>
      </c>
      <c r="BQ27" s="802"/>
      <c r="BR27" s="792" t="str">
        <f t="array" ref="BR27:BS27">{"",'S-10 Оформление сделок Выборка'!BS27}</f>
        <v/>
      </c>
      <c r="BS27" s="794"/>
      <c r="BT27" s="800" t="str">
        <f t="array" ref="BT27:BU27">{"",'S-10 Оформление сделок Выборка'!BU27}</f>
        <v/>
      </c>
      <c r="BU27" s="794"/>
      <c r="BV27" s="800" t="str">
        <f t="array" ref="BV27:BW27">{"",'S-10 Оформление сделок Выборка'!BW27}</f>
        <v/>
      </c>
      <c r="BW27" s="803" t="s">
        <v>96</v>
      </c>
      <c r="BX27" s="804"/>
    </row>
    <row r="28">
      <c r="A28" s="779"/>
      <c r="B28" s="779"/>
      <c r="C28" s="780" t="str">
        <f>'5-1 Сбор КП Закупки'!C28</f>
        <v>ID_T018</v>
      </c>
      <c r="D28" s="781" t="s">
        <v>413</v>
      </c>
      <c r="E28" s="780"/>
      <c r="F28" s="783"/>
      <c r="G28" s="783"/>
      <c r="H28" s="783"/>
      <c r="I28" s="783"/>
      <c r="J28" s="780"/>
      <c r="K28" s="786"/>
      <c r="L28" s="785"/>
      <c r="M28" s="786"/>
      <c r="N28" s="786">
        <v>0.0</v>
      </c>
      <c r="O28" s="780"/>
      <c r="P28" s="787"/>
      <c r="Q28" s="780"/>
      <c r="R28" s="780"/>
      <c r="S28" s="780"/>
      <c r="T28" s="780"/>
      <c r="U28" s="780" t="s">
        <v>96</v>
      </c>
      <c r="V28" s="780" t="s">
        <v>96</v>
      </c>
      <c r="W28" s="787"/>
      <c r="X28" s="780" t="s">
        <v>96</v>
      </c>
      <c r="Y28" s="780" t="s">
        <v>96</v>
      </c>
      <c r="Z28" s="780" t="s">
        <v>96</v>
      </c>
      <c r="AA28" s="780"/>
      <c r="AB28" s="788"/>
      <c r="AC28" s="781"/>
      <c r="AD28" s="780"/>
      <c r="AE28" s="789" t="str">
        <f t="array" ref="AE28:AF28">{"",'S-10 Оформление сделок Выборка'!AF28}</f>
        <v/>
      </c>
      <c r="AF28" s="790"/>
      <c r="AG28" s="781"/>
      <c r="AH28" s="781"/>
      <c r="AI28" s="785"/>
      <c r="AJ28" s="780"/>
      <c r="AK28" s="792" t="str">
        <f t="array" ref="AK28:AL28">{"",'S-10 Оформление сделок Выборка'!AL28}</f>
        <v/>
      </c>
      <c r="AL28" s="793"/>
      <c r="AM28" s="792" t="str">
        <f t="array" ref="AM28:AN28">{"",'S-10 Оформление сделок Выборка'!AN28}</f>
        <v/>
      </c>
      <c r="AN28" s="794"/>
      <c r="AO28" s="792" t="str">
        <f t="array" ref="AO28:AP28">{"",'S-10 Оформление сделок Выборка'!AP28}</f>
        <v/>
      </c>
      <c r="AP28" s="786"/>
      <c r="AQ28" s="786"/>
      <c r="AR28" s="779" t="str">
        <f t="array" ref="AR28:AS28">{"",'S-10 Оформление сделок Выборка'!AS28}</f>
        <v/>
      </c>
      <c r="AS28" s="795"/>
      <c r="AT28" s="779" t="str">
        <f t="array" ref="AT28:AU28">{"",'S-10 Оформление сделок Выборка'!AU28}</f>
        <v/>
      </c>
      <c r="AU28" s="805"/>
      <c r="AV28" s="779" t="str">
        <f t="array" ref="AV28:AW28">{"",'S-10 Оформление сделок Выборка'!AW28}</f>
        <v/>
      </c>
      <c r="AW28" s="797"/>
      <c r="AX28" s="786"/>
      <c r="AY28" s="786"/>
      <c r="AZ28" s="792" t="str">
        <f t="array" ref="AZ28:BA28">{"",'S-10 Оформление сделок Выборка'!BA28}</f>
        <v/>
      </c>
      <c r="BA28" s="798"/>
      <c r="BB28" s="792" t="str">
        <f t="array" ref="BB28:BC28">{"",'S-10 Оформление сделок Выборка'!BC28}</f>
        <v/>
      </c>
      <c r="BC28" s="799"/>
      <c r="BD28" s="792" t="str">
        <f t="array" ref="BD28:BE28">{"",'S-10 Оформление сделок Выборка'!BE28}</f>
        <v/>
      </c>
      <c r="BE28" s="793"/>
      <c r="BF28" s="800" t="str">
        <f t="array" ref="BF28:BG28">{"",'S-10 Оформление сделок Выборка'!BG28}</f>
        <v/>
      </c>
      <c r="BG28" s="794"/>
      <c r="BH28" s="794" t="str">
        <f t="array" ref="BH28:BI28">{"",'S-10 Оформление сделок Выборка'!BI28}</f>
        <v/>
      </c>
      <c r="BI28" s="794"/>
      <c r="BJ28" s="792" t="str">
        <f t="array" ref="BJ28:BK28">{"",'S-10 Оформление сделок Выборка'!BK28}</f>
        <v/>
      </c>
      <c r="BK28" s="793"/>
      <c r="BL28" s="792" t="str">
        <f t="array" ref="BL28:BM28">{"",'S-10 Оформление сделок Выборка'!BM28}</f>
        <v/>
      </c>
      <c r="BM28" s="801"/>
      <c r="BN28" s="792" t="str">
        <f t="array" ref="BN28:BO28">{"",'S-10 Оформление сделок Выборка'!BO28}</f>
        <v/>
      </c>
      <c r="BO28" s="793"/>
      <c r="BP28" s="792" t="str">
        <f t="array" ref="BP28:BQ28">{"",'S-10 Оформление сделок Выборка'!BQ28}</f>
        <v/>
      </c>
      <c r="BQ28" s="802"/>
      <c r="BR28" s="792" t="str">
        <f t="array" ref="BR28:BS28">{"",'S-10 Оформление сделок Выборка'!BS28}</f>
        <v/>
      </c>
      <c r="BS28" s="794"/>
      <c r="BT28" s="800" t="str">
        <f t="array" ref="BT28:BU28">{"",'S-10 Оформление сделок Выборка'!BU28}</f>
        <v/>
      </c>
      <c r="BU28" s="794"/>
      <c r="BV28" s="800" t="str">
        <f t="array" ref="BV28:BW28">{"",'S-10 Оформление сделок Выборка'!BW28}</f>
        <v/>
      </c>
      <c r="BW28" s="803" t="s">
        <v>96</v>
      </c>
      <c r="BX28" s="804"/>
    </row>
    <row r="29">
      <c r="A29" s="779"/>
      <c r="B29" s="779"/>
      <c r="C29" s="780" t="str">
        <f>'5-1 Сбор КП Закупки'!C29</f>
        <v>ID_T019</v>
      </c>
      <c r="D29" s="781" t="s">
        <v>415</v>
      </c>
      <c r="E29" s="780"/>
      <c r="F29" s="783"/>
      <c r="G29" s="783"/>
      <c r="H29" s="783"/>
      <c r="I29" s="783"/>
      <c r="J29" s="780"/>
      <c r="K29" s="786"/>
      <c r="L29" s="785"/>
      <c r="M29" s="786"/>
      <c r="N29" s="786">
        <v>0.0</v>
      </c>
      <c r="O29" s="780"/>
      <c r="P29" s="787"/>
      <c r="Q29" s="780"/>
      <c r="R29" s="780"/>
      <c r="S29" s="780"/>
      <c r="T29" s="780"/>
      <c r="U29" s="780" t="s">
        <v>96</v>
      </c>
      <c r="V29" s="780" t="s">
        <v>96</v>
      </c>
      <c r="W29" s="787"/>
      <c r="X29" s="780" t="s">
        <v>96</v>
      </c>
      <c r="Y29" s="780" t="s">
        <v>96</v>
      </c>
      <c r="Z29" s="780" t="s">
        <v>96</v>
      </c>
      <c r="AA29" s="780"/>
      <c r="AB29" s="788"/>
      <c r="AC29" s="781"/>
      <c r="AD29" s="780"/>
      <c r="AE29" s="789" t="str">
        <f t="array" ref="AE29:AF29">{"",'S-10 Оформление сделок Выборка'!AF29}</f>
        <v/>
      </c>
      <c r="AF29" s="790"/>
      <c r="AG29" s="781"/>
      <c r="AH29" s="781"/>
      <c r="AI29" s="785"/>
      <c r="AJ29" s="780"/>
      <c r="AK29" s="792" t="str">
        <f t="array" ref="AK29:AL29">{"",'S-10 Оформление сделок Выборка'!AL29}</f>
        <v/>
      </c>
      <c r="AL29" s="793"/>
      <c r="AM29" s="792" t="str">
        <f t="array" ref="AM29:AN29">{"",'S-10 Оформление сделок Выборка'!AN29}</f>
        <v/>
      </c>
      <c r="AN29" s="794"/>
      <c r="AO29" s="792" t="str">
        <f t="array" ref="AO29:AP29">{"",'S-10 Оформление сделок Выборка'!AP29}</f>
        <v/>
      </c>
      <c r="AP29" s="786"/>
      <c r="AQ29" s="786"/>
      <c r="AR29" s="779" t="str">
        <f t="array" ref="AR29:AS29">{"",'S-10 Оформление сделок Выборка'!AS29}</f>
        <v/>
      </c>
      <c r="AS29" s="795"/>
      <c r="AT29" s="779" t="str">
        <f t="array" ref="AT29:AU29">{"",'S-10 Оформление сделок Выборка'!AU29}</f>
        <v/>
      </c>
      <c r="AU29" s="805"/>
      <c r="AV29" s="779" t="str">
        <f t="array" ref="AV29:AW29">{"",'S-10 Оформление сделок Выборка'!AW29}</f>
        <v/>
      </c>
      <c r="AW29" s="797"/>
      <c r="AX29" s="786"/>
      <c r="AY29" s="786"/>
      <c r="AZ29" s="792" t="str">
        <f t="array" ref="AZ29:BA29">{"",'S-10 Оформление сделок Выборка'!BA29}</f>
        <v/>
      </c>
      <c r="BA29" s="798"/>
      <c r="BB29" s="792" t="str">
        <f t="array" ref="BB29:BC29">{"",'S-10 Оформление сделок Выборка'!BC29}</f>
        <v/>
      </c>
      <c r="BC29" s="799"/>
      <c r="BD29" s="792" t="str">
        <f t="array" ref="BD29:BE29">{"",'S-10 Оформление сделок Выборка'!BE29}</f>
        <v/>
      </c>
      <c r="BE29" s="793"/>
      <c r="BF29" s="800" t="str">
        <f t="array" ref="BF29:BG29">{"",'S-10 Оформление сделок Выборка'!BG29}</f>
        <v/>
      </c>
      <c r="BG29" s="794"/>
      <c r="BH29" s="794" t="str">
        <f t="array" ref="BH29:BI29">{"",'S-10 Оформление сделок Выборка'!BI29}</f>
        <v/>
      </c>
      <c r="BI29" s="794"/>
      <c r="BJ29" s="792" t="str">
        <f t="array" ref="BJ29:BK29">{"",'S-10 Оформление сделок Выборка'!BK29}</f>
        <v/>
      </c>
      <c r="BK29" s="793"/>
      <c r="BL29" s="792" t="str">
        <f t="array" ref="BL29:BM29">{"",'S-10 Оформление сделок Выборка'!BM29}</f>
        <v/>
      </c>
      <c r="BM29" s="801"/>
      <c r="BN29" s="792" t="str">
        <f t="array" ref="BN29:BO29">{"",'S-10 Оформление сделок Выборка'!BO29}</f>
        <v/>
      </c>
      <c r="BO29" s="793"/>
      <c r="BP29" s="792" t="str">
        <f t="array" ref="BP29:BQ29">{"",'S-10 Оформление сделок Выборка'!BQ29}</f>
        <v/>
      </c>
      <c r="BQ29" s="802"/>
      <c r="BR29" s="792" t="str">
        <f t="array" ref="BR29:BS29">{"",'S-10 Оформление сделок Выборка'!BS29}</f>
        <v/>
      </c>
      <c r="BS29" s="794"/>
      <c r="BT29" s="800" t="str">
        <f t="array" ref="BT29:BU29">{"",'S-10 Оформление сделок Выборка'!BU29}</f>
        <v/>
      </c>
      <c r="BU29" s="794"/>
      <c r="BV29" s="800" t="str">
        <f t="array" ref="BV29:BW29">{"",'S-10 Оформление сделок Выборка'!BW29}</f>
        <v/>
      </c>
      <c r="BW29" s="803" t="s">
        <v>96</v>
      </c>
      <c r="BX29" s="804"/>
    </row>
    <row r="30">
      <c r="A30" s="779"/>
      <c r="B30" s="779"/>
      <c r="C30" s="780" t="str">
        <f>'5-1 Сбор КП Закупки'!C30</f>
        <v>ID_T020</v>
      </c>
      <c r="D30" s="781" t="s">
        <v>417</v>
      </c>
      <c r="E30" s="780"/>
      <c r="F30" s="783"/>
      <c r="G30" s="783"/>
      <c r="H30" s="783"/>
      <c r="I30" s="783"/>
      <c r="J30" s="780"/>
      <c r="K30" s="786"/>
      <c r="L30" s="785"/>
      <c r="M30" s="786"/>
      <c r="N30" s="786">
        <v>0.0</v>
      </c>
      <c r="O30" s="780"/>
      <c r="P30" s="787"/>
      <c r="Q30" s="780"/>
      <c r="R30" s="780"/>
      <c r="S30" s="780"/>
      <c r="T30" s="780"/>
      <c r="U30" s="780" t="s">
        <v>96</v>
      </c>
      <c r="V30" s="780" t="s">
        <v>96</v>
      </c>
      <c r="W30" s="787"/>
      <c r="X30" s="780" t="s">
        <v>96</v>
      </c>
      <c r="Y30" s="780" t="s">
        <v>96</v>
      </c>
      <c r="Z30" s="780" t="s">
        <v>96</v>
      </c>
      <c r="AA30" s="780"/>
      <c r="AB30" s="788"/>
      <c r="AC30" s="781"/>
      <c r="AD30" s="780"/>
      <c r="AE30" s="789" t="str">
        <f t="array" ref="AE30:AF30">{"",'S-10 Оформление сделок Выборка'!AF30}</f>
        <v/>
      </c>
      <c r="AF30" s="790"/>
      <c r="AG30" s="781"/>
      <c r="AH30" s="781"/>
      <c r="AI30" s="785"/>
      <c r="AJ30" s="780"/>
      <c r="AK30" s="792" t="str">
        <f t="array" ref="AK30:AL30">{"",'S-10 Оформление сделок Выборка'!AL30}</f>
        <v/>
      </c>
      <c r="AL30" s="793"/>
      <c r="AM30" s="792" t="str">
        <f t="array" ref="AM30:AN30">{"",'S-10 Оформление сделок Выборка'!AN30}</f>
        <v/>
      </c>
      <c r="AN30" s="794"/>
      <c r="AO30" s="792" t="str">
        <f t="array" ref="AO30:AP30">{"",'S-10 Оформление сделок Выборка'!AP30}</f>
        <v/>
      </c>
      <c r="AP30" s="786"/>
      <c r="AQ30" s="786"/>
      <c r="AR30" s="779" t="str">
        <f t="array" ref="AR30:AS30">{"",'S-10 Оформление сделок Выборка'!AS30}</f>
        <v/>
      </c>
      <c r="AS30" s="795"/>
      <c r="AT30" s="779" t="str">
        <f t="array" ref="AT30:AU30">{"",'S-10 Оформление сделок Выборка'!AU30}</f>
        <v/>
      </c>
      <c r="AU30" s="805"/>
      <c r="AV30" s="779" t="str">
        <f t="array" ref="AV30:AW30">{"",'S-10 Оформление сделок Выборка'!AW30}</f>
        <v/>
      </c>
      <c r="AW30" s="797"/>
      <c r="AX30" s="786"/>
      <c r="AY30" s="786"/>
      <c r="AZ30" s="792" t="str">
        <f t="array" ref="AZ30:BA30">{"",'S-10 Оформление сделок Выборка'!BA30}</f>
        <v/>
      </c>
      <c r="BA30" s="798"/>
      <c r="BB30" s="792" t="str">
        <f t="array" ref="BB30:BC30">{"",'S-10 Оформление сделок Выборка'!BC30}</f>
        <v/>
      </c>
      <c r="BC30" s="799"/>
      <c r="BD30" s="792" t="str">
        <f t="array" ref="BD30:BE30">{"",'S-10 Оформление сделок Выборка'!BE30}</f>
        <v/>
      </c>
      <c r="BE30" s="793"/>
      <c r="BF30" s="800" t="str">
        <f t="array" ref="BF30:BG30">{"",'S-10 Оформление сделок Выборка'!BG30}</f>
        <v/>
      </c>
      <c r="BG30" s="794"/>
      <c r="BH30" s="794" t="str">
        <f t="array" ref="BH30:BI30">{"",'S-10 Оформление сделок Выборка'!BI30}</f>
        <v/>
      </c>
      <c r="BI30" s="794"/>
      <c r="BJ30" s="792" t="str">
        <f t="array" ref="BJ30:BK30">{"",'S-10 Оформление сделок Выборка'!BK30}</f>
        <v/>
      </c>
      <c r="BK30" s="793"/>
      <c r="BL30" s="792" t="str">
        <f t="array" ref="BL30:BM30">{"",'S-10 Оформление сделок Выборка'!BM30}</f>
        <v/>
      </c>
      <c r="BM30" s="801"/>
      <c r="BN30" s="792" t="str">
        <f t="array" ref="BN30:BO30">{"",'S-10 Оформление сделок Выборка'!BO30}</f>
        <v/>
      </c>
      <c r="BO30" s="793"/>
      <c r="BP30" s="792" t="str">
        <f t="array" ref="BP30:BQ30">{"",'S-10 Оформление сделок Выборка'!BQ30}</f>
        <v/>
      </c>
      <c r="BQ30" s="802"/>
      <c r="BR30" s="792" t="str">
        <f t="array" ref="BR30:BS30">{"",'S-10 Оформление сделок Выборка'!BS30}</f>
        <v/>
      </c>
      <c r="BS30" s="794"/>
      <c r="BT30" s="800" t="str">
        <f t="array" ref="BT30:BU30">{"",'S-10 Оформление сделок Выборка'!BU30}</f>
        <v/>
      </c>
      <c r="BU30" s="794"/>
      <c r="BV30" s="800" t="str">
        <f t="array" ref="BV30:BW30">{"",'S-10 Оформление сделок Выборка'!BW30}</f>
        <v/>
      </c>
      <c r="BW30" s="803" t="s">
        <v>96</v>
      </c>
      <c r="BX30" s="804"/>
    </row>
    <row r="31">
      <c r="A31" s="779"/>
      <c r="B31" s="779"/>
      <c r="C31" s="780" t="str">
        <f>'5-1 Сбор КП Закупки'!C31</f>
        <v/>
      </c>
      <c r="D31" s="781"/>
      <c r="E31" s="780"/>
      <c r="F31" s="783"/>
      <c r="G31" s="783"/>
      <c r="H31" s="783"/>
      <c r="I31" s="783"/>
      <c r="J31" s="780"/>
      <c r="K31" s="786"/>
      <c r="L31" s="785"/>
      <c r="M31" s="786"/>
      <c r="N31" s="786"/>
      <c r="O31" s="780"/>
      <c r="P31" s="787"/>
      <c r="Q31" s="780"/>
      <c r="R31" s="780"/>
      <c r="S31" s="780"/>
      <c r="T31" s="780"/>
      <c r="U31" s="780"/>
      <c r="V31" s="780"/>
      <c r="W31" s="787"/>
      <c r="X31" s="780"/>
      <c r="Y31" s="780"/>
      <c r="Z31" s="780"/>
      <c r="AA31" s="780"/>
      <c r="AB31" s="788"/>
      <c r="AC31" s="781"/>
      <c r="AD31" s="780"/>
      <c r="AE31" s="789" t="str">
        <f t="array" ref="AE31:AF31">{"",'S-10 Оформление сделок Выборка'!AF31}</f>
        <v/>
      </c>
      <c r="AF31" s="790"/>
      <c r="AG31" s="781"/>
      <c r="AH31" s="781"/>
      <c r="AI31" s="785"/>
      <c r="AJ31" s="780"/>
      <c r="AK31" s="792" t="str">
        <f t="array" ref="AK31:AL31">{"",'S-10 Оформление сделок Выборка'!AL31}</f>
        <v/>
      </c>
      <c r="AL31" s="793"/>
      <c r="AM31" s="792" t="str">
        <f t="array" ref="AM31:AN31">{"",'S-10 Оформление сделок Выборка'!AN31}</f>
        <v/>
      </c>
      <c r="AN31" s="794"/>
      <c r="AO31" s="792" t="str">
        <f t="array" ref="AO31:AP31">{"",'S-10 Оформление сделок Выборка'!AP31}</f>
        <v/>
      </c>
      <c r="AP31" s="786"/>
      <c r="AQ31" s="786"/>
      <c r="AR31" s="779" t="str">
        <f t="array" ref="AR31:AS31">{"",'S-10 Оформление сделок Выборка'!AS31}</f>
        <v/>
      </c>
      <c r="AS31" s="795"/>
      <c r="AT31" s="779" t="str">
        <f t="array" ref="AT31:AU31">{"",'S-10 Оформление сделок Выборка'!AU31}</f>
        <v/>
      </c>
      <c r="AU31" s="805"/>
      <c r="AV31" s="779" t="str">
        <f t="array" ref="AV31:AW31">{"",'S-10 Оформление сделок Выборка'!AW31}</f>
        <v/>
      </c>
      <c r="AW31" s="797"/>
      <c r="AX31" s="786"/>
      <c r="AY31" s="786"/>
      <c r="AZ31" s="792" t="str">
        <f t="array" ref="AZ31:BA31">{"",'S-10 Оформление сделок Выборка'!BA31}</f>
        <v/>
      </c>
      <c r="BA31" s="798"/>
      <c r="BB31" s="792" t="str">
        <f t="array" ref="BB31:BC31">{"",'S-10 Оформление сделок Выборка'!BC31}</f>
        <v/>
      </c>
      <c r="BC31" s="799"/>
      <c r="BD31" s="792" t="str">
        <f t="array" ref="BD31:BE31">{"",'S-10 Оформление сделок Выборка'!BE31}</f>
        <v/>
      </c>
      <c r="BE31" s="793"/>
      <c r="BF31" s="800" t="str">
        <f t="array" ref="BF31:BG31">{"",'S-10 Оформление сделок Выборка'!BG31}</f>
        <v/>
      </c>
      <c r="BG31" s="794"/>
      <c r="BH31" s="794" t="str">
        <f t="array" ref="BH31:BI31">{"",'S-10 Оформление сделок Выборка'!BI31}</f>
        <v/>
      </c>
      <c r="BI31" s="794"/>
      <c r="BJ31" s="792" t="str">
        <f t="array" ref="BJ31:BK31">{"",'S-10 Оформление сделок Выборка'!BK31}</f>
        <v/>
      </c>
      <c r="BK31" s="793"/>
      <c r="BL31" s="792" t="str">
        <f t="array" ref="BL31:BM31">{"",'S-10 Оформление сделок Выборка'!BM31}</f>
        <v/>
      </c>
      <c r="BM31" s="801"/>
      <c r="BN31" s="792" t="str">
        <f t="array" ref="BN31:BO31">{"",'S-10 Оформление сделок Выборка'!BO31}</f>
        <v/>
      </c>
      <c r="BO31" s="793"/>
      <c r="BP31" s="792" t="str">
        <f t="array" ref="BP31:BQ31">{"",'S-10 Оформление сделок Выборка'!BQ31}</f>
        <v/>
      </c>
      <c r="BQ31" s="802"/>
      <c r="BR31" s="792" t="str">
        <f t="array" ref="BR31:BS31">{"",'S-10 Оформление сделок Выборка'!BS31}</f>
        <v/>
      </c>
      <c r="BS31" s="794"/>
      <c r="BT31" s="800" t="str">
        <f t="array" ref="BT31:BU31">{"",'S-10 Оформление сделок Выборка'!BU31}</f>
        <v/>
      </c>
      <c r="BU31" s="794"/>
      <c r="BV31" s="800" t="str">
        <f t="array" ref="BV31:BW31">{"",'S-10 Оформление сделок Выборка'!BW31}</f>
        <v/>
      </c>
      <c r="BW31" s="803" t="s">
        <v>96</v>
      </c>
      <c r="BX31" s="804"/>
    </row>
    <row r="32">
      <c r="A32" s="779"/>
      <c r="B32" s="779"/>
      <c r="C32" s="780" t="str">
        <f>'5-1 Сбор КП Закупки'!C32</f>
        <v/>
      </c>
      <c r="D32" s="781"/>
      <c r="E32" s="780"/>
      <c r="F32" s="783"/>
      <c r="G32" s="783"/>
      <c r="H32" s="783"/>
      <c r="I32" s="783"/>
      <c r="J32" s="780"/>
      <c r="K32" s="786"/>
      <c r="L32" s="785"/>
      <c r="M32" s="786"/>
      <c r="N32" s="786"/>
      <c r="O32" s="780"/>
      <c r="P32" s="787"/>
      <c r="Q32" s="780"/>
      <c r="R32" s="780"/>
      <c r="S32" s="780"/>
      <c r="T32" s="780"/>
      <c r="U32" s="780"/>
      <c r="V32" s="780"/>
      <c r="W32" s="787"/>
      <c r="X32" s="780"/>
      <c r="Y32" s="780"/>
      <c r="Z32" s="780"/>
      <c r="AA32" s="780"/>
      <c r="AB32" s="788"/>
      <c r="AC32" s="781"/>
      <c r="AD32" s="780"/>
      <c r="AE32" s="789" t="str">
        <f t="array" ref="AE32:AF32">{"",'S-10 Оформление сделок Выборка'!AF32}</f>
        <v/>
      </c>
      <c r="AF32" s="790"/>
      <c r="AG32" s="781"/>
      <c r="AH32" s="781"/>
      <c r="AI32" s="785"/>
      <c r="AJ32" s="780"/>
      <c r="AK32" s="792" t="str">
        <f t="array" ref="AK32:AL32">{"",'S-10 Оформление сделок Выборка'!AL32}</f>
        <v/>
      </c>
      <c r="AL32" s="793"/>
      <c r="AM32" s="792" t="str">
        <f t="array" ref="AM32:AN32">{"",'S-10 Оформление сделок Выборка'!AN32}</f>
        <v/>
      </c>
      <c r="AN32" s="794"/>
      <c r="AO32" s="792" t="str">
        <f t="array" ref="AO32:AP32">{"",'S-10 Оформление сделок Выборка'!AP32}</f>
        <v/>
      </c>
      <c r="AP32" s="786"/>
      <c r="AQ32" s="786"/>
      <c r="AR32" s="779" t="str">
        <f t="array" ref="AR32:AS32">{"",'S-10 Оформление сделок Выборка'!AS32}</f>
        <v/>
      </c>
      <c r="AS32" s="795"/>
      <c r="AT32" s="779" t="str">
        <f t="array" ref="AT32:AU32">{"",'S-10 Оформление сделок Выборка'!AU32}</f>
        <v/>
      </c>
      <c r="AU32" s="805"/>
      <c r="AV32" s="779" t="str">
        <f t="array" ref="AV32:AW32">{"",'S-10 Оформление сделок Выборка'!AW32}</f>
        <v/>
      </c>
      <c r="AW32" s="797"/>
      <c r="AX32" s="786"/>
      <c r="AY32" s="786"/>
      <c r="AZ32" s="792" t="str">
        <f t="array" ref="AZ32:BA32">{"",'S-10 Оформление сделок Выборка'!BA32}</f>
        <v/>
      </c>
      <c r="BA32" s="798"/>
      <c r="BB32" s="792" t="str">
        <f t="array" ref="BB32:BC32">{"",'S-10 Оформление сделок Выборка'!BC32}</f>
        <v/>
      </c>
      <c r="BC32" s="799"/>
      <c r="BD32" s="792" t="str">
        <f t="array" ref="BD32:BE32">{"",'S-10 Оформление сделок Выборка'!BE32}</f>
        <v/>
      </c>
      <c r="BE32" s="793"/>
      <c r="BF32" s="800" t="str">
        <f t="array" ref="BF32:BG32">{"",'S-10 Оформление сделок Выборка'!BG32}</f>
        <v/>
      </c>
      <c r="BG32" s="794"/>
      <c r="BH32" s="794" t="str">
        <f t="array" ref="BH32:BI32">{"",'S-10 Оформление сделок Выборка'!BI32}</f>
        <v/>
      </c>
      <c r="BI32" s="794"/>
      <c r="BJ32" s="792" t="str">
        <f t="array" ref="BJ32:BK32">{"",'S-10 Оформление сделок Выборка'!BK32}</f>
        <v/>
      </c>
      <c r="BK32" s="793"/>
      <c r="BL32" s="792" t="str">
        <f t="array" ref="BL32:BM32">{"",'S-10 Оформление сделок Выборка'!BM32}</f>
        <v/>
      </c>
      <c r="BM32" s="801"/>
      <c r="BN32" s="792" t="str">
        <f t="array" ref="BN32:BO32">{"",'S-10 Оформление сделок Выборка'!BO32}</f>
        <v/>
      </c>
      <c r="BO32" s="793"/>
      <c r="BP32" s="792" t="str">
        <f t="array" ref="BP32:BQ32">{"",'S-10 Оформление сделок Выборка'!BQ32}</f>
        <v/>
      </c>
      <c r="BQ32" s="802"/>
      <c r="BR32" s="792" t="str">
        <f t="array" ref="BR32:BS32">{"",'S-10 Оформление сделок Выборка'!BS32}</f>
        <v/>
      </c>
      <c r="BS32" s="794"/>
      <c r="BT32" s="800" t="str">
        <f t="array" ref="BT32:BU32">{"",'S-10 Оформление сделок Выборка'!BU32}</f>
        <v/>
      </c>
      <c r="BU32" s="794"/>
      <c r="BV32" s="800" t="str">
        <f t="array" ref="BV32:BW32">{"",'S-10 Оформление сделок Выборка'!BW32}</f>
        <v/>
      </c>
      <c r="BW32" s="803" t="s">
        <v>96</v>
      </c>
      <c r="BX32" s="804"/>
    </row>
    <row r="33">
      <c r="A33" s="779"/>
      <c r="B33" s="779"/>
      <c r="C33" s="780" t="str">
        <f>'5-1 Сбор КП Закупки'!C33</f>
        <v/>
      </c>
      <c r="D33" s="781"/>
      <c r="E33" s="780"/>
      <c r="F33" s="783"/>
      <c r="G33" s="783"/>
      <c r="H33" s="783"/>
      <c r="I33" s="783"/>
      <c r="J33" s="780"/>
      <c r="K33" s="786"/>
      <c r="L33" s="785"/>
      <c r="M33" s="786"/>
      <c r="N33" s="786"/>
      <c r="O33" s="780"/>
      <c r="P33" s="787"/>
      <c r="Q33" s="780"/>
      <c r="R33" s="780"/>
      <c r="S33" s="780"/>
      <c r="T33" s="780"/>
      <c r="U33" s="780"/>
      <c r="V33" s="780"/>
      <c r="W33" s="787"/>
      <c r="X33" s="780"/>
      <c r="Y33" s="780"/>
      <c r="Z33" s="780"/>
      <c r="AA33" s="780"/>
      <c r="AB33" s="788"/>
      <c r="AC33" s="781"/>
      <c r="AD33" s="780"/>
      <c r="AE33" s="789" t="str">
        <f t="array" ref="AE33:AF33">{"",'S-10 Оформление сделок Выборка'!AF33}</f>
        <v/>
      </c>
      <c r="AF33" s="790"/>
      <c r="AG33" s="781"/>
      <c r="AH33" s="781"/>
      <c r="AI33" s="785"/>
      <c r="AJ33" s="780"/>
      <c r="AK33" s="792" t="str">
        <f t="array" ref="AK33:AL33">{"",'S-10 Оформление сделок Выборка'!AL33}</f>
        <v/>
      </c>
      <c r="AL33" s="793"/>
      <c r="AM33" s="792" t="str">
        <f t="array" ref="AM33:AN33">{"",'S-10 Оформление сделок Выборка'!AN33}</f>
        <v/>
      </c>
      <c r="AN33" s="794"/>
      <c r="AO33" s="792" t="str">
        <f t="array" ref="AO33:AP33">{"",'S-10 Оформление сделок Выборка'!AP33}</f>
        <v/>
      </c>
      <c r="AP33" s="786"/>
      <c r="AQ33" s="786"/>
      <c r="AR33" s="779" t="str">
        <f t="array" ref="AR33:AS33">{"",'S-10 Оформление сделок Выборка'!AS33}</f>
        <v/>
      </c>
      <c r="AS33" s="795"/>
      <c r="AT33" s="779" t="str">
        <f t="array" ref="AT33:AU33">{"",'S-10 Оформление сделок Выборка'!AU33}</f>
        <v/>
      </c>
      <c r="AU33" s="805"/>
      <c r="AV33" s="779" t="str">
        <f t="array" ref="AV33:AW33">{"",'S-10 Оформление сделок Выборка'!AW33}</f>
        <v/>
      </c>
      <c r="AW33" s="797"/>
      <c r="AX33" s="786"/>
      <c r="AY33" s="786"/>
      <c r="AZ33" s="792" t="str">
        <f t="array" ref="AZ33:BA33">{"",'S-10 Оформление сделок Выборка'!BA33}</f>
        <v/>
      </c>
      <c r="BA33" s="798"/>
      <c r="BB33" s="792" t="str">
        <f t="array" ref="BB33:BC33">{"",'S-10 Оформление сделок Выборка'!BC33}</f>
        <v/>
      </c>
      <c r="BC33" s="799"/>
      <c r="BD33" s="792" t="str">
        <f t="array" ref="BD33:BE33">{"",'S-10 Оформление сделок Выборка'!BE33}</f>
        <v/>
      </c>
      <c r="BE33" s="793"/>
      <c r="BF33" s="800" t="str">
        <f t="array" ref="BF33:BG33">{"",'S-10 Оформление сделок Выборка'!BG33}</f>
        <v/>
      </c>
      <c r="BG33" s="794"/>
      <c r="BH33" s="794" t="str">
        <f t="array" ref="BH33:BI33">{"",'S-10 Оформление сделок Выборка'!BI33}</f>
        <v/>
      </c>
      <c r="BI33" s="794"/>
      <c r="BJ33" s="792" t="str">
        <f t="array" ref="BJ33:BK33">{"",'S-10 Оформление сделок Выборка'!BK33}</f>
        <v/>
      </c>
      <c r="BK33" s="793"/>
      <c r="BL33" s="792" t="str">
        <f t="array" ref="BL33:BM33">{"",'S-10 Оформление сделок Выборка'!BM33}</f>
        <v/>
      </c>
      <c r="BM33" s="801"/>
      <c r="BN33" s="792" t="str">
        <f t="array" ref="BN33:BO33">{"",'S-10 Оформление сделок Выборка'!BO33}</f>
        <v/>
      </c>
      <c r="BO33" s="793"/>
      <c r="BP33" s="792" t="str">
        <f t="array" ref="BP33:BQ33">{"",'S-10 Оформление сделок Выборка'!BQ33}</f>
        <v/>
      </c>
      <c r="BQ33" s="802"/>
      <c r="BR33" s="792" t="str">
        <f t="array" ref="BR33:BS33">{"",'S-10 Оформление сделок Выборка'!BS33}</f>
        <v/>
      </c>
      <c r="BS33" s="794"/>
      <c r="BT33" s="800" t="str">
        <f t="array" ref="BT33:BU33">{"",'S-10 Оформление сделок Выборка'!BU33}</f>
        <v/>
      </c>
      <c r="BU33" s="794"/>
      <c r="BV33" s="800" t="str">
        <f t="array" ref="BV33:BW33">{"",'S-10 Оформление сделок Выборка'!BW33}</f>
        <v/>
      </c>
      <c r="BW33" s="803" t="s">
        <v>96</v>
      </c>
      <c r="BX33" s="804"/>
    </row>
    <row r="34">
      <c r="A34" s="779"/>
      <c r="B34" s="779"/>
      <c r="C34" s="780" t="str">
        <f>'5-1 Сбор КП Закупки'!C34</f>
        <v/>
      </c>
      <c r="D34" s="781"/>
      <c r="E34" s="780"/>
      <c r="F34" s="783"/>
      <c r="G34" s="783"/>
      <c r="H34" s="783"/>
      <c r="I34" s="783"/>
      <c r="J34" s="780"/>
      <c r="K34" s="786"/>
      <c r="L34" s="785"/>
      <c r="M34" s="786"/>
      <c r="N34" s="786"/>
      <c r="O34" s="780"/>
      <c r="P34" s="787"/>
      <c r="Q34" s="780"/>
      <c r="R34" s="780"/>
      <c r="S34" s="780"/>
      <c r="T34" s="780"/>
      <c r="U34" s="780"/>
      <c r="V34" s="780"/>
      <c r="W34" s="787"/>
      <c r="X34" s="780"/>
      <c r="Y34" s="780"/>
      <c r="Z34" s="780"/>
      <c r="AA34" s="780"/>
      <c r="AB34" s="788"/>
      <c r="AC34" s="781"/>
      <c r="AD34" s="780"/>
      <c r="AE34" s="789" t="str">
        <f t="array" ref="AE34:AF34">{"",'S-10 Оформление сделок Выборка'!AF34}</f>
        <v/>
      </c>
      <c r="AF34" s="790"/>
      <c r="AG34" s="781"/>
      <c r="AH34" s="781"/>
      <c r="AI34" s="785"/>
      <c r="AJ34" s="780"/>
      <c r="AK34" s="792" t="str">
        <f t="array" ref="AK34:AL34">{"",'S-10 Оформление сделок Выборка'!AL34}</f>
        <v/>
      </c>
      <c r="AL34" s="793"/>
      <c r="AM34" s="792" t="str">
        <f t="array" ref="AM34:AN34">{"",'S-10 Оформление сделок Выборка'!AN34}</f>
        <v/>
      </c>
      <c r="AN34" s="794"/>
      <c r="AO34" s="792" t="str">
        <f t="array" ref="AO34:AP34">{"",'S-10 Оформление сделок Выборка'!AP34}</f>
        <v/>
      </c>
      <c r="AP34" s="786"/>
      <c r="AQ34" s="786"/>
      <c r="AR34" s="779" t="str">
        <f t="array" ref="AR34:AS34">{"",'S-10 Оформление сделок Выборка'!AS34}</f>
        <v/>
      </c>
      <c r="AS34" s="795"/>
      <c r="AT34" s="779" t="str">
        <f t="array" ref="AT34:AU34">{"",'S-10 Оформление сделок Выборка'!AU34}</f>
        <v/>
      </c>
      <c r="AU34" s="805"/>
      <c r="AV34" s="779" t="str">
        <f t="array" ref="AV34:AW34">{"",'S-10 Оформление сделок Выборка'!AW34}</f>
        <v/>
      </c>
      <c r="AW34" s="797"/>
      <c r="AX34" s="786"/>
      <c r="AY34" s="786"/>
      <c r="AZ34" s="792" t="str">
        <f t="array" ref="AZ34:BA34">{"",'S-10 Оформление сделок Выборка'!BA34}</f>
        <v/>
      </c>
      <c r="BA34" s="798"/>
      <c r="BB34" s="792" t="str">
        <f t="array" ref="BB34:BC34">{"",'S-10 Оформление сделок Выборка'!BC34}</f>
        <v/>
      </c>
      <c r="BC34" s="799"/>
      <c r="BD34" s="792" t="str">
        <f t="array" ref="BD34:BE34">{"",'S-10 Оформление сделок Выборка'!BE34}</f>
        <v/>
      </c>
      <c r="BE34" s="793"/>
      <c r="BF34" s="800" t="str">
        <f t="array" ref="BF34:BG34">{"",'S-10 Оформление сделок Выборка'!BG34}</f>
        <v/>
      </c>
      <c r="BG34" s="794"/>
      <c r="BH34" s="794" t="str">
        <f t="array" ref="BH34:BI34">{"",'S-10 Оформление сделок Выборка'!BI34}</f>
        <v/>
      </c>
      <c r="BI34" s="794"/>
      <c r="BJ34" s="792" t="str">
        <f t="array" ref="BJ34:BK34">{"",'S-10 Оформление сделок Выборка'!BK34}</f>
        <v/>
      </c>
      <c r="BK34" s="793"/>
      <c r="BL34" s="792" t="str">
        <f t="array" ref="BL34:BM34">{"",'S-10 Оформление сделок Выборка'!BM34}</f>
        <v/>
      </c>
      <c r="BM34" s="801"/>
      <c r="BN34" s="792" t="str">
        <f t="array" ref="BN34:BO34">{"",'S-10 Оформление сделок Выборка'!BO34}</f>
        <v/>
      </c>
      <c r="BO34" s="793"/>
      <c r="BP34" s="792" t="str">
        <f t="array" ref="BP34:BQ34">{"",'S-10 Оформление сделок Выборка'!BQ34}</f>
        <v/>
      </c>
      <c r="BQ34" s="802"/>
      <c r="BR34" s="792" t="str">
        <f t="array" ref="BR34:BS34">{"",'S-10 Оформление сделок Выборка'!BS34}</f>
        <v/>
      </c>
      <c r="BS34" s="794"/>
      <c r="BT34" s="800" t="str">
        <f t="array" ref="BT34:BU34">{"",'S-10 Оформление сделок Выборка'!BU34}</f>
        <v/>
      </c>
      <c r="BU34" s="794"/>
      <c r="BV34" s="800" t="str">
        <f t="array" ref="BV34:BW34">{"",'S-10 Оформление сделок Выборка'!BW34}</f>
        <v/>
      </c>
      <c r="BW34" s="803" t="s">
        <v>96</v>
      </c>
      <c r="BX34" s="804"/>
    </row>
    <row r="35">
      <c r="A35" s="779"/>
      <c r="B35" s="779"/>
      <c r="C35" s="780" t="str">
        <f>'5-1 Сбор КП Закупки'!C35</f>
        <v/>
      </c>
      <c r="D35" s="781"/>
      <c r="E35" s="780"/>
      <c r="F35" s="783"/>
      <c r="G35" s="783"/>
      <c r="H35" s="783"/>
      <c r="I35" s="783"/>
      <c r="J35" s="780"/>
      <c r="K35" s="786"/>
      <c r="L35" s="785"/>
      <c r="M35" s="786"/>
      <c r="N35" s="786"/>
      <c r="O35" s="780"/>
      <c r="P35" s="787"/>
      <c r="Q35" s="780"/>
      <c r="R35" s="780"/>
      <c r="S35" s="780"/>
      <c r="T35" s="780"/>
      <c r="U35" s="780"/>
      <c r="V35" s="780"/>
      <c r="W35" s="787"/>
      <c r="X35" s="780"/>
      <c r="Y35" s="780"/>
      <c r="Z35" s="780"/>
      <c r="AA35" s="780"/>
      <c r="AB35" s="788"/>
      <c r="AC35" s="781"/>
      <c r="AD35" s="780"/>
      <c r="AE35" s="789" t="str">
        <f t="array" ref="AE35:AF35">{"",'S-10 Оформление сделок Выборка'!AF35}</f>
        <v/>
      </c>
      <c r="AF35" s="790"/>
      <c r="AG35" s="781"/>
      <c r="AH35" s="781"/>
      <c r="AI35" s="785"/>
      <c r="AJ35" s="780"/>
      <c r="AK35" s="792" t="str">
        <f t="array" ref="AK35:AL35">{"",'S-10 Оформление сделок Выборка'!AL35}</f>
        <v/>
      </c>
      <c r="AL35" s="793"/>
      <c r="AM35" s="792" t="str">
        <f t="array" ref="AM35:AN35">{"",'S-10 Оформление сделок Выборка'!AN35}</f>
        <v/>
      </c>
      <c r="AN35" s="794"/>
      <c r="AO35" s="792" t="str">
        <f t="array" ref="AO35:AP35">{"",'S-10 Оформление сделок Выборка'!AP35}</f>
        <v/>
      </c>
      <c r="AP35" s="786"/>
      <c r="AQ35" s="786"/>
      <c r="AR35" s="779" t="str">
        <f t="array" ref="AR35:AS35">{"",'S-10 Оформление сделок Выборка'!AS35}</f>
        <v/>
      </c>
      <c r="AS35" s="795"/>
      <c r="AT35" s="779" t="str">
        <f t="array" ref="AT35:AU35">{"",'S-10 Оформление сделок Выборка'!AU35}</f>
        <v/>
      </c>
      <c r="AU35" s="805"/>
      <c r="AV35" s="779" t="str">
        <f t="array" ref="AV35:AW35">{"",'S-10 Оформление сделок Выборка'!AW35}</f>
        <v/>
      </c>
      <c r="AW35" s="797"/>
      <c r="AX35" s="786"/>
      <c r="AY35" s="786"/>
      <c r="AZ35" s="792" t="str">
        <f t="array" ref="AZ35:BA35">{"",'S-10 Оформление сделок Выборка'!BA35}</f>
        <v/>
      </c>
      <c r="BA35" s="798"/>
      <c r="BB35" s="792" t="str">
        <f t="array" ref="BB35:BC35">{"",'S-10 Оформление сделок Выборка'!BC35}</f>
        <v/>
      </c>
      <c r="BC35" s="799"/>
      <c r="BD35" s="792" t="str">
        <f t="array" ref="BD35:BE35">{"",'S-10 Оформление сделок Выборка'!BE35}</f>
        <v/>
      </c>
      <c r="BE35" s="793"/>
      <c r="BF35" s="800" t="str">
        <f t="array" ref="BF35:BG35">{"",'S-10 Оформление сделок Выборка'!BG35}</f>
        <v/>
      </c>
      <c r="BG35" s="794"/>
      <c r="BH35" s="794" t="str">
        <f t="array" ref="BH35:BI35">{"",'S-10 Оформление сделок Выборка'!BI35}</f>
        <v/>
      </c>
      <c r="BI35" s="794"/>
      <c r="BJ35" s="792" t="str">
        <f t="array" ref="BJ35:BK35">{"",'S-10 Оформление сделок Выборка'!BK35}</f>
        <v/>
      </c>
      <c r="BK35" s="793"/>
      <c r="BL35" s="792" t="str">
        <f t="array" ref="BL35:BM35">{"",'S-10 Оформление сделок Выборка'!BM35}</f>
        <v/>
      </c>
      <c r="BM35" s="801"/>
      <c r="BN35" s="792" t="str">
        <f t="array" ref="BN35:BO35">{"",'S-10 Оформление сделок Выборка'!BO35}</f>
        <v/>
      </c>
      <c r="BO35" s="793"/>
      <c r="BP35" s="792" t="str">
        <f t="array" ref="BP35:BQ35">{"",'S-10 Оформление сделок Выборка'!BQ35}</f>
        <v/>
      </c>
      <c r="BQ35" s="802"/>
      <c r="BR35" s="792" t="str">
        <f t="array" ref="BR35:BS35">{"",'S-10 Оформление сделок Выборка'!BS35}</f>
        <v/>
      </c>
      <c r="BS35" s="794"/>
      <c r="BT35" s="800" t="str">
        <f t="array" ref="BT35:BU35">{"",'S-10 Оформление сделок Выборка'!BU35}</f>
        <v/>
      </c>
      <c r="BU35" s="794"/>
      <c r="BV35" s="800" t="str">
        <f t="array" ref="BV35:BW35">{"",'S-10 Оформление сделок Выборка'!BW35}</f>
        <v/>
      </c>
      <c r="BW35" s="803" t="s">
        <v>96</v>
      </c>
      <c r="BX35" s="804"/>
    </row>
    <row r="36">
      <c r="A36" s="779"/>
      <c r="B36" s="779"/>
      <c r="C36" s="780" t="str">
        <f>'5-1 Сбор КП Закупки'!C36</f>
        <v/>
      </c>
      <c r="D36" s="781"/>
      <c r="E36" s="780"/>
      <c r="F36" s="783"/>
      <c r="G36" s="783"/>
      <c r="H36" s="783"/>
      <c r="I36" s="783"/>
      <c r="J36" s="780"/>
      <c r="K36" s="786"/>
      <c r="L36" s="785"/>
      <c r="M36" s="786"/>
      <c r="N36" s="786"/>
      <c r="O36" s="780"/>
      <c r="P36" s="787"/>
      <c r="Q36" s="780"/>
      <c r="R36" s="780"/>
      <c r="S36" s="780"/>
      <c r="T36" s="780"/>
      <c r="U36" s="780"/>
      <c r="V36" s="780"/>
      <c r="W36" s="787"/>
      <c r="X36" s="780"/>
      <c r="Y36" s="780"/>
      <c r="Z36" s="780"/>
      <c r="AA36" s="780"/>
      <c r="AB36" s="788"/>
      <c r="AC36" s="781"/>
      <c r="AD36" s="780"/>
      <c r="AE36" s="789" t="str">
        <f t="array" ref="AE36:AF36">{"",'S-10 Оформление сделок Выборка'!AF36}</f>
        <v/>
      </c>
      <c r="AF36" s="790"/>
      <c r="AG36" s="781"/>
      <c r="AH36" s="781"/>
      <c r="AI36" s="785"/>
      <c r="AJ36" s="780"/>
      <c r="AK36" s="792" t="str">
        <f t="array" ref="AK36:AL36">{"",'S-10 Оформление сделок Выборка'!AL36}</f>
        <v/>
      </c>
      <c r="AL36" s="793"/>
      <c r="AM36" s="792" t="str">
        <f t="array" ref="AM36:AN36">{"",'S-10 Оформление сделок Выборка'!AN36}</f>
        <v/>
      </c>
      <c r="AN36" s="794"/>
      <c r="AO36" s="792" t="str">
        <f t="array" ref="AO36:AP36">{"",'S-10 Оформление сделок Выборка'!AP36}</f>
        <v/>
      </c>
      <c r="AP36" s="786"/>
      <c r="AQ36" s="786"/>
      <c r="AR36" s="779" t="str">
        <f t="array" ref="AR36:AS36">{"",'S-10 Оформление сделок Выборка'!AS36}</f>
        <v/>
      </c>
      <c r="AS36" s="795"/>
      <c r="AT36" s="779" t="str">
        <f t="array" ref="AT36:AU36">{"",'S-10 Оформление сделок Выборка'!AU36}</f>
        <v/>
      </c>
      <c r="AU36" s="805"/>
      <c r="AV36" s="779" t="str">
        <f t="array" ref="AV36:AW36">{"",'S-10 Оформление сделок Выборка'!AW36}</f>
        <v/>
      </c>
      <c r="AW36" s="797"/>
      <c r="AX36" s="786"/>
      <c r="AY36" s="786"/>
      <c r="AZ36" s="792" t="str">
        <f t="array" ref="AZ36:BA36">{"",'S-10 Оформление сделок Выборка'!BA36}</f>
        <v/>
      </c>
      <c r="BA36" s="798"/>
      <c r="BB36" s="792" t="str">
        <f t="array" ref="BB36:BC36">{"",'S-10 Оформление сделок Выборка'!BC36}</f>
        <v/>
      </c>
      <c r="BC36" s="799"/>
      <c r="BD36" s="792" t="str">
        <f t="array" ref="BD36:BE36">{"",'S-10 Оформление сделок Выборка'!BE36}</f>
        <v/>
      </c>
      <c r="BE36" s="793"/>
      <c r="BF36" s="800" t="str">
        <f t="array" ref="BF36:BG36">{"",'S-10 Оформление сделок Выборка'!BG36}</f>
        <v/>
      </c>
      <c r="BG36" s="794"/>
      <c r="BH36" s="794" t="str">
        <f t="array" ref="BH36:BI36">{"",'S-10 Оформление сделок Выборка'!BI36}</f>
        <v/>
      </c>
      <c r="BI36" s="794"/>
      <c r="BJ36" s="792" t="str">
        <f t="array" ref="BJ36:BK36">{"",'S-10 Оформление сделок Выборка'!BK36}</f>
        <v/>
      </c>
      <c r="BK36" s="793"/>
      <c r="BL36" s="792" t="str">
        <f t="array" ref="BL36:BM36">{"",'S-10 Оформление сделок Выборка'!BM36}</f>
        <v/>
      </c>
      <c r="BM36" s="801"/>
      <c r="BN36" s="792" t="str">
        <f t="array" ref="BN36:BO36">{"",'S-10 Оформление сделок Выборка'!BO36}</f>
        <v/>
      </c>
      <c r="BO36" s="793"/>
      <c r="BP36" s="792" t="str">
        <f t="array" ref="BP36:BQ36">{"",'S-10 Оформление сделок Выборка'!BQ36}</f>
        <v/>
      </c>
      <c r="BQ36" s="802"/>
      <c r="BR36" s="792" t="str">
        <f t="array" ref="BR36:BS36">{"",'S-10 Оформление сделок Выборка'!BS36}</f>
        <v/>
      </c>
      <c r="BS36" s="794"/>
      <c r="BT36" s="800" t="str">
        <f t="array" ref="BT36:BU36">{"",'S-10 Оформление сделок Выборка'!BU36}</f>
        <v/>
      </c>
      <c r="BU36" s="794"/>
      <c r="BV36" s="800" t="str">
        <f t="array" ref="BV36:BW36">{"",'S-10 Оформление сделок Выборка'!BW36}</f>
        <v/>
      </c>
      <c r="BW36" s="803" t="s">
        <v>96</v>
      </c>
      <c r="BX36" s="804"/>
    </row>
    <row r="37">
      <c r="A37" s="779"/>
      <c r="B37" s="779"/>
      <c r="C37" s="780" t="str">
        <f>'5-1 Сбор КП Закупки'!C37</f>
        <v/>
      </c>
      <c r="D37" s="781"/>
      <c r="E37" s="780"/>
      <c r="F37" s="783"/>
      <c r="G37" s="783"/>
      <c r="H37" s="783"/>
      <c r="I37" s="783"/>
      <c r="J37" s="780"/>
      <c r="K37" s="786"/>
      <c r="L37" s="785"/>
      <c r="M37" s="786"/>
      <c r="N37" s="786"/>
      <c r="O37" s="780"/>
      <c r="P37" s="787"/>
      <c r="Q37" s="780"/>
      <c r="R37" s="780"/>
      <c r="S37" s="780"/>
      <c r="T37" s="780"/>
      <c r="U37" s="780"/>
      <c r="V37" s="780"/>
      <c r="W37" s="787"/>
      <c r="X37" s="780"/>
      <c r="Y37" s="780"/>
      <c r="Z37" s="780"/>
      <c r="AA37" s="780"/>
      <c r="AB37" s="788"/>
      <c r="AC37" s="781"/>
      <c r="AD37" s="780"/>
      <c r="AE37" s="789" t="str">
        <f t="array" ref="AE37:AF37">{"",'S-10 Оформление сделок Выборка'!AF37}</f>
        <v/>
      </c>
      <c r="AF37" s="790"/>
      <c r="AG37" s="781"/>
      <c r="AH37" s="781"/>
      <c r="AI37" s="785"/>
      <c r="AJ37" s="780"/>
      <c r="AK37" s="792" t="str">
        <f t="array" ref="AK37:AL37">{"",'S-10 Оформление сделок Выборка'!AL37}</f>
        <v/>
      </c>
      <c r="AL37" s="793"/>
      <c r="AM37" s="792" t="str">
        <f t="array" ref="AM37:AN37">{"",'S-10 Оформление сделок Выборка'!AN37}</f>
        <v/>
      </c>
      <c r="AN37" s="794"/>
      <c r="AO37" s="792" t="str">
        <f t="array" ref="AO37:AP37">{"",'S-10 Оформление сделок Выборка'!AP37}</f>
        <v/>
      </c>
      <c r="AP37" s="786"/>
      <c r="AQ37" s="786"/>
      <c r="AR37" s="779" t="str">
        <f t="array" ref="AR37:AS37">{"",'S-10 Оформление сделок Выборка'!AS37}</f>
        <v/>
      </c>
      <c r="AS37" s="795"/>
      <c r="AT37" s="779" t="str">
        <f t="array" ref="AT37:AU37">{"",'S-10 Оформление сделок Выборка'!AU37}</f>
        <v/>
      </c>
      <c r="AU37" s="805"/>
      <c r="AV37" s="779" t="str">
        <f t="array" ref="AV37:AW37">{"",'S-10 Оформление сделок Выборка'!AW37}</f>
        <v/>
      </c>
      <c r="AW37" s="797"/>
      <c r="AX37" s="786"/>
      <c r="AY37" s="786"/>
      <c r="AZ37" s="792" t="str">
        <f t="array" ref="AZ37:BA37">{"",'S-10 Оформление сделок Выборка'!BA37}</f>
        <v/>
      </c>
      <c r="BA37" s="798"/>
      <c r="BB37" s="792" t="str">
        <f t="array" ref="BB37:BC37">{"",'S-10 Оформление сделок Выборка'!BC37}</f>
        <v/>
      </c>
      <c r="BC37" s="799"/>
      <c r="BD37" s="792" t="str">
        <f t="array" ref="BD37:BE37">{"",'S-10 Оформление сделок Выборка'!BE37}</f>
        <v/>
      </c>
      <c r="BE37" s="793"/>
      <c r="BF37" s="800" t="str">
        <f t="array" ref="BF37:BG37">{"",'S-10 Оформление сделок Выборка'!BG37}</f>
        <v/>
      </c>
      <c r="BG37" s="794"/>
      <c r="BH37" s="794" t="str">
        <f t="array" ref="BH37:BI37">{"",'S-10 Оформление сделок Выборка'!BI37}</f>
        <v/>
      </c>
      <c r="BI37" s="794"/>
      <c r="BJ37" s="792" t="str">
        <f t="array" ref="BJ37:BK37">{"",'S-10 Оформление сделок Выборка'!BK37}</f>
        <v/>
      </c>
      <c r="BK37" s="793"/>
      <c r="BL37" s="792" t="str">
        <f t="array" ref="BL37:BM37">{"",'S-10 Оформление сделок Выборка'!BM37}</f>
        <v/>
      </c>
      <c r="BM37" s="801"/>
      <c r="BN37" s="792" t="str">
        <f t="array" ref="BN37:BO37">{"",'S-10 Оформление сделок Выборка'!BO37}</f>
        <v/>
      </c>
      <c r="BO37" s="793"/>
      <c r="BP37" s="792" t="str">
        <f t="array" ref="BP37:BQ37">{"",'S-10 Оформление сделок Выборка'!BQ37}</f>
        <v/>
      </c>
      <c r="BQ37" s="802"/>
      <c r="BR37" s="792" t="str">
        <f t="array" ref="BR37:BS37">{"",'S-10 Оформление сделок Выборка'!BS37}</f>
        <v/>
      </c>
      <c r="BS37" s="794"/>
      <c r="BT37" s="800" t="str">
        <f t="array" ref="BT37:BU37">{"",'S-10 Оформление сделок Выборка'!BU37}</f>
        <v/>
      </c>
      <c r="BU37" s="794"/>
      <c r="BV37" s="800" t="str">
        <f t="array" ref="BV37:BW37">{"",'S-10 Оформление сделок Выборка'!BW37}</f>
        <v/>
      </c>
      <c r="BW37" s="803" t="s">
        <v>96</v>
      </c>
      <c r="BX37" s="804"/>
    </row>
    <row r="38">
      <c r="A38" s="779"/>
      <c r="B38" s="779"/>
      <c r="C38" s="780" t="str">
        <f>'5-1 Сбор КП Закупки'!C38</f>
        <v/>
      </c>
      <c r="D38" s="781"/>
      <c r="E38" s="780"/>
      <c r="F38" s="783"/>
      <c r="G38" s="783"/>
      <c r="H38" s="783"/>
      <c r="I38" s="783"/>
      <c r="J38" s="780"/>
      <c r="K38" s="786"/>
      <c r="L38" s="785"/>
      <c r="M38" s="786"/>
      <c r="N38" s="786"/>
      <c r="O38" s="780"/>
      <c r="P38" s="787"/>
      <c r="Q38" s="780"/>
      <c r="R38" s="780"/>
      <c r="S38" s="780"/>
      <c r="T38" s="780"/>
      <c r="U38" s="780"/>
      <c r="V38" s="780"/>
      <c r="W38" s="787"/>
      <c r="X38" s="780"/>
      <c r="Y38" s="780"/>
      <c r="Z38" s="780"/>
      <c r="AA38" s="780"/>
      <c r="AB38" s="788"/>
      <c r="AC38" s="781"/>
      <c r="AD38" s="780"/>
      <c r="AE38" s="789" t="str">
        <f t="array" ref="AE38:AF38">{"",'S-10 Оформление сделок Выборка'!AF38}</f>
        <v/>
      </c>
      <c r="AF38" s="790"/>
      <c r="AG38" s="781"/>
      <c r="AH38" s="781"/>
      <c r="AI38" s="785"/>
      <c r="AJ38" s="780"/>
      <c r="AK38" s="792" t="str">
        <f t="array" ref="AK38:AL38">{"",'S-10 Оформление сделок Выборка'!AL38}</f>
        <v/>
      </c>
      <c r="AL38" s="793"/>
      <c r="AM38" s="792" t="str">
        <f t="array" ref="AM38:AN38">{"",'S-10 Оформление сделок Выборка'!AN38}</f>
        <v/>
      </c>
      <c r="AN38" s="794"/>
      <c r="AO38" s="792" t="str">
        <f t="array" ref="AO38:AP38">{"",'S-10 Оформление сделок Выборка'!AP38}</f>
        <v/>
      </c>
      <c r="AP38" s="786"/>
      <c r="AQ38" s="786"/>
      <c r="AR38" s="779" t="str">
        <f t="array" ref="AR38:AS38">{"",'S-10 Оформление сделок Выборка'!AS38}</f>
        <v/>
      </c>
      <c r="AS38" s="795"/>
      <c r="AT38" s="779" t="str">
        <f t="array" ref="AT38:AU38">{"",'S-10 Оформление сделок Выборка'!AU38}</f>
        <v/>
      </c>
      <c r="AU38" s="805"/>
      <c r="AV38" s="779" t="str">
        <f t="array" ref="AV38:AW38">{"",'S-10 Оформление сделок Выборка'!AW38}</f>
        <v/>
      </c>
      <c r="AW38" s="797"/>
      <c r="AX38" s="786"/>
      <c r="AY38" s="786"/>
      <c r="AZ38" s="792" t="str">
        <f t="array" ref="AZ38:BA38">{"",'S-10 Оформление сделок Выборка'!BA38}</f>
        <v/>
      </c>
      <c r="BA38" s="798"/>
      <c r="BB38" s="792" t="str">
        <f t="array" ref="BB38:BC38">{"",'S-10 Оформление сделок Выборка'!BC38}</f>
        <v/>
      </c>
      <c r="BC38" s="799"/>
      <c r="BD38" s="792" t="str">
        <f t="array" ref="BD38:BE38">{"",'S-10 Оформление сделок Выборка'!BE38}</f>
        <v/>
      </c>
      <c r="BE38" s="793"/>
      <c r="BF38" s="800" t="str">
        <f t="array" ref="BF38:BG38">{"",'S-10 Оформление сделок Выборка'!BG38}</f>
        <v/>
      </c>
      <c r="BG38" s="794"/>
      <c r="BH38" s="794" t="str">
        <f t="array" ref="BH38:BI38">{"",'S-10 Оформление сделок Выборка'!BI38}</f>
        <v/>
      </c>
      <c r="BI38" s="794"/>
      <c r="BJ38" s="792" t="str">
        <f t="array" ref="BJ38:BK38">{"",'S-10 Оформление сделок Выборка'!BK38}</f>
        <v/>
      </c>
      <c r="BK38" s="793"/>
      <c r="BL38" s="792" t="str">
        <f t="array" ref="BL38:BM38">{"",'S-10 Оформление сделок Выборка'!BM38}</f>
        <v/>
      </c>
      <c r="BM38" s="801"/>
      <c r="BN38" s="792" t="str">
        <f t="array" ref="BN38:BO38">{"",'S-10 Оформление сделок Выборка'!BO38}</f>
        <v/>
      </c>
      <c r="BO38" s="793"/>
      <c r="BP38" s="792" t="str">
        <f t="array" ref="BP38:BQ38">{"",'S-10 Оформление сделок Выборка'!BQ38}</f>
        <v/>
      </c>
      <c r="BQ38" s="802"/>
      <c r="BR38" s="792" t="str">
        <f t="array" ref="BR38:BS38">{"",'S-10 Оформление сделок Выборка'!BS38}</f>
        <v/>
      </c>
      <c r="BS38" s="794"/>
      <c r="BT38" s="800" t="str">
        <f t="array" ref="BT38:BU38">{"",'S-10 Оформление сделок Выборка'!BU38}</f>
        <v/>
      </c>
      <c r="BU38" s="794"/>
      <c r="BV38" s="800" t="str">
        <f t="array" ref="BV38:BW38">{"",'S-10 Оформление сделок Выборка'!BW38}</f>
        <v/>
      </c>
      <c r="BW38" s="803" t="s">
        <v>96</v>
      </c>
      <c r="BX38" s="804"/>
    </row>
    <row r="39">
      <c r="A39" s="779"/>
      <c r="B39" s="779"/>
      <c r="C39" s="780" t="str">
        <f>'5-1 Сбор КП Закупки'!C39</f>
        <v/>
      </c>
      <c r="D39" s="781"/>
      <c r="E39" s="780"/>
      <c r="F39" s="783"/>
      <c r="G39" s="783"/>
      <c r="H39" s="783"/>
      <c r="I39" s="783"/>
      <c r="J39" s="780"/>
      <c r="K39" s="786"/>
      <c r="L39" s="785"/>
      <c r="M39" s="786"/>
      <c r="N39" s="786"/>
      <c r="O39" s="780"/>
      <c r="P39" s="787"/>
      <c r="Q39" s="780"/>
      <c r="R39" s="780"/>
      <c r="S39" s="780"/>
      <c r="T39" s="780"/>
      <c r="U39" s="780"/>
      <c r="V39" s="780"/>
      <c r="W39" s="787"/>
      <c r="X39" s="780"/>
      <c r="Y39" s="780"/>
      <c r="Z39" s="780"/>
      <c r="AA39" s="780"/>
      <c r="AB39" s="788"/>
      <c r="AC39" s="781"/>
      <c r="AD39" s="780"/>
      <c r="AE39" s="789" t="str">
        <f t="array" ref="AE39:AF39">{"",'S-10 Оформление сделок Выборка'!AF39}</f>
        <v/>
      </c>
      <c r="AF39" s="790"/>
      <c r="AG39" s="781"/>
      <c r="AH39" s="781"/>
      <c r="AI39" s="785"/>
      <c r="AJ39" s="780"/>
      <c r="AK39" s="792" t="str">
        <f t="array" ref="AK39:AL39">{"",'S-10 Оформление сделок Выборка'!AL39}</f>
        <v/>
      </c>
      <c r="AL39" s="793"/>
      <c r="AM39" s="792" t="str">
        <f t="array" ref="AM39:AN39">{"",'S-10 Оформление сделок Выборка'!AN39}</f>
        <v/>
      </c>
      <c r="AN39" s="794"/>
      <c r="AO39" s="792" t="str">
        <f t="array" ref="AO39:AP39">{"",'S-10 Оформление сделок Выборка'!AP39}</f>
        <v/>
      </c>
      <c r="AP39" s="786"/>
      <c r="AQ39" s="786"/>
      <c r="AR39" s="779" t="str">
        <f t="array" ref="AR39:AS39">{"",'S-10 Оформление сделок Выборка'!AS39}</f>
        <v/>
      </c>
      <c r="AS39" s="795"/>
      <c r="AT39" s="779" t="str">
        <f t="array" ref="AT39:AU39">{"",'S-10 Оформление сделок Выборка'!AU39}</f>
        <v/>
      </c>
      <c r="AU39" s="805"/>
      <c r="AV39" s="779" t="str">
        <f t="array" ref="AV39:AW39">{"",'S-10 Оформление сделок Выборка'!AW39}</f>
        <v/>
      </c>
      <c r="AW39" s="797"/>
      <c r="AX39" s="786"/>
      <c r="AY39" s="786"/>
      <c r="AZ39" s="792" t="str">
        <f t="array" ref="AZ39:BA39">{"",'S-10 Оформление сделок Выборка'!BA39}</f>
        <v/>
      </c>
      <c r="BA39" s="798"/>
      <c r="BB39" s="792" t="str">
        <f t="array" ref="BB39:BC39">{"",'S-10 Оформление сделок Выборка'!BC39}</f>
        <v/>
      </c>
      <c r="BC39" s="799"/>
      <c r="BD39" s="792" t="str">
        <f t="array" ref="BD39:BE39">{"",'S-10 Оформление сделок Выборка'!BE39}</f>
        <v/>
      </c>
      <c r="BE39" s="793"/>
      <c r="BF39" s="800" t="str">
        <f t="array" ref="BF39:BG39">{"",'S-10 Оформление сделок Выборка'!BG39}</f>
        <v/>
      </c>
      <c r="BG39" s="794"/>
      <c r="BH39" s="794" t="str">
        <f t="array" ref="BH39:BI39">{"",'S-10 Оформление сделок Выборка'!BI39}</f>
        <v/>
      </c>
      <c r="BI39" s="794"/>
      <c r="BJ39" s="792" t="str">
        <f t="array" ref="BJ39:BK39">{"",'S-10 Оформление сделок Выборка'!BK39}</f>
        <v/>
      </c>
      <c r="BK39" s="793"/>
      <c r="BL39" s="792" t="str">
        <f t="array" ref="BL39:BM39">{"",'S-10 Оформление сделок Выборка'!BM39}</f>
        <v/>
      </c>
      <c r="BM39" s="801"/>
      <c r="BN39" s="792" t="str">
        <f t="array" ref="BN39:BO39">{"",'S-10 Оформление сделок Выборка'!BO39}</f>
        <v/>
      </c>
      <c r="BO39" s="793"/>
      <c r="BP39" s="792" t="str">
        <f t="array" ref="BP39:BQ39">{"",'S-10 Оформление сделок Выборка'!BQ39}</f>
        <v/>
      </c>
      <c r="BQ39" s="802"/>
      <c r="BR39" s="792" t="str">
        <f t="array" ref="BR39:BS39">{"",'S-10 Оформление сделок Выборка'!BS39}</f>
        <v/>
      </c>
      <c r="BS39" s="794"/>
      <c r="BT39" s="800" t="str">
        <f t="array" ref="BT39:BU39">{"",'S-10 Оформление сделок Выборка'!BU39}</f>
        <v/>
      </c>
      <c r="BU39" s="794"/>
      <c r="BV39" s="800" t="str">
        <f t="array" ref="BV39:BW39">{"",'S-10 Оформление сделок Выборка'!BW39}</f>
        <v/>
      </c>
      <c r="BW39" s="803" t="s">
        <v>96</v>
      </c>
      <c r="BX39" s="804"/>
    </row>
    <row r="40">
      <c r="A40" s="779"/>
      <c r="B40" s="779"/>
      <c r="C40" s="780" t="str">
        <f>'5-1 Сбор КП Закупки'!C40</f>
        <v/>
      </c>
      <c r="D40" s="781"/>
      <c r="E40" s="780"/>
      <c r="F40" s="783"/>
      <c r="G40" s="783"/>
      <c r="H40" s="783"/>
      <c r="I40" s="783"/>
      <c r="J40" s="780"/>
      <c r="K40" s="786"/>
      <c r="L40" s="785"/>
      <c r="M40" s="786"/>
      <c r="N40" s="786"/>
      <c r="O40" s="780"/>
      <c r="P40" s="787"/>
      <c r="Q40" s="780"/>
      <c r="R40" s="780"/>
      <c r="S40" s="780"/>
      <c r="T40" s="780"/>
      <c r="U40" s="780"/>
      <c r="V40" s="780"/>
      <c r="W40" s="787"/>
      <c r="X40" s="780"/>
      <c r="Y40" s="780"/>
      <c r="Z40" s="780"/>
      <c r="AA40" s="780"/>
      <c r="AB40" s="788"/>
      <c r="AC40" s="781"/>
      <c r="AD40" s="780"/>
      <c r="AE40" s="789" t="str">
        <f t="array" ref="AE40:AF40">{"",'S-10 Оформление сделок Выборка'!AF40}</f>
        <v/>
      </c>
      <c r="AF40" s="790"/>
      <c r="AG40" s="781"/>
      <c r="AH40" s="781"/>
      <c r="AI40" s="785"/>
      <c r="AJ40" s="780"/>
      <c r="AK40" s="792" t="str">
        <f t="array" ref="AK40:AL40">{"",'S-10 Оформление сделок Выборка'!AL40}</f>
        <v/>
      </c>
      <c r="AL40" s="793"/>
      <c r="AM40" s="792" t="str">
        <f t="array" ref="AM40:AN40">{"",'S-10 Оформление сделок Выборка'!AN40}</f>
        <v/>
      </c>
      <c r="AN40" s="794"/>
      <c r="AO40" s="792" t="str">
        <f t="array" ref="AO40:AP40">{"",'S-10 Оформление сделок Выборка'!AP40}</f>
        <v/>
      </c>
      <c r="AP40" s="786"/>
      <c r="AQ40" s="786"/>
      <c r="AR40" s="779" t="str">
        <f t="array" ref="AR40:AS40">{"",'S-10 Оформление сделок Выборка'!AS40}</f>
        <v/>
      </c>
      <c r="AS40" s="795"/>
      <c r="AT40" s="779" t="str">
        <f t="array" ref="AT40:AU40">{"",'S-10 Оформление сделок Выборка'!AU40}</f>
        <v/>
      </c>
      <c r="AU40" s="805"/>
      <c r="AV40" s="779" t="str">
        <f t="array" ref="AV40:AW40">{"",'S-10 Оформление сделок Выборка'!AW40}</f>
        <v/>
      </c>
      <c r="AW40" s="797"/>
      <c r="AX40" s="786"/>
      <c r="AY40" s="786"/>
      <c r="AZ40" s="792" t="str">
        <f t="array" ref="AZ40:BA40">{"",'S-10 Оформление сделок Выборка'!BA40}</f>
        <v/>
      </c>
      <c r="BA40" s="798"/>
      <c r="BB40" s="792" t="str">
        <f t="array" ref="BB40:BC40">{"",'S-10 Оформление сделок Выборка'!BC40}</f>
        <v/>
      </c>
      <c r="BC40" s="799"/>
      <c r="BD40" s="792" t="str">
        <f t="array" ref="BD40:BE40">{"",'S-10 Оформление сделок Выборка'!BE40}</f>
        <v/>
      </c>
      <c r="BE40" s="793"/>
      <c r="BF40" s="800" t="str">
        <f t="array" ref="BF40:BG40">{"",'S-10 Оформление сделок Выборка'!BG40}</f>
        <v/>
      </c>
      <c r="BG40" s="794"/>
      <c r="BH40" s="794" t="str">
        <f t="array" ref="BH40:BI40">{"",'S-10 Оформление сделок Выборка'!BI40}</f>
        <v/>
      </c>
      <c r="BI40" s="794"/>
      <c r="BJ40" s="792" t="str">
        <f t="array" ref="BJ40:BK40">{"",'S-10 Оформление сделок Выборка'!BK40}</f>
        <v/>
      </c>
      <c r="BK40" s="793"/>
      <c r="BL40" s="792" t="str">
        <f t="array" ref="BL40:BM40">{"",'S-10 Оформление сделок Выборка'!BM40}</f>
        <v/>
      </c>
      <c r="BM40" s="801"/>
      <c r="BN40" s="792" t="str">
        <f t="array" ref="BN40:BO40">{"",'S-10 Оформление сделок Выборка'!BO40}</f>
        <v/>
      </c>
      <c r="BO40" s="793"/>
      <c r="BP40" s="792" t="str">
        <f t="array" ref="BP40:BQ40">{"",'S-10 Оформление сделок Выборка'!BQ40}</f>
        <v/>
      </c>
      <c r="BQ40" s="802"/>
      <c r="BR40" s="792" t="str">
        <f t="array" ref="BR40:BS40">{"",'S-10 Оформление сделок Выборка'!BS40}</f>
        <v/>
      </c>
      <c r="BS40" s="794"/>
      <c r="BT40" s="800" t="str">
        <f t="array" ref="BT40:BU40">{"",'S-10 Оформление сделок Выборка'!BU40}</f>
        <v/>
      </c>
      <c r="BU40" s="794"/>
      <c r="BV40" s="800" t="str">
        <f t="array" ref="BV40:BW40">{"",'S-10 Оформление сделок Выборка'!BW40}</f>
        <v/>
      </c>
      <c r="BW40" s="803" t="s">
        <v>96</v>
      </c>
      <c r="BX40" s="804"/>
    </row>
    <row r="41">
      <c r="A41" s="779"/>
      <c r="B41" s="779"/>
      <c r="C41" s="780" t="str">
        <f>'5-1 Сбор КП Закупки'!C41</f>
        <v/>
      </c>
      <c r="D41" s="781"/>
      <c r="E41" s="780"/>
      <c r="F41" s="783"/>
      <c r="G41" s="783"/>
      <c r="H41" s="783"/>
      <c r="I41" s="783"/>
      <c r="J41" s="780"/>
      <c r="K41" s="786"/>
      <c r="L41" s="785"/>
      <c r="M41" s="786"/>
      <c r="N41" s="786"/>
      <c r="O41" s="780"/>
      <c r="P41" s="787"/>
      <c r="Q41" s="780"/>
      <c r="R41" s="780"/>
      <c r="S41" s="780"/>
      <c r="T41" s="780"/>
      <c r="U41" s="780"/>
      <c r="V41" s="780"/>
      <c r="W41" s="787"/>
      <c r="X41" s="780"/>
      <c r="Y41" s="780"/>
      <c r="Z41" s="780"/>
      <c r="AA41" s="780"/>
      <c r="AB41" s="788"/>
      <c r="AC41" s="781"/>
      <c r="AD41" s="780"/>
      <c r="AE41" s="789" t="str">
        <f t="array" ref="AE41:AF41">{"",'S-10 Оформление сделок Выборка'!AF41}</f>
        <v/>
      </c>
      <c r="AF41" s="790"/>
      <c r="AG41" s="781"/>
      <c r="AH41" s="781"/>
      <c r="AI41" s="785"/>
      <c r="AJ41" s="780"/>
      <c r="AK41" s="792" t="str">
        <f t="array" ref="AK41:AL41">{"",'S-10 Оформление сделок Выборка'!AL41}</f>
        <v/>
      </c>
      <c r="AL41" s="793"/>
      <c r="AM41" s="792" t="str">
        <f t="array" ref="AM41:AN41">{"",'S-10 Оформление сделок Выборка'!AN41}</f>
        <v/>
      </c>
      <c r="AN41" s="794"/>
      <c r="AO41" s="792" t="str">
        <f t="array" ref="AO41:AP41">{"",'S-10 Оформление сделок Выборка'!AP41}</f>
        <v/>
      </c>
      <c r="AP41" s="786"/>
      <c r="AQ41" s="786"/>
      <c r="AR41" s="779" t="str">
        <f t="array" ref="AR41:AS41">{"",'S-10 Оформление сделок Выборка'!AS41}</f>
        <v/>
      </c>
      <c r="AS41" s="795"/>
      <c r="AT41" s="779" t="str">
        <f t="array" ref="AT41:AU41">{"",'S-10 Оформление сделок Выборка'!AU41}</f>
        <v/>
      </c>
      <c r="AU41" s="805"/>
      <c r="AV41" s="779" t="str">
        <f t="array" ref="AV41:AW41">{"",'S-10 Оформление сделок Выборка'!AW41}</f>
        <v/>
      </c>
      <c r="AW41" s="797"/>
      <c r="AX41" s="786"/>
      <c r="AY41" s="786"/>
      <c r="AZ41" s="792" t="str">
        <f t="array" ref="AZ41:BA41">{"",'S-10 Оформление сделок Выборка'!BA41}</f>
        <v/>
      </c>
      <c r="BA41" s="798"/>
      <c r="BB41" s="792" t="str">
        <f t="array" ref="BB41:BC41">{"",'S-10 Оформление сделок Выборка'!BC41}</f>
        <v/>
      </c>
      <c r="BC41" s="799"/>
      <c r="BD41" s="792" t="str">
        <f t="array" ref="BD41:BE41">{"",'S-10 Оформление сделок Выборка'!BE41}</f>
        <v/>
      </c>
      <c r="BE41" s="793"/>
      <c r="BF41" s="800" t="str">
        <f t="array" ref="BF41:BG41">{"",'S-10 Оформление сделок Выборка'!BG41}</f>
        <v/>
      </c>
      <c r="BG41" s="794"/>
      <c r="BH41" s="794" t="str">
        <f t="array" ref="BH41:BI41">{"",'S-10 Оформление сделок Выборка'!BI41}</f>
        <v/>
      </c>
      <c r="BI41" s="794"/>
      <c r="BJ41" s="792" t="str">
        <f t="array" ref="BJ41:BK41">{"",'S-10 Оформление сделок Выборка'!BK41}</f>
        <v/>
      </c>
      <c r="BK41" s="793"/>
      <c r="BL41" s="792" t="str">
        <f t="array" ref="BL41:BM41">{"",'S-10 Оформление сделок Выборка'!BM41}</f>
        <v/>
      </c>
      <c r="BM41" s="801"/>
      <c r="BN41" s="792" t="str">
        <f t="array" ref="BN41:BO41">{"",'S-10 Оформление сделок Выборка'!BO41}</f>
        <v/>
      </c>
      <c r="BO41" s="793"/>
      <c r="BP41" s="792" t="str">
        <f t="array" ref="BP41:BQ41">{"",'S-10 Оформление сделок Выборка'!BQ41}</f>
        <v/>
      </c>
      <c r="BQ41" s="802"/>
      <c r="BR41" s="792" t="str">
        <f t="array" ref="BR41:BS41">{"",'S-10 Оформление сделок Выборка'!BS41}</f>
        <v/>
      </c>
      <c r="BS41" s="794"/>
      <c r="BT41" s="800" t="str">
        <f t="array" ref="BT41:BU41">{"",'S-10 Оформление сделок Выборка'!BU41}</f>
        <v/>
      </c>
      <c r="BU41" s="794"/>
      <c r="BV41" s="800" t="str">
        <f t="array" ref="BV41:BW41">{"",'S-10 Оформление сделок Выборка'!BW41}</f>
        <v/>
      </c>
      <c r="BW41" s="803" t="s">
        <v>96</v>
      </c>
      <c r="BX41" s="804"/>
    </row>
    <row r="42">
      <c r="A42" s="779"/>
      <c r="B42" s="779"/>
      <c r="C42" s="780" t="str">
        <f>'5-1 Сбор КП Закупки'!C42</f>
        <v/>
      </c>
      <c r="D42" s="781"/>
      <c r="E42" s="780"/>
      <c r="F42" s="783"/>
      <c r="G42" s="783"/>
      <c r="H42" s="783"/>
      <c r="I42" s="783"/>
      <c r="J42" s="780"/>
      <c r="K42" s="786"/>
      <c r="L42" s="785"/>
      <c r="M42" s="786"/>
      <c r="N42" s="786"/>
      <c r="O42" s="780"/>
      <c r="P42" s="787"/>
      <c r="Q42" s="780"/>
      <c r="R42" s="780"/>
      <c r="S42" s="780"/>
      <c r="T42" s="780"/>
      <c r="U42" s="780"/>
      <c r="V42" s="780"/>
      <c r="W42" s="787"/>
      <c r="X42" s="780"/>
      <c r="Y42" s="780"/>
      <c r="Z42" s="780"/>
      <c r="AA42" s="780"/>
      <c r="AB42" s="788"/>
      <c r="AC42" s="781"/>
      <c r="AD42" s="780"/>
      <c r="AE42" s="789" t="str">
        <f t="array" ref="AE42:AF42">{"",'S-10 Оформление сделок Выборка'!AF42}</f>
        <v/>
      </c>
      <c r="AF42" s="790"/>
      <c r="AG42" s="781"/>
      <c r="AH42" s="781"/>
      <c r="AI42" s="785"/>
      <c r="AJ42" s="780"/>
      <c r="AK42" s="792" t="str">
        <f t="array" ref="AK42:AL42">{"",'S-10 Оформление сделок Выборка'!AL42}</f>
        <v/>
      </c>
      <c r="AL42" s="793"/>
      <c r="AM42" s="792" t="str">
        <f t="array" ref="AM42:AN42">{"",'S-10 Оформление сделок Выборка'!AN42}</f>
        <v/>
      </c>
      <c r="AN42" s="794"/>
      <c r="AO42" s="792" t="str">
        <f t="array" ref="AO42:AP42">{"",'S-10 Оформление сделок Выборка'!AP42}</f>
        <v/>
      </c>
      <c r="AP42" s="786"/>
      <c r="AQ42" s="786"/>
      <c r="AR42" s="779" t="str">
        <f t="array" ref="AR42:AS42">{"",'S-10 Оформление сделок Выборка'!AS42}</f>
        <v/>
      </c>
      <c r="AS42" s="795"/>
      <c r="AT42" s="779" t="str">
        <f t="array" ref="AT42:AU42">{"",'S-10 Оформление сделок Выборка'!AU42}</f>
        <v/>
      </c>
      <c r="AU42" s="805"/>
      <c r="AV42" s="779" t="str">
        <f t="array" ref="AV42:AW42">{"",'S-10 Оформление сделок Выборка'!AW42}</f>
        <v/>
      </c>
      <c r="AW42" s="797"/>
      <c r="AX42" s="786"/>
      <c r="AY42" s="786"/>
      <c r="AZ42" s="792" t="str">
        <f t="array" ref="AZ42:BA42">{"",'S-10 Оформление сделок Выборка'!BA42}</f>
        <v/>
      </c>
      <c r="BA42" s="798"/>
      <c r="BB42" s="792" t="str">
        <f t="array" ref="BB42:BC42">{"",'S-10 Оформление сделок Выборка'!BC42}</f>
        <v/>
      </c>
      <c r="BC42" s="799"/>
      <c r="BD42" s="792" t="str">
        <f t="array" ref="BD42:BE42">{"",'S-10 Оформление сделок Выборка'!BE42}</f>
        <v/>
      </c>
      <c r="BE42" s="793"/>
      <c r="BF42" s="800" t="str">
        <f t="array" ref="BF42:BG42">{"",'S-10 Оформление сделок Выборка'!BG42}</f>
        <v/>
      </c>
      <c r="BG42" s="794"/>
      <c r="BH42" s="794" t="str">
        <f t="array" ref="BH42:BI42">{"",'S-10 Оформление сделок Выборка'!BI42}</f>
        <v/>
      </c>
      <c r="BI42" s="794"/>
      <c r="BJ42" s="792" t="str">
        <f t="array" ref="BJ42:BK42">{"",'S-10 Оформление сделок Выборка'!BK42}</f>
        <v/>
      </c>
      <c r="BK42" s="793"/>
      <c r="BL42" s="792" t="str">
        <f t="array" ref="BL42:BM42">{"",'S-10 Оформление сделок Выборка'!BM42}</f>
        <v/>
      </c>
      <c r="BM42" s="801"/>
      <c r="BN42" s="792" t="str">
        <f t="array" ref="BN42:BO42">{"",'S-10 Оформление сделок Выборка'!BO42}</f>
        <v/>
      </c>
      <c r="BO42" s="793"/>
      <c r="BP42" s="792" t="str">
        <f t="array" ref="BP42:BQ42">{"",'S-10 Оформление сделок Выборка'!BQ42}</f>
        <v/>
      </c>
      <c r="BQ42" s="802"/>
      <c r="BR42" s="792" t="str">
        <f t="array" ref="BR42:BS42">{"",'S-10 Оформление сделок Выборка'!BS42}</f>
        <v/>
      </c>
      <c r="BS42" s="794"/>
      <c r="BT42" s="800" t="str">
        <f t="array" ref="BT42:BU42">{"",'S-10 Оформление сделок Выборка'!BU42}</f>
        <v/>
      </c>
      <c r="BU42" s="794"/>
      <c r="BV42" s="800" t="str">
        <f t="array" ref="BV42:BW42">{"",'S-10 Оформление сделок Выборка'!BW42}</f>
        <v/>
      </c>
      <c r="BW42" s="803" t="s">
        <v>96</v>
      </c>
      <c r="BX42" s="804"/>
    </row>
    <row r="43">
      <c r="A43" s="779"/>
      <c r="B43" s="779"/>
      <c r="C43" s="780" t="str">
        <f>'5-1 Сбор КП Закупки'!C43</f>
        <v/>
      </c>
      <c r="D43" s="781"/>
      <c r="E43" s="780"/>
      <c r="F43" s="783"/>
      <c r="G43" s="783"/>
      <c r="H43" s="783"/>
      <c r="I43" s="783"/>
      <c r="J43" s="780"/>
      <c r="K43" s="786"/>
      <c r="L43" s="785"/>
      <c r="M43" s="786"/>
      <c r="N43" s="786"/>
      <c r="O43" s="780"/>
      <c r="P43" s="787"/>
      <c r="Q43" s="780"/>
      <c r="R43" s="780"/>
      <c r="S43" s="780"/>
      <c r="T43" s="780"/>
      <c r="U43" s="780"/>
      <c r="V43" s="780"/>
      <c r="W43" s="787"/>
      <c r="X43" s="780"/>
      <c r="Y43" s="780"/>
      <c r="Z43" s="780"/>
      <c r="AA43" s="780"/>
      <c r="AB43" s="788"/>
      <c r="AC43" s="781"/>
      <c r="AD43" s="780"/>
      <c r="AE43" s="789" t="str">
        <f t="array" ref="AE43:AF43">{"",'S-10 Оформление сделок Выборка'!AF43}</f>
        <v/>
      </c>
      <c r="AF43" s="790"/>
      <c r="AG43" s="781"/>
      <c r="AH43" s="781"/>
      <c r="AI43" s="785"/>
      <c r="AJ43" s="780"/>
      <c r="AK43" s="792" t="str">
        <f t="array" ref="AK43:AL43">{"",'S-10 Оформление сделок Выборка'!AL43}</f>
        <v/>
      </c>
      <c r="AL43" s="793"/>
      <c r="AM43" s="792" t="str">
        <f t="array" ref="AM43:AN43">{"",'S-10 Оформление сделок Выборка'!AN43}</f>
        <v/>
      </c>
      <c r="AN43" s="794"/>
      <c r="AO43" s="792" t="str">
        <f t="array" ref="AO43:AP43">{"",'S-10 Оформление сделок Выборка'!AP43}</f>
        <v/>
      </c>
      <c r="AP43" s="786"/>
      <c r="AQ43" s="786"/>
      <c r="AR43" s="779" t="str">
        <f t="array" ref="AR43:AS43">{"",'S-10 Оформление сделок Выборка'!AS43}</f>
        <v/>
      </c>
      <c r="AS43" s="795"/>
      <c r="AT43" s="779" t="str">
        <f t="array" ref="AT43:AU43">{"",'S-10 Оформление сделок Выборка'!AU43}</f>
        <v/>
      </c>
      <c r="AU43" s="805"/>
      <c r="AV43" s="779" t="str">
        <f t="array" ref="AV43:AW43">{"",'S-10 Оформление сделок Выборка'!AW43}</f>
        <v/>
      </c>
      <c r="AW43" s="797"/>
      <c r="AX43" s="786"/>
      <c r="AY43" s="786"/>
      <c r="AZ43" s="792" t="str">
        <f t="array" ref="AZ43:BA43">{"",'S-10 Оформление сделок Выборка'!BA43}</f>
        <v/>
      </c>
      <c r="BA43" s="798"/>
      <c r="BB43" s="792" t="str">
        <f t="array" ref="BB43:BC43">{"",'S-10 Оформление сделок Выборка'!BC43}</f>
        <v/>
      </c>
      <c r="BC43" s="799"/>
      <c r="BD43" s="792" t="str">
        <f t="array" ref="BD43:BE43">{"",'S-10 Оформление сделок Выборка'!BE43}</f>
        <v/>
      </c>
      <c r="BE43" s="793"/>
      <c r="BF43" s="800" t="str">
        <f t="array" ref="BF43:BG43">{"",'S-10 Оформление сделок Выборка'!BG43}</f>
        <v/>
      </c>
      <c r="BG43" s="794"/>
      <c r="BH43" s="794" t="str">
        <f t="array" ref="BH43:BI43">{"",'S-10 Оформление сделок Выборка'!BI43}</f>
        <v/>
      </c>
      <c r="BI43" s="794"/>
      <c r="BJ43" s="792" t="str">
        <f t="array" ref="BJ43:BK43">{"",'S-10 Оформление сделок Выборка'!BK43}</f>
        <v/>
      </c>
      <c r="BK43" s="793"/>
      <c r="BL43" s="792" t="str">
        <f t="array" ref="BL43:BM43">{"",'S-10 Оформление сделок Выборка'!BM43}</f>
        <v/>
      </c>
      <c r="BM43" s="801"/>
      <c r="BN43" s="792" t="str">
        <f t="array" ref="BN43:BO43">{"",'S-10 Оформление сделок Выборка'!BO43}</f>
        <v/>
      </c>
      <c r="BO43" s="793"/>
      <c r="BP43" s="792" t="str">
        <f t="array" ref="BP43:BQ43">{"",'S-10 Оформление сделок Выборка'!BQ43}</f>
        <v/>
      </c>
      <c r="BQ43" s="802"/>
      <c r="BR43" s="792" t="str">
        <f t="array" ref="BR43:BS43">{"",'S-10 Оформление сделок Выборка'!BS43}</f>
        <v/>
      </c>
      <c r="BS43" s="794"/>
      <c r="BT43" s="800" t="str">
        <f t="array" ref="BT43:BU43">{"",'S-10 Оформление сделок Выборка'!BU43}</f>
        <v/>
      </c>
      <c r="BU43" s="794"/>
      <c r="BV43" s="800" t="str">
        <f t="array" ref="BV43:BW43">{"",'S-10 Оформление сделок Выборка'!BW43}</f>
        <v/>
      </c>
      <c r="BW43" s="803" t="s">
        <v>96</v>
      </c>
      <c r="BX43" s="804"/>
    </row>
    <row r="44">
      <c r="A44" s="779"/>
      <c r="B44" s="779"/>
      <c r="C44" s="780" t="str">
        <f>'5-1 Сбор КП Закупки'!C44</f>
        <v/>
      </c>
      <c r="D44" s="781"/>
      <c r="E44" s="780"/>
      <c r="F44" s="783"/>
      <c r="G44" s="783"/>
      <c r="H44" s="783"/>
      <c r="I44" s="783"/>
      <c r="J44" s="780"/>
      <c r="K44" s="786"/>
      <c r="L44" s="785"/>
      <c r="M44" s="786"/>
      <c r="N44" s="786"/>
      <c r="O44" s="780"/>
      <c r="P44" s="787"/>
      <c r="Q44" s="780"/>
      <c r="R44" s="780"/>
      <c r="S44" s="780"/>
      <c r="T44" s="780"/>
      <c r="U44" s="780"/>
      <c r="V44" s="780"/>
      <c r="W44" s="787"/>
      <c r="X44" s="780"/>
      <c r="Y44" s="780"/>
      <c r="Z44" s="780"/>
      <c r="AA44" s="780"/>
      <c r="AB44" s="788"/>
      <c r="AC44" s="781"/>
      <c r="AD44" s="780"/>
      <c r="AE44" s="789" t="str">
        <f t="array" ref="AE44:AF44">{"",'S-10 Оформление сделок Выборка'!AF44}</f>
        <v/>
      </c>
      <c r="AF44" s="790"/>
      <c r="AG44" s="781"/>
      <c r="AH44" s="781"/>
      <c r="AI44" s="785"/>
      <c r="AJ44" s="780"/>
      <c r="AK44" s="792" t="str">
        <f t="array" ref="AK44:AL44">{"",'S-10 Оформление сделок Выборка'!AL44}</f>
        <v/>
      </c>
      <c r="AL44" s="793"/>
      <c r="AM44" s="792" t="str">
        <f t="array" ref="AM44:AN44">{"",'S-10 Оформление сделок Выборка'!AN44}</f>
        <v/>
      </c>
      <c r="AN44" s="794"/>
      <c r="AO44" s="792" t="str">
        <f t="array" ref="AO44:AP44">{"",'S-10 Оформление сделок Выборка'!AP44}</f>
        <v/>
      </c>
      <c r="AP44" s="786"/>
      <c r="AQ44" s="786"/>
      <c r="AR44" s="779" t="str">
        <f t="array" ref="AR44:AS44">{"",'S-10 Оформление сделок Выборка'!AS44}</f>
        <v/>
      </c>
      <c r="AS44" s="795"/>
      <c r="AT44" s="779" t="str">
        <f t="array" ref="AT44:AU44">{"",'S-10 Оформление сделок Выборка'!AU44}</f>
        <v/>
      </c>
      <c r="AU44" s="805"/>
      <c r="AV44" s="779" t="str">
        <f t="array" ref="AV44:AW44">{"",'S-10 Оформление сделок Выборка'!AW44}</f>
        <v/>
      </c>
      <c r="AW44" s="797"/>
      <c r="AX44" s="786"/>
      <c r="AY44" s="786"/>
      <c r="AZ44" s="792" t="str">
        <f t="array" ref="AZ44:BA44">{"",'S-10 Оформление сделок Выборка'!BA44}</f>
        <v/>
      </c>
      <c r="BA44" s="798"/>
      <c r="BB44" s="792" t="str">
        <f t="array" ref="BB44:BC44">{"",'S-10 Оформление сделок Выборка'!BC44}</f>
        <v/>
      </c>
      <c r="BC44" s="799"/>
      <c r="BD44" s="792" t="str">
        <f t="array" ref="BD44:BE44">{"",'S-10 Оформление сделок Выборка'!BE44}</f>
        <v/>
      </c>
      <c r="BE44" s="793"/>
      <c r="BF44" s="800" t="str">
        <f t="array" ref="BF44:BG44">{"",'S-10 Оформление сделок Выборка'!BG44}</f>
        <v/>
      </c>
      <c r="BG44" s="794"/>
      <c r="BH44" s="794" t="str">
        <f t="array" ref="BH44:BI44">{"",'S-10 Оформление сделок Выборка'!BI44}</f>
        <v/>
      </c>
      <c r="BI44" s="794"/>
      <c r="BJ44" s="792" t="str">
        <f t="array" ref="BJ44:BK44">{"",'S-10 Оформление сделок Выборка'!BK44}</f>
        <v/>
      </c>
      <c r="BK44" s="793"/>
      <c r="BL44" s="792" t="str">
        <f t="array" ref="BL44:BM44">{"",'S-10 Оформление сделок Выборка'!BM44}</f>
        <v/>
      </c>
      <c r="BM44" s="801"/>
      <c r="BN44" s="792" t="str">
        <f t="array" ref="BN44:BO44">{"",'S-10 Оформление сделок Выборка'!BO44}</f>
        <v/>
      </c>
      <c r="BO44" s="793"/>
      <c r="BP44" s="792" t="str">
        <f t="array" ref="BP44:BQ44">{"",'S-10 Оформление сделок Выборка'!BQ44}</f>
        <v/>
      </c>
      <c r="BQ44" s="802"/>
      <c r="BR44" s="792" t="str">
        <f t="array" ref="BR44:BS44">{"",'S-10 Оформление сделок Выборка'!BS44}</f>
        <v/>
      </c>
      <c r="BS44" s="794"/>
      <c r="BT44" s="800" t="str">
        <f t="array" ref="BT44:BU44">{"",'S-10 Оформление сделок Выборка'!BU44}</f>
        <v/>
      </c>
      <c r="BU44" s="794"/>
      <c r="BV44" s="800" t="str">
        <f t="array" ref="BV44:BW44">{"",'S-10 Оформление сделок Выборка'!BW44}</f>
        <v/>
      </c>
      <c r="BW44" s="803" t="s">
        <v>96</v>
      </c>
      <c r="BX44" s="804"/>
    </row>
    <row r="45">
      <c r="A45" s="779"/>
      <c r="B45" s="779"/>
      <c r="C45" s="780" t="str">
        <f>'5-1 Сбор КП Закупки'!C45</f>
        <v/>
      </c>
      <c r="D45" s="781"/>
      <c r="E45" s="780"/>
      <c r="F45" s="783"/>
      <c r="G45" s="783"/>
      <c r="H45" s="783"/>
      <c r="I45" s="783"/>
      <c r="J45" s="780"/>
      <c r="K45" s="786"/>
      <c r="L45" s="785"/>
      <c r="M45" s="786"/>
      <c r="N45" s="786"/>
      <c r="O45" s="780"/>
      <c r="P45" s="787"/>
      <c r="Q45" s="780"/>
      <c r="R45" s="780"/>
      <c r="S45" s="780"/>
      <c r="T45" s="780"/>
      <c r="U45" s="780"/>
      <c r="V45" s="780"/>
      <c r="W45" s="787"/>
      <c r="X45" s="780"/>
      <c r="Y45" s="780"/>
      <c r="Z45" s="780"/>
      <c r="AA45" s="780"/>
      <c r="AB45" s="788"/>
      <c r="AC45" s="781"/>
      <c r="AD45" s="780"/>
      <c r="AE45" s="789" t="str">
        <f t="array" ref="AE45:AF45">{"",'S-10 Оформление сделок Выборка'!AF45}</f>
        <v/>
      </c>
      <c r="AF45" s="790"/>
      <c r="AG45" s="781"/>
      <c r="AH45" s="781"/>
      <c r="AI45" s="785"/>
      <c r="AJ45" s="780"/>
      <c r="AK45" s="792" t="str">
        <f t="array" ref="AK45:AL45">{"",'S-10 Оформление сделок Выборка'!AL45}</f>
        <v/>
      </c>
      <c r="AL45" s="793"/>
      <c r="AM45" s="792" t="str">
        <f t="array" ref="AM45:AN45">{"",'S-10 Оформление сделок Выборка'!AN45}</f>
        <v/>
      </c>
      <c r="AN45" s="794"/>
      <c r="AO45" s="792" t="str">
        <f t="array" ref="AO45:AP45">{"",'S-10 Оформление сделок Выборка'!AP45}</f>
        <v/>
      </c>
      <c r="AP45" s="786"/>
      <c r="AQ45" s="786"/>
      <c r="AR45" s="779" t="str">
        <f t="array" ref="AR45:AS45">{"",'S-10 Оформление сделок Выборка'!AS45}</f>
        <v/>
      </c>
      <c r="AS45" s="795"/>
      <c r="AT45" s="779" t="str">
        <f t="array" ref="AT45:AU45">{"",'S-10 Оформление сделок Выборка'!AU45}</f>
        <v/>
      </c>
      <c r="AU45" s="805"/>
      <c r="AV45" s="779" t="str">
        <f t="array" ref="AV45:AW45">{"",'S-10 Оформление сделок Выборка'!AW45}</f>
        <v/>
      </c>
      <c r="AW45" s="797"/>
      <c r="AX45" s="786"/>
      <c r="AY45" s="786"/>
      <c r="AZ45" s="792" t="str">
        <f t="array" ref="AZ45:BA45">{"",'S-10 Оформление сделок Выборка'!BA45}</f>
        <v/>
      </c>
      <c r="BA45" s="798"/>
      <c r="BB45" s="792" t="str">
        <f t="array" ref="BB45:BC45">{"",'S-10 Оформление сделок Выборка'!BC45}</f>
        <v/>
      </c>
      <c r="BC45" s="799"/>
      <c r="BD45" s="792" t="str">
        <f t="array" ref="BD45:BE45">{"",'S-10 Оформление сделок Выборка'!BE45}</f>
        <v/>
      </c>
      <c r="BE45" s="793"/>
      <c r="BF45" s="800" t="str">
        <f t="array" ref="BF45:BG45">{"",'S-10 Оформление сделок Выборка'!BG45}</f>
        <v/>
      </c>
      <c r="BG45" s="794"/>
      <c r="BH45" s="794" t="str">
        <f t="array" ref="BH45:BI45">{"",'S-10 Оформление сделок Выборка'!BI45}</f>
        <v/>
      </c>
      <c r="BI45" s="794"/>
      <c r="BJ45" s="792" t="str">
        <f t="array" ref="BJ45:BK45">{"",'S-10 Оформление сделок Выборка'!BK45}</f>
        <v/>
      </c>
      <c r="BK45" s="793"/>
      <c r="BL45" s="792" t="str">
        <f t="array" ref="BL45:BM45">{"",'S-10 Оформление сделок Выборка'!BM45}</f>
        <v/>
      </c>
      <c r="BM45" s="801"/>
      <c r="BN45" s="792" t="str">
        <f t="array" ref="BN45:BO45">{"",'S-10 Оформление сделок Выборка'!BO45}</f>
        <v/>
      </c>
      <c r="BO45" s="793"/>
      <c r="BP45" s="792" t="str">
        <f t="array" ref="BP45:BQ45">{"",'S-10 Оформление сделок Выборка'!BQ45}</f>
        <v/>
      </c>
      <c r="BQ45" s="802"/>
      <c r="BR45" s="792" t="str">
        <f t="array" ref="BR45:BS45">{"",'S-10 Оформление сделок Выборка'!BS45}</f>
        <v/>
      </c>
      <c r="BS45" s="794"/>
      <c r="BT45" s="800" t="str">
        <f t="array" ref="BT45:BU45">{"",'S-10 Оформление сделок Выборка'!BU45}</f>
        <v/>
      </c>
      <c r="BU45" s="794"/>
      <c r="BV45" s="800" t="str">
        <f t="array" ref="BV45:BW45">{"",'S-10 Оформление сделок Выборка'!BW45}</f>
        <v/>
      </c>
      <c r="BW45" s="803" t="s">
        <v>96</v>
      </c>
      <c r="BX45" s="804"/>
    </row>
    <row r="46">
      <c r="A46" s="779"/>
      <c r="B46" s="779"/>
      <c r="C46" s="780" t="str">
        <f>'5-1 Сбор КП Закупки'!C46</f>
        <v/>
      </c>
      <c r="D46" s="781"/>
      <c r="E46" s="780"/>
      <c r="F46" s="783"/>
      <c r="G46" s="783"/>
      <c r="H46" s="783"/>
      <c r="I46" s="783"/>
      <c r="J46" s="780"/>
      <c r="K46" s="786"/>
      <c r="L46" s="785"/>
      <c r="M46" s="786"/>
      <c r="N46" s="786"/>
      <c r="O46" s="780"/>
      <c r="P46" s="787"/>
      <c r="Q46" s="780"/>
      <c r="R46" s="780"/>
      <c r="S46" s="780"/>
      <c r="T46" s="780"/>
      <c r="U46" s="780"/>
      <c r="V46" s="780"/>
      <c r="W46" s="787"/>
      <c r="X46" s="780"/>
      <c r="Y46" s="780"/>
      <c r="Z46" s="780"/>
      <c r="AA46" s="780"/>
      <c r="AB46" s="788"/>
      <c r="AC46" s="781"/>
      <c r="AD46" s="780"/>
      <c r="AE46" s="789" t="str">
        <f t="array" ref="AE46:AF46">{"",'S-10 Оформление сделок Выборка'!AF46}</f>
        <v/>
      </c>
      <c r="AF46" s="790"/>
      <c r="AG46" s="781"/>
      <c r="AH46" s="781"/>
      <c r="AI46" s="785"/>
      <c r="AJ46" s="780"/>
      <c r="AK46" s="792" t="str">
        <f t="array" ref="AK46:AL46">{"",'S-10 Оформление сделок Выборка'!AL46}</f>
        <v/>
      </c>
      <c r="AL46" s="793"/>
      <c r="AM46" s="792" t="str">
        <f t="array" ref="AM46:AN46">{"",'S-10 Оформление сделок Выборка'!AN46}</f>
        <v/>
      </c>
      <c r="AN46" s="794"/>
      <c r="AO46" s="792" t="str">
        <f t="array" ref="AO46:AP46">{"",'S-10 Оформление сделок Выборка'!AP46}</f>
        <v/>
      </c>
      <c r="AP46" s="786"/>
      <c r="AQ46" s="786"/>
      <c r="AR46" s="779" t="str">
        <f t="array" ref="AR46:AS46">{"",'S-10 Оформление сделок Выборка'!AS46}</f>
        <v/>
      </c>
      <c r="AS46" s="795"/>
      <c r="AT46" s="779" t="str">
        <f t="array" ref="AT46:AU46">{"",'S-10 Оформление сделок Выборка'!AU46}</f>
        <v/>
      </c>
      <c r="AU46" s="805"/>
      <c r="AV46" s="779" t="str">
        <f t="array" ref="AV46:AW46">{"",'S-10 Оформление сделок Выборка'!AW46}</f>
        <v/>
      </c>
      <c r="AW46" s="797"/>
      <c r="AX46" s="786"/>
      <c r="AY46" s="786"/>
      <c r="AZ46" s="792" t="str">
        <f t="array" ref="AZ46:BA46">{"",'S-10 Оформление сделок Выборка'!BA46}</f>
        <v/>
      </c>
      <c r="BA46" s="798"/>
      <c r="BB46" s="792" t="str">
        <f t="array" ref="BB46:BC46">{"",'S-10 Оформление сделок Выборка'!BC46}</f>
        <v/>
      </c>
      <c r="BC46" s="799"/>
      <c r="BD46" s="792" t="str">
        <f t="array" ref="BD46:BE46">{"",'S-10 Оформление сделок Выборка'!BE46}</f>
        <v/>
      </c>
      <c r="BE46" s="793"/>
      <c r="BF46" s="800" t="str">
        <f t="array" ref="BF46:BG46">{"",'S-10 Оформление сделок Выборка'!BG46}</f>
        <v/>
      </c>
      <c r="BG46" s="794"/>
      <c r="BH46" s="794" t="str">
        <f t="array" ref="BH46:BI46">{"",'S-10 Оформление сделок Выборка'!BI46}</f>
        <v/>
      </c>
      <c r="BI46" s="794"/>
      <c r="BJ46" s="792" t="str">
        <f t="array" ref="BJ46:BK46">{"",'S-10 Оформление сделок Выборка'!BK46}</f>
        <v/>
      </c>
      <c r="BK46" s="793"/>
      <c r="BL46" s="792" t="str">
        <f t="array" ref="BL46:BM46">{"",'S-10 Оформление сделок Выборка'!BM46}</f>
        <v/>
      </c>
      <c r="BM46" s="801"/>
      <c r="BN46" s="792" t="str">
        <f t="array" ref="BN46:BO46">{"",'S-10 Оформление сделок Выборка'!BO46}</f>
        <v/>
      </c>
      <c r="BO46" s="793"/>
      <c r="BP46" s="792" t="str">
        <f t="array" ref="BP46:BQ46">{"",'S-10 Оформление сделок Выборка'!BQ46}</f>
        <v/>
      </c>
      <c r="BQ46" s="802"/>
      <c r="BR46" s="792" t="str">
        <f t="array" ref="BR46:BS46">{"",'S-10 Оформление сделок Выборка'!BS46}</f>
        <v/>
      </c>
      <c r="BS46" s="794"/>
      <c r="BT46" s="800" t="str">
        <f t="array" ref="BT46:BU46">{"",'S-10 Оформление сделок Выборка'!BU46}</f>
        <v/>
      </c>
      <c r="BU46" s="794"/>
      <c r="BV46" s="800" t="str">
        <f t="array" ref="BV46:BW46">{"",'S-10 Оформление сделок Выборка'!BW46}</f>
        <v/>
      </c>
      <c r="BW46" s="803" t="s">
        <v>96</v>
      </c>
      <c r="BX46" s="804"/>
    </row>
    <row r="47">
      <c r="A47" s="779"/>
      <c r="B47" s="779"/>
      <c r="C47" s="780" t="str">
        <f>'5-1 Сбор КП Закупки'!C47</f>
        <v/>
      </c>
      <c r="D47" s="781"/>
      <c r="E47" s="780"/>
      <c r="F47" s="783"/>
      <c r="G47" s="783"/>
      <c r="H47" s="783"/>
      <c r="I47" s="783"/>
      <c r="J47" s="780"/>
      <c r="K47" s="786"/>
      <c r="L47" s="785"/>
      <c r="M47" s="786"/>
      <c r="N47" s="786"/>
      <c r="O47" s="780"/>
      <c r="P47" s="787"/>
      <c r="Q47" s="780"/>
      <c r="R47" s="780"/>
      <c r="S47" s="780"/>
      <c r="T47" s="780"/>
      <c r="U47" s="780"/>
      <c r="V47" s="780"/>
      <c r="W47" s="787"/>
      <c r="X47" s="780"/>
      <c r="Y47" s="780"/>
      <c r="Z47" s="780"/>
      <c r="AA47" s="780"/>
      <c r="AB47" s="788"/>
      <c r="AC47" s="781"/>
      <c r="AD47" s="780"/>
      <c r="AE47" s="789" t="str">
        <f t="array" ref="AE47:AF47">{"",'S-10 Оформление сделок Выборка'!AF47}</f>
        <v/>
      </c>
      <c r="AF47" s="790"/>
      <c r="AG47" s="781"/>
      <c r="AH47" s="781"/>
      <c r="AI47" s="785"/>
      <c r="AJ47" s="780"/>
      <c r="AK47" s="792" t="str">
        <f t="array" ref="AK47:AL47">{"",'S-10 Оформление сделок Выборка'!AL47}</f>
        <v/>
      </c>
      <c r="AL47" s="793"/>
      <c r="AM47" s="792" t="str">
        <f t="array" ref="AM47:AN47">{"",'S-10 Оформление сделок Выборка'!AN47}</f>
        <v/>
      </c>
      <c r="AN47" s="794"/>
      <c r="AO47" s="792" t="str">
        <f t="array" ref="AO47:AP47">{"",'S-10 Оформление сделок Выборка'!AP47}</f>
        <v/>
      </c>
      <c r="AP47" s="786"/>
      <c r="AQ47" s="786"/>
      <c r="AR47" s="779" t="str">
        <f t="array" ref="AR47:AS47">{"",'S-10 Оформление сделок Выборка'!AS47}</f>
        <v/>
      </c>
      <c r="AS47" s="795"/>
      <c r="AT47" s="779" t="str">
        <f t="array" ref="AT47:AU47">{"",'S-10 Оформление сделок Выборка'!AU47}</f>
        <v/>
      </c>
      <c r="AU47" s="805"/>
      <c r="AV47" s="779" t="str">
        <f t="array" ref="AV47:AW47">{"",'S-10 Оформление сделок Выборка'!AW47}</f>
        <v/>
      </c>
      <c r="AW47" s="797"/>
      <c r="AX47" s="786"/>
      <c r="AY47" s="786"/>
      <c r="AZ47" s="792" t="str">
        <f t="array" ref="AZ47:BA47">{"",'S-10 Оформление сделок Выборка'!BA47}</f>
        <v/>
      </c>
      <c r="BA47" s="798"/>
      <c r="BB47" s="792" t="str">
        <f t="array" ref="BB47:BC47">{"",'S-10 Оформление сделок Выборка'!BC47}</f>
        <v/>
      </c>
      <c r="BC47" s="799"/>
      <c r="BD47" s="792" t="str">
        <f t="array" ref="BD47:BE47">{"",'S-10 Оформление сделок Выборка'!BE47}</f>
        <v/>
      </c>
      <c r="BE47" s="793"/>
      <c r="BF47" s="800" t="str">
        <f t="array" ref="BF47:BG47">{"",'S-10 Оформление сделок Выборка'!BG47}</f>
        <v/>
      </c>
      <c r="BG47" s="794"/>
      <c r="BH47" s="794" t="str">
        <f t="array" ref="BH47:BI47">{"",'S-10 Оформление сделок Выборка'!BI47}</f>
        <v/>
      </c>
      <c r="BI47" s="794"/>
      <c r="BJ47" s="792" t="str">
        <f t="array" ref="BJ47:BK47">{"",'S-10 Оформление сделок Выборка'!BK47}</f>
        <v/>
      </c>
      <c r="BK47" s="793"/>
      <c r="BL47" s="792" t="str">
        <f t="array" ref="BL47:BM47">{"",'S-10 Оформление сделок Выборка'!BM47}</f>
        <v/>
      </c>
      <c r="BM47" s="801"/>
      <c r="BN47" s="792" t="str">
        <f t="array" ref="BN47:BO47">{"",'S-10 Оформление сделок Выборка'!BO47}</f>
        <v/>
      </c>
      <c r="BO47" s="793"/>
      <c r="BP47" s="792" t="str">
        <f t="array" ref="BP47:BQ47">{"",'S-10 Оформление сделок Выборка'!BQ47}</f>
        <v/>
      </c>
      <c r="BQ47" s="802"/>
      <c r="BR47" s="792" t="str">
        <f t="array" ref="BR47:BS47">{"",'S-10 Оформление сделок Выборка'!BS47}</f>
        <v/>
      </c>
      <c r="BS47" s="794"/>
      <c r="BT47" s="800" t="str">
        <f t="array" ref="BT47:BU47">{"",'S-10 Оформление сделок Выборка'!BU47}</f>
        <v/>
      </c>
      <c r="BU47" s="794"/>
      <c r="BV47" s="800" t="str">
        <f t="array" ref="BV47:BW47">{"",'S-10 Оформление сделок Выборка'!BW47}</f>
        <v/>
      </c>
      <c r="BW47" s="803" t="s">
        <v>96</v>
      </c>
      <c r="BX47" s="804"/>
    </row>
    <row r="48">
      <c r="A48" s="779"/>
      <c r="B48" s="779"/>
      <c r="C48" s="780" t="str">
        <f>'5-1 Сбор КП Закупки'!C48</f>
        <v/>
      </c>
      <c r="D48" s="781"/>
      <c r="E48" s="780"/>
      <c r="F48" s="783"/>
      <c r="G48" s="783"/>
      <c r="H48" s="783"/>
      <c r="I48" s="783"/>
      <c r="J48" s="780"/>
      <c r="K48" s="786"/>
      <c r="L48" s="785"/>
      <c r="M48" s="786"/>
      <c r="N48" s="786"/>
      <c r="O48" s="780"/>
      <c r="P48" s="787"/>
      <c r="Q48" s="780"/>
      <c r="R48" s="780"/>
      <c r="S48" s="780"/>
      <c r="T48" s="780"/>
      <c r="U48" s="780"/>
      <c r="V48" s="780"/>
      <c r="W48" s="787"/>
      <c r="X48" s="780"/>
      <c r="Y48" s="780"/>
      <c r="Z48" s="780"/>
      <c r="AA48" s="780"/>
      <c r="AB48" s="788"/>
      <c r="AC48" s="781"/>
      <c r="AD48" s="780"/>
      <c r="AE48" s="789" t="str">
        <f t="array" ref="AE48:AF48">{"",'S-10 Оформление сделок Выборка'!AF48}</f>
        <v/>
      </c>
      <c r="AF48" s="790"/>
      <c r="AG48" s="781"/>
      <c r="AH48" s="781"/>
      <c r="AI48" s="785"/>
      <c r="AJ48" s="780"/>
      <c r="AK48" s="792" t="str">
        <f t="array" ref="AK48:AL48">{"",'S-10 Оформление сделок Выборка'!AL48}</f>
        <v/>
      </c>
      <c r="AL48" s="793"/>
      <c r="AM48" s="792" t="str">
        <f t="array" ref="AM48:AN48">{"",'S-10 Оформление сделок Выборка'!AN48}</f>
        <v/>
      </c>
      <c r="AN48" s="794"/>
      <c r="AO48" s="792" t="str">
        <f t="array" ref="AO48:AP48">{"",'S-10 Оформление сделок Выборка'!AP48}</f>
        <v/>
      </c>
      <c r="AP48" s="786"/>
      <c r="AQ48" s="786"/>
      <c r="AR48" s="779" t="str">
        <f t="array" ref="AR48:AS48">{"",'S-10 Оформление сделок Выборка'!AS48}</f>
        <v/>
      </c>
      <c r="AS48" s="795"/>
      <c r="AT48" s="779" t="str">
        <f t="array" ref="AT48:AU48">{"",'S-10 Оформление сделок Выборка'!AU48}</f>
        <v/>
      </c>
      <c r="AU48" s="805"/>
      <c r="AV48" s="779" t="str">
        <f t="array" ref="AV48:AW48">{"",'S-10 Оформление сделок Выборка'!AW48}</f>
        <v/>
      </c>
      <c r="AW48" s="797"/>
      <c r="AX48" s="786"/>
      <c r="AY48" s="786"/>
      <c r="AZ48" s="792" t="str">
        <f t="array" ref="AZ48:BA48">{"",'S-10 Оформление сделок Выборка'!BA48}</f>
        <v/>
      </c>
      <c r="BA48" s="798"/>
      <c r="BB48" s="792" t="str">
        <f t="array" ref="BB48:BC48">{"",'S-10 Оформление сделок Выборка'!BC48}</f>
        <v/>
      </c>
      <c r="BC48" s="799"/>
      <c r="BD48" s="792" t="str">
        <f t="array" ref="BD48:BE48">{"",'S-10 Оформление сделок Выборка'!BE48}</f>
        <v/>
      </c>
      <c r="BE48" s="793"/>
      <c r="BF48" s="800" t="str">
        <f t="array" ref="BF48:BG48">{"",'S-10 Оформление сделок Выборка'!BG48}</f>
        <v/>
      </c>
      <c r="BG48" s="794"/>
      <c r="BH48" s="794" t="str">
        <f t="array" ref="BH48:BI48">{"",'S-10 Оформление сделок Выборка'!BI48}</f>
        <v/>
      </c>
      <c r="BI48" s="794"/>
      <c r="BJ48" s="792" t="str">
        <f t="array" ref="BJ48:BK48">{"",'S-10 Оформление сделок Выборка'!BK48}</f>
        <v/>
      </c>
      <c r="BK48" s="793"/>
      <c r="BL48" s="792" t="str">
        <f t="array" ref="BL48:BM48">{"",'S-10 Оформление сделок Выборка'!BM48}</f>
        <v/>
      </c>
      <c r="BM48" s="801"/>
      <c r="BN48" s="792" t="str">
        <f t="array" ref="BN48:BO48">{"",'S-10 Оформление сделок Выборка'!BO48}</f>
        <v/>
      </c>
      <c r="BO48" s="793"/>
      <c r="BP48" s="792" t="str">
        <f t="array" ref="BP48:BQ48">{"",'S-10 Оформление сделок Выборка'!BQ48}</f>
        <v/>
      </c>
      <c r="BQ48" s="802"/>
      <c r="BR48" s="792" t="str">
        <f t="array" ref="BR48:BS48">{"",'S-10 Оформление сделок Выборка'!BS48}</f>
        <v/>
      </c>
      <c r="BS48" s="794"/>
      <c r="BT48" s="800" t="str">
        <f t="array" ref="BT48:BU48">{"",'S-10 Оформление сделок Выборка'!BU48}</f>
        <v/>
      </c>
      <c r="BU48" s="794"/>
      <c r="BV48" s="800" t="str">
        <f t="array" ref="BV48:BW48">{"",'S-10 Оформление сделок Выборка'!BW48}</f>
        <v/>
      </c>
      <c r="BW48" s="803" t="s">
        <v>96</v>
      </c>
      <c r="BX48" s="804"/>
    </row>
    <row r="49">
      <c r="A49" s="779"/>
      <c r="B49" s="779"/>
      <c r="C49" s="780" t="str">
        <f>'5-1 Сбор КП Закупки'!C49</f>
        <v/>
      </c>
      <c r="D49" s="781"/>
      <c r="E49" s="780"/>
      <c r="F49" s="783"/>
      <c r="G49" s="783"/>
      <c r="H49" s="783"/>
      <c r="I49" s="783"/>
      <c r="J49" s="780"/>
      <c r="K49" s="786"/>
      <c r="L49" s="785"/>
      <c r="M49" s="786"/>
      <c r="N49" s="786"/>
      <c r="O49" s="780"/>
      <c r="P49" s="787"/>
      <c r="Q49" s="780"/>
      <c r="R49" s="780"/>
      <c r="S49" s="780"/>
      <c r="T49" s="780"/>
      <c r="U49" s="780"/>
      <c r="V49" s="780"/>
      <c r="W49" s="787"/>
      <c r="X49" s="780"/>
      <c r="Y49" s="780"/>
      <c r="Z49" s="780"/>
      <c r="AA49" s="780"/>
      <c r="AB49" s="788"/>
      <c r="AC49" s="781"/>
      <c r="AD49" s="780"/>
      <c r="AE49" s="789" t="str">
        <f t="array" ref="AE49:AF49">{"",'S-10 Оформление сделок Выборка'!AF49}</f>
        <v/>
      </c>
      <c r="AF49" s="790"/>
      <c r="AG49" s="781"/>
      <c r="AH49" s="781"/>
      <c r="AI49" s="785"/>
      <c r="AJ49" s="780"/>
      <c r="AK49" s="792" t="str">
        <f t="array" ref="AK49:AL49">{"",'S-10 Оформление сделок Выборка'!AL49}</f>
        <v/>
      </c>
      <c r="AL49" s="793"/>
      <c r="AM49" s="792" t="str">
        <f t="array" ref="AM49:AN49">{"",'S-10 Оформление сделок Выборка'!AN49}</f>
        <v/>
      </c>
      <c r="AN49" s="794"/>
      <c r="AO49" s="792" t="str">
        <f t="array" ref="AO49:AP49">{"",'S-10 Оформление сделок Выборка'!AP49}</f>
        <v/>
      </c>
      <c r="AP49" s="786"/>
      <c r="AQ49" s="786"/>
      <c r="AR49" s="779" t="str">
        <f t="array" ref="AR49:AS49">{"",'S-10 Оформление сделок Выборка'!AS49}</f>
        <v/>
      </c>
      <c r="AS49" s="795"/>
      <c r="AT49" s="779" t="str">
        <f t="array" ref="AT49:AU49">{"",'S-10 Оформление сделок Выборка'!AU49}</f>
        <v/>
      </c>
      <c r="AU49" s="805"/>
      <c r="AV49" s="779" t="str">
        <f t="array" ref="AV49:AW49">{"",'S-10 Оформление сделок Выборка'!AW49}</f>
        <v/>
      </c>
      <c r="AW49" s="797"/>
      <c r="AX49" s="786"/>
      <c r="AY49" s="786"/>
      <c r="AZ49" s="792" t="str">
        <f t="array" ref="AZ49:BA49">{"",'S-10 Оформление сделок Выборка'!BA49}</f>
        <v/>
      </c>
      <c r="BA49" s="798"/>
      <c r="BB49" s="792" t="str">
        <f t="array" ref="BB49:BC49">{"",'S-10 Оформление сделок Выборка'!BC49}</f>
        <v/>
      </c>
      <c r="BC49" s="799"/>
      <c r="BD49" s="792" t="str">
        <f t="array" ref="BD49:BE49">{"",'S-10 Оформление сделок Выборка'!BE49}</f>
        <v/>
      </c>
      <c r="BE49" s="793"/>
      <c r="BF49" s="800" t="str">
        <f t="array" ref="BF49:BG49">{"",'S-10 Оформление сделок Выборка'!BG49}</f>
        <v/>
      </c>
      <c r="BG49" s="794"/>
      <c r="BH49" s="794" t="str">
        <f t="array" ref="BH49:BI49">{"",'S-10 Оформление сделок Выборка'!BI49}</f>
        <v/>
      </c>
      <c r="BI49" s="794"/>
      <c r="BJ49" s="792" t="str">
        <f t="array" ref="BJ49:BK49">{"",'S-10 Оформление сделок Выборка'!BK49}</f>
        <v/>
      </c>
      <c r="BK49" s="793"/>
      <c r="BL49" s="792" t="str">
        <f t="array" ref="BL49:BM49">{"",'S-10 Оформление сделок Выборка'!BM49}</f>
        <v/>
      </c>
      <c r="BM49" s="801"/>
      <c r="BN49" s="792" t="str">
        <f t="array" ref="BN49:BO49">{"",'S-10 Оформление сделок Выборка'!BO49}</f>
        <v/>
      </c>
      <c r="BO49" s="793"/>
      <c r="BP49" s="792" t="str">
        <f t="array" ref="BP49:BQ49">{"",'S-10 Оформление сделок Выборка'!BQ49}</f>
        <v/>
      </c>
      <c r="BQ49" s="802"/>
      <c r="BR49" s="792" t="str">
        <f t="array" ref="BR49:BS49">{"",'S-10 Оформление сделок Выборка'!BS49}</f>
        <v/>
      </c>
      <c r="BS49" s="794"/>
      <c r="BT49" s="800" t="str">
        <f t="array" ref="BT49:BU49">{"",'S-10 Оформление сделок Выборка'!BU49}</f>
        <v/>
      </c>
      <c r="BU49" s="794"/>
      <c r="BV49" s="800" t="str">
        <f t="array" ref="BV49:BW49">{"",'S-10 Оформление сделок Выборка'!BW49}</f>
        <v/>
      </c>
      <c r="BW49" s="803" t="s">
        <v>96</v>
      </c>
      <c r="BX49" s="804"/>
    </row>
    <row r="50">
      <c r="A50" s="779"/>
      <c r="B50" s="779"/>
      <c r="C50" s="780" t="str">
        <f>'5-1 Сбор КП Закупки'!C50</f>
        <v/>
      </c>
      <c r="D50" s="781"/>
      <c r="E50" s="780"/>
      <c r="F50" s="783"/>
      <c r="G50" s="783"/>
      <c r="H50" s="783"/>
      <c r="I50" s="783"/>
      <c r="J50" s="780"/>
      <c r="K50" s="786"/>
      <c r="L50" s="785"/>
      <c r="M50" s="786"/>
      <c r="N50" s="786"/>
      <c r="O50" s="780"/>
      <c r="P50" s="787"/>
      <c r="Q50" s="780"/>
      <c r="R50" s="780"/>
      <c r="S50" s="780"/>
      <c r="T50" s="780"/>
      <c r="U50" s="780"/>
      <c r="V50" s="780"/>
      <c r="W50" s="787"/>
      <c r="X50" s="780"/>
      <c r="Y50" s="780"/>
      <c r="Z50" s="780"/>
      <c r="AA50" s="780"/>
      <c r="AB50" s="788"/>
      <c r="AC50" s="781"/>
      <c r="AD50" s="780"/>
      <c r="AE50" s="789" t="str">
        <f t="array" ref="AE50:AF50">{"",'S-10 Оформление сделок Выборка'!AF50}</f>
        <v/>
      </c>
      <c r="AF50" s="790"/>
      <c r="AG50" s="781"/>
      <c r="AH50" s="781"/>
      <c r="AI50" s="785"/>
      <c r="AJ50" s="780"/>
      <c r="AK50" s="792" t="str">
        <f t="array" ref="AK50:AL50">{"",'S-10 Оформление сделок Выборка'!AL50}</f>
        <v/>
      </c>
      <c r="AL50" s="793"/>
      <c r="AM50" s="792" t="str">
        <f t="array" ref="AM50:AN50">{"",'S-10 Оформление сделок Выборка'!AN50}</f>
        <v/>
      </c>
      <c r="AN50" s="794"/>
      <c r="AO50" s="792" t="str">
        <f t="array" ref="AO50:AP50">{"",'S-10 Оформление сделок Выборка'!AP50}</f>
        <v/>
      </c>
      <c r="AP50" s="786"/>
      <c r="AQ50" s="786"/>
      <c r="AR50" s="779" t="str">
        <f t="array" ref="AR50:AS50">{"",'S-10 Оформление сделок Выборка'!AS50}</f>
        <v/>
      </c>
      <c r="AS50" s="795"/>
      <c r="AT50" s="779" t="str">
        <f t="array" ref="AT50:AU50">{"",'S-10 Оформление сделок Выборка'!AU50}</f>
        <v/>
      </c>
      <c r="AU50" s="805"/>
      <c r="AV50" s="779" t="str">
        <f t="array" ref="AV50:AW50">{"",'S-10 Оформление сделок Выборка'!AW50}</f>
        <v/>
      </c>
      <c r="AW50" s="797"/>
      <c r="AX50" s="786"/>
      <c r="AY50" s="786"/>
      <c r="AZ50" s="792" t="str">
        <f t="array" ref="AZ50:BA50">{"",'S-10 Оформление сделок Выборка'!BA50}</f>
        <v/>
      </c>
      <c r="BA50" s="798"/>
      <c r="BB50" s="792" t="str">
        <f t="array" ref="BB50:BC50">{"",'S-10 Оформление сделок Выборка'!BC50}</f>
        <v/>
      </c>
      <c r="BC50" s="799"/>
      <c r="BD50" s="792" t="str">
        <f t="array" ref="BD50:BE50">{"",'S-10 Оформление сделок Выборка'!BE50}</f>
        <v/>
      </c>
      <c r="BE50" s="793"/>
      <c r="BF50" s="800" t="str">
        <f t="array" ref="BF50:BG50">{"",'S-10 Оформление сделок Выборка'!BG50}</f>
        <v/>
      </c>
      <c r="BG50" s="794"/>
      <c r="BH50" s="794" t="str">
        <f t="array" ref="BH50:BI50">{"",'S-10 Оформление сделок Выборка'!BI50}</f>
        <v/>
      </c>
      <c r="BI50" s="794"/>
      <c r="BJ50" s="792" t="str">
        <f t="array" ref="BJ50:BK50">{"",'S-10 Оформление сделок Выборка'!BK50}</f>
        <v/>
      </c>
      <c r="BK50" s="793"/>
      <c r="BL50" s="792" t="str">
        <f t="array" ref="BL50:BM50">{"",'S-10 Оформление сделок Выборка'!BM50}</f>
        <v/>
      </c>
      <c r="BM50" s="801"/>
      <c r="BN50" s="792" t="str">
        <f t="array" ref="BN50:BO50">{"",'S-10 Оформление сделок Выборка'!BO50}</f>
        <v/>
      </c>
      <c r="BO50" s="793"/>
      <c r="BP50" s="792" t="str">
        <f t="array" ref="BP50:BQ50">{"",'S-10 Оформление сделок Выборка'!BQ50}</f>
        <v/>
      </c>
      <c r="BQ50" s="802"/>
      <c r="BR50" s="792" t="str">
        <f t="array" ref="BR50:BS50">{"",'S-10 Оформление сделок Выборка'!BS50}</f>
        <v/>
      </c>
      <c r="BS50" s="794"/>
      <c r="BT50" s="800" t="str">
        <f t="array" ref="BT50:BU50">{"",'S-10 Оформление сделок Выборка'!BU50}</f>
        <v/>
      </c>
      <c r="BU50" s="794"/>
      <c r="BV50" s="800" t="str">
        <f t="array" ref="BV50:BW50">{"",'S-10 Оформление сделок Выборка'!BW50}</f>
        <v/>
      </c>
      <c r="BW50" s="803" t="s">
        <v>96</v>
      </c>
      <c r="BX50" s="804"/>
    </row>
    <row r="51">
      <c r="A51" s="779"/>
      <c r="B51" s="779"/>
      <c r="C51" s="780" t="str">
        <f>'5-1 Сбор КП Закупки'!C51</f>
        <v/>
      </c>
      <c r="D51" s="781"/>
      <c r="E51" s="780"/>
      <c r="F51" s="783"/>
      <c r="G51" s="783"/>
      <c r="H51" s="783"/>
      <c r="I51" s="783"/>
      <c r="J51" s="780"/>
      <c r="K51" s="786"/>
      <c r="L51" s="785"/>
      <c r="M51" s="786"/>
      <c r="N51" s="786"/>
      <c r="O51" s="780"/>
      <c r="P51" s="787"/>
      <c r="Q51" s="780"/>
      <c r="R51" s="780"/>
      <c r="S51" s="780"/>
      <c r="T51" s="780"/>
      <c r="U51" s="780"/>
      <c r="V51" s="780"/>
      <c r="W51" s="787"/>
      <c r="X51" s="780"/>
      <c r="Y51" s="780"/>
      <c r="Z51" s="780"/>
      <c r="AA51" s="780"/>
      <c r="AB51" s="788"/>
      <c r="AC51" s="781"/>
      <c r="AD51" s="780"/>
      <c r="AE51" s="789" t="str">
        <f t="array" ref="AE51:AF51">{"",'S-10 Оформление сделок Выборка'!AF51}</f>
        <v/>
      </c>
      <c r="AF51" s="790"/>
      <c r="AG51" s="781"/>
      <c r="AH51" s="781"/>
      <c r="AI51" s="785"/>
      <c r="AJ51" s="780"/>
      <c r="AK51" s="792" t="str">
        <f t="array" ref="AK51:AL51">{"",'S-10 Оформление сделок Выборка'!AL51}</f>
        <v/>
      </c>
      <c r="AL51" s="793"/>
      <c r="AM51" s="792" t="str">
        <f t="array" ref="AM51:AN51">{"",'S-10 Оформление сделок Выборка'!AN51}</f>
        <v/>
      </c>
      <c r="AN51" s="794"/>
      <c r="AO51" s="792" t="str">
        <f t="array" ref="AO51:AP51">{"",'S-10 Оформление сделок Выборка'!AP51}</f>
        <v/>
      </c>
      <c r="AP51" s="786"/>
      <c r="AQ51" s="786"/>
      <c r="AR51" s="779" t="str">
        <f t="array" ref="AR51:AS51">{"",'S-10 Оформление сделок Выборка'!AS51}</f>
        <v/>
      </c>
      <c r="AS51" s="795"/>
      <c r="AT51" s="779" t="str">
        <f t="array" ref="AT51:AU51">{"",'S-10 Оформление сделок Выборка'!AU51}</f>
        <v/>
      </c>
      <c r="AU51" s="805"/>
      <c r="AV51" s="779" t="str">
        <f t="array" ref="AV51:AW51">{"",'S-10 Оформление сделок Выборка'!AW51}</f>
        <v/>
      </c>
      <c r="AW51" s="797"/>
      <c r="AX51" s="786"/>
      <c r="AY51" s="786"/>
      <c r="AZ51" s="792" t="str">
        <f t="array" ref="AZ51:BA51">{"",'S-10 Оформление сделок Выборка'!BA51}</f>
        <v/>
      </c>
      <c r="BA51" s="798"/>
      <c r="BB51" s="792" t="str">
        <f t="array" ref="BB51:BC51">{"",'S-10 Оформление сделок Выборка'!BC51}</f>
        <v/>
      </c>
      <c r="BC51" s="799"/>
      <c r="BD51" s="792" t="str">
        <f t="array" ref="BD51:BE51">{"",'S-10 Оформление сделок Выборка'!BE51}</f>
        <v/>
      </c>
      <c r="BE51" s="793"/>
      <c r="BF51" s="800" t="str">
        <f t="array" ref="BF51:BG51">{"",'S-10 Оформление сделок Выборка'!BG51}</f>
        <v/>
      </c>
      <c r="BG51" s="794"/>
      <c r="BH51" s="794" t="str">
        <f t="array" ref="BH51:BI51">{"",'S-10 Оформление сделок Выборка'!BI51}</f>
        <v/>
      </c>
      <c r="BI51" s="794"/>
      <c r="BJ51" s="792" t="str">
        <f t="array" ref="BJ51:BK51">{"",'S-10 Оформление сделок Выборка'!BK51}</f>
        <v/>
      </c>
      <c r="BK51" s="793"/>
      <c r="BL51" s="792" t="str">
        <f t="array" ref="BL51:BM51">{"",'S-10 Оформление сделок Выборка'!BM51}</f>
        <v/>
      </c>
      <c r="BM51" s="801"/>
      <c r="BN51" s="792" t="str">
        <f t="array" ref="BN51:BO51">{"",'S-10 Оформление сделок Выборка'!BO51}</f>
        <v/>
      </c>
      <c r="BO51" s="793"/>
      <c r="BP51" s="792" t="str">
        <f t="array" ref="BP51:BQ51">{"",'S-10 Оформление сделок Выборка'!BQ51}</f>
        <v/>
      </c>
      <c r="BQ51" s="802"/>
      <c r="BR51" s="792" t="str">
        <f t="array" ref="BR51:BS51">{"",'S-10 Оформление сделок Выборка'!BS51}</f>
        <v/>
      </c>
      <c r="BS51" s="794"/>
      <c r="BT51" s="800" t="str">
        <f t="array" ref="BT51:BU51">{"",'S-10 Оформление сделок Выборка'!BU51}</f>
        <v/>
      </c>
      <c r="BU51" s="794"/>
      <c r="BV51" s="800" t="str">
        <f t="array" ref="BV51:BW51">{"",'S-10 Оформление сделок Выборка'!BW51}</f>
        <v/>
      </c>
      <c r="BW51" s="803" t="s">
        <v>96</v>
      </c>
      <c r="BX51" s="804"/>
    </row>
    <row r="52">
      <c r="A52" s="779"/>
      <c r="B52" s="779"/>
      <c r="C52" s="780" t="str">
        <f>'5-1 Сбор КП Закупки'!C52</f>
        <v/>
      </c>
      <c r="D52" s="781"/>
      <c r="E52" s="780"/>
      <c r="F52" s="783"/>
      <c r="G52" s="783"/>
      <c r="H52" s="783"/>
      <c r="I52" s="783"/>
      <c r="J52" s="780"/>
      <c r="K52" s="786"/>
      <c r="L52" s="785"/>
      <c r="M52" s="786"/>
      <c r="N52" s="786"/>
      <c r="O52" s="780"/>
      <c r="P52" s="787"/>
      <c r="Q52" s="780"/>
      <c r="R52" s="780"/>
      <c r="S52" s="780"/>
      <c r="T52" s="780"/>
      <c r="U52" s="780"/>
      <c r="V52" s="780"/>
      <c r="W52" s="787"/>
      <c r="X52" s="780"/>
      <c r="Y52" s="780"/>
      <c r="Z52" s="780"/>
      <c r="AA52" s="780"/>
      <c r="AB52" s="788"/>
      <c r="AC52" s="781"/>
      <c r="AD52" s="780"/>
      <c r="AE52" s="789" t="str">
        <f t="array" ref="AE52:AF52">{"",'S-10 Оформление сделок Выборка'!AF52}</f>
        <v/>
      </c>
      <c r="AF52" s="790"/>
      <c r="AG52" s="781"/>
      <c r="AH52" s="781"/>
      <c r="AI52" s="785"/>
      <c r="AJ52" s="780"/>
      <c r="AK52" s="792" t="str">
        <f t="array" ref="AK52:AL52">{"",'S-10 Оформление сделок Выборка'!AL52}</f>
        <v/>
      </c>
      <c r="AL52" s="793"/>
      <c r="AM52" s="792" t="str">
        <f t="array" ref="AM52:AN52">{"",'S-10 Оформление сделок Выборка'!AN52}</f>
        <v/>
      </c>
      <c r="AN52" s="794"/>
      <c r="AO52" s="792" t="str">
        <f t="array" ref="AO52:AP52">{"",'S-10 Оформление сделок Выборка'!AP52}</f>
        <v/>
      </c>
      <c r="AP52" s="786"/>
      <c r="AQ52" s="786"/>
      <c r="AR52" s="779" t="str">
        <f t="array" ref="AR52:AS52">{"",'S-10 Оформление сделок Выборка'!AS52}</f>
        <v/>
      </c>
      <c r="AS52" s="795"/>
      <c r="AT52" s="779" t="str">
        <f t="array" ref="AT52:AU52">{"",'S-10 Оформление сделок Выборка'!AU52}</f>
        <v/>
      </c>
      <c r="AU52" s="805"/>
      <c r="AV52" s="779" t="str">
        <f t="array" ref="AV52:AW52">{"",'S-10 Оформление сделок Выборка'!AW52}</f>
        <v/>
      </c>
      <c r="AW52" s="797"/>
      <c r="AX52" s="786"/>
      <c r="AY52" s="786"/>
      <c r="AZ52" s="792" t="str">
        <f t="array" ref="AZ52:BA52">{"",'S-10 Оформление сделок Выборка'!BA52}</f>
        <v/>
      </c>
      <c r="BA52" s="798"/>
      <c r="BB52" s="792" t="str">
        <f t="array" ref="BB52:BC52">{"",'S-10 Оформление сделок Выборка'!BC52}</f>
        <v/>
      </c>
      <c r="BC52" s="799"/>
      <c r="BD52" s="792" t="str">
        <f t="array" ref="BD52:BE52">{"",'S-10 Оформление сделок Выборка'!BE52}</f>
        <v/>
      </c>
      <c r="BE52" s="793"/>
      <c r="BF52" s="800" t="str">
        <f t="array" ref="BF52:BG52">{"",'S-10 Оформление сделок Выборка'!BG52}</f>
        <v/>
      </c>
      <c r="BG52" s="794"/>
      <c r="BH52" s="794" t="str">
        <f t="array" ref="BH52:BI52">{"",'S-10 Оформление сделок Выборка'!BI52}</f>
        <v/>
      </c>
      <c r="BI52" s="794"/>
      <c r="BJ52" s="792" t="str">
        <f t="array" ref="BJ52:BK52">{"",'S-10 Оформление сделок Выборка'!BK52}</f>
        <v/>
      </c>
      <c r="BK52" s="793"/>
      <c r="BL52" s="792" t="str">
        <f t="array" ref="BL52:BM52">{"",'S-10 Оформление сделок Выборка'!BM52}</f>
        <v/>
      </c>
      <c r="BM52" s="801"/>
      <c r="BN52" s="792" t="str">
        <f t="array" ref="BN52:BO52">{"",'S-10 Оформление сделок Выборка'!BO52}</f>
        <v/>
      </c>
      <c r="BO52" s="793"/>
      <c r="BP52" s="792" t="str">
        <f t="array" ref="BP52:BQ52">{"",'S-10 Оформление сделок Выборка'!BQ52}</f>
        <v/>
      </c>
      <c r="BQ52" s="802"/>
      <c r="BR52" s="792" t="str">
        <f t="array" ref="BR52:BS52">{"",'S-10 Оформление сделок Выборка'!BS52}</f>
        <v/>
      </c>
      <c r="BS52" s="794"/>
      <c r="BT52" s="800" t="str">
        <f t="array" ref="BT52:BU52">{"",'S-10 Оформление сделок Выборка'!BU52}</f>
        <v/>
      </c>
      <c r="BU52" s="794"/>
      <c r="BV52" s="800" t="str">
        <f t="array" ref="BV52:BW52">{"",'S-10 Оформление сделок Выборка'!BW52}</f>
        <v/>
      </c>
      <c r="BW52" s="803" t="s">
        <v>96</v>
      </c>
      <c r="BX52" s="804"/>
    </row>
    <row r="53">
      <c r="A53" s="779"/>
      <c r="B53" s="779"/>
      <c r="C53" s="780" t="str">
        <f>'5-1 Сбор КП Закупки'!C53</f>
        <v/>
      </c>
      <c r="D53" s="781"/>
      <c r="E53" s="780"/>
      <c r="F53" s="783"/>
      <c r="G53" s="783"/>
      <c r="H53" s="783"/>
      <c r="I53" s="783"/>
      <c r="J53" s="780"/>
      <c r="K53" s="786"/>
      <c r="L53" s="785"/>
      <c r="M53" s="786"/>
      <c r="N53" s="786"/>
      <c r="O53" s="780"/>
      <c r="P53" s="787"/>
      <c r="Q53" s="780"/>
      <c r="R53" s="780"/>
      <c r="S53" s="780"/>
      <c r="T53" s="780"/>
      <c r="U53" s="780"/>
      <c r="V53" s="780"/>
      <c r="W53" s="787"/>
      <c r="X53" s="780"/>
      <c r="Y53" s="780"/>
      <c r="Z53" s="780"/>
      <c r="AA53" s="780"/>
      <c r="AB53" s="788"/>
      <c r="AC53" s="781"/>
      <c r="AD53" s="780"/>
      <c r="AE53" s="789" t="str">
        <f t="array" ref="AE53:AF53">{"",'S-10 Оформление сделок Выборка'!AF53}</f>
        <v/>
      </c>
      <c r="AF53" s="790"/>
      <c r="AG53" s="781"/>
      <c r="AH53" s="781"/>
      <c r="AI53" s="785"/>
      <c r="AJ53" s="780"/>
      <c r="AK53" s="792" t="str">
        <f t="array" ref="AK53:AL53">{"",'S-10 Оформление сделок Выборка'!AL53}</f>
        <v/>
      </c>
      <c r="AL53" s="793"/>
      <c r="AM53" s="792" t="str">
        <f t="array" ref="AM53:AN53">{"",'S-10 Оформление сделок Выборка'!AN53}</f>
        <v/>
      </c>
      <c r="AN53" s="794"/>
      <c r="AO53" s="792" t="str">
        <f t="array" ref="AO53:AP53">{"",'S-10 Оформление сделок Выборка'!AP53}</f>
        <v/>
      </c>
      <c r="AP53" s="786"/>
      <c r="AQ53" s="786"/>
      <c r="AR53" s="779" t="str">
        <f t="array" ref="AR53:AS53">{"",'S-10 Оформление сделок Выборка'!AS53}</f>
        <v/>
      </c>
      <c r="AS53" s="795"/>
      <c r="AT53" s="779" t="str">
        <f t="array" ref="AT53:AU53">{"",'S-10 Оформление сделок Выборка'!AU53}</f>
        <v/>
      </c>
      <c r="AU53" s="805"/>
      <c r="AV53" s="779" t="str">
        <f t="array" ref="AV53:AW53">{"",'S-10 Оформление сделок Выборка'!AW53}</f>
        <v/>
      </c>
      <c r="AW53" s="797"/>
      <c r="AX53" s="786"/>
      <c r="AY53" s="786"/>
      <c r="AZ53" s="792" t="str">
        <f t="array" ref="AZ53:BA53">{"",'S-10 Оформление сделок Выборка'!BA53}</f>
        <v/>
      </c>
      <c r="BA53" s="798"/>
      <c r="BB53" s="792" t="str">
        <f t="array" ref="BB53:BC53">{"",'S-10 Оформление сделок Выборка'!BC53}</f>
        <v/>
      </c>
      <c r="BC53" s="799"/>
      <c r="BD53" s="792" t="str">
        <f t="array" ref="BD53:BE53">{"",'S-10 Оформление сделок Выборка'!BE53}</f>
        <v/>
      </c>
      <c r="BE53" s="793"/>
      <c r="BF53" s="800" t="str">
        <f t="array" ref="BF53:BG53">{"",'S-10 Оформление сделок Выборка'!BG53}</f>
        <v/>
      </c>
      <c r="BG53" s="794"/>
      <c r="BH53" s="794" t="str">
        <f t="array" ref="BH53:BI53">{"",'S-10 Оформление сделок Выборка'!BI53}</f>
        <v/>
      </c>
      <c r="BI53" s="794"/>
      <c r="BJ53" s="792" t="str">
        <f t="array" ref="BJ53:BK53">{"",'S-10 Оформление сделок Выборка'!BK53}</f>
        <v/>
      </c>
      <c r="BK53" s="793"/>
      <c r="BL53" s="792" t="str">
        <f t="array" ref="BL53:BM53">{"",'S-10 Оформление сделок Выборка'!BM53}</f>
        <v/>
      </c>
      <c r="BM53" s="801"/>
      <c r="BN53" s="792" t="str">
        <f t="array" ref="BN53:BO53">{"",'S-10 Оформление сделок Выборка'!BO53}</f>
        <v/>
      </c>
      <c r="BO53" s="793"/>
      <c r="BP53" s="792" t="str">
        <f t="array" ref="BP53:BQ53">{"",'S-10 Оформление сделок Выборка'!BQ53}</f>
        <v/>
      </c>
      <c r="BQ53" s="802"/>
      <c r="BR53" s="792" t="str">
        <f t="array" ref="BR53:BS53">{"",'S-10 Оформление сделок Выборка'!BS53}</f>
        <v/>
      </c>
      <c r="BS53" s="794"/>
      <c r="BT53" s="800" t="str">
        <f t="array" ref="BT53:BU53">{"",'S-10 Оформление сделок Выборка'!BU53}</f>
        <v/>
      </c>
      <c r="BU53" s="794"/>
      <c r="BV53" s="800" t="str">
        <f t="array" ref="BV53:BW53">{"",'S-10 Оформление сделок Выборка'!BW53}</f>
        <v/>
      </c>
      <c r="BW53" s="803" t="s">
        <v>96</v>
      </c>
      <c r="BX53" s="804"/>
    </row>
    <row r="54">
      <c r="A54" s="779"/>
      <c r="B54" s="779"/>
      <c r="C54" s="780" t="str">
        <f>'5-1 Сбор КП Закупки'!C54</f>
        <v/>
      </c>
      <c r="D54" s="781"/>
      <c r="E54" s="780"/>
      <c r="F54" s="783"/>
      <c r="G54" s="783"/>
      <c r="H54" s="783"/>
      <c r="I54" s="783"/>
      <c r="J54" s="780"/>
      <c r="K54" s="786"/>
      <c r="L54" s="785"/>
      <c r="M54" s="786"/>
      <c r="N54" s="786"/>
      <c r="O54" s="780"/>
      <c r="P54" s="787"/>
      <c r="Q54" s="780"/>
      <c r="R54" s="780"/>
      <c r="S54" s="780"/>
      <c r="T54" s="780"/>
      <c r="U54" s="780"/>
      <c r="V54" s="780"/>
      <c r="W54" s="787"/>
      <c r="X54" s="780"/>
      <c r="Y54" s="780"/>
      <c r="Z54" s="780"/>
      <c r="AA54" s="780"/>
      <c r="AB54" s="788"/>
      <c r="AC54" s="781"/>
      <c r="AD54" s="780"/>
      <c r="AE54" s="789" t="str">
        <f t="array" ref="AE54:AF54">{"",'S-10 Оформление сделок Выборка'!AF54}</f>
        <v/>
      </c>
      <c r="AF54" s="790"/>
      <c r="AG54" s="781"/>
      <c r="AH54" s="781"/>
      <c r="AI54" s="785"/>
      <c r="AJ54" s="780"/>
      <c r="AK54" s="792" t="str">
        <f t="array" ref="AK54:AL54">{"",'S-10 Оформление сделок Выборка'!AL54}</f>
        <v/>
      </c>
      <c r="AL54" s="793"/>
      <c r="AM54" s="792" t="str">
        <f t="array" ref="AM54:AN54">{"",'S-10 Оформление сделок Выборка'!AN54}</f>
        <v/>
      </c>
      <c r="AN54" s="794"/>
      <c r="AO54" s="792" t="str">
        <f t="array" ref="AO54:AP54">{"",'S-10 Оформление сделок Выборка'!AP54}</f>
        <v/>
      </c>
      <c r="AP54" s="786"/>
      <c r="AQ54" s="786"/>
      <c r="AR54" s="779" t="str">
        <f t="array" ref="AR54:AS54">{"",'S-10 Оформление сделок Выборка'!AS54}</f>
        <v/>
      </c>
      <c r="AS54" s="795"/>
      <c r="AT54" s="779" t="str">
        <f t="array" ref="AT54:AU54">{"",'S-10 Оформление сделок Выборка'!AU54}</f>
        <v/>
      </c>
      <c r="AU54" s="805"/>
      <c r="AV54" s="779" t="str">
        <f t="array" ref="AV54:AW54">{"",'S-10 Оформление сделок Выборка'!AW54}</f>
        <v/>
      </c>
      <c r="AW54" s="797"/>
      <c r="AX54" s="786"/>
      <c r="AY54" s="786"/>
      <c r="AZ54" s="792" t="str">
        <f t="array" ref="AZ54:BA54">{"",'S-10 Оформление сделок Выборка'!BA54}</f>
        <v/>
      </c>
      <c r="BA54" s="798"/>
      <c r="BB54" s="792" t="str">
        <f t="array" ref="BB54:BC54">{"",'S-10 Оформление сделок Выборка'!BC54}</f>
        <v/>
      </c>
      <c r="BC54" s="799"/>
      <c r="BD54" s="792" t="str">
        <f t="array" ref="BD54:BE54">{"",'S-10 Оформление сделок Выборка'!BE54}</f>
        <v/>
      </c>
      <c r="BE54" s="793"/>
      <c r="BF54" s="800" t="str">
        <f t="array" ref="BF54:BG54">{"",'S-10 Оформление сделок Выборка'!BG54}</f>
        <v/>
      </c>
      <c r="BG54" s="794"/>
      <c r="BH54" s="794" t="str">
        <f t="array" ref="BH54:BI54">{"",'S-10 Оформление сделок Выборка'!BI54}</f>
        <v/>
      </c>
      <c r="BI54" s="794"/>
      <c r="BJ54" s="792" t="str">
        <f t="array" ref="BJ54:BK54">{"",'S-10 Оформление сделок Выборка'!BK54}</f>
        <v/>
      </c>
      <c r="BK54" s="793"/>
      <c r="BL54" s="792" t="str">
        <f t="array" ref="BL54:BM54">{"",'S-10 Оформление сделок Выборка'!BM54}</f>
        <v/>
      </c>
      <c r="BM54" s="801"/>
      <c r="BN54" s="792" t="str">
        <f t="array" ref="BN54:BO54">{"",'S-10 Оформление сделок Выборка'!BO54}</f>
        <v/>
      </c>
      <c r="BO54" s="793"/>
      <c r="BP54" s="792" t="str">
        <f t="array" ref="BP54:BQ54">{"",'S-10 Оформление сделок Выборка'!BQ54}</f>
        <v/>
      </c>
      <c r="BQ54" s="802"/>
      <c r="BR54" s="792" t="str">
        <f t="array" ref="BR54:BS54">{"",'S-10 Оформление сделок Выборка'!BS54}</f>
        <v/>
      </c>
      <c r="BS54" s="794"/>
      <c r="BT54" s="800" t="str">
        <f t="array" ref="BT54:BU54">{"",'S-10 Оформление сделок Выборка'!BU54}</f>
        <v/>
      </c>
      <c r="BU54" s="794"/>
      <c r="BV54" s="800" t="str">
        <f t="array" ref="BV54:BW54">{"",'S-10 Оформление сделок Выборка'!BW54}</f>
        <v/>
      </c>
      <c r="BW54" s="803" t="s">
        <v>96</v>
      </c>
      <c r="BX54" s="804"/>
    </row>
    <row r="55">
      <c r="A55" s="779"/>
      <c r="B55" s="779"/>
      <c r="C55" s="780" t="str">
        <f>'5-1 Сбор КП Закупки'!C55</f>
        <v/>
      </c>
      <c r="D55" s="781"/>
      <c r="E55" s="780"/>
      <c r="F55" s="783"/>
      <c r="G55" s="783"/>
      <c r="H55" s="783"/>
      <c r="I55" s="783"/>
      <c r="J55" s="780"/>
      <c r="K55" s="786"/>
      <c r="L55" s="785"/>
      <c r="M55" s="786"/>
      <c r="N55" s="786"/>
      <c r="O55" s="780"/>
      <c r="P55" s="787"/>
      <c r="Q55" s="780"/>
      <c r="R55" s="780"/>
      <c r="S55" s="780"/>
      <c r="T55" s="780"/>
      <c r="U55" s="780"/>
      <c r="V55" s="780"/>
      <c r="W55" s="787"/>
      <c r="X55" s="780"/>
      <c r="Y55" s="780"/>
      <c r="Z55" s="780"/>
      <c r="AA55" s="780"/>
      <c r="AB55" s="788"/>
      <c r="AC55" s="781"/>
      <c r="AD55" s="780"/>
      <c r="AE55" s="789" t="str">
        <f t="array" ref="AE55:AF55">{"",'S-10 Оформление сделок Выборка'!AF55}</f>
        <v/>
      </c>
      <c r="AF55" s="790"/>
      <c r="AG55" s="781"/>
      <c r="AH55" s="781"/>
      <c r="AI55" s="785"/>
      <c r="AJ55" s="780"/>
      <c r="AK55" s="792" t="str">
        <f t="array" ref="AK55:AL55">{"",'S-10 Оформление сделок Выборка'!AL55}</f>
        <v/>
      </c>
      <c r="AL55" s="793"/>
      <c r="AM55" s="792" t="str">
        <f t="array" ref="AM55:AN55">{"",'S-10 Оформление сделок Выборка'!AN55}</f>
        <v/>
      </c>
      <c r="AN55" s="794"/>
      <c r="AO55" s="792" t="str">
        <f t="array" ref="AO55:AP55">{"",'S-10 Оформление сделок Выборка'!AP55}</f>
        <v/>
      </c>
      <c r="AP55" s="786"/>
      <c r="AQ55" s="786"/>
      <c r="AR55" s="779" t="str">
        <f t="array" ref="AR55:AS55">{"",'S-10 Оформление сделок Выборка'!AS55}</f>
        <v/>
      </c>
      <c r="AS55" s="795"/>
      <c r="AT55" s="779" t="str">
        <f t="array" ref="AT55:AU55">{"",'S-10 Оформление сделок Выборка'!AU55}</f>
        <v/>
      </c>
      <c r="AU55" s="805"/>
      <c r="AV55" s="779" t="str">
        <f t="array" ref="AV55:AW55">{"",'S-10 Оформление сделок Выборка'!AW55}</f>
        <v/>
      </c>
      <c r="AW55" s="797"/>
      <c r="AX55" s="786"/>
      <c r="AY55" s="786"/>
      <c r="AZ55" s="792" t="str">
        <f t="array" ref="AZ55:BA55">{"",'S-10 Оформление сделок Выборка'!BA55}</f>
        <v/>
      </c>
      <c r="BA55" s="798"/>
      <c r="BB55" s="792" t="str">
        <f t="array" ref="BB55:BC55">{"",'S-10 Оформление сделок Выборка'!BC55}</f>
        <v/>
      </c>
      <c r="BC55" s="799"/>
      <c r="BD55" s="792" t="str">
        <f t="array" ref="BD55:BE55">{"",'S-10 Оформление сделок Выборка'!BE55}</f>
        <v/>
      </c>
      <c r="BE55" s="793"/>
      <c r="BF55" s="800" t="str">
        <f t="array" ref="BF55:BG55">{"",'S-10 Оформление сделок Выборка'!BG55}</f>
        <v/>
      </c>
      <c r="BG55" s="794"/>
      <c r="BH55" s="794" t="str">
        <f t="array" ref="BH55:BI55">{"",'S-10 Оформление сделок Выборка'!BI55}</f>
        <v/>
      </c>
      <c r="BI55" s="794"/>
      <c r="BJ55" s="792" t="str">
        <f t="array" ref="BJ55:BK55">{"",'S-10 Оформление сделок Выборка'!BK55}</f>
        <v/>
      </c>
      <c r="BK55" s="793"/>
      <c r="BL55" s="792" t="str">
        <f t="array" ref="BL55:BM55">{"",'S-10 Оформление сделок Выборка'!BM55}</f>
        <v/>
      </c>
      <c r="BM55" s="801"/>
      <c r="BN55" s="792" t="str">
        <f t="array" ref="BN55:BO55">{"",'S-10 Оформление сделок Выборка'!BO55}</f>
        <v/>
      </c>
      <c r="BO55" s="793"/>
      <c r="BP55" s="792" t="str">
        <f t="array" ref="BP55:BQ55">{"",'S-10 Оформление сделок Выборка'!BQ55}</f>
        <v/>
      </c>
      <c r="BQ55" s="802"/>
      <c r="BR55" s="792" t="str">
        <f t="array" ref="BR55:BS55">{"",'S-10 Оформление сделок Выборка'!BS55}</f>
        <v/>
      </c>
      <c r="BS55" s="794"/>
      <c r="BT55" s="800" t="str">
        <f t="array" ref="BT55:BU55">{"",'S-10 Оформление сделок Выборка'!BU55}</f>
        <v/>
      </c>
      <c r="BU55" s="794"/>
      <c r="BV55" s="800" t="str">
        <f t="array" ref="BV55:BW55">{"",'S-10 Оформление сделок Выборка'!BW55}</f>
        <v/>
      </c>
      <c r="BW55" s="803" t="s">
        <v>96</v>
      </c>
      <c r="BX55" s="804"/>
    </row>
    <row r="56">
      <c r="A56" s="779"/>
      <c r="B56" s="779"/>
      <c r="C56" s="780" t="str">
        <f>'5-1 Сбор КП Закупки'!C56</f>
        <v/>
      </c>
      <c r="D56" s="781"/>
      <c r="E56" s="780"/>
      <c r="F56" s="783"/>
      <c r="G56" s="783"/>
      <c r="H56" s="783"/>
      <c r="I56" s="783"/>
      <c r="J56" s="780"/>
      <c r="K56" s="786"/>
      <c r="L56" s="785"/>
      <c r="M56" s="786"/>
      <c r="N56" s="786"/>
      <c r="O56" s="780"/>
      <c r="P56" s="787"/>
      <c r="Q56" s="780"/>
      <c r="R56" s="780"/>
      <c r="S56" s="780"/>
      <c r="T56" s="780"/>
      <c r="U56" s="780"/>
      <c r="V56" s="780"/>
      <c r="W56" s="787"/>
      <c r="X56" s="780"/>
      <c r="Y56" s="780"/>
      <c r="Z56" s="780"/>
      <c r="AA56" s="780"/>
      <c r="AB56" s="788"/>
      <c r="AC56" s="781"/>
      <c r="AD56" s="780"/>
      <c r="AE56" s="789" t="str">
        <f t="array" ref="AE56:AF56">{"",'S-10 Оформление сделок Выборка'!AF56}</f>
        <v/>
      </c>
      <c r="AF56" s="790"/>
      <c r="AG56" s="781"/>
      <c r="AH56" s="781"/>
      <c r="AI56" s="785"/>
      <c r="AJ56" s="780"/>
      <c r="AK56" s="792" t="str">
        <f t="array" ref="AK56:AL56">{"",'S-10 Оформление сделок Выборка'!AL56}</f>
        <v/>
      </c>
      <c r="AL56" s="793"/>
      <c r="AM56" s="792" t="str">
        <f t="array" ref="AM56:AN56">{"",'S-10 Оформление сделок Выборка'!AN56}</f>
        <v/>
      </c>
      <c r="AN56" s="794"/>
      <c r="AO56" s="792" t="str">
        <f t="array" ref="AO56:AP56">{"",'S-10 Оформление сделок Выборка'!AP56}</f>
        <v/>
      </c>
      <c r="AP56" s="786"/>
      <c r="AQ56" s="786"/>
      <c r="AR56" s="779" t="str">
        <f t="array" ref="AR56:AS56">{"",'S-10 Оформление сделок Выборка'!AS56}</f>
        <v/>
      </c>
      <c r="AS56" s="795"/>
      <c r="AT56" s="779" t="str">
        <f t="array" ref="AT56:AU56">{"",'S-10 Оформление сделок Выборка'!AU56}</f>
        <v/>
      </c>
      <c r="AU56" s="805"/>
      <c r="AV56" s="779" t="str">
        <f t="array" ref="AV56:AW56">{"",'S-10 Оформление сделок Выборка'!AW56}</f>
        <v/>
      </c>
      <c r="AW56" s="797"/>
      <c r="AX56" s="786"/>
      <c r="AY56" s="786"/>
      <c r="AZ56" s="792" t="str">
        <f t="array" ref="AZ56:BA56">{"",'S-10 Оформление сделок Выборка'!BA56}</f>
        <v/>
      </c>
      <c r="BA56" s="798"/>
      <c r="BB56" s="792" t="str">
        <f t="array" ref="BB56:BC56">{"",'S-10 Оформление сделок Выборка'!BC56}</f>
        <v/>
      </c>
      <c r="BC56" s="799"/>
      <c r="BD56" s="792" t="str">
        <f t="array" ref="BD56:BE56">{"",'S-10 Оформление сделок Выборка'!BE56}</f>
        <v/>
      </c>
      <c r="BE56" s="793"/>
      <c r="BF56" s="800" t="str">
        <f t="array" ref="BF56:BG56">{"",'S-10 Оформление сделок Выборка'!BG56}</f>
        <v/>
      </c>
      <c r="BG56" s="794"/>
      <c r="BH56" s="794" t="str">
        <f t="array" ref="BH56:BI56">{"",'S-10 Оформление сделок Выборка'!BI56}</f>
        <v/>
      </c>
      <c r="BI56" s="794"/>
      <c r="BJ56" s="792" t="str">
        <f t="array" ref="BJ56:BK56">{"",'S-10 Оформление сделок Выборка'!BK56}</f>
        <v/>
      </c>
      <c r="BK56" s="793"/>
      <c r="BL56" s="792" t="str">
        <f t="array" ref="BL56:BM56">{"",'S-10 Оформление сделок Выборка'!BM56}</f>
        <v/>
      </c>
      <c r="BM56" s="801"/>
      <c r="BN56" s="792" t="str">
        <f t="array" ref="BN56:BO56">{"",'S-10 Оформление сделок Выборка'!BO56}</f>
        <v/>
      </c>
      <c r="BO56" s="793"/>
      <c r="BP56" s="792" t="str">
        <f t="array" ref="BP56:BQ56">{"",'S-10 Оформление сделок Выборка'!BQ56}</f>
        <v/>
      </c>
      <c r="BQ56" s="802"/>
      <c r="BR56" s="792" t="str">
        <f t="array" ref="BR56:BS56">{"",'S-10 Оформление сделок Выборка'!BS56}</f>
        <v/>
      </c>
      <c r="BS56" s="794"/>
      <c r="BT56" s="800" t="str">
        <f t="array" ref="BT56:BU56">{"",'S-10 Оформление сделок Выборка'!BU56}</f>
        <v/>
      </c>
      <c r="BU56" s="794"/>
      <c r="BV56" s="800" t="str">
        <f t="array" ref="BV56:BW56">{"",'S-10 Оформление сделок Выборка'!BW56}</f>
        <v/>
      </c>
      <c r="BW56" s="803" t="s">
        <v>96</v>
      </c>
      <c r="BX56" s="804"/>
    </row>
    <row r="57">
      <c r="A57" s="779"/>
      <c r="B57" s="779"/>
      <c r="C57" s="780" t="str">
        <f>'5-1 Сбор КП Закупки'!C57</f>
        <v/>
      </c>
      <c r="D57" s="781"/>
      <c r="E57" s="780"/>
      <c r="F57" s="783"/>
      <c r="G57" s="783"/>
      <c r="H57" s="783"/>
      <c r="I57" s="783"/>
      <c r="J57" s="780"/>
      <c r="K57" s="786"/>
      <c r="L57" s="785"/>
      <c r="M57" s="786"/>
      <c r="N57" s="786"/>
      <c r="O57" s="780"/>
      <c r="P57" s="787"/>
      <c r="Q57" s="780"/>
      <c r="R57" s="780"/>
      <c r="S57" s="780"/>
      <c r="T57" s="780"/>
      <c r="U57" s="780"/>
      <c r="V57" s="780"/>
      <c r="W57" s="787"/>
      <c r="X57" s="780"/>
      <c r="Y57" s="780"/>
      <c r="Z57" s="780"/>
      <c r="AA57" s="780"/>
      <c r="AB57" s="788"/>
      <c r="AC57" s="781"/>
      <c r="AD57" s="780"/>
      <c r="AE57" s="789" t="str">
        <f t="array" ref="AE57:AF57">{"",'S-10 Оформление сделок Выборка'!AF57}</f>
        <v/>
      </c>
      <c r="AF57" s="790"/>
      <c r="AG57" s="781"/>
      <c r="AH57" s="781"/>
      <c r="AI57" s="785"/>
      <c r="AJ57" s="780"/>
      <c r="AK57" s="792" t="str">
        <f t="array" ref="AK57:AL57">{"",'S-10 Оформление сделок Выборка'!AL57}</f>
        <v/>
      </c>
      <c r="AL57" s="793"/>
      <c r="AM57" s="792" t="str">
        <f t="array" ref="AM57:AN57">{"",'S-10 Оформление сделок Выборка'!AN57}</f>
        <v/>
      </c>
      <c r="AN57" s="794"/>
      <c r="AO57" s="792" t="str">
        <f t="array" ref="AO57:AP57">{"",'S-10 Оформление сделок Выборка'!AP57}</f>
        <v/>
      </c>
      <c r="AP57" s="786"/>
      <c r="AQ57" s="786"/>
      <c r="AR57" s="779" t="str">
        <f t="array" ref="AR57:AS57">{"",'S-10 Оформление сделок Выборка'!AS57}</f>
        <v/>
      </c>
      <c r="AS57" s="795"/>
      <c r="AT57" s="779" t="str">
        <f t="array" ref="AT57:AU57">{"",'S-10 Оформление сделок Выборка'!AU57}</f>
        <v/>
      </c>
      <c r="AU57" s="805"/>
      <c r="AV57" s="779" t="str">
        <f t="array" ref="AV57:AW57">{"",'S-10 Оформление сделок Выборка'!AW57}</f>
        <v/>
      </c>
      <c r="AW57" s="797"/>
      <c r="AX57" s="786"/>
      <c r="AY57" s="786"/>
      <c r="AZ57" s="792" t="str">
        <f t="array" ref="AZ57:BA57">{"",'S-10 Оформление сделок Выборка'!BA57}</f>
        <v/>
      </c>
      <c r="BA57" s="798"/>
      <c r="BB57" s="792" t="str">
        <f t="array" ref="BB57:BC57">{"",'S-10 Оформление сделок Выборка'!BC57}</f>
        <v/>
      </c>
      <c r="BC57" s="799"/>
      <c r="BD57" s="792" t="str">
        <f t="array" ref="BD57:BE57">{"",'S-10 Оформление сделок Выборка'!BE57}</f>
        <v/>
      </c>
      <c r="BE57" s="793"/>
      <c r="BF57" s="800" t="str">
        <f t="array" ref="BF57:BG57">{"",'S-10 Оформление сделок Выборка'!BG57}</f>
        <v/>
      </c>
      <c r="BG57" s="794"/>
      <c r="BH57" s="794" t="str">
        <f t="array" ref="BH57:BI57">{"",'S-10 Оформление сделок Выборка'!BI57}</f>
        <v/>
      </c>
      <c r="BI57" s="794"/>
      <c r="BJ57" s="792" t="str">
        <f t="array" ref="BJ57:BK57">{"",'S-10 Оформление сделок Выборка'!BK57}</f>
        <v/>
      </c>
      <c r="BK57" s="793"/>
      <c r="BL57" s="792" t="str">
        <f t="array" ref="BL57:BM57">{"",'S-10 Оформление сделок Выборка'!BM57}</f>
        <v/>
      </c>
      <c r="BM57" s="801"/>
      <c r="BN57" s="792" t="str">
        <f t="array" ref="BN57:BO57">{"",'S-10 Оформление сделок Выборка'!BO57}</f>
        <v/>
      </c>
      <c r="BO57" s="793"/>
      <c r="BP57" s="792" t="str">
        <f t="array" ref="BP57:BQ57">{"",'S-10 Оформление сделок Выборка'!BQ57}</f>
        <v/>
      </c>
      <c r="BQ57" s="802"/>
      <c r="BR57" s="792" t="str">
        <f t="array" ref="BR57:BS57">{"",'S-10 Оформление сделок Выборка'!BS57}</f>
        <v/>
      </c>
      <c r="BS57" s="794"/>
      <c r="BT57" s="800" t="str">
        <f t="array" ref="BT57:BU57">{"",'S-10 Оформление сделок Выборка'!BU57}</f>
        <v/>
      </c>
      <c r="BU57" s="794"/>
      <c r="BV57" s="800" t="str">
        <f t="array" ref="BV57:BW57">{"",'S-10 Оформление сделок Выборка'!BW57}</f>
        <v/>
      </c>
      <c r="BW57" s="803" t="s">
        <v>96</v>
      </c>
      <c r="BX57" s="804"/>
    </row>
    <row r="58">
      <c r="A58" s="779"/>
      <c r="B58" s="779"/>
      <c r="C58" s="780" t="str">
        <f>'5-1 Сбор КП Закупки'!C58</f>
        <v/>
      </c>
      <c r="D58" s="781"/>
      <c r="E58" s="780"/>
      <c r="F58" s="783"/>
      <c r="G58" s="783"/>
      <c r="H58" s="783"/>
      <c r="I58" s="783"/>
      <c r="J58" s="780"/>
      <c r="K58" s="786"/>
      <c r="L58" s="785"/>
      <c r="M58" s="786"/>
      <c r="N58" s="786"/>
      <c r="O58" s="780"/>
      <c r="P58" s="787"/>
      <c r="Q58" s="780"/>
      <c r="R58" s="780"/>
      <c r="S58" s="780"/>
      <c r="T58" s="780"/>
      <c r="U58" s="780"/>
      <c r="V58" s="780"/>
      <c r="W58" s="787"/>
      <c r="X58" s="780"/>
      <c r="Y58" s="780"/>
      <c r="Z58" s="780"/>
      <c r="AA58" s="780"/>
      <c r="AB58" s="788"/>
      <c r="AC58" s="781"/>
      <c r="AD58" s="780"/>
      <c r="AE58" s="789" t="str">
        <f t="array" ref="AE58:AF58">{"",'S-10 Оформление сделок Выборка'!AF58}</f>
        <v/>
      </c>
      <c r="AF58" s="790"/>
      <c r="AG58" s="781"/>
      <c r="AH58" s="781"/>
      <c r="AI58" s="785"/>
      <c r="AJ58" s="780"/>
      <c r="AK58" s="792" t="str">
        <f t="array" ref="AK58:AL58">{"",'S-10 Оформление сделок Выборка'!AL58}</f>
        <v/>
      </c>
      <c r="AL58" s="793"/>
      <c r="AM58" s="792" t="str">
        <f t="array" ref="AM58:AN58">{"",'S-10 Оформление сделок Выборка'!AN58}</f>
        <v/>
      </c>
      <c r="AN58" s="794"/>
      <c r="AO58" s="792" t="str">
        <f t="array" ref="AO58:AP58">{"",'S-10 Оформление сделок Выборка'!AP58}</f>
        <v/>
      </c>
      <c r="AP58" s="786"/>
      <c r="AQ58" s="786"/>
      <c r="AR58" s="779" t="str">
        <f t="array" ref="AR58:AS58">{"",'S-10 Оформление сделок Выборка'!AS58}</f>
        <v/>
      </c>
      <c r="AS58" s="795"/>
      <c r="AT58" s="779" t="str">
        <f t="array" ref="AT58:AU58">{"",'S-10 Оформление сделок Выборка'!AU58}</f>
        <v/>
      </c>
      <c r="AU58" s="805"/>
      <c r="AV58" s="779" t="str">
        <f t="array" ref="AV58:AW58">{"",'S-10 Оформление сделок Выборка'!AW58}</f>
        <v/>
      </c>
      <c r="AW58" s="797"/>
      <c r="AX58" s="786"/>
      <c r="AY58" s="786"/>
      <c r="AZ58" s="792" t="str">
        <f t="array" ref="AZ58:BA58">{"",'S-10 Оформление сделок Выборка'!BA58}</f>
        <v/>
      </c>
      <c r="BA58" s="798"/>
      <c r="BB58" s="792" t="str">
        <f t="array" ref="BB58:BC58">{"",'S-10 Оформление сделок Выборка'!BC58}</f>
        <v/>
      </c>
      <c r="BC58" s="799"/>
      <c r="BD58" s="792" t="str">
        <f t="array" ref="BD58:BE58">{"",'S-10 Оформление сделок Выборка'!BE58}</f>
        <v/>
      </c>
      <c r="BE58" s="793"/>
      <c r="BF58" s="800" t="str">
        <f t="array" ref="BF58:BG58">{"",'S-10 Оформление сделок Выборка'!BG58}</f>
        <v/>
      </c>
      <c r="BG58" s="794"/>
      <c r="BH58" s="794" t="str">
        <f t="array" ref="BH58:BI58">{"",'S-10 Оформление сделок Выборка'!BI58}</f>
        <v/>
      </c>
      <c r="BI58" s="794"/>
      <c r="BJ58" s="792" t="str">
        <f t="array" ref="BJ58:BK58">{"",'S-10 Оформление сделок Выборка'!BK58}</f>
        <v/>
      </c>
      <c r="BK58" s="793"/>
      <c r="BL58" s="792" t="str">
        <f t="array" ref="BL58:BM58">{"",'S-10 Оформление сделок Выборка'!BM58}</f>
        <v/>
      </c>
      <c r="BM58" s="801"/>
      <c r="BN58" s="792" t="str">
        <f t="array" ref="BN58:BO58">{"",'S-10 Оформление сделок Выборка'!BO58}</f>
        <v/>
      </c>
      <c r="BO58" s="793"/>
      <c r="BP58" s="792" t="str">
        <f t="array" ref="BP58:BQ58">{"",'S-10 Оформление сделок Выборка'!BQ58}</f>
        <v/>
      </c>
      <c r="BQ58" s="802"/>
      <c r="BR58" s="792" t="str">
        <f t="array" ref="BR58:BS58">{"",'S-10 Оформление сделок Выборка'!BS58}</f>
        <v/>
      </c>
      <c r="BS58" s="794"/>
      <c r="BT58" s="800" t="str">
        <f t="array" ref="BT58:BU58">{"",'S-10 Оформление сделок Выборка'!BU58}</f>
        <v/>
      </c>
      <c r="BU58" s="794"/>
      <c r="BV58" s="800" t="str">
        <f t="array" ref="BV58:BW58">{"",'S-10 Оформление сделок Выборка'!BW58}</f>
        <v/>
      </c>
      <c r="BW58" s="803" t="s">
        <v>96</v>
      </c>
      <c r="BX58" s="804"/>
    </row>
    <row r="59">
      <c r="A59" s="779"/>
      <c r="B59" s="779"/>
      <c r="C59" s="780" t="str">
        <f>'5-1 Сбор КП Закупки'!C59</f>
        <v/>
      </c>
      <c r="D59" s="781"/>
      <c r="E59" s="780"/>
      <c r="F59" s="783"/>
      <c r="G59" s="783"/>
      <c r="H59" s="783"/>
      <c r="I59" s="783"/>
      <c r="J59" s="780"/>
      <c r="K59" s="786"/>
      <c r="L59" s="785"/>
      <c r="M59" s="786"/>
      <c r="N59" s="786"/>
      <c r="O59" s="780"/>
      <c r="P59" s="787"/>
      <c r="Q59" s="780"/>
      <c r="R59" s="780"/>
      <c r="S59" s="780"/>
      <c r="T59" s="780"/>
      <c r="U59" s="780"/>
      <c r="V59" s="780"/>
      <c r="W59" s="787"/>
      <c r="X59" s="780"/>
      <c r="Y59" s="780"/>
      <c r="Z59" s="780"/>
      <c r="AA59" s="780"/>
      <c r="AB59" s="788"/>
      <c r="AC59" s="781"/>
      <c r="AD59" s="780"/>
      <c r="AE59" s="789" t="str">
        <f t="array" ref="AE59:AF59">{"",'S-10 Оформление сделок Выборка'!AF59}</f>
        <v/>
      </c>
      <c r="AF59" s="790"/>
      <c r="AG59" s="781"/>
      <c r="AH59" s="781"/>
      <c r="AI59" s="785"/>
      <c r="AJ59" s="780"/>
      <c r="AK59" s="792" t="str">
        <f t="array" ref="AK59:AL59">{"",'S-10 Оформление сделок Выборка'!AL59}</f>
        <v/>
      </c>
      <c r="AL59" s="793"/>
      <c r="AM59" s="792" t="str">
        <f t="array" ref="AM59:AN59">{"",'S-10 Оформление сделок Выборка'!AN59}</f>
        <v/>
      </c>
      <c r="AN59" s="794"/>
      <c r="AO59" s="792" t="str">
        <f t="array" ref="AO59:AP59">{"",'S-10 Оформление сделок Выборка'!AP59}</f>
        <v/>
      </c>
      <c r="AP59" s="786"/>
      <c r="AQ59" s="786"/>
      <c r="AR59" s="779" t="str">
        <f t="array" ref="AR59:AS59">{"",'S-10 Оформление сделок Выборка'!AS59}</f>
        <v/>
      </c>
      <c r="AS59" s="795"/>
      <c r="AT59" s="779" t="str">
        <f t="array" ref="AT59:AU59">{"",'S-10 Оформление сделок Выборка'!AU59}</f>
        <v/>
      </c>
      <c r="AU59" s="805"/>
      <c r="AV59" s="779" t="str">
        <f t="array" ref="AV59:AW59">{"",'S-10 Оформление сделок Выборка'!AW59}</f>
        <v/>
      </c>
      <c r="AW59" s="797"/>
      <c r="AX59" s="786"/>
      <c r="AY59" s="786"/>
      <c r="AZ59" s="792" t="str">
        <f t="array" ref="AZ59:BA59">{"",'S-10 Оформление сделок Выборка'!BA59}</f>
        <v/>
      </c>
      <c r="BA59" s="798"/>
      <c r="BB59" s="792" t="str">
        <f t="array" ref="BB59:BC59">{"",'S-10 Оформление сделок Выборка'!BC59}</f>
        <v/>
      </c>
      <c r="BC59" s="799"/>
      <c r="BD59" s="792" t="str">
        <f t="array" ref="BD59:BE59">{"",'S-10 Оформление сделок Выборка'!BE59}</f>
        <v/>
      </c>
      <c r="BE59" s="793"/>
      <c r="BF59" s="800" t="str">
        <f t="array" ref="BF59:BG59">{"",'S-10 Оформление сделок Выборка'!BG59}</f>
        <v/>
      </c>
      <c r="BG59" s="794"/>
      <c r="BH59" s="794" t="str">
        <f t="array" ref="BH59:BI59">{"",'S-10 Оформление сделок Выборка'!BI59}</f>
        <v/>
      </c>
      <c r="BI59" s="794"/>
      <c r="BJ59" s="792" t="str">
        <f t="array" ref="BJ59:BK59">{"",'S-10 Оформление сделок Выборка'!BK59}</f>
        <v/>
      </c>
      <c r="BK59" s="793"/>
      <c r="BL59" s="792" t="str">
        <f t="array" ref="BL59:BM59">{"",'S-10 Оформление сделок Выборка'!BM59}</f>
        <v/>
      </c>
      <c r="BM59" s="801"/>
      <c r="BN59" s="792" t="str">
        <f t="array" ref="BN59:BO59">{"",'S-10 Оформление сделок Выборка'!BO59}</f>
        <v/>
      </c>
      <c r="BO59" s="793"/>
      <c r="BP59" s="792" t="str">
        <f t="array" ref="BP59:BQ59">{"",'S-10 Оформление сделок Выборка'!BQ59}</f>
        <v/>
      </c>
      <c r="BQ59" s="802"/>
      <c r="BR59" s="792" t="str">
        <f t="array" ref="BR59:BS59">{"",'S-10 Оформление сделок Выборка'!BS59}</f>
        <v/>
      </c>
      <c r="BS59" s="794"/>
      <c r="BT59" s="800" t="str">
        <f t="array" ref="BT59:BU59">{"",'S-10 Оформление сделок Выборка'!BU59}</f>
        <v/>
      </c>
      <c r="BU59" s="794"/>
      <c r="BV59" s="800" t="str">
        <f t="array" ref="BV59:BW59">{"",'S-10 Оформление сделок Выборка'!BW59}</f>
        <v/>
      </c>
      <c r="BW59" s="803" t="s">
        <v>96</v>
      </c>
      <c r="BX59" s="804"/>
    </row>
    <row r="60">
      <c r="A60" s="779"/>
      <c r="B60" s="779"/>
      <c r="C60" s="780" t="str">
        <f>'5-1 Сбор КП Закупки'!C60</f>
        <v/>
      </c>
      <c r="D60" s="781"/>
      <c r="E60" s="780"/>
      <c r="F60" s="783"/>
      <c r="G60" s="783"/>
      <c r="H60" s="783"/>
      <c r="I60" s="783"/>
      <c r="J60" s="780"/>
      <c r="K60" s="786"/>
      <c r="L60" s="785"/>
      <c r="M60" s="786"/>
      <c r="N60" s="786"/>
      <c r="O60" s="780"/>
      <c r="P60" s="787"/>
      <c r="Q60" s="780"/>
      <c r="R60" s="780"/>
      <c r="S60" s="780"/>
      <c r="T60" s="780"/>
      <c r="U60" s="780"/>
      <c r="V60" s="780"/>
      <c r="W60" s="787"/>
      <c r="X60" s="780"/>
      <c r="Y60" s="780"/>
      <c r="Z60" s="780"/>
      <c r="AA60" s="780"/>
      <c r="AB60" s="788"/>
      <c r="AC60" s="781"/>
      <c r="AD60" s="780"/>
      <c r="AE60" s="789" t="str">
        <f t="array" ref="AE60:AF60">{"",'S-10 Оформление сделок Выборка'!AF60}</f>
        <v/>
      </c>
      <c r="AF60" s="790"/>
      <c r="AG60" s="781"/>
      <c r="AH60" s="781"/>
      <c r="AI60" s="785"/>
      <c r="AJ60" s="780"/>
      <c r="AK60" s="792" t="str">
        <f t="array" ref="AK60:AL60">{"",'S-10 Оформление сделок Выборка'!AL60}</f>
        <v/>
      </c>
      <c r="AL60" s="793"/>
      <c r="AM60" s="792" t="str">
        <f t="array" ref="AM60:AN60">{"",'S-10 Оформление сделок Выборка'!AN60}</f>
        <v/>
      </c>
      <c r="AN60" s="794"/>
      <c r="AO60" s="792" t="str">
        <f t="array" ref="AO60:AP60">{"",'S-10 Оформление сделок Выборка'!AP60}</f>
        <v/>
      </c>
      <c r="AP60" s="786"/>
      <c r="AQ60" s="786"/>
      <c r="AR60" s="779" t="str">
        <f t="array" ref="AR60:AS60">{"",'S-10 Оформление сделок Выборка'!AS60}</f>
        <v/>
      </c>
      <c r="AS60" s="795"/>
      <c r="AT60" s="779" t="str">
        <f t="array" ref="AT60:AU60">{"",'S-10 Оформление сделок Выборка'!AU60}</f>
        <v/>
      </c>
      <c r="AU60" s="805"/>
      <c r="AV60" s="779" t="str">
        <f t="array" ref="AV60:AW60">{"",'S-10 Оформление сделок Выборка'!AW60}</f>
        <v/>
      </c>
      <c r="AW60" s="797"/>
      <c r="AX60" s="786"/>
      <c r="AY60" s="786"/>
      <c r="AZ60" s="792" t="str">
        <f t="array" ref="AZ60:BA60">{"",'S-10 Оформление сделок Выборка'!BA60}</f>
        <v/>
      </c>
      <c r="BA60" s="798"/>
      <c r="BB60" s="792" t="str">
        <f t="array" ref="BB60:BC60">{"",'S-10 Оформление сделок Выборка'!BC60}</f>
        <v/>
      </c>
      <c r="BC60" s="799"/>
      <c r="BD60" s="792" t="str">
        <f t="array" ref="BD60:BE60">{"",'S-10 Оформление сделок Выборка'!BE60}</f>
        <v/>
      </c>
      <c r="BE60" s="793"/>
      <c r="BF60" s="800" t="str">
        <f t="array" ref="BF60:BG60">{"",'S-10 Оформление сделок Выборка'!BG60}</f>
        <v/>
      </c>
      <c r="BG60" s="794"/>
      <c r="BH60" s="794" t="str">
        <f t="array" ref="BH60:BI60">{"",'S-10 Оформление сделок Выборка'!BI60}</f>
        <v/>
      </c>
      <c r="BI60" s="794"/>
      <c r="BJ60" s="792" t="str">
        <f t="array" ref="BJ60:BK60">{"",'S-10 Оформление сделок Выборка'!BK60}</f>
        <v/>
      </c>
      <c r="BK60" s="793"/>
      <c r="BL60" s="792" t="str">
        <f t="array" ref="BL60:BM60">{"",'S-10 Оформление сделок Выборка'!BM60}</f>
        <v/>
      </c>
      <c r="BM60" s="801"/>
      <c r="BN60" s="792" t="str">
        <f t="array" ref="BN60:BO60">{"",'S-10 Оформление сделок Выборка'!BO60}</f>
        <v/>
      </c>
      <c r="BO60" s="793"/>
      <c r="BP60" s="792" t="str">
        <f t="array" ref="BP60:BQ60">{"",'S-10 Оформление сделок Выборка'!BQ60}</f>
        <v/>
      </c>
      <c r="BQ60" s="802"/>
      <c r="BR60" s="792" t="str">
        <f t="array" ref="BR60:BS60">{"",'S-10 Оформление сделок Выборка'!BS60}</f>
        <v/>
      </c>
      <c r="BS60" s="794"/>
      <c r="BT60" s="800" t="str">
        <f t="array" ref="BT60:BU60">{"",'S-10 Оформление сделок Выборка'!BU60}</f>
        <v/>
      </c>
      <c r="BU60" s="794"/>
      <c r="BV60" s="800" t="str">
        <f t="array" ref="BV60:BW60">{"",'S-10 Оформление сделок Выборка'!BW60}</f>
        <v/>
      </c>
      <c r="BW60" s="803" t="s">
        <v>96</v>
      </c>
      <c r="BX60" s="804"/>
    </row>
    <row r="61">
      <c r="A61" s="779"/>
      <c r="B61" s="779"/>
      <c r="C61" s="780" t="str">
        <f>'5-1 Сбор КП Закупки'!C61</f>
        <v/>
      </c>
      <c r="D61" s="781"/>
      <c r="E61" s="780"/>
      <c r="F61" s="783"/>
      <c r="G61" s="783"/>
      <c r="H61" s="783"/>
      <c r="I61" s="783"/>
      <c r="J61" s="780"/>
      <c r="K61" s="786"/>
      <c r="L61" s="785"/>
      <c r="M61" s="786"/>
      <c r="N61" s="786"/>
      <c r="O61" s="780"/>
      <c r="P61" s="787"/>
      <c r="Q61" s="780"/>
      <c r="R61" s="780"/>
      <c r="S61" s="780"/>
      <c r="T61" s="780"/>
      <c r="U61" s="780"/>
      <c r="V61" s="780"/>
      <c r="W61" s="787"/>
      <c r="X61" s="780"/>
      <c r="Y61" s="780"/>
      <c r="Z61" s="780"/>
      <c r="AA61" s="780"/>
      <c r="AB61" s="788"/>
      <c r="AC61" s="781"/>
      <c r="AD61" s="780"/>
      <c r="AE61" s="789" t="str">
        <f t="array" ref="AE61:AF61">{"",'S-10 Оформление сделок Выборка'!AF61}</f>
        <v/>
      </c>
      <c r="AF61" s="790"/>
      <c r="AG61" s="781"/>
      <c r="AH61" s="781"/>
      <c r="AI61" s="785"/>
      <c r="AJ61" s="780"/>
      <c r="AK61" s="792" t="str">
        <f t="array" ref="AK61:AL61">{"",'S-10 Оформление сделок Выборка'!AL61}</f>
        <v/>
      </c>
      <c r="AL61" s="793"/>
      <c r="AM61" s="792" t="str">
        <f t="array" ref="AM61:AN61">{"",'S-10 Оформление сделок Выборка'!AN61}</f>
        <v/>
      </c>
      <c r="AN61" s="794"/>
      <c r="AO61" s="792" t="str">
        <f t="array" ref="AO61:AP61">{"",'S-10 Оформление сделок Выборка'!AP61}</f>
        <v/>
      </c>
      <c r="AP61" s="786"/>
      <c r="AQ61" s="786"/>
      <c r="AR61" s="779" t="str">
        <f t="array" ref="AR61:AS61">{"",'S-10 Оформление сделок Выборка'!AS61}</f>
        <v/>
      </c>
      <c r="AS61" s="795"/>
      <c r="AT61" s="779" t="str">
        <f t="array" ref="AT61:AU61">{"",'S-10 Оформление сделок Выборка'!AU61}</f>
        <v/>
      </c>
      <c r="AU61" s="805"/>
      <c r="AV61" s="779" t="str">
        <f t="array" ref="AV61:AW61">{"",'S-10 Оформление сделок Выборка'!AW61}</f>
        <v/>
      </c>
      <c r="AW61" s="797"/>
      <c r="AX61" s="786"/>
      <c r="AY61" s="786"/>
      <c r="AZ61" s="792" t="str">
        <f t="array" ref="AZ61:BA61">{"",'S-10 Оформление сделок Выборка'!BA61}</f>
        <v/>
      </c>
      <c r="BA61" s="798"/>
      <c r="BB61" s="792" t="str">
        <f t="array" ref="BB61:BC61">{"",'S-10 Оформление сделок Выборка'!BC61}</f>
        <v/>
      </c>
      <c r="BC61" s="799"/>
      <c r="BD61" s="792" t="str">
        <f t="array" ref="BD61:BE61">{"",'S-10 Оформление сделок Выборка'!BE61}</f>
        <v/>
      </c>
      <c r="BE61" s="793"/>
      <c r="BF61" s="800" t="str">
        <f t="array" ref="BF61:BG61">{"",'S-10 Оформление сделок Выборка'!BG61}</f>
        <v/>
      </c>
      <c r="BG61" s="794"/>
      <c r="BH61" s="794" t="str">
        <f t="array" ref="BH61:BI61">{"",'S-10 Оформление сделок Выборка'!BI61}</f>
        <v/>
      </c>
      <c r="BI61" s="794"/>
      <c r="BJ61" s="792" t="str">
        <f t="array" ref="BJ61:BK61">{"",'S-10 Оформление сделок Выборка'!BK61}</f>
        <v/>
      </c>
      <c r="BK61" s="793"/>
      <c r="BL61" s="792" t="str">
        <f t="array" ref="BL61:BM61">{"",'S-10 Оформление сделок Выборка'!BM61}</f>
        <v/>
      </c>
      <c r="BM61" s="801"/>
      <c r="BN61" s="792" t="str">
        <f t="array" ref="BN61:BO61">{"",'S-10 Оформление сделок Выборка'!BO61}</f>
        <v/>
      </c>
      <c r="BO61" s="793"/>
      <c r="BP61" s="792" t="str">
        <f t="array" ref="BP61:BQ61">{"",'S-10 Оформление сделок Выборка'!BQ61}</f>
        <v/>
      </c>
      <c r="BQ61" s="802"/>
      <c r="BR61" s="792" t="str">
        <f t="array" ref="BR61:BS61">{"",'S-10 Оформление сделок Выборка'!BS61}</f>
        <v/>
      </c>
      <c r="BS61" s="794"/>
      <c r="BT61" s="800" t="str">
        <f t="array" ref="BT61:BU61">{"",'S-10 Оформление сделок Выборка'!BU61}</f>
        <v/>
      </c>
      <c r="BU61" s="794"/>
      <c r="BV61" s="800" t="str">
        <f t="array" ref="BV61:BW61">{"",'S-10 Оформление сделок Выборка'!BW61}</f>
        <v/>
      </c>
      <c r="BW61" s="803" t="s">
        <v>96</v>
      </c>
      <c r="BX61" s="804"/>
    </row>
    <row r="62">
      <c r="A62" s="779"/>
      <c r="B62" s="779"/>
      <c r="C62" s="780" t="str">
        <f>'5-1 Сбор КП Закупки'!C62</f>
        <v/>
      </c>
      <c r="D62" s="781"/>
      <c r="E62" s="780"/>
      <c r="F62" s="783"/>
      <c r="G62" s="783"/>
      <c r="H62" s="783"/>
      <c r="I62" s="783"/>
      <c r="J62" s="780"/>
      <c r="K62" s="786"/>
      <c r="L62" s="785"/>
      <c r="M62" s="786"/>
      <c r="N62" s="786"/>
      <c r="O62" s="780"/>
      <c r="P62" s="787"/>
      <c r="Q62" s="780"/>
      <c r="R62" s="780"/>
      <c r="S62" s="780"/>
      <c r="T62" s="780"/>
      <c r="U62" s="780"/>
      <c r="V62" s="780"/>
      <c r="W62" s="787"/>
      <c r="X62" s="780"/>
      <c r="Y62" s="780"/>
      <c r="Z62" s="780"/>
      <c r="AA62" s="780"/>
      <c r="AB62" s="788"/>
      <c r="AC62" s="781"/>
      <c r="AD62" s="780"/>
      <c r="AE62" s="789" t="str">
        <f t="array" ref="AE62:AF62">{"",'S-10 Оформление сделок Выборка'!AF62}</f>
        <v/>
      </c>
      <c r="AF62" s="790"/>
      <c r="AG62" s="781"/>
      <c r="AH62" s="781"/>
      <c r="AI62" s="785"/>
      <c r="AJ62" s="780"/>
      <c r="AK62" s="792" t="str">
        <f t="array" ref="AK62:AL62">{"",'S-10 Оформление сделок Выборка'!AL62}</f>
        <v/>
      </c>
      <c r="AL62" s="793"/>
      <c r="AM62" s="792" t="str">
        <f t="array" ref="AM62:AN62">{"",'S-10 Оформление сделок Выборка'!AN62}</f>
        <v/>
      </c>
      <c r="AN62" s="794"/>
      <c r="AO62" s="792" t="str">
        <f t="array" ref="AO62:AP62">{"",'S-10 Оформление сделок Выборка'!AP62}</f>
        <v/>
      </c>
      <c r="AP62" s="786"/>
      <c r="AQ62" s="786"/>
      <c r="AR62" s="779" t="str">
        <f t="array" ref="AR62:AS62">{"",'S-10 Оформление сделок Выборка'!AS62}</f>
        <v/>
      </c>
      <c r="AS62" s="795"/>
      <c r="AT62" s="779" t="str">
        <f t="array" ref="AT62:AU62">{"",'S-10 Оформление сделок Выборка'!AU62}</f>
        <v/>
      </c>
      <c r="AU62" s="805"/>
      <c r="AV62" s="779" t="str">
        <f t="array" ref="AV62:AW62">{"",'S-10 Оформление сделок Выборка'!AW62}</f>
        <v/>
      </c>
      <c r="AW62" s="797"/>
      <c r="AX62" s="786"/>
      <c r="AY62" s="786"/>
      <c r="AZ62" s="792" t="str">
        <f t="array" ref="AZ62:BA62">{"",'S-10 Оформление сделок Выборка'!BA62}</f>
        <v/>
      </c>
      <c r="BA62" s="798"/>
      <c r="BB62" s="792" t="str">
        <f t="array" ref="BB62:BC62">{"",'S-10 Оформление сделок Выборка'!BC62}</f>
        <v/>
      </c>
      <c r="BC62" s="799"/>
      <c r="BD62" s="792" t="str">
        <f t="array" ref="BD62:BE62">{"",'S-10 Оформление сделок Выборка'!BE62}</f>
        <v/>
      </c>
      <c r="BE62" s="793"/>
      <c r="BF62" s="800" t="str">
        <f t="array" ref="BF62:BG62">{"",'S-10 Оформление сделок Выборка'!BG62}</f>
        <v/>
      </c>
      <c r="BG62" s="794"/>
      <c r="BH62" s="794" t="str">
        <f t="array" ref="BH62:BI62">{"",'S-10 Оформление сделок Выборка'!BI62}</f>
        <v/>
      </c>
      <c r="BI62" s="794"/>
      <c r="BJ62" s="792" t="str">
        <f t="array" ref="BJ62:BK62">{"",'S-10 Оформление сделок Выборка'!BK62}</f>
        <v/>
      </c>
      <c r="BK62" s="793"/>
      <c r="BL62" s="792" t="str">
        <f t="array" ref="BL62:BM62">{"",'S-10 Оформление сделок Выборка'!BM62}</f>
        <v/>
      </c>
      <c r="BM62" s="801"/>
      <c r="BN62" s="792" t="str">
        <f t="array" ref="BN62:BO62">{"",'S-10 Оформление сделок Выборка'!BO62}</f>
        <v/>
      </c>
      <c r="BO62" s="793"/>
      <c r="BP62" s="792" t="str">
        <f t="array" ref="BP62:BQ62">{"",'S-10 Оформление сделок Выборка'!BQ62}</f>
        <v/>
      </c>
      <c r="BQ62" s="802"/>
      <c r="BR62" s="792" t="str">
        <f t="array" ref="BR62:BS62">{"",'S-10 Оформление сделок Выборка'!BS62}</f>
        <v/>
      </c>
      <c r="BS62" s="794"/>
      <c r="BT62" s="800" t="str">
        <f t="array" ref="BT62:BU62">{"",'S-10 Оформление сделок Выборка'!BU62}</f>
        <v/>
      </c>
      <c r="BU62" s="794"/>
      <c r="BV62" s="800" t="str">
        <f t="array" ref="BV62:BW62">{"",'S-10 Оформление сделок Выборка'!BW62}</f>
        <v/>
      </c>
      <c r="BW62" s="803" t="s">
        <v>96</v>
      </c>
      <c r="BX62" s="804"/>
    </row>
    <row r="63">
      <c r="A63" s="779"/>
      <c r="B63" s="779"/>
      <c r="C63" s="780" t="str">
        <f>'5-1 Сбор КП Закупки'!C63</f>
        <v/>
      </c>
      <c r="D63" s="781"/>
      <c r="E63" s="780"/>
      <c r="F63" s="783"/>
      <c r="G63" s="783"/>
      <c r="H63" s="783"/>
      <c r="I63" s="783"/>
      <c r="J63" s="780"/>
      <c r="K63" s="786"/>
      <c r="L63" s="785"/>
      <c r="M63" s="786"/>
      <c r="N63" s="786"/>
      <c r="O63" s="780"/>
      <c r="P63" s="787"/>
      <c r="Q63" s="780"/>
      <c r="R63" s="780"/>
      <c r="S63" s="780"/>
      <c r="T63" s="780"/>
      <c r="U63" s="780"/>
      <c r="V63" s="780"/>
      <c r="W63" s="787"/>
      <c r="X63" s="780"/>
      <c r="Y63" s="780"/>
      <c r="Z63" s="780"/>
      <c r="AA63" s="780"/>
      <c r="AB63" s="788"/>
      <c r="AC63" s="781"/>
      <c r="AD63" s="780"/>
      <c r="AE63" s="789" t="str">
        <f t="array" ref="AE63:AF63">{"",'S-10 Оформление сделок Выборка'!AF63}</f>
        <v/>
      </c>
      <c r="AF63" s="790"/>
      <c r="AG63" s="781"/>
      <c r="AH63" s="781"/>
      <c r="AI63" s="785"/>
      <c r="AJ63" s="780"/>
      <c r="AK63" s="792" t="str">
        <f t="array" ref="AK63:AL63">{"",'S-10 Оформление сделок Выборка'!AL63}</f>
        <v/>
      </c>
      <c r="AL63" s="793"/>
      <c r="AM63" s="792" t="str">
        <f t="array" ref="AM63:AN63">{"",'S-10 Оформление сделок Выборка'!AN63}</f>
        <v/>
      </c>
      <c r="AN63" s="794"/>
      <c r="AO63" s="792" t="str">
        <f t="array" ref="AO63:AP63">{"",'S-10 Оформление сделок Выборка'!AP63}</f>
        <v/>
      </c>
      <c r="AP63" s="786"/>
      <c r="AQ63" s="786"/>
      <c r="AR63" s="779" t="str">
        <f t="array" ref="AR63:AS63">{"",'S-10 Оформление сделок Выборка'!AS63}</f>
        <v/>
      </c>
      <c r="AS63" s="795"/>
      <c r="AT63" s="779" t="str">
        <f t="array" ref="AT63:AU63">{"",'S-10 Оформление сделок Выборка'!AU63}</f>
        <v/>
      </c>
      <c r="AU63" s="805"/>
      <c r="AV63" s="779" t="str">
        <f t="array" ref="AV63:AW63">{"",'S-10 Оформление сделок Выборка'!AW63}</f>
        <v/>
      </c>
      <c r="AW63" s="797"/>
      <c r="AX63" s="786"/>
      <c r="AY63" s="786"/>
      <c r="AZ63" s="792" t="str">
        <f t="array" ref="AZ63:BA63">{"",'S-10 Оформление сделок Выборка'!BA63}</f>
        <v/>
      </c>
      <c r="BA63" s="798"/>
      <c r="BB63" s="792" t="str">
        <f t="array" ref="BB63:BC63">{"",'S-10 Оформление сделок Выборка'!BC63}</f>
        <v/>
      </c>
      <c r="BC63" s="799"/>
      <c r="BD63" s="792" t="str">
        <f t="array" ref="BD63:BE63">{"",'S-10 Оформление сделок Выборка'!BE63}</f>
        <v/>
      </c>
      <c r="BE63" s="793"/>
      <c r="BF63" s="800" t="str">
        <f t="array" ref="BF63:BG63">{"",'S-10 Оформление сделок Выборка'!BG63}</f>
        <v/>
      </c>
      <c r="BG63" s="794"/>
      <c r="BH63" s="794" t="str">
        <f t="array" ref="BH63:BI63">{"",'S-10 Оформление сделок Выборка'!BI63}</f>
        <v/>
      </c>
      <c r="BI63" s="794"/>
      <c r="BJ63" s="792" t="str">
        <f t="array" ref="BJ63:BK63">{"",'S-10 Оформление сделок Выборка'!BK63}</f>
        <v/>
      </c>
      <c r="BK63" s="793"/>
      <c r="BL63" s="792" t="str">
        <f t="array" ref="BL63:BM63">{"",'S-10 Оформление сделок Выборка'!BM63}</f>
        <v/>
      </c>
      <c r="BM63" s="801"/>
      <c r="BN63" s="792" t="str">
        <f t="array" ref="BN63:BO63">{"",'S-10 Оформление сделок Выборка'!BO63}</f>
        <v/>
      </c>
      <c r="BO63" s="793"/>
      <c r="BP63" s="792" t="str">
        <f t="array" ref="BP63:BQ63">{"",'S-10 Оформление сделок Выборка'!BQ63}</f>
        <v/>
      </c>
      <c r="BQ63" s="802"/>
      <c r="BR63" s="792" t="str">
        <f t="array" ref="BR63:BS63">{"",'S-10 Оформление сделок Выборка'!BS63}</f>
        <v/>
      </c>
      <c r="BS63" s="794"/>
      <c r="BT63" s="800" t="str">
        <f t="array" ref="BT63:BU63">{"",'S-10 Оформление сделок Выборка'!BU63}</f>
        <v/>
      </c>
      <c r="BU63" s="794"/>
      <c r="BV63" s="800" t="str">
        <f t="array" ref="BV63:BW63">{"",'S-10 Оформление сделок Выборка'!BW63}</f>
        <v/>
      </c>
      <c r="BW63" s="803" t="s">
        <v>96</v>
      </c>
      <c r="BX63" s="804"/>
    </row>
    <row r="64">
      <c r="A64" s="779"/>
      <c r="B64" s="779"/>
      <c r="C64" s="780" t="str">
        <f>'5-1 Сбор КП Закупки'!C64</f>
        <v/>
      </c>
      <c r="D64" s="781"/>
      <c r="E64" s="780"/>
      <c r="F64" s="783"/>
      <c r="G64" s="783"/>
      <c r="H64" s="783"/>
      <c r="I64" s="783"/>
      <c r="J64" s="780"/>
      <c r="K64" s="786"/>
      <c r="L64" s="785"/>
      <c r="M64" s="786"/>
      <c r="N64" s="786"/>
      <c r="O64" s="780"/>
      <c r="P64" s="787"/>
      <c r="Q64" s="780"/>
      <c r="R64" s="780"/>
      <c r="S64" s="780"/>
      <c r="T64" s="780"/>
      <c r="U64" s="780"/>
      <c r="V64" s="780"/>
      <c r="W64" s="787"/>
      <c r="X64" s="780"/>
      <c r="Y64" s="780"/>
      <c r="Z64" s="780"/>
      <c r="AA64" s="780"/>
      <c r="AB64" s="788"/>
      <c r="AC64" s="781"/>
      <c r="AD64" s="780"/>
      <c r="AE64" s="789" t="str">
        <f t="array" ref="AE64:AF64">{"",'S-10 Оформление сделок Выборка'!AF64}</f>
        <v/>
      </c>
      <c r="AF64" s="790"/>
      <c r="AG64" s="781"/>
      <c r="AH64" s="781"/>
      <c r="AI64" s="785"/>
      <c r="AJ64" s="780"/>
      <c r="AK64" s="792" t="str">
        <f t="array" ref="AK64:AL64">{"",'S-10 Оформление сделок Выборка'!AL64}</f>
        <v/>
      </c>
      <c r="AL64" s="793"/>
      <c r="AM64" s="792" t="str">
        <f t="array" ref="AM64:AN64">{"",'S-10 Оформление сделок Выборка'!AN64}</f>
        <v/>
      </c>
      <c r="AN64" s="794"/>
      <c r="AO64" s="792" t="str">
        <f t="array" ref="AO64:AP64">{"",'S-10 Оформление сделок Выборка'!AP64}</f>
        <v/>
      </c>
      <c r="AP64" s="786"/>
      <c r="AQ64" s="786"/>
      <c r="AR64" s="779" t="str">
        <f t="array" ref="AR64:AS64">{"",'S-10 Оформление сделок Выборка'!AS64}</f>
        <v/>
      </c>
      <c r="AS64" s="795"/>
      <c r="AT64" s="779" t="str">
        <f t="array" ref="AT64:AU64">{"",'S-10 Оформление сделок Выборка'!AU64}</f>
        <v/>
      </c>
      <c r="AU64" s="805"/>
      <c r="AV64" s="779" t="str">
        <f t="array" ref="AV64:AW64">{"",'S-10 Оформление сделок Выборка'!AW64}</f>
        <v/>
      </c>
      <c r="AW64" s="797"/>
      <c r="AX64" s="786"/>
      <c r="AY64" s="786"/>
      <c r="AZ64" s="792" t="str">
        <f t="array" ref="AZ64:BA64">{"",'S-10 Оформление сделок Выборка'!BA64}</f>
        <v/>
      </c>
      <c r="BA64" s="798"/>
      <c r="BB64" s="792" t="str">
        <f t="array" ref="BB64:BC64">{"",'S-10 Оформление сделок Выборка'!BC64}</f>
        <v/>
      </c>
      <c r="BC64" s="799"/>
      <c r="BD64" s="792" t="str">
        <f t="array" ref="BD64:BE64">{"",'S-10 Оформление сделок Выборка'!BE64}</f>
        <v/>
      </c>
      <c r="BE64" s="793"/>
      <c r="BF64" s="800" t="str">
        <f t="array" ref="BF64:BG64">{"",'S-10 Оформление сделок Выборка'!BG64}</f>
        <v/>
      </c>
      <c r="BG64" s="794"/>
      <c r="BH64" s="794" t="str">
        <f t="array" ref="BH64:BI64">{"",'S-10 Оформление сделок Выборка'!BI64}</f>
        <v/>
      </c>
      <c r="BI64" s="794"/>
      <c r="BJ64" s="792" t="str">
        <f t="array" ref="BJ64:BK64">{"",'S-10 Оформление сделок Выборка'!BK64}</f>
        <v/>
      </c>
      <c r="BK64" s="793"/>
      <c r="BL64" s="792" t="str">
        <f t="array" ref="BL64:BM64">{"",'S-10 Оформление сделок Выборка'!BM64}</f>
        <v/>
      </c>
      <c r="BM64" s="801"/>
      <c r="BN64" s="792" t="str">
        <f t="array" ref="BN64:BO64">{"",'S-10 Оформление сделок Выборка'!BO64}</f>
        <v/>
      </c>
      <c r="BO64" s="793"/>
      <c r="BP64" s="792" t="str">
        <f t="array" ref="BP64:BQ64">{"",'S-10 Оформление сделок Выборка'!BQ64}</f>
        <v/>
      </c>
      <c r="BQ64" s="802"/>
      <c r="BR64" s="792" t="str">
        <f t="array" ref="BR64:BS64">{"",'S-10 Оформление сделок Выборка'!BS64}</f>
        <v/>
      </c>
      <c r="BS64" s="794"/>
      <c r="BT64" s="800" t="str">
        <f t="array" ref="BT64:BU64">{"",'S-10 Оформление сделок Выборка'!BU64}</f>
        <v/>
      </c>
      <c r="BU64" s="794"/>
      <c r="BV64" s="800" t="str">
        <f t="array" ref="BV64:BW64">{"",'S-10 Оформление сделок Выборка'!BW64}</f>
        <v/>
      </c>
      <c r="BW64" s="803" t="s">
        <v>96</v>
      </c>
      <c r="BX64" s="804"/>
    </row>
    <row r="65">
      <c r="A65" s="779"/>
      <c r="B65" s="779"/>
      <c r="C65" s="780" t="str">
        <f>'5-1 Сбор КП Закупки'!C65</f>
        <v/>
      </c>
      <c r="D65" s="781"/>
      <c r="E65" s="780"/>
      <c r="F65" s="783"/>
      <c r="G65" s="783"/>
      <c r="H65" s="783"/>
      <c r="I65" s="783"/>
      <c r="J65" s="780"/>
      <c r="K65" s="786"/>
      <c r="L65" s="785"/>
      <c r="M65" s="786"/>
      <c r="N65" s="786"/>
      <c r="O65" s="780"/>
      <c r="P65" s="787"/>
      <c r="Q65" s="780"/>
      <c r="R65" s="780"/>
      <c r="S65" s="780"/>
      <c r="T65" s="780"/>
      <c r="U65" s="780"/>
      <c r="V65" s="780"/>
      <c r="W65" s="787"/>
      <c r="X65" s="780"/>
      <c r="Y65" s="780"/>
      <c r="Z65" s="780"/>
      <c r="AA65" s="780"/>
      <c r="AB65" s="788"/>
      <c r="AC65" s="781"/>
      <c r="AD65" s="780"/>
      <c r="AE65" s="789" t="str">
        <f t="array" ref="AE65:AF65">{"",'S-10 Оформление сделок Выборка'!AF65}</f>
        <v/>
      </c>
      <c r="AF65" s="790"/>
      <c r="AG65" s="781"/>
      <c r="AH65" s="781"/>
      <c r="AI65" s="785"/>
      <c r="AJ65" s="780"/>
      <c r="AK65" s="792" t="str">
        <f t="array" ref="AK65:AL65">{"",'S-10 Оформление сделок Выборка'!AL65}</f>
        <v/>
      </c>
      <c r="AL65" s="793"/>
      <c r="AM65" s="792" t="str">
        <f t="array" ref="AM65:AN65">{"",'S-10 Оформление сделок Выборка'!AN65}</f>
        <v/>
      </c>
      <c r="AN65" s="794"/>
      <c r="AO65" s="792" t="str">
        <f t="array" ref="AO65:AP65">{"",'S-10 Оформление сделок Выборка'!AP65}</f>
        <v/>
      </c>
      <c r="AP65" s="786"/>
      <c r="AQ65" s="786"/>
      <c r="AR65" s="779" t="str">
        <f t="array" ref="AR65:AS65">{"",'S-10 Оформление сделок Выборка'!AS65}</f>
        <v/>
      </c>
      <c r="AS65" s="795"/>
      <c r="AT65" s="779" t="str">
        <f t="array" ref="AT65:AU65">{"",'S-10 Оформление сделок Выборка'!AU65}</f>
        <v/>
      </c>
      <c r="AU65" s="805"/>
      <c r="AV65" s="779" t="str">
        <f t="array" ref="AV65:AW65">{"",'S-10 Оформление сделок Выборка'!AW65}</f>
        <v/>
      </c>
      <c r="AW65" s="797"/>
      <c r="AX65" s="786"/>
      <c r="AY65" s="786"/>
      <c r="AZ65" s="792" t="str">
        <f t="array" ref="AZ65:BA65">{"",'S-10 Оформление сделок Выборка'!BA65}</f>
        <v/>
      </c>
      <c r="BA65" s="798"/>
      <c r="BB65" s="792" t="str">
        <f t="array" ref="BB65:BC65">{"",'S-10 Оформление сделок Выборка'!BC65}</f>
        <v/>
      </c>
      <c r="BC65" s="799"/>
      <c r="BD65" s="792" t="str">
        <f t="array" ref="BD65:BE65">{"",'S-10 Оформление сделок Выборка'!BE65}</f>
        <v/>
      </c>
      <c r="BE65" s="793"/>
      <c r="BF65" s="800" t="str">
        <f t="array" ref="BF65:BG65">{"",'S-10 Оформление сделок Выборка'!BG65}</f>
        <v/>
      </c>
      <c r="BG65" s="794"/>
      <c r="BH65" s="794" t="str">
        <f t="array" ref="BH65:BI65">{"",'S-10 Оформление сделок Выборка'!BI65}</f>
        <v/>
      </c>
      <c r="BI65" s="794"/>
      <c r="BJ65" s="792" t="str">
        <f t="array" ref="BJ65:BK65">{"",'S-10 Оформление сделок Выборка'!BK65}</f>
        <v/>
      </c>
      <c r="BK65" s="793"/>
      <c r="BL65" s="792" t="str">
        <f t="array" ref="BL65:BM65">{"",'S-10 Оформление сделок Выборка'!BM65}</f>
        <v/>
      </c>
      <c r="BM65" s="801"/>
      <c r="BN65" s="792" t="str">
        <f t="array" ref="BN65:BO65">{"",'S-10 Оформление сделок Выборка'!BO65}</f>
        <v/>
      </c>
      <c r="BO65" s="793"/>
      <c r="BP65" s="792" t="str">
        <f t="array" ref="BP65:BQ65">{"",'S-10 Оформление сделок Выборка'!BQ65}</f>
        <v/>
      </c>
      <c r="BQ65" s="802"/>
      <c r="BR65" s="792" t="str">
        <f t="array" ref="BR65:BS65">{"",'S-10 Оформление сделок Выборка'!BS65}</f>
        <v/>
      </c>
      <c r="BS65" s="794"/>
      <c r="BT65" s="800" t="str">
        <f t="array" ref="BT65:BU65">{"",'S-10 Оформление сделок Выборка'!BU65}</f>
        <v/>
      </c>
      <c r="BU65" s="794"/>
      <c r="BV65" s="800" t="str">
        <f t="array" ref="BV65:BW65">{"",'S-10 Оформление сделок Выборка'!BW65}</f>
        <v/>
      </c>
      <c r="BW65" s="803" t="s">
        <v>96</v>
      </c>
      <c r="BX65" s="804"/>
    </row>
    <row r="66">
      <c r="A66" s="779"/>
      <c r="B66" s="779"/>
      <c r="C66" s="780" t="str">
        <f>'5-1 Сбор КП Закупки'!C66</f>
        <v/>
      </c>
      <c r="D66" s="781"/>
      <c r="E66" s="780"/>
      <c r="F66" s="783"/>
      <c r="G66" s="783"/>
      <c r="H66" s="783"/>
      <c r="I66" s="783"/>
      <c r="J66" s="780"/>
      <c r="K66" s="786"/>
      <c r="L66" s="785"/>
      <c r="M66" s="786"/>
      <c r="N66" s="786"/>
      <c r="O66" s="780"/>
      <c r="P66" s="787"/>
      <c r="Q66" s="780"/>
      <c r="R66" s="780"/>
      <c r="S66" s="780"/>
      <c r="T66" s="780"/>
      <c r="U66" s="780"/>
      <c r="V66" s="780"/>
      <c r="W66" s="787"/>
      <c r="X66" s="780"/>
      <c r="Y66" s="780"/>
      <c r="Z66" s="780"/>
      <c r="AA66" s="780"/>
      <c r="AB66" s="788"/>
      <c r="AC66" s="781"/>
      <c r="AD66" s="780"/>
      <c r="AE66" s="789" t="str">
        <f t="array" ref="AE66:AF66">{"",'S-10 Оформление сделок Выборка'!AF66}</f>
        <v/>
      </c>
      <c r="AF66" s="790"/>
      <c r="AG66" s="781"/>
      <c r="AH66" s="781"/>
      <c r="AI66" s="785"/>
      <c r="AJ66" s="780"/>
      <c r="AK66" s="792" t="str">
        <f t="array" ref="AK66:AL66">{"",'S-10 Оформление сделок Выборка'!AL66}</f>
        <v/>
      </c>
      <c r="AL66" s="793"/>
      <c r="AM66" s="792" t="str">
        <f t="array" ref="AM66:AN66">{"",'S-10 Оформление сделок Выборка'!AN66}</f>
        <v/>
      </c>
      <c r="AN66" s="794"/>
      <c r="AO66" s="792" t="str">
        <f t="array" ref="AO66:AP66">{"",'S-10 Оформление сделок Выборка'!AP66}</f>
        <v/>
      </c>
      <c r="AP66" s="786"/>
      <c r="AQ66" s="786"/>
      <c r="AR66" s="779" t="str">
        <f t="array" ref="AR66:AS66">{"",'S-10 Оформление сделок Выборка'!AS66}</f>
        <v/>
      </c>
      <c r="AS66" s="795"/>
      <c r="AT66" s="779" t="str">
        <f t="array" ref="AT66:AU66">{"",'S-10 Оформление сделок Выборка'!AU66}</f>
        <v/>
      </c>
      <c r="AU66" s="805"/>
      <c r="AV66" s="779" t="str">
        <f t="array" ref="AV66:AW66">{"",'S-10 Оформление сделок Выборка'!AW66}</f>
        <v/>
      </c>
      <c r="AW66" s="797"/>
      <c r="AX66" s="786"/>
      <c r="AY66" s="786"/>
      <c r="AZ66" s="792" t="str">
        <f t="array" ref="AZ66:BA66">{"",'S-10 Оформление сделок Выборка'!BA66}</f>
        <v/>
      </c>
      <c r="BA66" s="798"/>
      <c r="BB66" s="792" t="str">
        <f t="array" ref="BB66:BC66">{"",'S-10 Оформление сделок Выборка'!BC66}</f>
        <v/>
      </c>
      <c r="BC66" s="799"/>
      <c r="BD66" s="792" t="str">
        <f t="array" ref="BD66:BE66">{"",'S-10 Оформление сделок Выборка'!BE66}</f>
        <v/>
      </c>
      <c r="BE66" s="793"/>
      <c r="BF66" s="800" t="str">
        <f t="array" ref="BF66:BG66">{"",'S-10 Оформление сделок Выборка'!BG66}</f>
        <v/>
      </c>
      <c r="BG66" s="794"/>
      <c r="BH66" s="794" t="str">
        <f t="array" ref="BH66:BI66">{"",'S-10 Оформление сделок Выборка'!BI66}</f>
        <v/>
      </c>
      <c r="BI66" s="794"/>
      <c r="BJ66" s="792" t="str">
        <f t="array" ref="BJ66:BK66">{"",'S-10 Оформление сделок Выборка'!BK66}</f>
        <v/>
      </c>
      <c r="BK66" s="793"/>
      <c r="BL66" s="792" t="str">
        <f t="array" ref="BL66:BM66">{"",'S-10 Оформление сделок Выборка'!BM66}</f>
        <v/>
      </c>
      <c r="BM66" s="801"/>
      <c r="BN66" s="792" t="str">
        <f t="array" ref="BN66:BO66">{"",'S-10 Оформление сделок Выборка'!BO66}</f>
        <v/>
      </c>
      <c r="BO66" s="793"/>
      <c r="BP66" s="792" t="str">
        <f t="array" ref="BP66:BQ66">{"",'S-10 Оформление сделок Выборка'!BQ66}</f>
        <v/>
      </c>
      <c r="BQ66" s="802"/>
      <c r="BR66" s="792" t="str">
        <f t="array" ref="BR66:BS66">{"",'S-10 Оформление сделок Выборка'!BS66}</f>
        <v/>
      </c>
      <c r="BS66" s="794"/>
      <c r="BT66" s="800" t="str">
        <f t="array" ref="BT66:BU66">{"",'S-10 Оформление сделок Выборка'!BU66}</f>
        <v/>
      </c>
      <c r="BU66" s="794"/>
      <c r="BV66" s="800" t="str">
        <f t="array" ref="BV66:BW66">{"",'S-10 Оформление сделок Выборка'!BW66}</f>
        <v/>
      </c>
      <c r="BW66" s="803" t="s">
        <v>96</v>
      </c>
      <c r="BX66" s="804"/>
    </row>
    <row r="67">
      <c r="A67" s="779"/>
      <c r="B67" s="779"/>
      <c r="C67" s="780" t="str">
        <f>'5-1 Сбор КП Закупки'!C67</f>
        <v/>
      </c>
      <c r="D67" s="781"/>
      <c r="E67" s="780"/>
      <c r="F67" s="783"/>
      <c r="G67" s="783"/>
      <c r="H67" s="783"/>
      <c r="I67" s="783"/>
      <c r="J67" s="780"/>
      <c r="K67" s="786"/>
      <c r="L67" s="785"/>
      <c r="M67" s="786"/>
      <c r="N67" s="786"/>
      <c r="O67" s="780"/>
      <c r="P67" s="787"/>
      <c r="Q67" s="780"/>
      <c r="R67" s="780"/>
      <c r="S67" s="780"/>
      <c r="T67" s="780"/>
      <c r="U67" s="780"/>
      <c r="V67" s="780"/>
      <c r="W67" s="787"/>
      <c r="X67" s="780"/>
      <c r="Y67" s="780"/>
      <c r="Z67" s="780"/>
      <c r="AA67" s="780"/>
      <c r="AB67" s="788"/>
      <c r="AC67" s="781"/>
      <c r="AD67" s="780"/>
      <c r="AE67" s="789" t="str">
        <f t="array" ref="AE67:AF67">{"",'S-10 Оформление сделок Выборка'!AF67}</f>
        <v/>
      </c>
      <c r="AF67" s="790"/>
      <c r="AG67" s="781"/>
      <c r="AH67" s="781"/>
      <c r="AI67" s="785"/>
      <c r="AJ67" s="780"/>
      <c r="AK67" s="792" t="str">
        <f t="array" ref="AK67:AL67">{"",'S-10 Оформление сделок Выборка'!AL67}</f>
        <v/>
      </c>
      <c r="AL67" s="793"/>
      <c r="AM67" s="792" t="str">
        <f t="array" ref="AM67:AN67">{"",'S-10 Оформление сделок Выборка'!AN67}</f>
        <v/>
      </c>
      <c r="AN67" s="794"/>
      <c r="AO67" s="792" t="str">
        <f t="array" ref="AO67:AP67">{"",'S-10 Оформление сделок Выборка'!AP67}</f>
        <v/>
      </c>
      <c r="AP67" s="786"/>
      <c r="AQ67" s="786"/>
      <c r="AR67" s="779" t="str">
        <f t="array" ref="AR67:AS67">{"",'S-10 Оформление сделок Выборка'!AS67}</f>
        <v/>
      </c>
      <c r="AS67" s="795"/>
      <c r="AT67" s="779" t="str">
        <f t="array" ref="AT67:AU67">{"",'S-10 Оформление сделок Выборка'!AU67}</f>
        <v/>
      </c>
      <c r="AU67" s="805"/>
      <c r="AV67" s="779" t="str">
        <f t="array" ref="AV67:AW67">{"",'S-10 Оформление сделок Выборка'!AW67}</f>
        <v/>
      </c>
      <c r="AW67" s="797"/>
      <c r="AX67" s="786"/>
      <c r="AY67" s="786"/>
      <c r="AZ67" s="792" t="str">
        <f t="array" ref="AZ67:BA67">{"",'S-10 Оформление сделок Выборка'!BA67}</f>
        <v/>
      </c>
      <c r="BA67" s="798"/>
      <c r="BB67" s="792" t="str">
        <f t="array" ref="BB67:BC67">{"",'S-10 Оформление сделок Выборка'!BC67}</f>
        <v/>
      </c>
      <c r="BC67" s="799"/>
      <c r="BD67" s="792" t="str">
        <f t="array" ref="BD67:BE67">{"",'S-10 Оформление сделок Выборка'!BE67}</f>
        <v/>
      </c>
      <c r="BE67" s="793"/>
      <c r="BF67" s="800" t="str">
        <f t="array" ref="BF67:BG67">{"",'S-10 Оформление сделок Выборка'!BG67}</f>
        <v/>
      </c>
      <c r="BG67" s="794"/>
      <c r="BH67" s="794" t="str">
        <f t="array" ref="BH67:BI67">{"",'S-10 Оформление сделок Выборка'!BI67}</f>
        <v/>
      </c>
      <c r="BI67" s="794"/>
      <c r="BJ67" s="792" t="str">
        <f t="array" ref="BJ67:BK67">{"",'S-10 Оформление сделок Выборка'!BK67}</f>
        <v/>
      </c>
      <c r="BK67" s="793"/>
      <c r="BL67" s="792" t="str">
        <f t="array" ref="BL67:BM67">{"",'S-10 Оформление сделок Выборка'!BM67}</f>
        <v/>
      </c>
      <c r="BM67" s="801"/>
      <c r="BN67" s="792" t="str">
        <f t="array" ref="BN67:BO67">{"",'S-10 Оформление сделок Выборка'!BO67}</f>
        <v/>
      </c>
      <c r="BO67" s="793"/>
      <c r="BP67" s="792" t="str">
        <f t="array" ref="BP67:BQ67">{"",'S-10 Оформление сделок Выборка'!BQ67}</f>
        <v/>
      </c>
      <c r="BQ67" s="802"/>
      <c r="BR67" s="792" t="str">
        <f t="array" ref="BR67:BS67">{"",'S-10 Оформление сделок Выборка'!BS67}</f>
        <v/>
      </c>
      <c r="BS67" s="794"/>
      <c r="BT67" s="800" t="str">
        <f t="array" ref="BT67:BU67">{"",'S-10 Оформление сделок Выборка'!BU67}</f>
        <v/>
      </c>
      <c r="BU67" s="794"/>
      <c r="BV67" s="800" t="str">
        <f t="array" ref="BV67:BW67">{"",'S-10 Оформление сделок Выборка'!BW67}</f>
        <v/>
      </c>
      <c r="BW67" s="803" t="s">
        <v>96</v>
      </c>
      <c r="BX67" s="804"/>
    </row>
    <row r="68">
      <c r="A68" s="779"/>
      <c r="B68" s="779"/>
      <c r="C68" s="780" t="str">
        <f>'5-1 Сбор КП Закупки'!C68</f>
        <v/>
      </c>
      <c r="D68" s="781"/>
      <c r="E68" s="780"/>
      <c r="F68" s="783"/>
      <c r="G68" s="783"/>
      <c r="H68" s="783"/>
      <c r="I68" s="783"/>
      <c r="J68" s="780"/>
      <c r="K68" s="786"/>
      <c r="L68" s="785"/>
      <c r="M68" s="786"/>
      <c r="N68" s="786"/>
      <c r="O68" s="780"/>
      <c r="P68" s="787"/>
      <c r="Q68" s="780"/>
      <c r="R68" s="780"/>
      <c r="S68" s="780"/>
      <c r="T68" s="780"/>
      <c r="U68" s="780"/>
      <c r="V68" s="780"/>
      <c r="W68" s="787"/>
      <c r="X68" s="780"/>
      <c r="Y68" s="780"/>
      <c r="Z68" s="780"/>
      <c r="AA68" s="780"/>
      <c r="AB68" s="788"/>
      <c r="AC68" s="781"/>
      <c r="AD68" s="780"/>
      <c r="AE68" s="789" t="str">
        <f t="array" ref="AE68:AF68">{"",'S-10 Оформление сделок Выборка'!AF68}</f>
        <v/>
      </c>
      <c r="AF68" s="790"/>
      <c r="AG68" s="781"/>
      <c r="AH68" s="781"/>
      <c r="AI68" s="785"/>
      <c r="AJ68" s="780"/>
      <c r="AK68" s="792" t="str">
        <f t="array" ref="AK68:AL68">{"",'S-10 Оформление сделок Выборка'!AL68}</f>
        <v/>
      </c>
      <c r="AL68" s="793"/>
      <c r="AM68" s="792" t="str">
        <f t="array" ref="AM68:AN68">{"",'S-10 Оформление сделок Выборка'!AN68}</f>
        <v/>
      </c>
      <c r="AN68" s="794"/>
      <c r="AO68" s="792" t="str">
        <f t="array" ref="AO68:AP68">{"",'S-10 Оформление сделок Выборка'!AP68}</f>
        <v/>
      </c>
      <c r="AP68" s="786"/>
      <c r="AQ68" s="786"/>
      <c r="AR68" s="779" t="str">
        <f t="array" ref="AR68:AS68">{"",'S-10 Оформление сделок Выборка'!AS68}</f>
        <v/>
      </c>
      <c r="AS68" s="795"/>
      <c r="AT68" s="779" t="str">
        <f t="array" ref="AT68:AU68">{"",'S-10 Оформление сделок Выборка'!AU68}</f>
        <v/>
      </c>
      <c r="AU68" s="805"/>
      <c r="AV68" s="779" t="str">
        <f t="array" ref="AV68:AW68">{"",'S-10 Оформление сделок Выборка'!AW68}</f>
        <v/>
      </c>
      <c r="AW68" s="797"/>
      <c r="AX68" s="786"/>
      <c r="AY68" s="786"/>
      <c r="AZ68" s="792" t="str">
        <f t="array" ref="AZ68:BA68">{"",'S-10 Оформление сделок Выборка'!BA68}</f>
        <v/>
      </c>
      <c r="BA68" s="798"/>
      <c r="BB68" s="792" t="str">
        <f t="array" ref="BB68:BC68">{"",'S-10 Оформление сделок Выборка'!BC68}</f>
        <v/>
      </c>
      <c r="BC68" s="799"/>
      <c r="BD68" s="792" t="str">
        <f t="array" ref="BD68:BE68">{"",'S-10 Оформление сделок Выборка'!BE68}</f>
        <v/>
      </c>
      <c r="BE68" s="793"/>
      <c r="BF68" s="800" t="str">
        <f t="array" ref="BF68:BG68">{"",'S-10 Оформление сделок Выборка'!BG68}</f>
        <v/>
      </c>
      <c r="BG68" s="794"/>
      <c r="BH68" s="794" t="str">
        <f t="array" ref="BH68:BI68">{"",'S-10 Оформление сделок Выборка'!BI68}</f>
        <v/>
      </c>
      <c r="BI68" s="794"/>
      <c r="BJ68" s="792" t="str">
        <f t="array" ref="BJ68:BK68">{"",'S-10 Оформление сделок Выборка'!BK68}</f>
        <v/>
      </c>
      <c r="BK68" s="793"/>
      <c r="BL68" s="792" t="str">
        <f t="array" ref="BL68:BM68">{"",'S-10 Оформление сделок Выборка'!BM68}</f>
        <v/>
      </c>
      <c r="BM68" s="801"/>
      <c r="BN68" s="792" t="str">
        <f t="array" ref="BN68:BO68">{"",'S-10 Оформление сделок Выборка'!BO68}</f>
        <v/>
      </c>
      <c r="BO68" s="793"/>
      <c r="BP68" s="792" t="str">
        <f t="array" ref="BP68:BQ68">{"",'S-10 Оформление сделок Выборка'!BQ68}</f>
        <v/>
      </c>
      <c r="BQ68" s="802"/>
      <c r="BR68" s="792" t="str">
        <f t="array" ref="BR68:BS68">{"",'S-10 Оформление сделок Выборка'!BS68}</f>
        <v/>
      </c>
      <c r="BS68" s="794"/>
      <c r="BT68" s="800" t="str">
        <f t="array" ref="BT68:BU68">{"",'S-10 Оформление сделок Выборка'!BU68}</f>
        <v/>
      </c>
      <c r="BU68" s="794"/>
      <c r="BV68" s="800" t="str">
        <f t="array" ref="BV68:BW68">{"",'S-10 Оформление сделок Выборка'!BW68}</f>
        <v/>
      </c>
      <c r="BW68" s="803" t="s">
        <v>96</v>
      </c>
      <c r="BX68" s="804"/>
    </row>
    <row r="69">
      <c r="A69" s="779"/>
      <c r="B69" s="779"/>
      <c r="C69" s="780" t="str">
        <f>'5-1 Сбор КП Закупки'!C69</f>
        <v/>
      </c>
      <c r="D69" s="781"/>
      <c r="E69" s="780"/>
      <c r="F69" s="783"/>
      <c r="G69" s="783"/>
      <c r="H69" s="783"/>
      <c r="I69" s="783"/>
      <c r="J69" s="780"/>
      <c r="K69" s="786"/>
      <c r="L69" s="785"/>
      <c r="M69" s="786"/>
      <c r="N69" s="786"/>
      <c r="O69" s="780"/>
      <c r="P69" s="787"/>
      <c r="Q69" s="780"/>
      <c r="R69" s="780"/>
      <c r="S69" s="780"/>
      <c r="T69" s="780"/>
      <c r="U69" s="780"/>
      <c r="V69" s="780"/>
      <c r="W69" s="787"/>
      <c r="X69" s="780"/>
      <c r="Y69" s="780"/>
      <c r="Z69" s="780"/>
      <c r="AA69" s="780"/>
      <c r="AB69" s="788"/>
      <c r="AC69" s="781"/>
      <c r="AD69" s="780"/>
      <c r="AE69" s="789" t="str">
        <f t="array" ref="AE69:AF69">{"",'S-10 Оформление сделок Выборка'!AF69}</f>
        <v/>
      </c>
      <c r="AF69" s="790"/>
      <c r="AG69" s="781"/>
      <c r="AH69" s="781"/>
      <c r="AI69" s="785"/>
      <c r="AJ69" s="780"/>
      <c r="AK69" s="792" t="str">
        <f t="array" ref="AK69:AL69">{"",'S-10 Оформление сделок Выборка'!AL69}</f>
        <v/>
      </c>
      <c r="AL69" s="793"/>
      <c r="AM69" s="792" t="str">
        <f t="array" ref="AM69:AN69">{"",'S-10 Оформление сделок Выборка'!AN69}</f>
        <v/>
      </c>
      <c r="AN69" s="794"/>
      <c r="AO69" s="792" t="str">
        <f t="array" ref="AO69:AP69">{"",'S-10 Оформление сделок Выборка'!AP69}</f>
        <v/>
      </c>
      <c r="AP69" s="786"/>
      <c r="AQ69" s="786"/>
      <c r="AR69" s="779" t="str">
        <f t="array" ref="AR69:AS69">{"",'S-10 Оформление сделок Выборка'!AS69}</f>
        <v/>
      </c>
      <c r="AS69" s="795"/>
      <c r="AT69" s="779" t="str">
        <f t="array" ref="AT69:AU69">{"",'S-10 Оформление сделок Выборка'!AU69}</f>
        <v/>
      </c>
      <c r="AU69" s="805"/>
      <c r="AV69" s="779" t="str">
        <f t="array" ref="AV69:AW69">{"",'S-10 Оформление сделок Выборка'!AW69}</f>
        <v/>
      </c>
      <c r="AW69" s="797"/>
      <c r="AX69" s="786"/>
      <c r="AY69" s="786"/>
      <c r="AZ69" s="792" t="str">
        <f t="array" ref="AZ69:BA69">{"",'S-10 Оформление сделок Выборка'!BA69}</f>
        <v/>
      </c>
      <c r="BA69" s="798"/>
      <c r="BB69" s="792" t="str">
        <f t="array" ref="BB69:BC69">{"",'S-10 Оформление сделок Выборка'!BC69}</f>
        <v/>
      </c>
      <c r="BC69" s="799"/>
      <c r="BD69" s="792" t="str">
        <f t="array" ref="BD69:BE69">{"",'S-10 Оформление сделок Выборка'!BE69}</f>
        <v/>
      </c>
      <c r="BE69" s="793"/>
      <c r="BF69" s="800" t="str">
        <f t="array" ref="BF69:BG69">{"",'S-10 Оформление сделок Выборка'!BG69}</f>
        <v/>
      </c>
      <c r="BG69" s="794"/>
      <c r="BH69" s="794" t="str">
        <f t="array" ref="BH69:BI69">{"",'S-10 Оформление сделок Выборка'!BI69}</f>
        <v/>
      </c>
      <c r="BI69" s="794"/>
      <c r="BJ69" s="792" t="str">
        <f t="array" ref="BJ69:BK69">{"",'S-10 Оформление сделок Выборка'!BK69}</f>
        <v/>
      </c>
      <c r="BK69" s="793"/>
      <c r="BL69" s="792" t="str">
        <f t="array" ref="BL69:BM69">{"",'S-10 Оформление сделок Выборка'!BM69}</f>
        <v/>
      </c>
      <c r="BM69" s="801"/>
      <c r="BN69" s="792" t="str">
        <f t="array" ref="BN69:BO69">{"",'S-10 Оформление сделок Выборка'!BO69}</f>
        <v/>
      </c>
      <c r="BO69" s="793"/>
      <c r="BP69" s="792" t="str">
        <f t="array" ref="BP69:BQ69">{"",'S-10 Оформление сделок Выборка'!BQ69}</f>
        <v/>
      </c>
      <c r="BQ69" s="802"/>
      <c r="BR69" s="792" t="str">
        <f t="array" ref="BR69:BS69">{"",'S-10 Оформление сделок Выборка'!BS69}</f>
        <v/>
      </c>
      <c r="BS69" s="794"/>
      <c r="BT69" s="800" t="str">
        <f t="array" ref="BT69:BU69">{"",'S-10 Оформление сделок Выборка'!BU69}</f>
        <v/>
      </c>
      <c r="BU69" s="794"/>
      <c r="BV69" s="800" t="str">
        <f t="array" ref="BV69:BW69">{"",'S-10 Оформление сделок Выборка'!BW69}</f>
        <v/>
      </c>
      <c r="BW69" s="803" t="s">
        <v>96</v>
      </c>
      <c r="BX69" s="804"/>
    </row>
    <row r="70">
      <c r="A70" s="779"/>
      <c r="B70" s="779"/>
      <c r="C70" s="780" t="str">
        <f>'5-1 Сбор КП Закупки'!C70</f>
        <v/>
      </c>
      <c r="D70" s="781"/>
      <c r="E70" s="780"/>
      <c r="F70" s="783"/>
      <c r="G70" s="783"/>
      <c r="H70" s="783"/>
      <c r="I70" s="783"/>
      <c r="J70" s="780"/>
      <c r="K70" s="786"/>
      <c r="L70" s="785"/>
      <c r="M70" s="786"/>
      <c r="N70" s="786"/>
      <c r="O70" s="780"/>
      <c r="P70" s="787"/>
      <c r="Q70" s="780"/>
      <c r="R70" s="780"/>
      <c r="S70" s="780"/>
      <c r="T70" s="780"/>
      <c r="U70" s="780"/>
      <c r="V70" s="780"/>
      <c r="W70" s="787"/>
      <c r="X70" s="780"/>
      <c r="Y70" s="780"/>
      <c r="Z70" s="780"/>
      <c r="AA70" s="780"/>
      <c r="AB70" s="788"/>
      <c r="AC70" s="781"/>
      <c r="AD70" s="780"/>
      <c r="AE70" s="789" t="str">
        <f t="array" ref="AE70:AF70">{"",'S-10 Оформление сделок Выборка'!AF70}</f>
        <v/>
      </c>
      <c r="AF70" s="790"/>
      <c r="AG70" s="781"/>
      <c r="AH70" s="781"/>
      <c r="AI70" s="785"/>
      <c r="AJ70" s="780"/>
      <c r="AK70" s="792" t="str">
        <f t="array" ref="AK70:AL70">{"",'S-10 Оформление сделок Выборка'!AL70}</f>
        <v/>
      </c>
      <c r="AL70" s="793"/>
      <c r="AM70" s="792" t="str">
        <f t="array" ref="AM70:AN70">{"",'S-10 Оформление сделок Выборка'!AN70}</f>
        <v/>
      </c>
      <c r="AN70" s="794"/>
      <c r="AO70" s="792" t="str">
        <f t="array" ref="AO70:AP70">{"",'S-10 Оформление сделок Выборка'!AP70}</f>
        <v/>
      </c>
      <c r="AP70" s="786"/>
      <c r="AQ70" s="786"/>
      <c r="AR70" s="779" t="str">
        <f t="array" ref="AR70:AS70">{"",'S-10 Оформление сделок Выборка'!AS70}</f>
        <v/>
      </c>
      <c r="AS70" s="795"/>
      <c r="AT70" s="779" t="str">
        <f t="array" ref="AT70:AU70">{"",'S-10 Оформление сделок Выборка'!AU70}</f>
        <v/>
      </c>
      <c r="AU70" s="805"/>
      <c r="AV70" s="779" t="str">
        <f t="array" ref="AV70:AW70">{"",'S-10 Оформление сделок Выборка'!AW70}</f>
        <v/>
      </c>
      <c r="AW70" s="797"/>
      <c r="AX70" s="786"/>
      <c r="AY70" s="786"/>
      <c r="AZ70" s="792" t="str">
        <f t="array" ref="AZ70:BA70">{"",'S-10 Оформление сделок Выборка'!BA70}</f>
        <v/>
      </c>
      <c r="BA70" s="798"/>
      <c r="BB70" s="792" t="str">
        <f t="array" ref="BB70:BC70">{"",'S-10 Оформление сделок Выборка'!BC70}</f>
        <v/>
      </c>
      <c r="BC70" s="799"/>
      <c r="BD70" s="792" t="str">
        <f t="array" ref="BD70:BE70">{"",'S-10 Оформление сделок Выборка'!BE70}</f>
        <v/>
      </c>
      <c r="BE70" s="793"/>
      <c r="BF70" s="800" t="str">
        <f t="array" ref="BF70:BG70">{"",'S-10 Оформление сделок Выборка'!BG70}</f>
        <v/>
      </c>
      <c r="BG70" s="794"/>
      <c r="BH70" s="794" t="str">
        <f t="array" ref="BH70:BI70">{"",'S-10 Оформление сделок Выборка'!BI70}</f>
        <v/>
      </c>
      <c r="BI70" s="794"/>
      <c r="BJ70" s="792" t="str">
        <f t="array" ref="BJ70:BK70">{"",'S-10 Оформление сделок Выборка'!BK70}</f>
        <v/>
      </c>
      <c r="BK70" s="793"/>
      <c r="BL70" s="792" t="str">
        <f t="array" ref="BL70:BM70">{"",'S-10 Оформление сделок Выборка'!BM70}</f>
        <v/>
      </c>
      <c r="BM70" s="801"/>
      <c r="BN70" s="792" t="str">
        <f t="array" ref="BN70:BO70">{"",'S-10 Оформление сделок Выборка'!BO70}</f>
        <v/>
      </c>
      <c r="BO70" s="793"/>
      <c r="BP70" s="792" t="str">
        <f t="array" ref="BP70:BQ70">{"",'S-10 Оформление сделок Выборка'!BQ70}</f>
        <v/>
      </c>
      <c r="BQ70" s="802"/>
      <c r="BR70" s="792" t="str">
        <f t="array" ref="BR70:BS70">{"",'S-10 Оформление сделок Выборка'!BS70}</f>
        <v/>
      </c>
      <c r="BS70" s="794"/>
      <c r="BT70" s="800" t="str">
        <f t="array" ref="BT70:BU70">{"",'S-10 Оформление сделок Выборка'!BU70}</f>
        <v/>
      </c>
      <c r="BU70" s="794"/>
      <c r="BV70" s="800" t="str">
        <f t="array" ref="BV70:BW70">{"",'S-10 Оформление сделок Выборка'!BW70}</f>
        <v/>
      </c>
      <c r="BW70" s="803" t="s">
        <v>96</v>
      </c>
      <c r="BX70" s="804"/>
    </row>
    <row r="71">
      <c r="A71" s="779"/>
      <c r="B71" s="779"/>
      <c r="C71" s="780" t="str">
        <f>'5-1 Сбор КП Закупки'!C71</f>
        <v/>
      </c>
      <c r="D71" s="781"/>
      <c r="E71" s="780"/>
      <c r="F71" s="783"/>
      <c r="G71" s="783"/>
      <c r="H71" s="783"/>
      <c r="I71" s="783"/>
      <c r="J71" s="780"/>
      <c r="K71" s="786"/>
      <c r="L71" s="785"/>
      <c r="M71" s="786"/>
      <c r="N71" s="786"/>
      <c r="O71" s="780"/>
      <c r="P71" s="787"/>
      <c r="Q71" s="780"/>
      <c r="R71" s="780"/>
      <c r="S71" s="780"/>
      <c r="T71" s="780"/>
      <c r="U71" s="780"/>
      <c r="V71" s="780"/>
      <c r="W71" s="787"/>
      <c r="X71" s="780"/>
      <c r="Y71" s="780"/>
      <c r="Z71" s="780"/>
      <c r="AA71" s="780"/>
      <c r="AB71" s="788"/>
      <c r="AC71" s="781"/>
      <c r="AD71" s="780"/>
      <c r="AE71" s="789" t="str">
        <f t="array" ref="AE71:AF71">{"",'S-10 Оформление сделок Выборка'!AF71}</f>
        <v/>
      </c>
      <c r="AF71" s="790"/>
      <c r="AG71" s="781"/>
      <c r="AH71" s="781"/>
      <c r="AI71" s="785"/>
      <c r="AJ71" s="780"/>
      <c r="AK71" s="792" t="str">
        <f t="array" ref="AK71:AL71">{"",'S-10 Оформление сделок Выборка'!AL71}</f>
        <v/>
      </c>
      <c r="AL71" s="793"/>
      <c r="AM71" s="792" t="str">
        <f t="array" ref="AM71:AN71">{"",'S-10 Оформление сделок Выборка'!AN71}</f>
        <v/>
      </c>
      <c r="AN71" s="794"/>
      <c r="AO71" s="792" t="str">
        <f t="array" ref="AO71:AP71">{"",'S-10 Оформление сделок Выборка'!AP71}</f>
        <v/>
      </c>
      <c r="AP71" s="786"/>
      <c r="AQ71" s="786"/>
      <c r="AR71" s="779" t="str">
        <f t="array" ref="AR71:AS71">{"",'S-10 Оформление сделок Выборка'!AS71}</f>
        <v/>
      </c>
      <c r="AS71" s="795"/>
      <c r="AT71" s="779" t="str">
        <f t="array" ref="AT71:AU71">{"",'S-10 Оформление сделок Выборка'!AU71}</f>
        <v/>
      </c>
      <c r="AU71" s="805"/>
      <c r="AV71" s="779" t="str">
        <f t="array" ref="AV71:AW71">{"",'S-10 Оформление сделок Выборка'!AW71}</f>
        <v/>
      </c>
      <c r="AW71" s="797"/>
      <c r="AX71" s="786"/>
      <c r="AY71" s="786"/>
      <c r="AZ71" s="792" t="str">
        <f t="array" ref="AZ71:BA71">{"",'S-10 Оформление сделок Выборка'!BA71}</f>
        <v/>
      </c>
      <c r="BA71" s="798"/>
      <c r="BB71" s="792" t="str">
        <f t="array" ref="BB71:BC71">{"",'S-10 Оформление сделок Выборка'!BC71}</f>
        <v/>
      </c>
      <c r="BC71" s="799"/>
      <c r="BD71" s="792" t="str">
        <f t="array" ref="BD71:BE71">{"",'S-10 Оформление сделок Выборка'!BE71}</f>
        <v/>
      </c>
      <c r="BE71" s="793"/>
      <c r="BF71" s="800" t="str">
        <f t="array" ref="BF71:BG71">{"",'S-10 Оформление сделок Выборка'!BG71}</f>
        <v/>
      </c>
      <c r="BG71" s="794"/>
      <c r="BH71" s="794" t="str">
        <f t="array" ref="BH71:BI71">{"",'S-10 Оформление сделок Выборка'!BI71}</f>
        <v/>
      </c>
      <c r="BI71" s="794"/>
      <c r="BJ71" s="792" t="str">
        <f t="array" ref="BJ71:BK71">{"",'S-10 Оформление сделок Выборка'!BK71}</f>
        <v/>
      </c>
      <c r="BK71" s="793"/>
      <c r="BL71" s="792" t="str">
        <f t="array" ref="BL71:BM71">{"",'S-10 Оформление сделок Выборка'!BM71}</f>
        <v/>
      </c>
      <c r="BM71" s="801"/>
      <c r="BN71" s="792" t="str">
        <f t="array" ref="BN71:BO71">{"",'S-10 Оформление сделок Выборка'!BO71}</f>
        <v/>
      </c>
      <c r="BO71" s="793"/>
      <c r="BP71" s="792" t="str">
        <f t="array" ref="BP71:BQ71">{"",'S-10 Оформление сделок Выборка'!BQ71}</f>
        <v/>
      </c>
      <c r="BQ71" s="802"/>
      <c r="BR71" s="792" t="str">
        <f t="array" ref="BR71:BS71">{"",'S-10 Оформление сделок Выборка'!BS71}</f>
        <v/>
      </c>
      <c r="BS71" s="794"/>
      <c r="BT71" s="800" t="str">
        <f t="array" ref="BT71:BU71">{"",'S-10 Оформление сделок Выборка'!BU71}</f>
        <v/>
      </c>
      <c r="BU71" s="794"/>
      <c r="BV71" s="800" t="str">
        <f t="array" ref="BV71:BW71">{"",'S-10 Оформление сделок Выборка'!BW71}</f>
        <v/>
      </c>
      <c r="BW71" s="803" t="s">
        <v>96</v>
      </c>
      <c r="BX71" s="804"/>
    </row>
    <row r="72">
      <c r="A72" s="779"/>
      <c r="B72" s="779"/>
      <c r="C72" s="780" t="str">
        <f>'5-1 Сбор КП Закупки'!C72</f>
        <v/>
      </c>
      <c r="D72" s="781"/>
      <c r="E72" s="780"/>
      <c r="F72" s="783"/>
      <c r="G72" s="783"/>
      <c r="H72" s="783"/>
      <c r="I72" s="783"/>
      <c r="J72" s="780"/>
      <c r="K72" s="786"/>
      <c r="L72" s="785"/>
      <c r="M72" s="786"/>
      <c r="N72" s="786"/>
      <c r="O72" s="780"/>
      <c r="P72" s="787"/>
      <c r="Q72" s="780"/>
      <c r="R72" s="780"/>
      <c r="S72" s="780"/>
      <c r="T72" s="780"/>
      <c r="U72" s="780"/>
      <c r="V72" s="780"/>
      <c r="W72" s="787"/>
      <c r="X72" s="780"/>
      <c r="Y72" s="780"/>
      <c r="Z72" s="780"/>
      <c r="AA72" s="780"/>
      <c r="AB72" s="788"/>
      <c r="AC72" s="781"/>
      <c r="AD72" s="780"/>
      <c r="AE72" s="789" t="str">
        <f t="array" ref="AE72:AF72">{"",'S-10 Оформление сделок Выборка'!AF72}</f>
        <v/>
      </c>
      <c r="AF72" s="790"/>
      <c r="AG72" s="781"/>
      <c r="AH72" s="781"/>
      <c r="AI72" s="785"/>
      <c r="AJ72" s="780"/>
      <c r="AK72" s="792" t="str">
        <f t="array" ref="AK72:AL72">{"",'S-10 Оформление сделок Выборка'!AL72}</f>
        <v/>
      </c>
      <c r="AL72" s="793"/>
      <c r="AM72" s="792" t="str">
        <f t="array" ref="AM72:AN72">{"",'S-10 Оформление сделок Выборка'!AN72}</f>
        <v/>
      </c>
      <c r="AN72" s="794"/>
      <c r="AO72" s="792" t="str">
        <f t="array" ref="AO72:AP72">{"",'S-10 Оформление сделок Выборка'!AP72}</f>
        <v/>
      </c>
      <c r="AP72" s="786"/>
      <c r="AQ72" s="786"/>
      <c r="AR72" s="779" t="str">
        <f t="array" ref="AR72:AS72">{"",'S-10 Оформление сделок Выборка'!AS72}</f>
        <v/>
      </c>
      <c r="AS72" s="795"/>
      <c r="AT72" s="779" t="str">
        <f t="array" ref="AT72:AU72">{"",'S-10 Оформление сделок Выборка'!AU72}</f>
        <v/>
      </c>
      <c r="AU72" s="805"/>
      <c r="AV72" s="779" t="str">
        <f t="array" ref="AV72:AW72">{"",'S-10 Оформление сделок Выборка'!AW72}</f>
        <v/>
      </c>
      <c r="AW72" s="797"/>
      <c r="AX72" s="786"/>
      <c r="AY72" s="786"/>
      <c r="AZ72" s="792" t="str">
        <f t="array" ref="AZ72:BA72">{"",'S-10 Оформление сделок Выборка'!BA72}</f>
        <v/>
      </c>
      <c r="BA72" s="798"/>
      <c r="BB72" s="792" t="str">
        <f t="array" ref="BB72:BC72">{"",'S-10 Оформление сделок Выборка'!BC72}</f>
        <v/>
      </c>
      <c r="BC72" s="799"/>
      <c r="BD72" s="792" t="str">
        <f t="array" ref="BD72:BE72">{"",'S-10 Оформление сделок Выборка'!BE72}</f>
        <v/>
      </c>
      <c r="BE72" s="793"/>
      <c r="BF72" s="800" t="str">
        <f t="array" ref="BF72:BG72">{"",'S-10 Оформление сделок Выборка'!BG72}</f>
        <v/>
      </c>
      <c r="BG72" s="794"/>
      <c r="BH72" s="794" t="str">
        <f t="array" ref="BH72:BI72">{"",'S-10 Оформление сделок Выборка'!BI72}</f>
        <v/>
      </c>
      <c r="BI72" s="794"/>
      <c r="BJ72" s="792" t="str">
        <f t="array" ref="BJ72:BK72">{"",'S-10 Оформление сделок Выборка'!BK72}</f>
        <v/>
      </c>
      <c r="BK72" s="793"/>
      <c r="BL72" s="792" t="str">
        <f t="array" ref="BL72:BM72">{"",'S-10 Оформление сделок Выборка'!BM72}</f>
        <v/>
      </c>
      <c r="BM72" s="801"/>
      <c r="BN72" s="792" t="str">
        <f t="array" ref="BN72:BO72">{"",'S-10 Оформление сделок Выборка'!BO72}</f>
        <v/>
      </c>
      <c r="BO72" s="793"/>
      <c r="BP72" s="792" t="str">
        <f t="array" ref="BP72:BQ72">{"",'S-10 Оформление сделок Выборка'!BQ72}</f>
        <v/>
      </c>
      <c r="BQ72" s="802"/>
      <c r="BR72" s="792" t="str">
        <f t="array" ref="BR72:BS72">{"",'S-10 Оформление сделок Выборка'!BS72}</f>
        <v/>
      </c>
      <c r="BS72" s="794"/>
      <c r="BT72" s="800" t="str">
        <f t="array" ref="BT72:BU72">{"",'S-10 Оформление сделок Выборка'!BU72}</f>
        <v/>
      </c>
      <c r="BU72" s="794"/>
      <c r="BV72" s="800" t="str">
        <f t="array" ref="BV72:BW72">{"",'S-10 Оформление сделок Выборка'!BW72}</f>
        <v/>
      </c>
      <c r="BW72" s="803" t="s">
        <v>96</v>
      </c>
      <c r="BX72" s="804"/>
    </row>
    <row r="73">
      <c r="A73" s="779"/>
      <c r="B73" s="779"/>
      <c r="C73" s="780" t="str">
        <f>'5-1 Сбор КП Закупки'!C73</f>
        <v/>
      </c>
      <c r="D73" s="781"/>
      <c r="E73" s="780"/>
      <c r="F73" s="783"/>
      <c r="G73" s="783"/>
      <c r="H73" s="783"/>
      <c r="I73" s="783"/>
      <c r="J73" s="780"/>
      <c r="K73" s="786"/>
      <c r="L73" s="785"/>
      <c r="M73" s="786"/>
      <c r="N73" s="786"/>
      <c r="O73" s="780"/>
      <c r="P73" s="787"/>
      <c r="Q73" s="780"/>
      <c r="R73" s="780"/>
      <c r="S73" s="780"/>
      <c r="T73" s="780"/>
      <c r="U73" s="780"/>
      <c r="V73" s="780"/>
      <c r="W73" s="787"/>
      <c r="X73" s="780"/>
      <c r="Y73" s="780"/>
      <c r="Z73" s="780"/>
      <c r="AA73" s="780"/>
      <c r="AB73" s="788"/>
      <c r="AC73" s="781"/>
      <c r="AD73" s="780"/>
      <c r="AE73" s="789" t="str">
        <f t="array" ref="AE73:AF73">{"",'S-10 Оформление сделок Выборка'!AF73}</f>
        <v/>
      </c>
      <c r="AF73" s="790"/>
      <c r="AG73" s="781"/>
      <c r="AH73" s="781"/>
      <c r="AI73" s="785"/>
      <c r="AJ73" s="780"/>
      <c r="AK73" s="792" t="str">
        <f t="array" ref="AK73:AL73">{"",'S-10 Оформление сделок Выборка'!AL73}</f>
        <v/>
      </c>
      <c r="AL73" s="793"/>
      <c r="AM73" s="792" t="str">
        <f t="array" ref="AM73:AN73">{"",'S-10 Оформление сделок Выборка'!AN73}</f>
        <v/>
      </c>
      <c r="AN73" s="794"/>
      <c r="AO73" s="792" t="str">
        <f t="array" ref="AO73:AP73">{"",'S-10 Оформление сделок Выборка'!AP73}</f>
        <v/>
      </c>
      <c r="AP73" s="786"/>
      <c r="AQ73" s="786"/>
      <c r="AR73" s="779" t="str">
        <f t="array" ref="AR73:AS73">{"",'S-10 Оформление сделок Выборка'!AS73}</f>
        <v/>
      </c>
      <c r="AS73" s="795"/>
      <c r="AT73" s="779" t="str">
        <f t="array" ref="AT73:AU73">{"",'S-10 Оформление сделок Выборка'!AU73}</f>
        <v/>
      </c>
      <c r="AU73" s="805"/>
      <c r="AV73" s="779" t="str">
        <f t="array" ref="AV73:AW73">{"",'S-10 Оформление сделок Выборка'!AW73}</f>
        <v/>
      </c>
      <c r="AW73" s="797"/>
      <c r="AX73" s="786"/>
      <c r="AY73" s="786"/>
      <c r="AZ73" s="792" t="str">
        <f t="array" ref="AZ73:BA73">{"",'S-10 Оформление сделок Выборка'!BA73}</f>
        <v/>
      </c>
      <c r="BA73" s="798"/>
      <c r="BB73" s="792" t="str">
        <f t="array" ref="BB73:BC73">{"",'S-10 Оформление сделок Выборка'!BC73}</f>
        <v/>
      </c>
      <c r="BC73" s="799"/>
      <c r="BD73" s="792" t="str">
        <f t="array" ref="BD73:BE73">{"",'S-10 Оформление сделок Выборка'!BE73}</f>
        <v/>
      </c>
      <c r="BE73" s="793"/>
      <c r="BF73" s="800" t="str">
        <f t="array" ref="BF73:BG73">{"",'S-10 Оформление сделок Выборка'!BG73}</f>
        <v/>
      </c>
      <c r="BG73" s="794"/>
      <c r="BH73" s="794" t="str">
        <f t="array" ref="BH73:BI73">{"",'S-10 Оформление сделок Выборка'!BI73}</f>
        <v/>
      </c>
      <c r="BI73" s="794"/>
      <c r="BJ73" s="792" t="str">
        <f t="array" ref="BJ73:BK73">{"",'S-10 Оформление сделок Выборка'!BK73}</f>
        <v/>
      </c>
      <c r="BK73" s="793"/>
      <c r="BL73" s="792" t="str">
        <f t="array" ref="BL73:BM73">{"",'S-10 Оформление сделок Выборка'!BM73}</f>
        <v/>
      </c>
      <c r="BM73" s="801"/>
      <c r="BN73" s="792" t="str">
        <f t="array" ref="BN73:BO73">{"",'S-10 Оформление сделок Выборка'!BO73}</f>
        <v/>
      </c>
      <c r="BO73" s="793"/>
      <c r="BP73" s="792" t="str">
        <f t="array" ref="BP73:BQ73">{"",'S-10 Оформление сделок Выборка'!BQ73}</f>
        <v/>
      </c>
      <c r="BQ73" s="802"/>
      <c r="BR73" s="792" t="str">
        <f t="array" ref="BR73:BS73">{"",'S-10 Оформление сделок Выборка'!BS73}</f>
        <v/>
      </c>
      <c r="BS73" s="794"/>
      <c r="BT73" s="800" t="str">
        <f t="array" ref="BT73:BU73">{"",'S-10 Оформление сделок Выборка'!BU73}</f>
        <v/>
      </c>
      <c r="BU73" s="794"/>
      <c r="BV73" s="800" t="str">
        <f t="array" ref="BV73:BW73">{"",'S-10 Оформление сделок Выборка'!BW73}</f>
        <v/>
      </c>
      <c r="BW73" s="803" t="s">
        <v>96</v>
      </c>
      <c r="BX73" s="804"/>
    </row>
    <row r="74">
      <c r="A74" s="779"/>
      <c r="B74" s="779"/>
      <c r="C74" s="780" t="str">
        <f>'5-1 Сбор КП Закупки'!C74</f>
        <v/>
      </c>
      <c r="D74" s="781"/>
      <c r="E74" s="780"/>
      <c r="F74" s="783"/>
      <c r="G74" s="783"/>
      <c r="H74" s="783"/>
      <c r="I74" s="783"/>
      <c r="J74" s="780"/>
      <c r="K74" s="786"/>
      <c r="L74" s="785"/>
      <c r="M74" s="786"/>
      <c r="N74" s="786"/>
      <c r="O74" s="780"/>
      <c r="P74" s="787"/>
      <c r="Q74" s="780"/>
      <c r="R74" s="780"/>
      <c r="S74" s="780"/>
      <c r="T74" s="780"/>
      <c r="U74" s="780"/>
      <c r="V74" s="780"/>
      <c r="W74" s="787"/>
      <c r="X74" s="780"/>
      <c r="Y74" s="780"/>
      <c r="Z74" s="780"/>
      <c r="AA74" s="780"/>
      <c r="AB74" s="788"/>
      <c r="AC74" s="781"/>
      <c r="AD74" s="780"/>
      <c r="AE74" s="789" t="str">
        <f t="array" ref="AE74:AF74">{"",'S-10 Оформление сделок Выборка'!AF74}</f>
        <v/>
      </c>
      <c r="AF74" s="790"/>
      <c r="AG74" s="781"/>
      <c r="AH74" s="781"/>
      <c r="AI74" s="785"/>
      <c r="AJ74" s="780"/>
      <c r="AK74" s="792" t="str">
        <f t="array" ref="AK74:AL74">{"",'S-10 Оформление сделок Выборка'!AL74}</f>
        <v/>
      </c>
      <c r="AL74" s="793"/>
      <c r="AM74" s="792" t="str">
        <f t="array" ref="AM74:AN74">{"",'S-10 Оформление сделок Выборка'!AN74}</f>
        <v/>
      </c>
      <c r="AN74" s="794"/>
      <c r="AO74" s="792" t="str">
        <f t="array" ref="AO74:AP74">{"",'S-10 Оформление сделок Выборка'!AP74}</f>
        <v/>
      </c>
      <c r="AP74" s="786"/>
      <c r="AQ74" s="786"/>
      <c r="AR74" s="779" t="str">
        <f t="array" ref="AR74:AS74">{"",'S-10 Оформление сделок Выборка'!AS74}</f>
        <v/>
      </c>
      <c r="AS74" s="795"/>
      <c r="AT74" s="779" t="str">
        <f t="array" ref="AT74:AU74">{"",'S-10 Оформление сделок Выборка'!AU74}</f>
        <v/>
      </c>
      <c r="AU74" s="805"/>
      <c r="AV74" s="779" t="str">
        <f t="array" ref="AV74:AW74">{"",'S-10 Оформление сделок Выборка'!AW74}</f>
        <v/>
      </c>
      <c r="AW74" s="797"/>
      <c r="AX74" s="786"/>
      <c r="AY74" s="786"/>
      <c r="AZ74" s="792" t="str">
        <f t="array" ref="AZ74:BA74">{"",'S-10 Оформление сделок Выборка'!BA74}</f>
        <v/>
      </c>
      <c r="BA74" s="798"/>
      <c r="BB74" s="792" t="str">
        <f t="array" ref="BB74:BC74">{"",'S-10 Оформление сделок Выборка'!BC74}</f>
        <v/>
      </c>
      <c r="BC74" s="799"/>
      <c r="BD74" s="792" t="str">
        <f t="array" ref="BD74:BE74">{"",'S-10 Оформление сделок Выборка'!BE74}</f>
        <v/>
      </c>
      <c r="BE74" s="793"/>
      <c r="BF74" s="800" t="str">
        <f t="array" ref="BF74:BG74">{"",'S-10 Оформление сделок Выборка'!BG74}</f>
        <v/>
      </c>
      <c r="BG74" s="794"/>
      <c r="BH74" s="794" t="str">
        <f t="array" ref="BH74:BI74">{"",'S-10 Оформление сделок Выборка'!BI74}</f>
        <v/>
      </c>
      <c r="BI74" s="794"/>
      <c r="BJ74" s="792" t="str">
        <f t="array" ref="BJ74:BK74">{"",'S-10 Оформление сделок Выборка'!BK74}</f>
        <v/>
      </c>
      <c r="BK74" s="793"/>
      <c r="BL74" s="792" t="str">
        <f t="array" ref="BL74:BM74">{"",'S-10 Оформление сделок Выборка'!BM74}</f>
        <v/>
      </c>
      <c r="BM74" s="801"/>
      <c r="BN74" s="792" t="str">
        <f t="array" ref="BN74:BO74">{"",'S-10 Оформление сделок Выборка'!BO74}</f>
        <v/>
      </c>
      <c r="BO74" s="793"/>
      <c r="BP74" s="792" t="str">
        <f t="array" ref="BP74:BQ74">{"",'S-10 Оформление сделок Выборка'!BQ74}</f>
        <v/>
      </c>
      <c r="BQ74" s="802"/>
      <c r="BR74" s="792" t="str">
        <f t="array" ref="BR74:BS74">{"",'S-10 Оформление сделок Выборка'!BS74}</f>
        <v/>
      </c>
      <c r="BS74" s="794"/>
      <c r="BT74" s="800" t="str">
        <f t="array" ref="BT74:BU74">{"",'S-10 Оформление сделок Выборка'!BU74}</f>
        <v/>
      </c>
      <c r="BU74" s="794"/>
      <c r="BV74" s="800" t="str">
        <f t="array" ref="BV74:BW74">{"",'S-10 Оформление сделок Выборка'!BW74}</f>
        <v/>
      </c>
      <c r="BW74" s="803" t="s">
        <v>96</v>
      </c>
      <c r="BX74" s="804"/>
    </row>
    <row r="75">
      <c r="A75" s="779"/>
      <c r="B75" s="779"/>
      <c r="C75" s="780" t="str">
        <f>'5-1 Сбор КП Закупки'!C75</f>
        <v/>
      </c>
      <c r="D75" s="781"/>
      <c r="E75" s="780"/>
      <c r="F75" s="783"/>
      <c r="G75" s="783"/>
      <c r="H75" s="783"/>
      <c r="I75" s="783"/>
      <c r="J75" s="780"/>
      <c r="K75" s="786"/>
      <c r="L75" s="785"/>
      <c r="M75" s="786"/>
      <c r="N75" s="786"/>
      <c r="O75" s="780"/>
      <c r="P75" s="787"/>
      <c r="Q75" s="780"/>
      <c r="R75" s="780"/>
      <c r="S75" s="780"/>
      <c r="T75" s="780"/>
      <c r="U75" s="780"/>
      <c r="V75" s="780"/>
      <c r="W75" s="787"/>
      <c r="X75" s="780"/>
      <c r="Y75" s="780"/>
      <c r="Z75" s="780"/>
      <c r="AA75" s="780"/>
      <c r="AB75" s="788"/>
      <c r="AC75" s="781"/>
      <c r="AD75" s="780"/>
      <c r="AE75" s="789" t="str">
        <f t="array" ref="AE75:AF75">{"",'S-10 Оформление сделок Выборка'!AF75}</f>
        <v/>
      </c>
      <c r="AF75" s="790"/>
      <c r="AG75" s="781"/>
      <c r="AH75" s="781"/>
      <c r="AI75" s="785"/>
      <c r="AJ75" s="780"/>
      <c r="AK75" s="792" t="str">
        <f t="array" ref="AK75:AL75">{"",'S-10 Оформление сделок Выборка'!AL75}</f>
        <v/>
      </c>
      <c r="AL75" s="793"/>
      <c r="AM75" s="792" t="str">
        <f t="array" ref="AM75:AN75">{"",'S-10 Оформление сделок Выборка'!AN75}</f>
        <v/>
      </c>
      <c r="AN75" s="794"/>
      <c r="AO75" s="792" t="str">
        <f t="array" ref="AO75:AP75">{"",'S-10 Оформление сделок Выборка'!AP75}</f>
        <v/>
      </c>
      <c r="AP75" s="786"/>
      <c r="AQ75" s="786"/>
      <c r="AR75" s="779" t="str">
        <f t="array" ref="AR75:AS75">{"",'S-10 Оформление сделок Выборка'!AS75}</f>
        <v/>
      </c>
      <c r="AS75" s="795"/>
      <c r="AT75" s="779" t="str">
        <f t="array" ref="AT75:AU75">{"",'S-10 Оформление сделок Выборка'!AU75}</f>
        <v/>
      </c>
      <c r="AU75" s="805"/>
      <c r="AV75" s="779" t="str">
        <f t="array" ref="AV75:AW75">{"",'S-10 Оформление сделок Выборка'!AW75}</f>
        <v/>
      </c>
      <c r="AW75" s="797"/>
      <c r="AX75" s="786"/>
      <c r="AY75" s="786"/>
      <c r="AZ75" s="792" t="str">
        <f t="array" ref="AZ75:BA75">{"",'S-10 Оформление сделок Выборка'!BA75}</f>
        <v/>
      </c>
      <c r="BA75" s="798"/>
      <c r="BB75" s="792" t="str">
        <f t="array" ref="BB75:BC75">{"",'S-10 Оформление сделок Выборка'!BC75}</f>
        <v/>
      </c>
      <c r="BC75" s="799"/>
      <c r="BD75" s="792" t="str">
        <f t="array" ref="BD75:BE75">{"",'S-10 Оформление сделок Выборка'!BE75}</f>
        <v/>
      </c>
      <c r="BE75" s="793"/>
      <c r="BF75" s="800" t="str">
        <f t="array" ref="BF75:BG75">{"",'S-10 Оформление сделок Выборка'!BG75}</f>
        <v/>
      </c>
      <c r="BG75" s="794"/>
      <c r="BH75" s="794" t="str">
        <f t="array" ref="BH75:BI75">{"",'S-10 Оформление сделок Выборка'!BI75}</f>
        <v/>
      </c>
      <c r="BI75" s="794"/>
      <c r="BJ75" s="792" t="str">
        <f t="array" ref="BJ75:BK75">{"",'S-10 Оформление сделок Выборка'!BK75}</f>
        <v/>
      </c>
      <c r="BK75" s="793"/>
      <c r="BL75" s="792" t="str">
        <f t="array" ref="BL75:BM75">{"",'S-10 Оформление сделок Выборка'!BM75}</f>
        <v/>
      </c>
      <c r="BM75" s="801"/>
      <c r="BN75" s="792" t="str">
        <f t="array" ref="BN75:BO75">{"",'S-10 Оформление сделок Выборка'!BO75}</f>
        <v/>
      </c>
      <c r="BO75" s="793"/>
      <c r="BP75" s="792" t="str">
        <f t="array" ref="BP75:BQ75">{"",'S-10 Оформление сделок Выборка'!BQ75}</f>
        <v/>
      </c>
      <c r="BQ75" s="802"/>
      <c r="BR75" s="792" t="str">
        <f t="array" ref="BR75:BS75">{"",'S-10 Оформление сделок Выборка'!BS75}</f>
        <v/>
      </c>
      <c r="BS75" s="794"/>
      <c r="BT75" s="800" t="str">
        <f t="array" ref="BT75:BU75">{"",'S-10 Оформление сделок Выборка'!BU75}</f>
        <v/>
      </c>
      <c r="BU75" s="794"/>
      <c r="BV75" s="800" t="str">
        <f t="array" ref="BV75:BW75">{"",'S-10 Оформление сделок Выборка'!BW75}</f>
        <v/>
      </c>
      <c r="BW75" s="803" t="s">
        <v>96</v>
      </c>
      <c r="BX75" s="804"/>
    </row>
    <row r="76">
      <c r="A76" s="779"/>
      <c r="B76" s="779"/>
      <c r="C76" s="780" t="str">
        <f>'5-1 Сбор КП Закупки'!C76</f>
        <v/>
      </c>
      <c r="D76" s="781"/>
      <c r="E76" s="780"/>
      <c r="F76" s="783"/>
      <c r="G76" s="783"/>
      <c r="H76" s="783"/>
      <c r="I76" s="783"/>
      <c r="J76" s="780"/>
      <c r="K76" s="786"/>
      <c r="L76" s="785"/>
      <c r="M76" s="786"/>
      <c r="N76" s="786"/>
      <c r="O76" s="780"/>
      <c r="P76" s="787"/>
      <c r="Q76" s="780"/>
      <c r="R76" s="780"/>
      <c r="S76" s="780"/>
      <c r="T76" s="780"/>
      <c r="U76" s="780"/>
      <c r="V76" s="780"/>
      <c r="W76" s="787"/>
      <c r="X76" s="780"/>
      <c r="Y76" s="780"/>
      <c r="Z76" s="780"/>
      <c r="AA76" s="780"/>
      <c r="AB76" s="788"/>
      <c r="AC76" s="781"/>
      <c r="AD76" s="780"/>
      <c r="AE76" s="789" t="str">
        <f t="array" ref="AE76:AF76">{"",'S-10 Оформление сделок Выборка'!AF76}</f>
        <v/>
      </c>
      <c r="AF76" s="790"/>
      <c r="AG76" s="781"/>
      <c r="AH76" s="781"/>
      <c r="AI76" s="785"/>
      <c r="AJ76" s="780"/>
      <c r="AK76" s="792" t="str">
        <f t="array" ref="AK76:AL76">{"",'S-10 Оформление сделок Выборка'!AL76}</f>
        <v/>
      </c>
      <c r="AL76" s="793"/>
      <c r="AM76" s="792" t="str">
        <f t="array" ref="AM76:AN76">{"",'S-10 Оформление сделок Выборка'!AN76}</f>
        <v/>
      </c>
      <c r="AN76" s="794"/>
      <c r="AO76" s="792" t="str">
        <f t="array" ref="AO76:AP76">{"",'S-10 Оформление сделок Выборка'!AP76}</f>
        <v/>
      </c>
      <c r="AP76" s="786"/>
      <c r="AQ76" s="786"/>
      <c r="AR76" s="779" t="str">
        <f t="array" ref="AR76:AS76">{"",'S-10 Оформление сделок Выборка'!AS76}</f>
        <v/>
      </c>
      <c r="AS76" s="795"/>
      <c r="AT76" s="779" t="str">
        <f t="array" ref="AT76:AU76">{"",'S-10 Оформление сделок Выборка'!AU76}</f>
        <v/>
      </c>
      <c r="AU76" s="805"/>
      <c r="AV76" s="779" t="str">
        <f t="array" ref="AV76:AW76">{"",'S-10 Оформление сделок Выборка'!AW76}</f>
        <v/>
      </c>
      <c r="AW76" s="797"/>
      <c r="AX76" s="786"/>
      <c r="AY76" s="786"/>
      <c r="AZ76" s="792" t="str">
        <f t="array" ref="AZ76:BA76">{"",'S-10 Оформление сделок Выборка'!BA76}</f>
        <v/>
      </c>
      <c r="BA76" s="798"/>
      <c r="BB76" s="792" t="str">
        <f t="array" ref="BB76:BC76">{"",'S-10 Оформление сделок Выборка'!BC76}</f>
        <v/>
      </c>
      <c r="BC76" s="799"/>
      <c r="BD76" s="792" t="str">
        <f t="array" ref="BD76:BE76">{"",'S-10 Оформление сделок Выборка'!BE76}</f>
        <v/>
      </c>
      <c r="BE76" s="793"/>
      <c r="BF76" s="800" t="str">
        <f t="array" ref="BF76:BG76">{"",'S-10 Оформление сделок Выборка'!BG76}</f>
        <v/>
      </c>
      <c r="BG76" s="794"/>
      <c r="BH76" s="794" t="str">
        <f t="array" ref="BH76:BI76">{"",'S-10 Оформление сделок Выборка'!BI76}</f>
        <v/>
      </c>
      <c r="BI76" s="794"/>
      <c r="BJ76" s="792" t="str">
        <f t="array" ref="BJ76:BK76">{"",'S-10 Оформление сделок Выборка'!BK76}</f>
        <v/>
      </c>
      <c r="BK76" s="793"/>
      <c r="BL76" s="792" t="str">
        <f t="array" ref="BL76:BM76">{"",'S-10 Оформление сделок Выборка'!BM76}</f>
        <v/>
      </c>
      <c r="BM76" s="801"/>
      <c r="BN76" s="792" t="str">
        <f t="array" ref="BN76:BO76">{"",'S-10 Оформление сделок Выборка'!BO76}</f>
        <v/>
      </c>
      <c r="BO76" s="793"/>
      <c r="BP76" s="792" t="str">
        <f t="array" ref="BP76:BQ76">{"",'S-10 Оформление сделок Выборка'!BQ76}</f>
        <v/>
      </c>
      <c r="BQ76" s="802"/>
      <c r="BR76" s="792" t="str">
        <f t="array" ref="BR76:BS76">{"",'S-10 Оформление сделок Выборка'!BS76}</f>
        <v/>
      </c>
      <c r="BS76" s="794"/>
      <c r="BT76" s="800" t="str">
        <f t="array" ref="BT76:BU76">{"",'S-10 Оформление сделок Выборка'!BU76}</f>
        <v/>
      </c>
      <c r="BU76" s="794"/>
      <c r="BV76" s="800" t="str">
        <f t="array" ref="BV76:BW76">{"",'S-10 Оформление сделок Выборка'!BW76}</f>
        <v/>
      </c>
      <c r="BW76" s="803" t="s">
        <v>96</v>
      </c>
      <c r="BX76" s="804"/>
    </row>
    <row r="77">
      <c r="A77" s="779"/>
      <c r="B77" s="779"/>
      <c r="C77" s="780" t="str">
        <f>'5-1 Сбор КП Закупки'!C77</f>
        <v/>
      </c>
      <c r="D77" s="781"/>
      <c r="E77" s="780"/>
      <c r="F77" s="783"/>
      <c r="G77" s="783"/>
      <c r="H77" s="783"/>
      <c r="I77" s="783"/>
      <c r="J77" s="780"/>
      <c r="K77" s="786"/>
      <c r="L77" s="785"/>
      <c r="M77" s="786"/>
      <c r="N77" s="786"/>
      <c r="O77" s="780"/>
      <c r="P77" s="787"/>
      <c r="Q77" s="780"/>
      <c r="R77" s="780"/>
      <c r="S77" s="780"/>
      <c r="T77" s="780"/>
      <c r="U77" s="780"/>
      <c r="V77" s="780"/>
      <c r="W77" s="787"/>
      <c r="X77" s="780"/>
      <c r="Y77" s="780"/>
      <c r="Z77" s="780"/>
      <c r="AA77" s="780"/>
      <c r="AB77" s="788"/>
      <c r="AC77" s="781"/>
      <c r="AD77" s="780"/>
      <c r="AE77" s="789" t="str">
        <f t="array" ref="AE77:AF77">{"",'S-10 Оформление сделок Выборка'!AF77}</f>
        <v/>
      </c>
      <c r="AF77" s="790"/>
      <c r="AG77" s="781"/>
      <c r="AH77" s="781"/>
      <c r="AI77" s="785"/>
      <c r="AJ77" s="780"/>
      <c r="AK77" s="792" t="str">
        <f t="array" ref="AK77:AL77">{"",'S-10 Оформление сделок Выборка'!AL77}</f>
        <v/>
      </c>
      <c r="AL77" s="793"/>
      <c r="AM77" s="792" t="str">
        <f t="array" ref="AM77:AN77">{"",'S-10 Оформление сделок Выборка'!AN77}</f>
        <v/>
      </c>
      <c r="AN77" s="794"/>
      <c r="AO77" s="792" t="str">
        <f t="array" ref="AO77:AP77">{"",'S-10 Оформление сделок Выборка'!AP77}</f>
        <v/>
      </c>
      <c r="AP77" s="786"/>
      <c r="AQ77" s="786"/>
      <c r="AR77" s="779" t="str">
        <f t="array" ref="AR77:AS77">{"",'S-10 Оформление сделок Выборка'!AS77}</f>
        <v/>
      </c>
      <c r="AS77" s="795"/>
      <c r="AT77" s="779" t="str">
        <f t="array" ref="AT77:AU77">{"",'S-10 Оформление сделок Выборка'!AU77}</f>
        <v/>
      </c>
      <c r="AU77" s="805"/>
      <c r="AV77" s="779" t="str">
        <f t="array" ref="AV77:AW77">{"",'S-10 Оформление сделок Выборка'!AW77}</f>
        <v/>
      </c>
      <c r="AW77" s="797"/>
      <c r="AX77" s="786"/>
      <c r="AY77" s="786"/>
      <c r="AZ77" s="792" t="str">
        <f t="array" ref="AZ77:BA77">{"",'S-10 Оформление сделок Выборка'!BA77}</f>
        <v/>
      </c>
      <c r="BA77" s="798"/>
      <c r="BB77" s="792" t="str">
        <f t="array" ref="BB77:BC77">{"",'S-10 Оформление сделок Выборка'!BC77}</f>
        <v/>
      </c>
      <c r="BC77" s="799"/>
      <c r="BD77" s="792" t="str">
        <f t="array" ref="BD77:BE77">{"",'S-10 Оформление сделок Выборка'!BE77}</f>
        <v/>
      </c>
      <c r="BE77" s="793"/>
      <c r="BF77" s="800" t="str">
        <f t="array" ref="BF77:BG77">{"",'S-10 Оформление сделок Выборка'!BG77}</f>
        <v/>
      </c>
      <c r="BG77" s="794"/>
      <c r="BH77" s="794" t="str">
        <f t="array" ref="BH77:BI77">{"",'S-10 Оформление сделок Выборка'!BI77}</f>
        <v/>
      </c>
      <c r="BI77" s="794"/>
      <c r="BJ77" s="792" t="str">
        <f t="array" ref="BJ77:BK77">{"",'S-10 Оформление сделок Выборка'!BK77}</f>
        <v/>
      </c>
      <c r="BK77" s="793"/>
      <c r="BL77" s="792" t="str">
        <f t="array" ref="BL77:BM77">{"",'S-10 Оформление сделок Выборка'!BM77}</f>
        <v/>
      </c>
      <c r="BM77" s="801"/>
      <c r="BN77" s="792" t="str">
        <f t="array" ref="BN77:BO77">{"",'S-10 Оформление сделок Выборка'!BO77}</f>
        <v/>
      </c>
      <c r="BO77" s="793"/>
      <c r="BP77" s="792" t="str">
        <f t="array" ref="BP77:BQ77">{"",'S-10 Оформление сделок Выборка'!BQ77}</f>
        <v/>
      </c>
      <c r="BQ77" s="802"/>
      <c r="BR77" s="792" t="str">
        <f t="array" ref="BR77:BS77">{"",'S-10 Оформление сделок Выборка'!BS77}</f>
        <v/>
      </c>
      <c r="BS77" s="794"/>
      <c r="BT77" s="800" t="str">
        <f t="array" ref="BT77:BU77">{"",'S-10 Оформление сделок Выборка'!BU77}</f>
        <v/>
      </c>
      <c r="BU77" s="794"/>
      <c r="BV77" s="800" t="str">
        <f t="array" ref="BV77:BW77">{"",'S-10 Оформление сделок Выборка'!BW77}</f>
        <v/>
      </c>
      <c r="BW77" s="803" t="s">
        <v>96</v>
      </c>
      <c r="BX77" s="804"/>
    </row>
    <row r="78">
      <c r="A78" s="779"/>
      <c r="B78" s="779"/>
      <c r="C78" s="780" t="str">
        <f>'5-1 Сбор КП Закупки'!C78</f>
        <v/>
      </c>
      <c r="D78" s="781"/>
      <c r="E78" s="780"/>
      <c r="F78" s="783"/>
      <c r="G78" s="783"/>
      <c r="H78" s="783"/>
      <c r="I78" s="783"/>
      <c r="J78" s="780"/>
      <c r="K78" s="786"/>
      <c r="L78" s="785"/>
      <c r="M78" s="786"/>
      <c r="N78" s="786"/>
      <c r="O78" s="780"/>
      <c r="P78" s="787"/>
      <c r="Q78" s="780"/>
      <c r="R78" s="780"/>
      <c r="S78" s="780"/>
      <c r="T78" s="780"/>
      <c r="U78" s="780"/>
      <c r="V78" s="780"/>
      <c r="W78" s="787"/>
      <c r="X78" s="780"/>
      <c r="Y78" s="780"/>
      <c r="Z78" s="780"/>
      <c r="AA78" s="780"/>
      <c r="AB78" s="788"/>
      <c r="AC78" s="781"/>
      <c r="AD78" s="780"/>
      <c r="AE78" s="789" t="str">
        <f t="array" ref="AE78:AF78">{"",'S-10 Оформление сделок Выборка'!AF78}</f>
        <v/>
      </c>
      <c r="AF78" s="790"/>
      <c r="AG78" s="781"/>
      <c r="AH78" s="781"/>
      <c r="AI78" s="785"/>
      <c r="AJ78" s="780"/>
      <c r="AK78" s="792" t="str">
        <f t="array" ref="AK78:AL78">{"",'S-10 Оформление сделок Выборка'!AL78}</f>
        <v/>
      </c>
      <c r="AL78" s="793"/>
      <c r="AM78" s="792" t="str">
        <f t="array" ref="AM78:AN78">{"",'S-10 Оформление сделок Выборка'!AN78}</f>
        <v/>
      </c>
      <c r="AN78" s="794"/>
      <c r="AO78" s="792" t="str">
        <f t="array" ref="AO78:AP78">{"",'S-10 Оформление сделок Выборка'!AP78}</f>
        <v/>
      </c>
      <c r="AP78" s="786"/>
      <c r="AQ78" s="786"/>
      <c r="AR78" s="779" t="str">
        <f t="array" ref="AR78:AS78">{"",'S-10 Оформление сделок Выборка'!AS78}</f>
        <v/>
      </c>
      <c r="AS78" s="795"/>
      <c r="AT78" s="779" t="str">
        <f t="array" ref="AT78:AU78">{"",'S-10 Оформление сделок Выборка'!AU78}</f>
        <v/>
      </c>
      <c r="AU78" s="805"/>
      <c r="AV78" s="779" t="str">
        <f t="array" ref="AV78:AW78">{"",'S-10 Оформление сделок Выборка'!AW78}</f>
        <v/>
      </c>
      <c r="AW78" s="797"/>
      <c r="AX78" s="786"/>
      <c r="AY78" s="786"/>
      <c r="AZ78" s="792" t="str">
        <f t="array" ref="AZ78:BA78">{"",'S-10 Оформление сделок Выборка'!BA78}</f>
        <v/>
      </c>
      <c r="BA78" s="798"/>
      <c r="BB78" s="792" t="str">
        <f t="array" ref="BB78:BC78">{"",'S-10 Оформление сделок Выборка'!BC78}</f>
        <v/>
      </c>
      <c r="BC78" s="799"/>
      <c r="BD78" s="792" t="str">
        <f t="array" ref="BD78:BE78">{"",'S-10 Оформление сделок Выборка'!BE78}</f>
        <v/>
      </c>
      <c r="BE78" s="793"/>
      <c r="BF78" s="800" t="str">
        <f t="array" ref="BF78:BG78">{"",'S-10 Оформление сделок Выборка'!BG78}</f>
        <v/>
      </c>
      <c r="BG78" s="794"/>
      <c r="BH78" s="794" t="str">
        <f t="array" ref="BH78:BI78">{"",'S-10 Оформление сделок Выборка'!BI78}</f>
        <v/>
      </c>
      <c r="BI78" s="794"/>
      <c r="BJ78" s="792" t="str">
        <f t="array" ref="BJ78:BK78">{"",'S-10 Оформление сделок Выборка'!BK78}</f>
        <v/>
      </c>
      <c r="BK78" s="793"/>
      <c r="BL78" s="792" t="str">
        <f t="array" ref="BL78:BM78">{"",'S-10 Оформление сделок Выборка'!BM78}</f>
        <v/>
      </c>
      <c r="BM78" s="801"/>
      <c r="BN78" s="792" t="str">
        <f t="array" ref="BN78:BO78">{"",'S-10 Оформление сделок Выборка'!BO78}</f>
        <v/>
      </c>
      <c r="BO78" s="793"/>
      <c r="BP78" s="792" t="str">
        <f t="array" ref="BP78:BQ78">{"",'S-10 Оформление сделок Выборка'!BQ78}</f>
        <v/>
      </c>
      <c r="BQ78" s="802"/>
      <c r="BR78" s="792" t="str">
        <f t="array" ref="BR78:BS78">{"",'S-10 Оформление сделок Выборка'!BS78}</f>
        <v/>
      </c>
      <c r="BS78" s="794"/>
      <c r="BT78" s="800" t="str">
        <f t="array" ref="BT78:BU78">{"",'S-10 Оформление сделок Выборка'!BU78}</f>
        <v/>
      </c>
      <c r="BU78" s="794"/>
      <c r="BV78" s="800" t="str">
        <f t="array" ref="BV78:BW78">{"",'S-10 Оформление сделок Выборка'!BW78}</f>
        <v/>
      </c>
      <c r="BW78" s="803" t="s">
        <v>96</v>
      </c>
      <c r="BX78" s="804"/>
    </row>
    <row r="79">
      <c r="A79" s="779"/>
      <c r="B79" s="779"/>
      <c r="C79" s="780" t="str">
        <f>'5-1 Сбор КП Закупки'!C79</f>
        <v/>
      </c>
      <c r="D79" s="781"/>
      <c r="E79" s="780"/>
      <c r="F79" s="783"/>
      <c r="G79" s="783"/>
      <c r="H79" s="783"/>
      <c r="I79" s="783"/>
      <c r="J79" s="780"/>
      <c r="K79" s="786"/>
      <c r="L79" s="785"/>
      <c r="M79" s="786"/>
      <c r="N79" s="786"/>
      <c r="O79" s="780"/>
      <c r="P79" s="787"/>
      <c r="Q79" s="780"/>
      <c r="R79" s="780"/>
      <c r="S79" s="780"/>
      <c r="T79" s="780"/>
      <c r="U79" s="780"/>
      <c r="V79" s="780"/>
      <c r="W79" s="787"/>
      <c r="X79" s="780"/>
      <c r="Y79" s="780"/>
      <c r="Z79" s="780"/>
      <c r="AA79" s="780"/>
      <c r="AB79" s="788"/>
      <c r="AC79" s="781"/>
      <c r="AD79" s="780"/>
      <c r="AE79" s="789" t="str">
        <f t="array" ref="AE79:AF79">{"",'S-10 Оформление сделок Выборка'!AF79}</f>
        <v/>
      </c>
      <c r="AF79" s="790"/>
      <c r="AG79" s="781"/>
      <c r="AH79" s="781"/>
      <c r="AI79" s="785"/>
      <c r="AJ79" s="780"/>
      <c r="AK79" s="792" t="str">
        <f t="array" ref="AK79:AL79">{"",'S-10 Оформление сделок Выборка'!AL79}</f>
        <v/>
      </c>
      <c r="AL79" s="793"/>
      <c r="AM79" s="792" t="str">
        <f t="array" ref="AM79:AN79">{"",'S-10 Оформление сделок Выборка'!AN79}</f>
        <v/>
      </c>
      <c r="AN79" s="794"/>
      <c r="AO79" s="792" t="str">
        <f t="array" ref="AO79:AP79">{"",'S-10 Оформление сделок Выборка'!AP79}</f>
        <v/>
      </c>
      <c r="AP79" s="786"/>
      <c r="AQ79" s="786"/>
      <c r="AR79" s="779" t="str">
        <f t="array" ref="AR79:AS79">{"",'S-10 Оформление сделок Выборка'!AS79}</f>
        <v/>
      </c>
      <c r="AS79" s="795"/>
      <c r="AT79" s="779" t="str">
        <f t="array" ref="AT79:AU79">{"",'S-10 Оформление сделок Выборка'!AU79}</f>
        <v/>
      </c>
      <c r="AU79" s="805"/>
      <c r="AV79" s="779" t="str">
        <f t="array" ref="AV79:AW79">{"",'S-10 Оформление сделок Выборка'!AW79}</f>
        <v/>
      </c>
      <c r="AW79" s="797"/>
      <c r="AX79" s="786"/>
      <c r="AY79" s="786"/>
      <c r="AZ79" s="792" t="str">
        <f t="array" ref="AZ79:BA79">{"",'S-10 Оформление сделок Выборка'!BA79}</f>
        <v/>
      </c>
      <c r="BA79" s="798"/>
      <c r="BB79" s="792" t="str">
        <f t="array" ref="BB79:BC79">{"",'S-10 Оформление сделок Выборка'!BC79}</f>
        <v/>
      </c>
      <c r="BC79" s="799"/>
      <c r="BD79" s="792" t="str">
        <f t="array" ref="BD79:BE79">{"",'S-10 Оформление сделок Выборка'!BE79}</f>
        <v/>
      </c>
      <c r="BE79" s="793"/>
      <c r="BF79" s="800" t="str">
        <f t="array" ref="BF79:BG79">{"",'S-10 Оформление сделок Выборка'!BG79}</f>
        <v/>
      </c>
      <c r="BG79" s="794"/>
      <c r="BH79" s="794" t="str">
        <f t="array" ref="BH79:BI79">{"",'S-10 Оформление сделок Выборка'!BI79}</f>
        <v/>
      </c>
      <c r="BI79" s="794"/>
      <c r="BJ79" s="792" t="str">
        <f t="array" ref="BJ79:BK79">{"",'S-10 Оформление сделок Выборка'!BK79}</f>
        <v/>
      </c>
      <c r="BK79" s="793"/>
      <c r="BL79" s="792" t="str">
        <f t="array" ref="BL79:BM79">{"",'S-10 Оформление сделок Выборка'!BM79}</f>
        <v/>
      </c>
      <c r="BM79" s="801"/>
      <c r="BN79" s="792" t="str">
        <f t="array" ref="BN79:BO79">{"",'S-10 Оформление сделок Выборка'!BO79}</f>
        <v/>
      </c>
      <c r="BO79" s="793"/>
      <c r="BP79" s="792" t="str">
        <f t="array" ref="BP79:BQ79">{"",'S-10 Оформление сделок Выборка'!BQ79}</f>
        <v/>
      </c>
      <c r="BQ79" s="802"/>
      <c r="BR79" s="792" t="str">
        <f t="array" ref="BR79:BS79">{"",'S-10 Оформление сделок Выборка'!BS79}</f>
        <v/>
      </c>
      <c r="BS79" s="794"/>
      <c r="BT79" s="800" t="str">
        <f t="array" ref="BT79:BU79">{"",'S-10 Оформление сделок Выборка'!BU79}</f>
        <v/>
      </c>
      <c r="BU79" s="794"/>
      <c r="BV79" s="800" t="str">
        <f t="array" ref="BV79:BW79">{"",'S-10 Оформление сделок Выборка'!BW79}</f>
        <v/>
      </c>
      <c r="BW79" s="803" t="s">
        <v>96</v>
      </c>
      <c r="BX79" s="804"/>
    </row>
    <row r="80">
      <c r="A80" s="779"/>
      <c r="B80" s="779"/>
      <c r="C80" s="780" t="str">
        <f>'5-1 Сбор КП Закупки'!C80</f>
        <v/>
      </c>
      <c r="D80" s="781"/>
      <c r="E80" s="780"/>
      <c r="F80" s="783"/>
      <c r="G80" s="783"/>
      <c r="H80" s="783"/>
      <c r="I80" s="783"/>
      <c r="J80" s="780"/>
      <c r="K80" s="786"/>
      <c r="L80" s="785"/>
      <c r="M80" s="786"/>
      <c r="N80" s="786"/>
      <c r="O80" s="780"/>
      <c r="P80" s="787"/>
      <c r="Q80" s="780"/>
      <c r="R80" s="780"/>
      <c r="S80" s="780"/>
      <c r="T80" s="780"/>
      <c r="U80" s="780"/>
      <c r="V80" s="780"/>
      <c r="W80" s="787"/>
      <c r="X80" s="780"/>
      <c r="Y80" s="780"/>
      <c r="Z80" s="780"/>
      <c r="AA80" s="780"/>
      <c r="AB80" s="788"/>
      <c r="AC80" s="781"/>
      <c r="AD80" s="780"/>
      <c r="AE80" s="789" t="str">
        <f t="array" ref="AE80:AF80">{"",'S-10 Оформление сделок Выборка'!AF80}</f>
        <v/>
      </c>
      <c r="AF80" s="790"/>
      <c r="AG80" s="781"/>
      <c r="AH80" s="781"/>
      <c r="AI80" s="785"/>
      <c r="AJ80" s="780"/>
      <c r="AK80" s="792" t="str">
        <f t="array" ref="AK80:AL80">{"",'S-10 Оформление сделок Выборка'!AL80}</f>
        <v/>
      </c>
      <c r="AL80" s="793"/>
      <c r="AM80" s="792" t="str">
        <f t="array" ref="AM80:AN80">{"",'S-10 Оформление сделок Выборка'!AN80}</f>
        <v/>
      </c>
      <c r="AN80" s="794"/>
      <c r="AO80" s="792" t="str">
        <f t="array" ref="AO80:AP80">{"",'S-10 Оформление сделок Выборка'!AP80}</f>
        <v/>
      </c>
      <c r="AP80" s="786"/>
      <c r="AQ80" s="786"/>
      <c r="AR80" s="779" t="str">
        <f t="array" ref="AR80:AS80">{"",'S-10 Оформление сделок Выборка'!AS80}</f>
        <v/>
      </c>
      <c r="AS80" s="795"/>
      <c r="AT80" s="779" t="str">
        <f t="array" ref="AT80:AU80">{"",'S-10 Оформление сделок Выборка'!AU80}</f>
        <v/>
      </c>
      <c r="AU80" s="805"/>
      <c r="AV80" s="779" t="str">
        <f t="array" ref="AV80:AW80">{"",'S-10 Оформление сделок Выборка'!AW80}</f>
        <v/>
      </c>
      <c r="AW80" s="797"/>
      <c r="AX80" s="786"/>
      <c r="AY80" s="786"/>
      <c r="AZ80" s="792" t="str">
        <f t="array" ref="AZ80:BA80">{"",'S-10 Оформление сделок Выборка'!BA80}</f>
        <v/>
      </c>
      <c r="BA80" s="798"/>
      <c r="BB80" s="792" t="str">
        <f t="array" ref="BB80:BC80">{"",'S-10 Оформление сделок Выборка'!BC80}</f>
        <v/>
      </c>
      <c r="BC80" s="799"/>
      <c r="BD80" s="792" t="str">
        <f t="array" ref="BD80:BE80">{"",'S-10 Оформление сделок Выборка'!BE80}</f>
        <v/>
      </c>
      <c r="BE80" s="793"/>
      <c r="BF80" s="800" t="str">
        <f t="array" ref="BF80:BG80">{"",'S-10 Оформление сделок Выборка'!BG80}</f>
        <v/>
      </c>
      <c r="BG80" s="794"/>
      <c r="BH80" s="794" t="str">
        <f t="array" ref="BH80:BI80">{"",'S-10 Оформление сделок Выборка'!BI80}</f>
        <v/>
      </c>
      <c r="BI80" s="794"/>
      <c r="BJ80" s="792" t="str">
        <f t="array" ref="BJ80:BK80">{"",'S-10 Оформление сделок Выборка'!BK80}</f>
        <v/>
      </c>
      <c r="BK80" s="793"/>
      <c r="BL80" s="792" t="str">
        <f t="array" ref="BL80:BM80">{"",'S-10 Оформление сделок Выборка'!BM80}</f>
        <v/>
      </c>
      <c r="BM80" s="801"/>
      <c r="BN80" s="792" t="str">
        <f t="array" ref="BN80:BO80">{"",'S-10 Оформление сделок Выборка'!BO80}</f>
        <v/>
      </c>
      <c r="BO80" s="793"/>
      <c r="BP80" s="792" t="str">
        <f t="array" ref="BP80:BQ80">{"",'S-10 Оформление сделок Выборка'!BQ80}</f>
        <v/>
      </c>
      <c r="BQ80" s="802"/>
      <c r="BR80" s="792" t="str">
        <f t="array" ref="BR80:BS80">{"",'S-10 Оформление сделок Выборка'!BS80}</f>
        <v/>
      </c>
      <c r="BS80" s="794"/>
      <c r="BT80" s="800" t="str">
        <f t="array" ref="BT80:BU80">{"",'S-10 Оформление сделок Выборка'!BU80}</f>
        <v/>
      </c>
      <c r="BU80" s="794"/>
      <c r="BV80" s="800" t="str">
        <f t="array" ref="BV80:BW80">{"",'S-10 Оформление сделок Выборка'!BW80}</f>
        <v/>
      </c>
      <c r="BW80" s="803" t="s">
        <v>96</v>
      </c>
      <c r="BX80" s="804"/>
    </row>
    <row r="81">
      <c r="A81" s="779"/>
      <c r="B81" s="779"/>
      <c r="C81" s="780" t="str">
        <f>'5-1 Сбор КП Закупки'!C81</f>
        <v/>
      </c>
      <c r="D81" s="781"/>
      <c r="E81" s="780"/>
      <c r="F81" s="783"/>
      <c r="G81" s="783"/>
      <c r="H81" s="783"/>
      <c r="I81" s="783"/>
      <c r="J81" s="780"/>
      <c r="K81" s="786"/>
      <c r="L81" s="785"/>
      <c r="M81" s="786"/>
      <c r="N81" s="786"/>
      <c r="O81" s="780"/>
      <c r="P81" s="787"/>
      <c r="Q81" s="780"/>
      <c r="R81" s="780"/>
      <c r="S81" s="780"/>
      <c r="T81" s="780"/>
      <c r="U81" s="780"/>
      <c r="V81" s="780"/>
      <c r="W81" s="787"/>
      <c r="X81" s="780"/>
      <c r="Y81" s="780"/>
      <c r="Z81" s="780"/>
      <c r="AA81" s="780"/>
      <c r="AB81" s="788"/>
      <c r="AC81" s="781"/>
      <c r="AD81" s="780"/>
      <c r="AE81" s="789" t="str">
        <f t="array" ref="AE81:AF81">{"",'S-10 Оформление сделок Выборка'!AF81}</f>
        <v/>
      </c>
      <c r="AF81" s="790"/>
      <c r="AG81" s="781"/>
      <c r="AH81" s="781"/>
      <c r="AI81" s="785"/>
      <c r="AJ81" s="780"/>
      <c r="AK81" s="792" t="str">
        <f t="array" ref="AK81:AL81">{"",'S-10 Оформление сделок Выборка'!AL81}</f>
        <v/>
      </c>
      <c r="AL81" s="793"/>
      <c r="AM81" s="792" t="str">
        <f t="array" ref="AM81:AN81">{"",'S-10 Оформление сделок Выборка'!AN81}</f>
        <v/>
      </c>
      <c r="AN81" s="794"/>
      <c r="AO81" s="792" t="str">
        <f t="array" ref="AO81:AP81">{"",'S-10 Оформление сделок Выборка'!AP81}</f>
        <v/>
      </c>
      <c r="AP81" s="786"/>
      <c r="AQ81" s="786"/>
      <c r="AR81" s="779" t="str">
        <f t="array" ref="AR81:AS81">{"",'S-10 Оформление сделок Выборка'!AS81}</f>
        <v/>
      </c>
      <c r="AS81" s="795"/>
      <c r="AT81" s="779" t="str">
        <f t="array" ref="AT81:AU81">{"",'S-10 Оформление сделок Выборка'!AU81}</f>
        <v/>
      </c>
      <c r="AU81" s="805"/>
      <c r="AV81" s="779" t="str">
        <f t="array" ref="AV81:AW81">{"",'S-10 Оформление сделок Выборка'!AW81}</f>
        <v/>
      </c>
      <c r="AW81" s="797"/>
      <c r="AX81" s="786"/>
      <c r="AY81" s="786"/>
      <c r="AZ81" s="792" t="str">
        <f t="array" ref="AZ81:BA81">{"",'S-10 Оформление сделок Выборка'!BA81}</f>
        <v/>
      </c>
      <c r="BA81" s="798"/>
      <c r="BB81" s="792" t="str">
        <f t="array" ref="BB81:BC81">{"",'S-10 Оформление сделок Выборка'!BC81}</f>
        <v/>
      </c>
      <c r="BC81" s="799"/>
      <c r="BD81" s="792" t="str">
        <f t="array" ref="BD81:BE81">{"",'S-10 Оформление сделок Выборка'!BE81}</f>
        <v/>
      </c>
      <c r="BE81" s="793"/>
      <c r="BF81" s="800" t="str">
        <f t="array" ref="BF81:BG81">{"",'S-10 Оформление сделок Выборка'!BG81}</f>
        <v/>
      </c>
      <c r="BG81" s="794"/>
      <c r="BH81" s="794" t="str">
        <f t="array" ref="BH81:BI81">{"",'S-10 Оформление сделок Выборка'!BI81}</f>
        <v/>
      </c>
      <c r="BI81" s="794"/>
      <c r="BJ81" s="792" t="str">
        <f t="array" ref="BJ81:BK81">{"",'S-10 Оформление сделок Выборка'!BK81}</f>
        <v/>
      </c>
      <c r="BK81" s="793"/>
      <c r="BL81" s="792" t="str">
        <f t="array" ref="BL81:BM81">{"",'S-10 Оформление сделок Выборка'!BM81}</f>
        <v/>
      </c>
      <c r="BM81" s="801"/>
      <c r="BN81" s="792" t="str">
        <f t="array" ref="BN81:BO81">{"",'S-10 Оформление сделок Выборка'!BO81}</f>
        <v/>
      </c>
      <c r="BO81" s="793"/>
      <c r="BP81" s="792" t="str">
        <f t="array" ref="BP81:BQ81">{"",'S-10 Оформление сделок Выборка'!BQ81}</f>
        <v/>
      </c>
      <c r="BQ81" s="802"/>
      <c r="BR81" s="792" t="str">
        <f t="array" ref="BR81:BS81">{"",'S-10 Оформление сделок Выборка'!BS81}</f>
        <v/>
      </c>
      <c r="BS81" s="794"/>
      <c r="BT81" s="800" t="str">
        <f t="array" ref="BT81:BU81">{"",'S-10 Оформление сделок Выборка'!BU81}</f>
        <v/>
      </c>
      <c r="BU81" s="794"/>
      <c r="BV81" s="800" t="str">
        <f t="array" ref="BV81:BW81">{"",'S-10 Оформление сделок Выборка'!BW81}</f>
        <v/>
      </c>
      <c r="BW81" s="803" t="s">
        <v>96</v>
      </c>
      <c r="BX81" s="804"/>
    </row>
    <row r="82">
      <c r="A82" s="779"/>
      <c r="B82" s="779"/>
      <c r="C82" s="780" t="str">
        <f>'5-1 Сбор КП Закупки'!C82</f>
        <v/>
      </c>
      <c r="D82" s="781"/>
      <c r="E82" s="780"/>
      <c r="F82" s="783"/>
      <c r="G82" s="783"/>
      <c r="H82" s="783"/>
      <c r="I82" s="783"/>
      <c r="J82" s="780"/>
      <c r="K82" s="786"/>
      <c r="L82" s="785"/>
      <c r="M82" s="786"/>
      <c r="N82" s="786"/>
      <c r="O82" s="780"/>
      <c r="P82" s="787"/>
      <c r="Q82" s="780"/>
      <c r="R82" s="780"/>
      <c r="S82" s="780"/>
      <c r="T82" s="780"/>
      <c r="U82" s="780"/>
      <c r="V82" s="780"/>
      <c r="W82" s="787"/>
      <c r="X82" s="780"/>
      <c r="Y82" s="780"/>
      <c r="Z82" s="780"/>
      <c r="AA82" s="780"/>
      <c r="AB82" s="788"/>
      <c r="AC82" s="781"/>
      <c r="AD82" s="780"/>
      <c r="AE82" s="789" t="str">
        <f t="array" ref="AE82:AF82">{"",'S-10 Оформление сделок Выборка'!AF82}</f>
        <v/>
      </c>
      <c r="AF82" s="790"/>
      <c r="AG82" s="781"/>
      <c r="AH82" s="781"/>
      <c r="AI82" s="785"/>
      <c r="AJ82" s="780"/>
      <c r="AK82" s="792" t="str">
        <f t="array" ref="AK82:AL82">{"",'S-10 Оформление сделок Выборка'!AL82}</f>
        <v/>
      </c>
      <c r="AL82" s="793"/>
      <c r="AM82" s="792" t="str">
        <f t="array" ref="AM82:AN82">{"",'S-10 Оформление сделок Выборка'!AN82}</f>
        <v/>
      </c>
      <c r="AN82" s="794"/>
      <c r="AO82" s="792" t="str">
        <f t="array" ref="AO82:AP82">{"",'S-10 Оформление сделок Выборка'!AP82}</f>
        <v/>
      </c>
      <c r="AP82" s="786"/>
      <c r="AQ82" s="786"/>
      <c r="AR82" s="779" t="str">
        <f t="array" ref="AR82:AS82">{"",'S-10 Оформление сделок Выборка'!AS82}</f>
        <v/>
      </c>
      <c r="AS82" s="795"/>
      <c r="AT82" s="779" t="str">
        <f t="array" ref="AT82:AU82">{"",'S-10 Оформление сделок Выборка'!AU82}</f>
        <v/>
      </c>
      <c r="AU82" s="805"/>
      <c r="AV82" s="779" t="str">
        <f t="array" ref="AV82:AW82">{"",'S-10 Оформление сделок Выборка'!AW82}</f>
        <v/>
      </c>
      <c r="AW82" s="797"/>
      <c r="AX82" s="786"/>
      <c r="AY82" s="786"/>
      <c r="AZ82" s="792" t="str">
        <f t="array" ref="AZ82:BA82">{"",'S-10 Оформление сделок Выборка'!BA82}</f>
        <v/>
      </c>
      <c r="BA82" s="798"/>
      <c r="BB82" s="792" t="str">
        <f t="array" ref="BB82:BC82">{"",'S-10 Оформление сделок Выборка'!BC82}</f>
        <v/>
      </c>
      <c r="BC82" s="799"/>
      <c r="BD82" s="792" t="str">
        <f t="array" ref="BD82:BE82">{"",'S-10 Оформление сделок Выборка'!BE82}</f>
        <v/>
      </c>
      <c r="BE82" s="793"/>
      <c r="BF82" s="800" t="str">
        <f t="array" ref="BF82:BG82">{"",'S-10 Оформление сделок Выборка'!BG82}</f>
        <v/>
      </c>
      <c r="BG82" s="794"/>
      <c r="BH82" s="794" t="str">
        <f t="array" ref="BH82:BI82">{"",'S-10 Оформление сделок Выборка'!BI82}</f>
        <v/>
      </c>
      <c r="BI82" s="794"/>
      <c r="BJ82" s="792" t="str">
        <f t="array" ref="BJ82:BK82">{"",'S-10 Оформление сделок Выборка'!BK82}</f>
        <v/>
      </c>
      <c r="BK82" s="793"/>
      <c r="BL82" s="792" t="str">
        <f t="array" ref="BL82:BM82">{"",'S-10 Оформление сделок Выборка'!BM82}</f>
        <v/>
      </c>
      <c r="BM82" s="801"/>
      <c r="BN82" s="792" t="str">
        <f t="array" ref="BN82:BO82">{"",'S-10 Оформление сделок Выборка'!BO82}</f>
        <v/>
      </c>
      <c r="BO82" s="793"/>
      <c r="BP82" s="792" t="str">
        <f t="array" ref="BP82:BQ82">{"",'S-10 Оформление сделок Выборка'!BQ82}</f>
        <v/>
      </c>
      <c r="BQ82" s="802"/>
      <c r="BR82" s="792" t="str">
        <f t="array" ref="BR82:BS82">{"",'S-10 Оформление сделок Выборка'!BS82}</f>
        <v/>
      </c>
      <c r="BS82" s="794"/>
      <c r="BT82" s="800" t="str">
        <f t="array" ref="BT82:BU82">{"",'S-10 Оформление сделок Выборка'!BU82}</f>
        <v/>
      </c>
      <c r="BU82" s="794"/>
      <c r="BV82" s="800" t="str">
        <f t="array" ref="BV82:BW82">{"",'S-10 Оформление сделок Выборка'!BW82}</f>
        <v/>
      </c>
      <c r="BW82" s="803" t="s">
        <v>96</v>
      </c>
      <c r="BX82" s="804"/>
    </row>
    <row r="83">
      <c r="A83" s="779"/>
      <c r="B83" s="779"/>
      <c r="C83" s="780" t="str">
        <f>'5-1 Сбор КП Закупки'!C83</f>
        <v/>
      </c>
      <c r="D83" s="781"/>
      <c r="E83" s="780"/>
      <c r="F83" s="783"/>
      <c r="G83" s="783"/>
      <c r="H83" s="783"/>
      <c r="I83" s="783"/>
      <c r="J83" s="780"/>
      <c r="K83" s="786"/>
      <c r="L83" s="785"/>
      <c r="M83" s="786"/>
      <c r="N83" s="786"/>
      <c r="O83" s="780"/>
      <c r="P83" s="787"/>
      <c r="Q83" s="780"/>
      <c r="R83" s="780"/>
      <c r="S83" s="780"/>
      <c r="T83" s="780"/>
      <c r="U83" s="780"/>
      <c r="V83" s="780"/>
      <c r="W83" s="787"/>
      <c r="X83" s="780"/>
      <c r="Y83" s="780"/>
      <c r="Z83" s="780"/>
      <c r="AA83" s="780"/>
      <c r="AB83" s="788"/>
      <c r="AC83" s="781"/>
      <c r="AD83" s="780"/>
      <c r="AE83" s="789" t="str">
        <f t="array" ref="AE83:AF83">{"",'S-10 Оформление сделок Выборка'!AF83}</f>
        <v/>
      </c>
      <c r="AF83" s="790"/>
      <c r="AG83" s="781"/>
      <c r="AH83" s="781"/>
      <c r="AI83" s="785"/>
      <c r="AJ83" s="780"/>
      <c r="AK83" s="792" t="str">
        <f t="array" ref="AK83:AL83">{"",'S-10 Оформление сделок Выборка'!AL83}</f>
        <v/>
      </c>
      <c r="AL83" s="793"/>
      <c r="AM83" s="792" t="str">
        <f t="array" ref="AM83:AN83">{"",'S-10 Оформление сделок Выборка'!AN83}</f>
        <v/>
      </c>
      <c r="AN83" s="794"/>
      <c r="AO83" s="792" t="str">
        <f t="array" ref="AO83:AP83">{"",'S-10 Оформление сделок Выборка'!AP83}</f>
        <v/>
      </c>
      <c r="AP83" s="786"/>
      <c r="AQ83" s="786"/>
      <c r="AR83" s="779" t="str">
        <f t="array" ref="AR83:AS83">{"",'S-10 Оформление сделок Выборка'!AS83}</f>
        <v/>
      </c>
      <c r="AS83" s="795"/>
      <c r="AT83" s="779" t="str">
        <f t="array" ref="AT83:AU83">{"",'S-10 Оформление сделок Выборка'!AU83}</f>
        <v/>
      </c>
      <c r="AU83" s="805"/>
      <c r="AV83" s="779" t="str">
        <f t="array" ref="AV83:AW83">{"",'S-10 Оформление сделок Выборка'!AW83}</f>
        <v/>
      </c>
      <c r="AW83" s="797"/>
      <c r="AX83" s="786"/>
      <c r="AY83" s="786"/>
      <c r="AZ83" s="792" t="str">
        <f t="array" ref="AZ83:BA83">{"",'S-10 Оформление сделок Выборка'!BA83}</f>
        <v/>
      </c>
      <c r="BA83" s="798"/>
      <c r="BB83" s="792" t="str">
        <f t="array" ref="BB83:BC83">{"",'S-10 Оформление сделок Выборка'!BC83}</f>
        <v/>
      </c>
      <c r="BC83" s="799"/>
      <c r="BD83" s="792" t="str">
        <f t="array" ref="BD83:BE83">{"",'S-10 Оформление сделок Выборка'!BE83}</f>
        <v/>
      </c>
      <c r="BE83" s="793"/>
      <c r="BF83" s="800" t="str">
        <f t="array" ref="BF83:BG83">{"",'S-10 Оформление сделок Выборка'!BG83}</f>
        <v/>
      </c>
      <c r="BG83" s="794"/>
      <c r="BH83" s="794" t="str">
        <f t="array" ref="BH83:BI83">{"",'S-10 Оформление сделок Выборка'!BI83}</f>
        <v/>
      </c>
      <c r="BI83" s="794"/>
      <c r="BJ83" s="792" t="str">
        <f t="array" ref="BJ83:BK83">{"",'S-10 Оформление сделок Выборка'!BK83}</f>
        <v/>
      </c>
      <c r="BK83" s="793"/>
      <c r="BL83" s="792" t="str">
        <f t="array" ref="BL83:BM83">{"",'S-10 Оформление сделок Выборка'!BM83}</f>
        <v/>
      </c>
      <c r="BM83" s="801"/>
      <c r="BN83" s="792" t="str">
        <f t="array" ref="BN83:BO83">{"",'S-10 Оформление сделок Выборка'!BO83}</f>
        <v/>
      </c>
      <c r="BO83" s="793"/>
      <c r="BP83" s="792" t="str">
        <f t="array" ref="BP83:BQ83">{"",'S-10 Оформление сделок Выборка'!BQ83}</f>
        <v/>
      </c>
      <c r="BQ83" s="802"/>
      <c r="BR83" s="792" t="str">
        <f t="array" ref="BR83:BS83">{"",'S-10 Оформление сделок Выборка'!BS83}</f>
        <v/>
      </c>
      <c r="BS83" s="794"/>
      <c r="BT83" s="800" t="str">
        <f t="array" ref="BT83:BU83">{"",'S-10 Оформление сделок Выборка'!BU83}</f>
        <v/>
      </c>
      <c r="BU83" s="794"/>
      <c r="BV83" s="800" t="str">
        <f t="array" ref="BV83:BW83">{"",'S-10 Оформление сделок Выборка'!BW83}</f>
        <v/>
      </c>
      <c r="BW83" s="803" t="s">
        <v>96</v>
      </c>
      <c r="BX83" s="804"/>
    </row>
    <row r="84">
      <c r="A84" s="779"/>
      <c r="B84" s="779"/>
      <c r="C84" s="780" t="str">
        <f>'5-1 Сбор КП Закупки'!C84</f>
        <v/>
      </c>
      <c r="D84" s="781"/>
      <c r="E84" s="780"/>
      <c r="F84" s="783"/>
      <c r="G84" s="783"/>
      <c r="H84" s="783"/>
      <c r="I84" s="783"/>
      <c r="J84" s="780"/>
      <c r="K84" s="786"/>
      <c r="L84" s="785"/>
      <c r="M84" s="786"/>
      <c r="N84" s="786"/>
      <c r="O84" s="780"/>
      <c r="P84" s="787"/>
      <c r="Q84" s="780"/>
      <c r="R84" s="780"/>
      <c r="S84" s="780"/>
      <c r="T84" s="780"/>
      <c r="U84" s="780"/>
      <c r="V84" s="780"/>
      <c r="W84" s="787"/>
      <c r="X84" s="780"/>
      <c r="Y84" s="780"/>
      <c r="Z84" s="780"/>
      <c r="AA84" s="780"/>
      <c r="AB84" s="788"/>
      <c r="AC84" s="781"/>
      <c r="AD84" s="780"/>
      <c r="AE84" s="789" t="str">
        <f t="array" ref="AE84:AF84">{"",'S-10 Оформление сделок Выборка'!AF84}</f>
        <v/>
      </c>
      <c r="AF84" s="790"/>
      <c r="AG84" s="781"/>
      <c r="AH84" s="781"/>
      <c r="AI84" s="785"/>
      <c r="AJ84" s="780"/>
      <c r="AK84" s="792" t="str">
        <f t="array" ref="AK84:AL84">{"",'S-10 Оформление сделок Выборка'!AL84}</f>
        <v/>
      </c>
      <c r="AL84" s="793"/>
      <c r="AM84" s="792" t="str">
        <f t="array" ref="AM84:AN84">{"",'S-10 Оформление сделок Выборка'!AN84}</f>
        <v/>
      </c>
      <c r="AN84" s="794"/>
      <c r="AO84" s="792" t="str">
        <f t="array" ref="AO84:AP84">{"",'S-10 Оформление сделок Выборка'!AP84}</f>
        <v/>
      </c>
      <c r="AP84" s="786"/>
      <c r="AQ84" s="786"/>
      <c r="AR84" s="779" t="str">
        <f t="array" ref="AR84:AS84">{"",'S-10 Оформление сделок Выборка'!AS84}</f>
        <v/>
      </c>
      <c r="AS84" s="795"/>
      <c r="AT84" s="779" t="str">
        <f t="array" ref="AT84:AU84">{"",'S-10 Оформление сделок Выборка'!AU84}</f>
        <v/>
      </c>
      <c r="AU84" s="805"/>
      <c r="AV84" s="779" t="str">
        <f t="array" ref="AV84:AW84">{"",'S-10 Оформление сделок Выборка'!AW84}</f>
        <v/>
      </c>
      <c r="AW84" s="797"/>
      <c r="AX84" s="786"/>
      <c r="AY84" s="786"/>
      <c r="AZ84" s="792" t="str">
        <f t="array" ref="AZ84:BA84">{"",'S-10 Оформление сделок Выборка'!BA84}</f>
        <v/>
      </c>
      <c r="BA84" s="798"/>
      <c r="BB84" s="792" t="str">
        <f t="array" ref="BB84:BC84">{"",'S-10 Оформление сделок Выборка'!BC84}</f>
        <v/>
      </c>
      <c r="BC84" s="799"/>
      <c r="BD84" s="792" t="str">
        <f t="array" ref="BD84:BE84">{"",'S-10 Оформление сделок Выборка'!BE84}</f>
        <v/>
      </c>
      <c r="BE84" s="793"/>
      <c r="BF84" s="800" t="str">
        <f t="array" ref="BF84:BG84">{"",'S-10 Оформление сделок Выборка'!BG84}</f>
        <v/>
      </c>
      <c r="BG84" s="794"/>
      <c r="BH84" s="794" t="str">
        <f t="array" ref="BH84:BI84">{"",'S-10 Оформление сделок Выборка'!BI84}</f>
        <v/>
      </c>
      <c r="BI84" s="794"/>
      <c r="BJ84" s="792" t="str">
        <f t="array" ref="BJ84:BK84">{"",'S-10 Оформление сделок Выборка'!BK84}</f>
        <v/>
      </c>
      <c r="BK84" s="793"/>
      <c r="BL84" s="792" t="str">
        <f t="array" ref="BL84:BM84">{"",'S-10 Оформление сделок Выборка'!BM84}</f>
        <v/>
      </c>
      <c r="BM84" s="801"/>
      <c r="BN84" s="792" t="str">
        <f t="array" ref="BN84:BO84">{"",'S-10 Оформление сделок Выборка'!BO84}</f>
        <v/>
      </c>
      <c r="BO84" s="793"/>
      <c r="BP84" s="792" t="str">
        <f t="array" ref="BP84:BQ84">{"",'S-10 Оформление сделок Выборка'!BQ84}</f>
        <v/>
      </c>
      <c r="BQ84" s="802"/>
      <c r="BR84" s="792" t="str">
        <f t="array" ref="BR84:BS84">{"",'S-10 Оформление сделок Выборка'!BS84}</f>
        <v/>
      </c>
      <c r="BS84" s="794"/>
      <c r="BT84" s="800" t="str">
        <f t="array" ref="BT84:BU84">{"",'S-10 Оформление сделок Выборка'!BU84}</f>
        <v/>
      </c>
      <c r="BU84" s="794"/>
      <c r="BV84" s="800" t="str">
        <f t="array" ref="BV84:BW84">{"",'S-10 Оформление сделок Выборка'!BW84}</f>
        <v/>
      </c>
      <c r="BW84" s="803" t="s">
        <v>96</v>
      </c>
      <c r="BX84" s="804"/>
    </row>
    <row r="85">
      <c r="A85" s="779"/>
      <c r="B85" s="779"/>
      <c r="C85" s="780" t="str">
        <f>'5-1 Сбор КП Закупки'!C85</f>
        <v/>
      </c>
      <c r="D85" s="781"/>
      <c r="E85" s="780"/>
      <c r="F85" s="783"/>
      <c r="G85" s="783"/>
      <c r="H85" s="783"/>
      <c r="I85" s="783"/>
      <c r="J85" s="780"/>
      <c r="K85" s="786"/>
      <c r="L85" s="785"/>
      <c r="M85" s="786"/>
      <c r="N85" s="786"/>
      <c r="O85" s="780"/>
      <c r="P85" s="787"/>
      <c r="Q85" s="780"/>
      <c r="R85" s="780"/>
      <c r="S85" s="780"/>
      <c r="T85" s="780"/>
      <c r="U85" s="780"/>
      <c r="V85" s="780"/>
      <c r="W85" s="787"/>
      <c r="X85" s="780"/>
      <c r="Y85" s="780"/>
      <c r="Z85" s="780"/>
      <c r="AA85" s="780"/>
      <c r="AB85" s="788"/>
      <c r="AC85" s="781"/>
      <c r="AD85" s="780"/>
      <c r="AE85" s="789" t="str">
        <f t="array" ref="AE85:AF85">{"",'S-10 Оформление сделок Выборка'!AF85}</f>
        <v/>
      </c>
      <c r="AF85" s="790"/>
      <c r="AG85" s="781"/>
      <c r="AH85" s="781"/>
      <c r="AI85" s="785"/>
      <c r="AJ85" s="780"/>
      <c r="AK85" s="792" t="str">
        <f t="array" ref="AK85:AL85">{"",'S-10 Оформление сделок Выборка'!AL85}</f>
        <v/>
      </c>
      <c r="AL85" s="793"/>
      <c r="AM85" s="792" t="str">
        <f t="array" ref="AM85:AN85">{"",'S-10 Оформление сделок Выборка'!AN85}</f>
        <v/>
      </c>
      <c r="AN85" s="794"/>
      <c r="AO85" s="792" t="str">
        <f t="array" ref="AO85:AP85">{"",'S-10 Оформление сделок Выборка'!AP85}</f>
        <v/>
      </c>
      <c r="AP85" s="786"/>
      <c r="AQ85" s="786"/>
      <c r="AR85" s="779" t="str">
        <f t="array" ref="AR85:AS85">{"",'S-10 Оформление сделок Выборка'!AS85}</f>
        <v/>
      </c>
      <c r="AS85" s="795"/>
      <c r="AT85" s="779" t="str">
        <f t="array" ref="AT85:AU85">{"",'S-10 Оформление сделок Выборка'!AU85}</f>
        <v/>
      </c>
      <c r="AU85" s="805"/>
      <c r="AV85" s="779" t="str">
        <f t="array" ref="AV85:AW85">{"",'S-10 Оформление сделок Выборка'!AW85}</f>
        <v/>
      </c>
      <c r="AW85" s="797"/>
      <c r="AX85" s="786"/>
      <c r="AY85" s="786"/>
      <c r="AZ85" s="792" t="str">
        <f t="array" ref="AZ85:BA85">{"",'S-10 Оформление сделок Выборка'!BA85}</f>
        <v/>
      </c>
      <c r="BA85" s="798"/>
      <c r="BB85" s="792" t="str">
        <f t="array" ref="BB85:BC85">{"",'S-10 Оформление сделок Выборка'!BC85}</f>
        <v/>
      </c>
      <c r="BC85" s="799"/>
      <c r="BD85" s="792" t="str">
        <f t="array" ref="BD85:BE85">{"",'S-10 Оформление сделок Выборка'!BE85}</f>
        <v/>
      </c>
      <c r="BE85" s="793"/>
      <c r="BF85" s="800" t="str">
        <f t="array" ref="BF85:BG85">{"",'S-10 Оформление сделок Выборка'!BG85}</f>
        <v/>
      </c>
      <c r="BG85" s="794"/>
      <c r="BH85" s="794" t="str">
        <f t="array" ref="BH85:BI85">{"",'S-10 Оформление сделок Выборка'!BI85}</f>
        <v/>
      </c>
      <c r="BI85" s="794"/>
      <c r="BJ85" s="792" t="str">
        <f t="array" ref="BJ85:BK85">{"",'S-10 Оформление сделок Выборка'!BK85}</f>
        <v/>
      </c>
      <c r="BK85" s="793"/>
      <c r="BL85" s="792" t="str">
        <f t="array" ref="BL85:BM85">{"",'S-10 Оформление сделок Выборка'!BM85}</f>
        <v/>
      </c>
      <c r="BM85" s="801"/>
      <c r="BN85" s="792" t="str">
        <f t="array" ref="BN85:BO85">{"",'S-10 Оформление сделок Выборка'!BO85}</f>
        <v/>
      </c>
      <c r="BO85" s="793"/>
      <c r="BP85" s="792" t="str">
        <f t="array" ref="BP85:BQ85">{"",'S-10 Оформление сделок Выборка'!BQ85}</f>
        <v/>
      </c>
      <c r="BQ85" s="802"/>
      <c r="BR85" s="792" t="str">
        <f t="array" ref="BR85:BS85">{"",'S-10 Оформление сделок Выборка'!BS85}</f>
        <v/>
      </c>
      <c r="BS85" s="794"/>
      <c r="BT85" s="800" t="str">
        <f t="array" ref="BT85:BU85">{"",'S-10 Оформление сделок Выборка'!BU85}</f>
        <v/>
      </c>
      <c r="BU85" s="794"/>
      <c r="BV85" s="800" t="str">
        <f t="array" ref="BV85:BW85">{"",'S-10 Оформление сделок Выборка'!BW85}</f>
        <v/>
      </c>
      <c r="BW85" s="803" t="s">
        <v>96</v>
      </c>
      <c r="BX85" s="804"/>
    </row>
    <row r="86">
      <c r="A86" s="779"/>
      <c r="B86" s="779"/>
      <c r="C86" s="780" t="str">
        <f>'5-1 Сбор КП Закупки'!C86</f>
        <v/>
      </c>
      <c r="D86" s="781"/>
      <c r="E86" s="780"/>
      <c r="F86" s="783"/>
      <c r="G86" s="783"/>
      <c r="H86" s="783"/>
      <c r="I86" s="783"/>
      <c r="J86" s="780"/>
      <c r="K86" s="786"/>
      <c r="L86" s="785"/>
      <c r="M86" s="786"/>
      <c r="N86" s="786"/>
      <c r="O86" s="780"/>
      <c r="P86" s="787"/>
      <c r="Q86" s="780"/>
      <c r="R86" s="780"/>
      <c r="S86" s="780"/>
      <c r="T86" s="780"/>
      <c r="U86" s="780"/>
      <c r="V86" s="780"/>
      <c r="W86" s="787"/>
      <c r="X86" s="780"/>
      <c r="Y86" s="780"/>
      <c r="Z86" s="780"/>
      <c r="AA86" s="780"/>
      <c r="AB86" s="788"/>
      <c r="AC86" s="781"/>
      <c r="AD86" s="780"/>
      <c r="AE86" s="789" t="str">
        <f t="array" ref="AE86:AF86">{"",'S-10 Оформление сделок Выборка'!AF86}</f>
        <v/>
      </c>
      <c r="AF86" s="790"/>
      <c r="AG86" s="781"/>
      <c r="AH86" s="781"/>
      <c r="AI86" s="785"/>
      <c r="AJ86" s="780"/>
      <c r="AK86" s="792" t="str">
        <f t="array" ref="AK86:AL86">{"",'S-10 Оформление сделок Выборка'!AL86}</f>
        <v/>
      </c>
      <c r="AL86" s="793"/>
      <c r="AM86" s="792" t="str">
        <f t="array" ref="AM86:AN86">{"",'S-10 Оформление сделок Выборка'!AN86}</f>
        <v/>
      </c>
      <c r="AN86" s="794"/>
      <c r="AO86" s="792" t="str">
        <f t="array" ref="AO86:AP86">{"",'S-10 Оформление сделок Выборка'!AP86}</f>
        <v/>
      </c>
      <c r="AP86" s="786"/>
      <c r="AQ86" s="786"/>
      <c r="AR86" s="779" t="str">
        <f t="array" ref="AR86:AS86">{"",'S-10 Оформление сделок Выборка'!AS86}</f>
        <v/>
      </c>
      <c r="AS86" s="795"/>
      <c r="AT86" s="779" t="str">
        <f t="array" ref="AT86:AU86">{"",'S-10 Оформление сделок Выборка'!AU86}</f>
        <v/>
      </c>
      <c r="AU86" s="805"/>
      <c r="AV86" s="779" t="str">
        <f t="array" ref="AV86:AW86">{"",'S-10 Оформление сделок Выборка'!AW86}</f>
        <v/>
      </c>
      <c r="AW86" s="797"/>
      <c r="AX86" s="786"/>
      <c r="AY86" s="786"/>
      <c r="AZ86" s="792" t="str">
        <f t="array" ref="AZ86:BA86">{"",'S-10 Оформление сделок Выборка'!BA86}</f>
        <v/>
      </c>
      <c r="BA86" s="798"/>
      <c r="BB86" s="792" t="str">
        <f t="array" ref="BB86:BC86">{"",'S-10 Оформление сделок Выборка'!BC86}</f>
        <v/>
      </c>
      <c r="BC86" s="799"/>
      <c r="BD86" s="792" t="str">
        <f t="array" ref="BD86:BE86">{"",'S-10 Оформление сделок Выборка'!BE86}</f>
        <v/>
      </c>
      <c r="BE86" s="793"/>
      <c r="BF86" s="800" t="str">
        <f t="array" ref="BF86:BG86">{"",'S-10 Оформление сделок Выборка'!BG86}</f>
        <v/>
      </c>
      <c r="BG86" s="794"/>
      <c r="BH86" s="794" t="str">
        <f t="array" ref="BH86:BI86">{"",'S-10 Оформление сделок Выборка'!BI86}</f>
        <v/>
      </c>
      <c r="BI86" s="794"/>
      <c r="BJ86" s="792" t="str">
        <f t="array" ref="BJ86:BK86">{"",'S-10 Оформление сделок Выборка'!BK86}</f>
        <v/>
      </c>
      <c r="BK86" s="793"/>
      <c r="BL86" s="792" t="str">
        <f t="array" ref="BL86:BM86">{"",'S-10 Оформление сделок Выборка'!BM86}</f>
        <v/>
      </c>
      <c r="BM86" s="801"/>
      <c r="BN86" s="792" t="str">
        <f t="array" ref="BN86:BO86">{"",'S-10 Оформление сделок Выборка'!BO86}</f>
        <v/>
      </c>
      <c r="BO86" s="793"/>
      <c r="BP86" s="792" t="str">
        <f t="array" ref="BP86:BQ86">{"",'S-10 Оформление сделок Выборка'!BQ86}</f>
        <v/>
      </c>
      <c r="BQ86" s="802"/>
      <c r="BR86" s="792" t="str">
        <f t="array" ref="BR86:BS86">{"",'S-10 Оформление сделок Выборка'!BS86}</f>
        <v/>
      </c>
      <c r="BS86" s="794"/>
      <c r="BT86" s="800" t="str">
        <f t="array" ref="BT86:BU86">{"",'S-10 Оформление сделок Выборка'!BU86}</f>
        <v/>
      </c>
      <c r="BU86" s="794"/>
      <c r="BV86" s="800" t="str">
        <f t="array" ref="BV86:BW86">{"",'S-10 Оформление сделок Выборка'!BW86}</f>
        <v/>
      </c>
      <c r="BW86" s="803" t="s">
        <v>96</v>
      </c>
      <c r="BX86" s="804"/>
    </row>
    <row r="87">
      <c r="A87" s="779"/>
      <c r="B87" s="779"/>
      <c r="C87" s="780" t="str">
        <f>'5-1 Сбор КП Закупки'!C87</f>
        <v/>
      </c>
      <c r="D87" s="781"/>
      <c r="E87" s="780"/>
      <c r="F87" s="783"/>
      <c r="G87" s="783"/>
      <c r="H87" s="783"/>
      <c r="I87" s="783"/>
      <c r="J87" s="780"/>
      <c r="K87" s="786"/>
      <c r="L87" s="785"/>
      <c r="M87" s="786"/>
      <c r="N87" s="786"/>
      <c r="O87" s="780"/>
      <c r="P87" s="787"/>
      <c r="Q87" s="780"/>
      <c r="R87" s="780"/>
      <c r="S87" s="780"/>
      <c r="T87" s="780"/>
      <c r="U87" s="780"/>
      <c r="V87" s="780"/>
      <c r="W87" s="787"/>
      <c r="X87" s="780"/>
      <c r="Y87" s="780"/>
      <c r="Z87" s="780"/>
      <c r="AA87" s="780"/>
      <c r="AB87" s="788"/>
      <c r="AC87" s="781"/>
      <c r="AD87" s="780"/>
      <c r="AE87" s="789" t="str">
        <f t="array" ref="AE87:AF87">{"",'S-10 Оформление сделок Выборка'!AF87}</f>
        <v/>
      </c>
      <c r="AF87" s="790"/>
      <c r="AG87" s="781"/>
      <c r="AH87" s="781"/>
      <c r="AI87" s="785"/>
      <c r="AJ87" s="780"/>
      <c r="AK87" s="792" t="str">
        <f t="array" ref="AK87:AL87">{"",'S-10 Оформление сделок Выборка'!AL87}</f>
        <v/>
      </c>
      <c r="AL87" s="793"/>
      <c r="AM87" s="792" t="str">
        <f t="array" ref="AM87:AN87">{"",'S-10 Оформление сделок Выборка'!AN87}</f>
        <v/>
      </c>
      <c r="AN87" s="794"/>
      <c r="AO87" s="792" t="str">
        <f t="array" ref="AO87:AP87">{"",'S-10 Оформление сделок Выборка'!AP87}</f>
        <v/>
      </c>
      <c r="AP87" s="786"/>
      <c r="AQ87" s="786"/>
      <c r="AR87" s="779" t="str">
        <f t="array" ref="AR87:AS87">{"",'S-10 Оформление сделок Выборка'!AS87}</f>
        <v/>
      </c>
      <c r="AS87" s="795"/>
      <c r="AT87" s="779" t="str">
        <f t="array" ref="AT87:AU87">{"",'S-10 Оформление сделок Выборка'!AU87}</f>
        <v/>
      </c>
      <c r="AU87" s="805"/>
      <c r="AV87" s="779" t="str">
        <f t="array" ref="AV87:AW87">{"",'S-10 Оформление сделок Выборка'!AW87}</f>
        <v/>
      </c>
      <c r="AW87" s="797"/>
      <c r="AX87" s="786"/>
      <c r="AY87" s="786"/>
      <c r="AZ87" s="792" t="str">
        <f t="array" ref="AZ87:BA87">{"",'S-10 Оформление сделок Выборка'!BA87}</f>
        <v/>
      </c>
      <c r="BA87" s="798"/>
      <c r="BB87" s="792" t="str">
        <f t="array" ref="BB87:BC87">{"",'S-10 Оформление сделок Выборка'!BC87}</f>
        <v/>
      </c>
      <c r="BC87" s="799"/>
      <c r="BD87" s="792" t="str">
        <f t="array" ref="BD87:BE87">{"",'S-10 Оформление сделок Выборка'!BE87}</f>
        <v/>
      </c>
      <c r="BE87" s="793"/>
      <c r="BF87" s="800" t="str">
        <f t="array" ref="BF87:BG87">{"",'S-10 Оформление сделок Выборка'!BG87}</f>
        <v/>
      </c>
      <c r="BG87" s="794"/>
      <c r="BH87" s="794" t="str">
        <f t="array" ref="BH87:BI87">{"",'S-10 Оформление сделок Выборка'!BI87}</f>
        <v/>
      </c>
      <c r="BI87" s="794"/>
      <c r="BJ87" s="792" t="str">
        <f t="array" ref="BJ87:BK87">{"",'S-10 Оформление сделок Выборка'!BK87}</f>
        <v/>
      </c>
      <c r="BK87" s="793"/>
      <c r="BL87" s="792" t="str">
        <f t="array" ref="BL87:BM87">{"",'S-10 Оформление сделок Выборка'!BM87}</f>
        <v/>
      </c>
      <c r="BM87" s="801"/>
      <c r="BN87" s="792" t="str">
        <f t="array" ref="BN87:BO87">{"",'S-10 Оформление сделок Выборка'!BO87}</f>
        <v/>
      </c>
      <c r="BO87" s="793"/>
      <c r="BP87" s="792" t="str">
        <f t="array" ref="BP87:BQ87">{"",'S-10 Оформление сделок Выборка'!BQ87}</f>
        <v/>
      </c>
      <c r="BQ87" s="802"/>
      <c r="BR87" s="792" t="str">
        <f t="array" ref="BR87:BS87">{"",'S-10 Оформление сделок Выборка'!BS87}</f>
        <v/>
      </c>
      <c r="BS87" s="794"/>
      <c r="BT87" s="800" t="str">
        <f t="array" ref="BT87:BU87">{"",'S-10 Оформление сделок Выборка'!BU87}</f>
        <v/>
      </c>
      <c r="BU87" s="794"/>
      <c r="BV87" s="800" t="str">
        <f t="array" ref="BV87:BW87">{"",'S-10 Оформление сделок Выборка'!BW87}</f>
        <v/>
      </c>
      <c r="BW87" s="803" t="s">
        <v>96</v>
      </c>
      <c r="BX87" s="804"/>
    </row>
    <row r="88">
      <c r="A88" s="779"/>
      <c r="B88" s="779"/>
      <c r="C88" s="780" t="str">
        <f>'5-1 Сбор КП Закупки'!C88</f>
        <v/>
      </c>
      <c r="D88" s="781"/>
      <c r="E88" s="780"/>
      <c r="F88" s="783"/>
      <c r="G88" s="783"/>
      <c r="H88" s="783"/>
      <c r="I88" s="783"/>
      <c r="J88" s="780"/>
      <c r="K88" s="786"/>
      <c r="L88" s="785"/>
      <c r="M88" s="786"/>
      <c r="N88" s="786"/>
      <c r="O88" s="780"/>
      <c r="P88" s="787"/>
      <c r="Q88" s="780"/>
      <c r="R88" s="780"/>
      <c r="S88" s="780"/>
      <c r="T88" s="780"/>
      <c r="U88" s="780"/>
      <c r="V88" s="780"/>
      <c r="W88" s="787"/>
      <c r="X88" s="780"/>
      <c r="Y88" s="780"/>
      <c r="Z88" s="780"/>
      <c r="AA88" s="780"/>
      <c r="AB88" s="788"/>
      <c r="AC88" s="781"/>
      <c r="AD88" s="780"/>
      <c r="AE88" s="789" t="str">
        <f t="array" ref="AE88:AF88">{"",'S-10 Оформление сделок Выборка'!AF88}</f>
        <v/>
      </c>
      <c r="AF88" s="790"/>
      <c r="AG88" s="781"/>
      <c r="AH88" s="781"/>
      <c r="AI88" s="785"/>
      <c r="AJ88" s="780"/>
      <c r="AK88" s="792" t="str">
        <f t="array" ref="AK88:AL88">{"",'S-10 Оформление сделок Выборка'!AL88}</f>
        <v/>
      </c>
      <c r="AL88" s="793"/>
      <c r="AM88" s="792" t="str">
        <f t="array" ref="AM88:AN88">{"",'S-10 Оформление сделок Выборка'!AN88}</f>
        <v/>
      </c>
      <c r="AN88" s="794"/>
      <c r="AO88" s="792" t="str">
        <f t="array" ref="AO88:AP88">{"",'S-10 Оформление сделок Выборка'!AP88}</f>
        <v/>
      </c>
      <c r="AP88" s="786"/>
      <c r="AQ88" s="786"/>
      <c r="AR88" s="779" t="str">
        <f t="array" ref="AR88:AS88">{"",'S-10 Оформление сделок Выборка'!AS88}</f>
        <v/>
      </c>
      <c r="AS88" s="795"/>
      <c r="AT88" s="779" t="str">
        <f t="array" ref="AT88:AU88">{"",'S-10 Оформление сделок Выборка'!AU88}</f>
        <v/>
      </c>
      <c r="AU88" s="805"/>
      <c r="AV88" s="779" t="str">
        <f t="array" ref="AV88:AW88">{"",'S-10 Оформление сделок Выборка'!AW88}</f>
        <v/>
      </c>
      <c r="AW88" s="797"/>
      <c r="AX88" s="786"/>
      <c r="AY88" s="786"/>
      <c r="AZ88" s="792" t="str">
        <f t="array" ref="AZ88:BA88">{"",'S-10 Оформление сделок Выборка'!BA88}</f>
        <v/>
      </c>
      <c r="BA88" s="798"/>
      <c r="BB88" s="792" t="str">
        <f t="array" ref="BB88:BC88">{"",'S-10 Оформление сделок Выборка'!BC88}</f>
        <v/>
      </c>
      <c r="BC88" s="799"/>
      <c r="BD88" s="792" t="str">
        <f t="array" ref="BD88:BE88">{"",'S-10 Оформление сделок Выборка'!BE88}</f>
        <v/>
      </c>
      <c r="BE88" s="793"/>
      <c r="BF88" s="800" t="str">
        <f t="array" ref="BF88:BG88">{"",'S-10 Оформление сделок Выборка'!BG88}</f>
        <v/>
      </c>
      <c r="BG88" s="794"/>
      <c r="BH88" s="794" t="str">
        <f t="array" ref="BH88:BI88">{"",'S-10 Оформление сделок Выборка'!BI88}</f>
        <v/>
      </c>
      <c r="BI88" s="794"/>
      <c r="BJ88" s="792" t="str">
        <f t="array" ref="BJ88:BK88">{"",'S-10 Оформление сделок Выборка'!BK88}</f>
        <v/>
      </c>
      <c r="BK88" s="793"/>
      <c r="BL88" s="792" t="str">
        <f t="array" ref="BL88:BM88">{"",'S-10 Оформление сделок Выборка'!BM88}</f>
        <v/>
      </c>
      <c r="BM88" s="801"/>
      <c r="BN88" s="792" t="str">
        <f t="array" ref="BN88:BO88">{"",'S-10 Оформление сделок Выборка'!BO88}</f>
        <v/>
      </c>
      <c r="BO88" s="793"/>
      <c r="BP88" s="792" t="str">
        <f t="array" ref="BP88:BQ88">{"",'S-10 Оформление сделок Выборка'!BQ88}</f>
        <v/>
      </c>
      <c r="BQ88" s="802"/>
      <c r="BR88" s="792" t="str">
        <f t="array" ref="BR88:BS88">{"",'S-10 Оформление сделок Выборка'!BS88}</f>
        <v/>
      </c>
      <c r="BS88" s="794"/>
      <c r="BT88" s="800" t="str">
        <f t="array" ref="BT88:BU88">{"",'S-10 Оформление сделок Выборка'!BU88}</f>
        <v/>
      </c>
      <c r="BU88" s="794"/>
      <c r="BV88" s="800" t="str">
        <f t="array" ref="BV88:BW88">{"",'S-10 Оформление сделок Выборка'!BW88}</f>
        <v/>
      </c>
      <c r="BW88" s="803" t="s">
        <v>96</v>
      </c>
      <c r="BX88" s="804"/>
    </row>
    <row r="89">
      <c r="A89" s="779"/>
      <c r="B89" s="779"/>
      <c r="C89" s="780" t="str">
        <f>'5-1 Сбор КП Закупки'!C89</f>
        <v/>
      </c>
      <c r="D89" s="781"/>
      <c r="E89" s="780"/>
      <c r="F89" s="783"/>
      <c r="G89" s="783"/>
      <c r="H89" s="783"/>
      <c r="I89" s="783"/>
      <c r="J89" s="780"/>
      <c r="K89" s="786"/>
      <c r="L89" s="785"/>
      <c r="M89" s="786"/>
      <c r="N89" s="786"/>
      <c r="O89" s="780"/>
      <c r="P89" s="787"/>
      <c r="Q89" s="780"/>
      <c r="R89" s="780"/>
      <c r="S89" s="780"/>
      <c r="T89" s="780"/>
      <c r="U89" s="780"/>
      <c r="V89" s="780"/>
      <c r="W89" s="787"/>
      <c r="X89" s="780"/>
      <c r="Y89" s="780"/>
      <c r="Z89" s="780"/>
      <c r="AA89" s="780"/>
      <c r="AB89" s="788"/>
      <c r="AC89" s="781"/>
      <c r="AD89" s="780"/>
      <c r="AE89" s="789" t="str">
        <f t="array" ref="AE89:AF89">{"",'S-10 Оформление сделок Выборка'!AF89}</f>
        <v/>
      </c>
      <c r="AF89" s="790"/>
      <c r="AG89" s="781"/>
      <c r="AH89" s="781"/>
      <c r="AI89" s="785"/>
      <c r="AJ89" s="780"/>
      <c r="AK89" s="792" t="str">
        <f t="array" ref="AK89:AL89">{"",'S-10 Оформление сделок Выборка'!AL89}</f>
        <v/>
      </c>
      <c r="AL89" s="793"/>
      <c r="AM89" s="792" t="str">
        <f t="array" ref="AM89:AN89">{"",'S-10 Оформление сделок Выборка'!AN89}</f>
        <v/>
      </c>
      <c r="AN89" s="794"/>
      <c r="AO89" s="792" t="str">
        <f t="array" ref="AO89:AP89">{"",'S-10 Оформление сделок Выборка'!AP89}</f>
        <v/>
      </c>
      <c r="AP89" s="786"/>
      <c r="AQ89" s="786"/>
      <c r="AR89" s="779" t="str">
        <f t="array" ref="AR89:AS89">{"",'S-10 Оформление сделок Выборка'!AS89}</f>
        <v/>
      </c>
      <c r="AS89" s="795"/>
      <c r="AT89" s="779" t="str">
        <f t="array" ref="AT89:AU89">{"",'S-10 Оформление сделок Выборка'!AU89}</f>
        <v/>
      </c>
      <c r="AU89" s="805"/>
      <c r="AV89" s="779" t="str">
        <f t="array" ref="AV89:AW89">{"",'S-10 Оформление сделок Выборка'!AW89}</f>
        <v/>
      </c>
      <c r="AW89" s="797"/>
      <c r="AX89" s="786"/>
      <c r="AY89" s="786"/>
      <c r="AZ89" s="792" t="str">
        <f t="array" ref="AZ89:BA89">{"",'S-10 Оформление сделок Выборка'!BA89}</f>
        <v/>
      </c>
      <c r="BA89" s="798"/>
      <c r="BB89" s="792" t="str">
        <f t="array" ref="BB89:BC89">{"",'S-10 Оформление сделок Выборка'!BC89}</f>
        <v/>
      </c>
      <c r="BC89" s="799"/>
      <c r="BD89" s="792" t="str">
        <f t="array" ref="BD89:BE89">{"",'S-10 Оформление сделок Выборка'!BE89}</f>
        <v/>
      </c>
      <c r="BE89" s="793"/>
      <c r="BF89" s="800" t="str">
        <f t="array" ref="BF89:BG89">{"",'S-10 Оформление сделок Выборка'!BG89}</f>
        <v/>
      </c>
      <c r="BG89" s="794"/>
      <c r="BH89" s="794" t="str">
        <f t="array" ref="BH89:BI89">{"",'S-10 Оформление сделок Выборка'!BI89}</f>
        <v/>
      </c>
      <c r="BI89" s="794"/>
      <c r="BJ89" s="792" t="str">
        <f t="array" ref="BJ89:BK89">{"",'S-10 Оформление сделок Выборка'!BK89}</f>
        <v/>
      </c>
      <c r="BK89" s="793"/>
      <c r="BL89" s="792" t="str">
        <f t="array" ref="BL89:BM89">{"",'S-10 Оформление сделок Выборка'!BM89}</f>
        <v/>
      </c>
      <c r="BM89" s="801"/>
      <c r="BN89" s="792" t="str">
        <f t="array" ref="BN89:BO89">{"",'S-10 Оформление сделок Выборка'!BO89}</f>
        <v/>
      </c>
      <c r="BO89" s="793"/>
      <c r="BP89" s="792" t="str">
        <f t="array" ref="BP89:BQ89">{"",'S-10 Оформление сделок Выборка'!BQ89}</f>
        <v/>
      </c>
      <c r="BQ89" s="802"/>
      <c r="BR89" s="792" t="str">
        <f t="array" ref="BR89:BS89">{"",'S-10 Оформление сделок Выборка'!BS89}</f>
        <v/>
      </c>
      <c r="BS89" s="794"/>
      <c r="BT89" s="800" t="str">
        <f t="array" ref="BT89:BU89">{"",'S-10 Оформление сделок Выборка'!BU89}</f>
        <v/>
      </c>
      <c r="BU89" s="794"/>
      <c r="BV89" s="800" t="str">
        <f t="array" ref="BV89:BW89">{"",'S-10 Оформление сделок Выборка'!BW89}</f>
        <v/>
      </c>
      <c r="BW89" s="803" t="s">
        <v>96</v>
      </c>
      <c r="BX89" s="804"/>
    </row>
    <row r="90">
      <c r="A90" s="779"/>
      <c r="B90" s="779"/>
      <c r="C90" s="780" t="str">
        <f>'5-1 Сбор КП Закупки'!C90</f>
        <v/>
      </c>
      <c r="D90" s="781"/>
      <c r="E90" s="780"/>
      <c r="F90" s="783"/>
      <c r="G90" s="783"/>
      <c r="H90" s="783"/>
      <c r="I90" s="783"/>
      <c r="J90" s="780"/>
      <c r="K90" s="786"/>
      <c r="L90" s="785"/>
      <c r="M90" s="786"/>
      <c r="N90" s="786"/>
      <c r="O90" s="780"/>
      <c r="P90" s="787"/>
      <c r="Q90" s="780"/>
      <c r="R90" s="780"/>
      <c r="S90" s="780"/>
      <c r="T90" s="780"/>
      <c r="U90" s="780"/>
      <c r="V90" s="780"/>
      <c r="W90" s="787"/>
      <c r="X90" s="780"/>
      <c r="Y90" s="780"/>
      <c r="Z90" s="780"/>
      <c r="AA90" s="780"/>
      <c r="AB90" s="788"/>
      <c r="AC90" s="781"/>
      <c r="AD90" s="780"/>
      <c r="AE90" s="789" t="str">
        <f t="array" ref="AE90:AF90">{"",'S-10 Оформление сделок Выборка'!AF90}</f>
        <v/>
      </c>
      <c r="AF90" s="790"/>
      <c r="AG90" s="781"/>
      <c r="AH90" s="781"/>
      <c r="AI90" s="785"/>
      <c r="AJ90" s="780"/>
      <c r="AK90" s="792" t="str">
        <f t="array" ref="AK90:AL90">{"",'S-10 Оформление сделок Выборка'!AL90}</f>
        <v/>
      </c>
      <c r="AL90" s="793"/>
      <c r="AM90" s="792" t="str">
        <f t="array" ref="AM90:AN90">{"",'S-10 Оформление сделок Выборка'!AN90}</f>
        <v/>
      </c>
      <c r="AN90" s="794"/>
      <c r="AO90" s="792" t="str">
        <f t="array" ref="AO90:AP90">{"",'S-10 Оформление сделок Выборка'!AP90}</f>
        <v/>
      </c>
      <c r="AP90" s="786"/>
      <c r="AQ90" s="786"/>
      <c r="AR90" s="779" t="str">
        <f t="array" ref="AR90:AS90">{"",'S-10 Оформление сделок Выборка'!AS90}</f>
        <v/>
      </c>
      <c r="AS90" s="795"/>
      <c r="AT90" s="779" t="str">
        <f t="array" ref="AT90:AU90">{"",'S-10 Оформление сделок Выборка'!AU90}</f>
        <v/>
      </c>
      <c r="AU90" s="805"/>
      <c r="AV90" s="779" t="str">
        <f t="array" ref="AV90:AW90">{"",'S-10 Оформление сделок Выборка'!AW90}</f>
        <v/>
      </c>
      <c r="AW90" s="797"/>
      <c r="AX90" s="786"/>
      <c r="AY90" s="786"/>
      <c r="AZ90" s="792" t="str">
        <f t="array" ref="AZ90:BA90">{"",'S-10 Оформление сделок Выборка'!BA90}</f>
        <v/>
      </c>
      <c r="BA90" s="798"/>
      <c r="BB90" s="792" t="str">
        <f t="array" ref="BB90:BC90">{"",'S-10 Оформление сделок Выборка'!BC90}</f>
        <v/>
      </c>
      <c r="BC90" s="799"/>
      <c r="BD90" s="792" t="str">
        <f t="array" ref="BD90:BE90">{"",'S-10 Оформление сделок Выборка'!BE90}</f>
        <v/>
      </c>
      <c r="BE90" s="793"/>
      <c r="BF90" s="800" t="str">
        <f t="array" ref="BF90:BG90">{"",'S-10 Оформление сделок Выборка'!BG90}</f>
        <v/>
      </c>
      <c r="BG90" s="794"/>
      <c r="BH90" s="794" t="str">
        <f t="array" ref="BH90:BI90">{"",'S-10 Оформление сделок Выборка'!BI90}</f>
        <v/>
      </c>
      <c r="BI90" s="794"/>
      <c r="BJ90" s="792" t="str">
        <f t="array" ref="BJ90:BK90">{"",'S-10 Оформление сделок Выборка'!BK90}</f>
        <v/>
      </c>
      <c r="BK90" s="793"/>
      <c r="BL90" s="792" t="str">
        <f t="array" ref="BL90:BM90">{"",'S-10 Оформление сделок Выборка'!BM90}</f>
        <v/>
      </c>
      <c r="BM90" s="801"/>
      <c r="BN90" s="792" t="str">
        <f t="array" ref="BN90:BO90">{"",'S-10 Оформление сделок Выборка'!BO90}</f>
        <v/>
      </c>
      <c r="BO90" s="793"/>
      <c r="BP90" s="792" t="str">
        <f t="array" ref="BP90:BQ90">{"",'S-10 Оформление сделок Выборка'!BQ90}</f>
        <v/>
      </c>
      <c r="BQ90" s="802"/>
      <c r="BR90" s="792" t="str">
        <f t="array" ref="BR90:BS90">{"",'S-10 Оформление сделок Выборка'!BS90}</f>
        <v/>
      </c>
      <c r="BS90" s="794"/>
      <c r="BT90" s="800" t="str">
        <f t="array" ref="BT90:BU90">{"",'S-10 Оформление сделок Выборка'!BU90}</f>
        <v/>
      </c>
      <c r="BU90" s="794"/>
      <c r="BV90" s="800" t="str">
        <f t="array" ref="BV90:BW90">{"",'S-10 Оформление сделок Выборка'!BW90}</f>
        <v/>
      </c>
      <c r="BW90" s="803" t="s">
        <v>96</v>
      </c>
      <c r="BX90" s="804"/>
    </row>
    <row r="91">
      <c r="A91" s="779"/>
      <c r="B91" s="779"/>
      <c r="C91" s="780" t="str">
        <f>'5-1 Сбор КП Закупки'!C91</f>
        <v/>
      </c>
      <c r="D91" s="781"/>
      <c r="E91" s="780"/>
      <c r="F91" s="783"/>
      <c r="G91" s="783"/>
      <c r="H91" s="783"/>
      <c r="I91" s="783"/>
      <c r="J91" s="780"/>
      <c r="K91" s="786"/>
      <c r="L91" s="785"/>
      <c r="M91" s="786"/>
      <c r="N91" s="786"/>
      <c r="O91" s="780"/>
      <c r="P91" s="787"/>
      <c r="Q91" s="780"/>
      <c r="R91" s="780"/>
      <c r="S91" s="780"/>
      <c r="T91" s="780"/>
      <c r="U91" s="780"/>
      <c r="V91" s="780"/>
      <c r="W91" s="787"/>
      <c r="X91" s="780"/>
      <c r="Y91" s="780"/>
      <c r="Z91" s="780"/>
      <c r="AA91" s="780"/>
      <c r="AB91" s="788"/>
      <c r="AC91" s="781"/>
      <c r="AD91" s="780"/>
      <c r="AE91" s="789" t="str">
        <f t="array" ref="AE91:AF91">{"",'S-10 Оформление сделок Выборка'!AF91}</f>
        <v/>
      </c>
      <c r="AF91" s="790"/>
      <c r="AG91" s="781"/>
      <c r="AH91" s="781"/>
      <c r="AI91" s="785"/>
      <c r="AJ91" s="780"/>
      <c r="AK91" s="792" t="str">
        <f t="array" ref="AK91:AL91">{"",'S-10 Оформление сделок Выборка'!AL91}</f>
        <v/>
      </c>
      <c r="AL91" s="793"/>
      <c r="AM91" s="792" t="str">
        <f t="array" ref="AM91:AN91">{"",'S-10 Оформление сделок Выборка'!AN91}</f>
        <v/>
      </c>
      <c r="AN91" s="794"/>
      <c r="AO91" s="792" t="str">
        <f t="array" ref="AO91:AP91">{"",'S-10 Оформление сделок Выборка'!AP91}</f>
        <v/>
      </c>
      <c r="AP91" s="786"/>
      <c r="AQ91" s="786"/>
      <c r="AR91" s="779" t="str">
        <f t="array" ref="AR91:AS91">{"",'S-10 Оформление сделок Выборка'!AS91}</f>
        <v/>
      </c>
      <c r="AS91" s="795"/>
      <c r="AT91" s="779" t="str">
        <f t="array" ref="AT91:AU91">{"",'S-10 Оформление сделок Выборка'!AU91}</f>
        <v/>
      </c>
      <c r="AU91" s="805"/>
      <c r="AV91" s="779" t="str">
        <f t="array" ref="AV91:AW91">{"",'S-10 Оформление сделок Выборка'!AW91}</f>
        <v/>
      </c>
      <c r="AW91" s="797"/>
      <c r="AX91" s="786"/>
      <c r="AY91" s="786"/>
      <c r="AZ91" s="792" t="str">
        <f t="array" ref="AZ91:BA91">{"",'S-10 Оформление сделок Выборка'!BA91}</f>
        <v/>
      </c>
      <c r="BA91" s="798"/>
      <c r="BB91" s="792" t="str">
        <f t="array" ref="BB91:BC91">{"",'S-10 Оформление сделок Выборка'!BC91}</f>
        <v/>
      </c>
      <c r="BC91" s="799"/>
      <c r="BD91" s="792" t="str">
        <f t="array" ref="BD91:BE91">{"",'S-10 Оформление сделок Выборка'!BE91}</f>
        <v/>
      </c>
      <c r="BE91" s="793"/>
      <c r="BF91" s="800" t="str">
        <f t="array" ref="BF91:BG91">{"",'S-10 Оформление сделок Выборка'!BG91}</f>
        <v/>
      </c>
      <c r="BG91" s="794"/>
      <c r="BH91" s="794" t="str">
        <f t="array" ref="BH91:BI91">{"",'S-10 Оформление сделок Выборка'!BI91}</f>
        <v/>
      </c>
      <c r="BI91" s="794"/>
      <c r="BJ91" s="792" t="str">
        <f t="array" ref="BJ91:BK91">{"",'S-10 Оформление сделок Выборка'!BK91}</f>
        <v/>
      </c>
      <c r="BK91" s="793"/>
      <c r="BL91" s="792" t="str">
        <f t="array" ref="BL91:BM91">{"",'S-10 Оформление сделок Выборка'!BM91}</f>
        <v/>
      </c>
      <c r="BM91" s="801"/>
      <c r="BN91" s="792" t="str">
        <f t="array" ref="BN91:BO91">{"",'S-10 Оформление сделок Выборка'!BO91}</f>
        <v/>
      </c>
      <c r="BO91" s="793"/>
      <c r="BP91" s="792" t="str">
        <f t="array" ref="BP91:BQ91">{"",'S-10 Оформление сделок Выборка'!BQ91}</f>
        <v/>
      </c>
      <c r="BQ91" s="802"/>
      <c r="BR91" s="792" t="str">
        <f t="array" ref="BR91:BS91">{"",'S-10 Оформление сделок Выборка'!BS91}</f>
        <v/>
      </c>
      <c r="BS91" s="794"/>
      <c r="BT91" s="800" t="str">
        <f t="array" ref="BT91:BU91">{"",'S-10 Оформление сделок Выборка'!BU91}</f>
        <v/>
      </c>
      <c r="BU91" s="794"/>
      <c r="BV91" s="800" t="str">
        <f t="array" ref="BV91:BW91">{"",'S-10 Оформление сделок Выборка'!BW91}</f>
        <v/>
      </c>
      <c r="BW91" s="803" t="s">
        <v>96</v>
      </c>
      <c r="BX91" s="804"/>
    </row>
    <row r="92">
      <c r="A92" s="779"/>
      <c r="B92" s="779"/>
      <c r="C92" s="780" t="str">
        <f>'5-1 Сбор КП Закупки'!C92</f>
        <v/>
      </c>
      <c r="D92" s="781"/>
      <c r="E92" s="780"/>
      <c r="F92" s="783"/>
      <c r="G92" s="783"/>
      <c r="H92" s="783"/>
      <c r="I92" s="783"/>
      <c r="J92" s="780"/>
      <c r="K92" s="786"/>
      <c r="L92" s="785"/>
      <c r="M92" s="786"/>
      <c r="N92" s="786"/>
      <c r="O92" s="780"/>
      <c r="P92" s="787"/>
      <c r="Q92" s="780"/>
      <c r="R92" s="780"/>
      <c r="S92" s="780"/>
      <c r="T92" s="780"/>
      <c r="U92" s="780"/>
      <c r="V92" s="780"/>
      <c r="W92" s="787"/>
      <c r="X92" s="780"/>
      <c r="Y92" s="780"/>
      <c r="Z92" s="780"/>
      <c r="AA92" s="780"/>
      <c r="AB92" s="788"/>
      <c r="AC92" s="781"/>
      <c r="AD92" s="780"/>
      <c r="AE92" s="789" t="str">
        <f t="array" ref="AE92:AF92">{"",'S-10 Оформление сделок Выборка'!AF92}</f>
        <v/>
      </c>
      <c r="AF92" s="790"/>
      <c r="AG92" s="781"/>
      <c r="AH92" s="781"/>
      <c r="AI92" s="785"/>
      <c r="AJ92" s="780"/>
      <c r="AK92" s="792" t="str">
        <f t="array" ref="AK92:AL92">{"",'S-10 Оформление сделок Выборка'!AL92}</f>
        <v/>
      </c>
      <c r="AL92" s="793"/>
      <c r="AM92" s="792" t="str">
        <f t="array" ref="AM92:AN92">{"",'S-10 Оформление сделок Выборка'!AN92}</f>
        <v/>
      </c>
      <c r="AN92" s="794"/>
      <c r="AO92" s="792" t="str">
        <f t="array" ref="AO92:AP92">{"",'S-10 Оформление сделок Выборка'!AP92}</f>
        <v/>
      </c>
      <c r="AP92" s="786"/>
      <c r="AQ92" s="786"/>
      <c r="AR92" s="779" t="str">
        <f t="array" ref="AR92:AS92">{"",'S-10 Оформление сделок Выборка'!AS92}</f>
        <v/>
      </c>
      <c r="AS92" s="795"/>
      <c r="AT92" s="779" t="str">
        <f t="array" ref="AT92:AU92">{"",'S-10 Оформление сделок Выборка'!AU92}</f>
        <v/>
      </c>
      <c r="AU92" s="805"/>
      <c r="AV92" s="779" t="str">
        <f t="array" ref="AV92:AW92">{"",'S-10 Оформление сделок Выборка'!AW92}</f>
        <v/>
      </c>
      <c r="AW92" s="797"/>
      <c r="AX92" s="786"/>
      <c r="AY92" s="786"/>
      <c r="AZ92" s="792" t="str">
        <f t="array" ref="AZ92:BA92">{"",'S-10 Оформление сделок Выборка'!BA92}</f>
        <v/>
      </c>
      <c r="BA92" s="798"/>
      <c r="BB92" s="792" t="str">
        <f t="array" ref="BB92:BC92">{"",'S-10 Оформление сделок Выборка'!BC92}</f>
        <v/>
      </c>
      <c r="BC92" s="799"/>
      <c r="BD92" s="792" t="str">
        <f t="array" ref="BD92:BE92">{"",'S-10 Оформление сделок Выборка'!BE92}</f>
        <v/>
      </c>
      <c r="BE92" s="793"/>
      <c r="BF92" s="800" t="str">
        <f t="array" ref="BF92:BG92">{"",'S-10 Оформление сделок Выборка'!BG92}</f>
        <v/>
      </c>
      <c r="BG92" s="794"/>
      <c r="BH92" s="794" t="str">
        <f t="array" ref="BH92:BI92">{"",'S-10 Оформление сделок Выборка'!BI92}</f>
        <v/>
      </c>
      <c r="BI92" s="794"/>
      <c r="BJ92" s="792" t="str">
        <f t="array" ref="BJ92:BK92">{"",'S-10 Оформление сделок Выборка'!BK92}</f>
        <v/>
      </c>
      <c r="BK92" s="793"/>
      <c r="BL92" s="792" t="str">
        <f t="array" ref="BL92:BM92">{"",'S-10 Оформление сделок Выборка'!BM92}</f>
        <v/>
      </c>
      <c r="BM92" s="801"/>
      <c r="BN92" s="792" t="str">
        <f t="array" ref="BN92:BO92">{"",'S-10 Оформление сделок Выборка'!BO92}</f>
        <v/>
      </c>
      <c r="BO92" s="793"/>
      <c r="BP92" s="792" t="str">
        <f t="array" ref="BP92:BQ92">{"",'S-10 Оформление сделок Выборка'!BQ92}</f>
        <v/>
      </c>
      <c r="BQ92" s="802"/>
      <c r="BR92" s="792" t="str">
        <f t="array" ref="BR92:BS92">{"",'S-10 Оформление сделок Выборка'!BS92}</f>
        <v/>
      </c>
      <c r="BS92" s="794"/>
      <c r="BT92" s="800" t="str">
        <f t="array" ref="BT92:BU92">{"",'S-10 Оформление сделок Выборка'!BU92}</f>
        <v/>
      </c>
      <c r="BU92" s="794"/>
      <c r="BV92" s="800" t="str">
        <f t="array" ref="BV92:BW92">{"",'S-10 Оформление сделок Выборка'!BW92}</f>
        <v/>
      </c>
      <c r="BW92" s="803" t="s">
        <v>96</v>
      </c>
      <c r="BX92" s="804"/>
    </row>
    <row r="93">
      <c r="A93" s="779"/>
      <c r="B93" s="779"/>
      <c r="C93" s="780" t="str">
        <f>'5-1 Сбор КП Закупки'!C93</f>
        <v/>
      </c>
      <c r="D93" s="781"/>
      <c r="E93" s="780"/>
      <c r="F93" s="783"/>
      <c r="G93" s="783"/>
      <c r="H93" s="783"/>
      <c r="I93" s="783"/>
      <c r="J93" s="780"/>
      <c r="K93" s="786"/>
      <c r="L93" s="785"/>
      <c r="M93" s="786"/>
      <c r="N93" s="786"/>
      <c r="O93" s="780"/>
      <c r="P93" s="787"/>
      <c r="Q93" s="780"/>
      <c r="R93" s="780"/>
      <c r="S93" s="780"/>
      <c r="T93" s="780"/>
      <c r="U93" s="780"/>
      <c r="V93" s="780"/>
      <c r="W93" s="787"/>
      <c r="X93" s="780"/>
      <c r="Y93" s="780"/>
      <c r="Z93" s="780"/>
      <c r="AA93" s="780"/>
      <c r="AB93" s="788"/>
      <c r="AC93" s="781"/>
      <c r="AD93" s="780"/>
      <c r="AE93" s="789" t="str">
        <f t="array" ref="AE93:AF93">{"",'S-10 Оформление сделок Выборка'!AF93}</f>
        <v/>
      </c>
      <c r="AF93" s="790"/>
      <c r="AG93" s="781"/>
      <c r="AH93" s="781"/>
      <c r="AI93" s="785"/>
      <c r="AJ93" s="780"/>
      <c r="AK93" s="792" t="str">
        <f t="array" ref="AK93:AL93">{"",'S-10 Оформление сделок Выборка'!AL93}</f>
        <v/>
      </c>
      <c r="AL93" s="793"/>
      <c r="AM93" s="792" t="str">
        <f t="array" ref="AM93:AN93">{"",'S-10 Оформление сделок Выборка'!AN93}</f>
        <v/>
      </c>
      <c r="AN93" s="794"/>
      <c r="AO93" s="792" t="str">
        <f t="array" ref="AO93:AP93">{"",'S-10 Оформление сделок Выборка'!AP93}</f>
        <v/>
      </c>
      <c r="AP93" s="786"/>
      <c r="AQ93" s="786"/>
      <c r="AR93" s="779" t="str">
        <f t="array" ref="AR93:AS93">{"",'S-10 Оформление сделок Выборка'!AS93}</f>
        <v/>
      </c>
      <c r="AS93" s="795"/>
      <c r="AT93" s="779" t="str">
        <f t="array" ref="AT93:AU93">{"",'S-10 Оформление сделок Выборка'!AU93}</f>
        <v/>
      </c>
      <c r="AU93" s="805"/>
      <c r="AV93" s="779" t="str">
        <f t="array" ref="AV93:AW93">{"",'S-10 Оформление сделок Выборка'!AW93}</f>
        <v/>
      </c>
      <c r="AW93" s="797"/>
      <c r="AX93" s="786"/>
      <c r="AY93" s="786"/>
      <c r="AZ93" s="792" t="str">
        <f t="array" ref="AZ93:BA93">{"",'S-10 Оформление сделок Выборка'!BA93}</f>
        <v/>
      </c>
      <c r="BA93" s="798"/>
      <c r="BB93" s="792" t="str">
        <f t="array" ref="BB93:BC93">{"",'S-10 Оформление сделок Выборка'!BC93}</f>
        <v/>
      </c>
      <c r="BC93" s="799"/>
      <c r="BD93" s="792" t="str">
        <f t="array" ref="BD93:BE93">{"",'S-10 Оформление сделок Выборка'!BE93}</f>
        <v/>
      </c>
      <c r="BE93" s="793"/>
      <c r="BF93" s="800" t="str">
        <f t="array" ref="BF93:BG93">{"",'S-10 Оформление сделок Выборка'!BG93}</f>
        <v/>
      </c>
      <c r="BG93" s="794"/>
      <c r="BH93" s="794" t="str">
        <f t="array" ref="BH93:BI93">{"",'S-10 Оформление сделок Выборка'!BI93}</f>
        <v/>
      </c>
      <c r="BI93" s="794"/>
      <c r="BJ93" s="792" t="str">
        <f t="array" ref="BJ93:BK93">{"",'S-10 Оформление сделок Выборка'!BK93}</f>
        <v/>
      </c>
      <c r="BK93" s="793"/>
      <c r="BL93" s="792" t="str">
        <f t="array" ref="BL93:BM93">{"",'S-10 Оформление сделок Выборка'!BM93}</f>
        <v/>
      </c>
      <c r="BM93" s="801"/>
      <c r="BN93" s="792" t="str">
        <f t="array" ref="BN93:BO93">{"",'S-10 Оформление сделок Выборка'!BO93}</f>
        <v/>
      </c>
      <c r="BO93" s="793"/>
      <c r="BP93" s="792" t="str">
        <f t="array" ref="BP93:BQ93">{"",'S-10 Оформление сделок Выборка'!BQ93}</f>
        <v/>
      </c>
      <c r="BQ93" s="802"/>
      <c r="BR93" s="792" t="str">
        <f t="array" ref="BR93:BS93">{"",'S-10 Оформление сделок Выборка'!BS93}</f>
        <v/>
      </c>
      <c r="BS93" s="794"/>
      <c r="BT93" s="800" t="str">
        <f t="array" ref="BT93:BU93">{"",'S-10 Оформление сделок Выборка'!BU93}</f>
        <v/>
      </c>
      <c r="BU93" s="794"/>
      <c r="BV93" s="800" t="str">
        <f t="array" ref="BV93:BW93">{"",'S-10 Оформление сделок Выборка'!BW93}</f>
        <v/>
      </c>
      <c r="BW93" s="803" t="s">
        <v>96</v>
      </c>
      <c r="BX93" s="804"/>
    </row>
    <row r="94">
      <c r="A94" s="779"/>
      <c r="B94" s="779"/>
      <c r="C94" s="780" t="str">
        <f>'5-1 Сбор КП Закупки'!C94</f>
        <v/>
      </c>
      <c r="D94" s="781"/>
      <c r="E94" s="780"/>
      <c r="F94" s="783"/>
      <c r="G94" s="783"/>
      <c r="H94" s="783"/>
      <c r="I94" s="783"/>
      <c r="J94" s="780"/>
      <c r="K94" s="786"/>
      <c r="L94" s="785"/>
      <c r="M94" s="786"/>
      <c r="N94" s="786"/>
      <c r="O94" s="780"/>
      <c r="P94" s="787"/>
      <c r="Q94" s="780"/>
      <c r="R94" s="780"/>
      <c r="S94" s="780"/>
      <c r="T94" s="780"/>
      <c r="U94" s="780"/>
      <c r="V94" s="780"/>
      <c r="W94" s="787"/>
      <c r="X94" s="780"/>
      <c r="Y94" s="780"/>
      <c r="Z94" s="780"/>
      <c r="AA94" s="780"/>
      <c r="AB94" s="788"/>
      <c r="AC94" s="781"/>
      <c r="AD94" s="780"/>
      <c r="AE94" s="789" t="str">
        <f t="array" ref="AE94:AF94">{"",'S-10 Оформление сделок Выборка'!AF94}</f>
        <v/>
      </c>
      <c r="AF94" s="790"/>
      <c r="AG94" s="781"/>
      <c r="AH94" s="781"/>
      <c r="AI94" s="785"/>
      <c r="AJ94" s="780"/>
      <c r="AK94" s="792" t="str">
        <f t="array" ref="AK94:AL94">{"",'S-10 Оформление сделок Выборка'!AL94}</f>
        <v/>
      </c>
      <c r="AL94" s="793"/>
      <c r="AM94" s="792" t="str">
        <f t="array" ref="AM94:AN94">{"",'S-10 Оформление сделок Выборка'!AN94}</f>
        <v/>
      </c>
      <c r="AN94" s="794"/>
      <c r="AO94" s="792" t="str">
        <f t="array" ref="AO94:AP94">{"",'S-10 Оформление сделок Выборка'!AP94}</f>
        <v/>
      </c>
      <c r="AP94" s="786"/>
      <c r="AQ94" s="786"/>
      <c r="AR94" s="779" t="str">
        <f t="array" ref="AR94:AS94">{"",'S-10 Оформление сделок Выборка'!AS94}</f>
        <v/>
      </c>
      <c r="AS94" s="795"/>
      <c r="AT94" s="779" t="str">
        <f t="array" ref="AT94:AU94">{"",'S-10 Оформление сделок Выборка'!AU94}</f>
        <v/>
      </c>
      <c r="AU94" s="805"/>
      <c r="AV94" s="779" t="str">
        <f t="array" ref="AV94:AW94">{"",'S-10 Оформление сделок Выборка'!AW94}</f>
        <v/>
      </c>
      <c r="AW94" s="797"/>
      <c r="AX94" s="786"/>
      <c r="AY94" s="786"/>
      <c r="AZ94" s="792" t="str">
        <f t="array" ref="AZ94:BA94">{"",'S-10 Оформление сделок Выборка'!BA94}</f>
        <v/>
      </c>
      <c r="BA94" s="798"/>
      <c r="BB94" s="792" t="str">
        <f t="array" ref="BB94:BC94">{"",'S-10 Оформление сделок Выборка'!BC94}</f>
        <v/>
      </c>
      <c r="BC94" s="799"/>
      <c r="BD94" s="792" t="str">
        <f t="array" ref="BD94:BE94">{"",'S-10 Оформление сделок Выборка'!BE94}</f>
        <v/>
      </c>
      <c r="BE94" s="793"/>
      <c r="BF94" s="800" t="str">
        <f t="array" ref="BF94:BG94">{"",'S-10 Оформление сделок Выборка'!BG94}</f>
        <v/>
      </c>
      <c r="BG94" s="794"/>
      <c r="BH94" s="794" t="str">
        <f t="array" ref="BH94:BI94">{"",'S-10 Оформление сделок Выборка'!BI94}</f>
        <v/>
      </c>
      <c r="BI94" s="794"/>
      <c r="BJ94" s="792" t="str">
        <f t="array" ref="BJ94:BK94">{"",'S-10 Оформление сделок Выборка'!BK94}</f>
        <v/>
      </c>
      <c r="BK94" s="793"/>
      <c r="BL94" s="792" t="str">
        <f t="array" ref="BL94:BM94">{"",'S-10 Оформление сделок Выборка'!BM94}</f>
        <v/>
      </c>
      <c r="BM94" s="801"/>
      <c r="BN94" s="792" t="str">
        <f t="array" ref="BN94:BO94">{"",'S-10 Оформление сделок Выборка'!BO94}</f>
        <v/>
      </c>
      <c r="BO94" s="793"/>
      <c r="BP94" s="792" t="str">
        <f t="array" ref="BP94:BQ94">{"",'S-10 Оформление сделок Выборка'!BQ94}</f>
        <v/>
      </c>
      <c r="BQ94" s="802"/>
      <c r="BR94" s="792" t="str">
        <f t="array" ref="BR94:BS94">{"",'S-10 Оформление сделок Выборка'!BS94}</f>
        <v/>
      </c>
      <c r="BS94" s="794"/>
      <c r="BT94" s="800" t="str">
        <f t="array" ref="BT94:BU94">{"",'S-10 Оформление сделок Выборка'!BU94}</f>
        <v/>
      </c>
      <c r="BU94" s="794"/>
      <c r="BV94" s="800" t="str">
        <f t="array" ref="BV94:BW94">{"",'S-10 Оформление сделок Выборка'!BW94}</f>
        <v/>
      </c>
      <c r="BW94" s="803" t="s">
        <v>96</v>
      </c>
      <c r="BX94" s="804"/>
    </row>
    <row r="95">
      <c r="A95" s="779"/>
      <c r="B95" s="779"/>
      <c r="C95" s="780" t="str">
        <f>'5-1 Сбор КП Закупки'!C95</f>
        <v/>
      </c>
      <c r="D95" s="781"/>
      <c r="E95" s="780"/>
      <c r="F95" s="783"/>
      <c r="G95" s="783"/>
      <c r="H95" s="783"/>
      <c r="I95" s="783"/>
      <c r="J95" s="780"/>
      <c r="K95" s="786"/>
      <c r="L95" s="785"/>
      <c r="M95" s="786"/>
      <c r="N95" s="786"/>
      <c r="O95" s="780"/>
      <c r="P95" s="787"/>
      <c r="Q95" s="780"/>
      <c r="R95" s="780"/>
      <c r="S95" s="780"/>
      <c r="T95" s="780"/>
      <c r="U95" s="780"/>
      <c r="V95" s="780"/>
      <c r="W95" s="787"/>
      <c r="X95" s="780"/>
      <c r="Y95" s="780"/>
      <c r="Z95" s="780"/>
      <c r="AA95" s="780"/>
      <c r="AB95" s="788"/>
      <c r="AC95" s="781"/>
      <c r="AD95" s="780"/>
      <c r="AE95" s="789" t="str">
        <f t="array" ref="AE95:AF95">{"",'S-10 Оформление сделок Выборка'!AF95}</f>
        <v/>
      </c>
      <c r="AF95" s="790"/>
      <c r="AG95" s="781"/>
      <c r="AH95" s="781"/>
      <c r="AI95" s="785"/>
      <c r="AJ95" s="780"/>
      <c r="AK95" s="792" t="str">
        <f t="array" ref="AK95:AL95">{"",'S-10 Оформление сделок Выборка'!AL95}</f>
        <v/>
      </c>
      <c r="AL95" s="793"/>
      <c r="AM95" s="792" t="str">
        <f t="array" ref="AM95:AN95">{"",'S-10 Оформление сделок Выборка'!AN95}</f>
        <v/>
      </c>
      <c r="AN95" s="794"/>
      <c r="AO95" s="792" t="str">
        <f t="array" ref="AO95:AP95">{"",'S-10 Оформление сделок Выборка'!AP95}</f>
        <v/>
      </c>
      <c r="AP95" s="786"/>
      <c r="AQ95" s="786"/>
      <c r="AR95" s="779" t="str">
        <f t="array" ref="AR95:AS95">{"",'S-10 Оформление сделок Выборка'!AS95}</f>
        <v/>
      </c>
      <c r="AS95" s="795"/>
      <c r="AT95" s="779" t="str">
        <f t="array" ref="AT95:AU95">{"",'S-10 Оформление сделок Выборка'!AU95}</f>
        <v/>
      </c>
      <c r="AU95" s="805"/>
      <c r="AV95" s="779" t="str">
        <f t="array" ref="AV95:AW95">{"",'S-10 Оформление сделок Выборка'!AW95}</f>
        <v/>
      </c>
      <c r="AW95" s="797"/>
      <c r="AX95" s="786"/>
      <c r="AY95" s="786"/>
      <c r="AZ95" s="792" t="str">
        <f t="array" ref="AZ95:BA95">{"",'S-10 Оформление сделок Выборка'!BA95}</f>
        <v/>
      </c>
      <c r="BA95" s="798"/>
      <c r="BB95" s="792" t="str">
        <f t="array" ref="BB95:BC95">{"",'S-10 Оформление сделок Выборка'!BC95}</f>
        <v/>
      </c>
      <c r="BC95" s="799"/>
      <c r="BD95" s="792" t="str">
        <f t="array" ref="BD95:BE95">{"",'S-10 Оформление сделок Выборка'!BE95}</f>
        <v/>
      </c>
      <c r="BE95" s="793"/>
      <c r="BF95" s="800" t="str">
        <f t="array" ref="BF95:BG95">{"",'S-10 Оформление сделок Выборка'!BG95}</f>
        <v/>
      </c>
      <c r="BG95" s="794"/>
      <c r="BH95" s="794" t="str">
        <f t="array" ref="BH95:BI95">{"",'S-10 Оформление сделок Выборка'!BI95}</f>
        <v/>
      </c>
      <c r="BI95" s="794"/>
      <c r="BJ95" s="792" t="str">
        <f t="array" ref="BJ95:BK95">{"",'S-10 Оформление сделок Выборка'!BK95}</f>
        <v/>
      </c>
      <c r="BK95" s="793"/>
      <c r="BL95" s="792" t="str">
        <f t="array" ref="BL95:BM95">{"",'S-10 Оформление сделок Выборка'!BM95}</f>
        <v/>
      </c>
      <c r="BM95" s="801"/>
      <c r="BN95" s="792" t="str">
        <f t="array" ref="BN95:BO95">{"",'S-10 Оформление сделок Выборка'!BO95}</f>
        <v/>
      </c>
      <c r="BO95" s="793"/>
      <c r="BP95" s="792" t="str">
        <f t="array" ref="BP95:BQ95">{"",'S-10 Оформление сделок Выборка'!BQ95}</f>
        <v/>
      </c>
      <c r="BQ95" s="802"/>
      <c r="BR95" s="792" t="str">
        <f t="array" ref="BR95:BS95">{"",'S-10 Оформление сделок Выборка'!BS95}</f>
        <v/>
      </c>
      <c r="BS95" s="794"/>
      <c r="BT95" s="800" t="str">
        <f t="array" ref="BT95:BU95">{"",'S-10 Оформление сделок Выборка'!BU95}</f>
        <v/>
      </c>
      <c r="BU95" s="794"/>
      <c r="BV95" s="800" t="str">
        <f t="array" ref="BV95:BW95">{"",'S-10 Оформление сделок Выборка'!BW95}</f>
        <v/>
      </c>
      <c r="BW95" s="803" t="s">
        <v>96</v>
      </c>
      <c r="BX95" s="804"/>
    </row>
    <row r="96">
      <c r="A96" s="779"/>
      <c r="B96" s="779"/>
      <c r="C96" s="780" t="str">
        <f>'5-1 Сбор КП Закупки'!C96</f>
        <v/>
      </c>
      <c r="D96" s="781"/>
      <c r="E96" s="780"/>
      <c r="F96" s="783"/>
      <c r="G96" s="783"/>
      <c r="H96" s="783"/>
      <c r="I96" s="783"/>
      <c r="J96" s="780"/>
      <c r="K96" s="786"/>
      <c r="L96" s="785"/>
      <c r="M96" s="786"/>
      <c r="N96" s="786"/>
      <c r="O96" s="780"/>
      <c r="P96" s="787"/>
      <c r="Q96" s="780"/>
      <c r="R96" s="780"/>
      <c r="S96" s="780"/>
      <c r="T96" s="780"/>
      <c r="U96" s="780"/>
      <c r="V96" s="780"/>
      <c r="W96" s="787"/>
      <c r="X96" s="780"/>
      <c r="Y96" s="780"/>
      <c r="Z96" s="780"/>
      <c r="AA96" s="780"/>
      <c r="AB96" s="788"/>
      <c r="AC96" s="781"/>
      <c r="AD96" s="780"/>
      <c r="AE96" s="789" t="str">
        <f t="array" ref="AE96:AF96">{"",'S-10 Оформление сделок Выборка'!AF96}</f>
        <v/>
      </c>
      <c r="AF96" s="790"/>
      <c r="AG96" s="781"/>
      <c r="AH96" s="781"/>
      <c r="AI96" s="785"/>
      <c r="AJ96" s="780"/>
      <c r="AK96" s="792" t="str">
        <f t="array" ref="AK96:AL96">{"",'S-10 Оформление сделок Выборка'!AL96}</f>
        <v/>
      </c>
      <c r="AL96" s="793"/>
      <c r="AM96" s="792" t="str">
        <f t="array" ref="AM96:AN96">{"",'S-10 Оформление сделок Выборка'!AN96}</f>
        <v/>
      </c>
      <c r="AN96" s="794"/>
      <c r="AO96" s="792" t="str">
        <f t="array" ref="AO96:AP96">{"",'S-10 Оформление сделок Выборка'!AP96}</f>
        <v/>
      </c>
      <c r="AP96" s="786"/>
      <c r="AQ96" s="786"/>
      <c r="AR96" s="779" t="str">
        <f t="array" ref="AR96:AS96">{"",'S-10 Оформление сделок Выборка'!AS96}</f>
        <v/>
      </c>
      <c r="AS96" s="795"/>
      <c r="AT96" s="779" t="str">
        <f t="array" ref="AT96:AU96">{"",'S-10 Оформление сделок Выборка'!AU96}</f>
        <v/>
      </c>
      <c r="AU96" s="805"/>
      <c r="AV96" s="779" t="str">
        <f t="array" ref="AV96:AW96">{"",'S-10 Оформление сделок Выборка'!AW96}</f>
        <v/>
      </c>
      <c r="AW96" s="797"/>
      <c r="AX96" s="786"/>
      <c r="AY96" s="786"/>
      <c r="AZ96" s="792" t="str">
        <f t="array" ref="AZ96:BA96">{"",'S-10 Оформление сделок Выборка'!BA96}</f>
        <v/>
      </c>
      <c r="BA96" s="798"/>
      <c r="BB96" s="792" t="str">
        <f t="array" ref="BB96:BC96">{"",'S-10 Оформление сделок Выборка'!BC96}</f>
        <v/>
      </c>
      <c r="BC96" s="799"/>
      <c r="BD96" s="792" t="str">
        <f t="array" ref="BD96:BE96">{"",'S-10 Оформление сделок Выборка'!BE96}</f>
        <v/>
      </c>
      <c r="BE96" s="793"/>
      <c r="BF96" s="800" t="str">
        <f t="array" ref="BF96:BG96">{"",'S-10 Оформление сделок Выборка'!BG96}</f>
        <v/>
      </c>
      <c r="BG96" s="794"/>
      <c r="BH96" s="794" t="str">
        <f t="array" ref="BH96:BI96">{"",'S-10 Оформление сделок Выборка'!BI96}</f>
        <v/>
      </c>
      <c r="BI96" s="794"/>
      <c r="BJ96" s="792" t="str">
        <f t="array" ref="BJ96:BK96">{"",'S-10 Оформление сделок Выборка'!BK96}</f>
        <v/>
      </c>
      <c r="BK96" s="793"/>
      <c r="BL96" s="792" t="str">
        <f t="array" ref="BL96:BM96">{"",'S-10 Оформление сделок Выборка'!BM96}</f>
        <v/>
      </c>
      <c r="BM96" s="801"/>
      <c r="BN96" s="792" t="str">
        <f t="array" ref="BN96:BO96">{"",'S-10 Оформление сделок Выборка'!BO96}</f>
        <v/>
      </c>
      <c r="BO96" s="793"/>
      <c r="BP96" s="792" t="str">
        <f t="array" ref="BP96:BQ96">{"",'S-10 Оформление сделок Выборка'!BQ96}</f>
        <v/>
      </c>
      <c r="BQ96" s="802"/>
      <c r="BR96" s="792" t="str">
        <f t="array" ref="BR96:BS96">{"",'S-10 Оформление сделок Выборка'!BS96}</f>
        <v/>
      </c>
      <c r="BS96" s="794"/>
      <c r="BT96" s="800" t="str">
        <f t="array" ref="BT96:BU96">{"",'S-10 Оформление сделок Выборка'!BU96}</f>
        <v/>
      </c>
      <c r="BU96" s="794"/>
      <c r="BV96" s="800" t="str">
        <f t="array" ref="BV96:BW96">{"",'S-10 Оформление сделок Выборка'!BW96}</f>
        <v/>
      </c>
      <c r="BW96" s="803" t="s">
        <v>96</v>
      </c>
      <c r="BX96" s="804"/>
    </row>
    <row r="97">
      <c r="A97" s="779"/>
      <c r="B97" s="779"/>
      <c r="C97" s="780" t="str">
        <f>'5-1 Сбор КП Закупки'!C97</f>
        <v/>
      </c>
      <c r="D97" s="781"/>
      <c r="E97" s="780"/>
      <c r="F97" s="783"/>
      <c r="G97" s="783"/>
      <c r="H97" s="783"/>
      <c r="I97" s="783"/>
      <c r="J97" s="780"/>
      <c r="K97" s="786"/>
      <c r="L97" s="785"/>
      <c r="M97" s="786"/>
      <c r="N97" s="786"/>
      <c r="O97" s="780"/>
      <c r="P97" s="787"/>
      <c r="Q97" s="780"/>
      <c r="R97" s="780"/>
      <c r="S97" s="780"/>
      <c r="T97" s="780"/>
      <c r="U97" s="780"/>
      <c r="V97" s="780"/>
      <c r="W97" s="787"/>
      <c r="X97" s="780"/>
      <c r="Y97" s="780"/>
      <c r="Z97" s="780"/>
      <c r="AA97" s="780"/>
      <c r="AB97" s="788"/>
      <c r="AC97" s="781"/>
      <c r="AD97" s="780"/>
      <c r="AE97" s="789" t="str">
        <f t="array" ref="AE97:AF97">{"",'S-10 Оформление сделок Выборка'!AF97}</f>
        <v/>
      </c>
      <c r="AF97" s="790"/>
      <c r="AG97" s="781"/>
      <c r="AH97" s="781"/>
      <c r="AI97" s="785"/>
      <c r="AJ97" s="780"/>
      <c r="AK97" s="792" t="str">
        <f t="array" ref="AK97:AL97">{"",'S-10 Оформление сделок Выборка'!AL97}</f>
        <v/>
      </c>
      <c r="AL97" s="793"/>
      <c r="AM97" s="792" t="str">
        <f t="array" ref="AM97:AN97">{"",'S-10 Оформление сделок Выборка'!AN97}</f>
        <v/>
      </c>
      <c r="AN97" s="794"/>
      <c r="AO97" s="792" t="str">
        <f t="array" ref="AO97:AP97">{"",'S-10 Оформление сделок Выборка'!AP97}</f>
        <v/>
      </c>
      <c r="AP97" s="786"/>
      <c r="AQ97" s="786"/>
      <c r="AR97" s="779" t="str">
        <f t="array" ref="AR97:AS97">{"",'S-10 Оформление сделок Выборка'!AS97}</f>
        <v/>
      </c>
      <c r="AS97" s="795"/>
      <c r="AT97" s="779" t="str">
        <f t="array" ref="AT97:AU97">{"",'S-10 Оформление сделок Выборка'!AU97}</f>
        <v/>
      </c>
      <c r="AU97" s="805"/>
      <c r="AV97" s="779" t="str">
        <f t="array" ref="AV97:AW97">{"",'S-10 Оформление сделок Выборка'!AW97}</f>
        <v/>
      </c>
      <c r="AW97" s="797"/>
      <c r="AX97" s="786"/>
      <c r="AY97" s="786"/>
      <c r="AZ97" s="792" t="str">
        <f t="array" ref="AZ97:BA97">{"",'S-10 Оформление сделок Выборка'!BA97}</f>
        <v/>
      </c>
      <c r="BA97" s="798"/>
      <c r="BB97" s="792" t="str">
        <f t="array" ref="BB97:BC97">{"",'S-10 Оформление сделок Выборка'!BC97}</f>
        <v/>
      </c>
      <c r="BC97" s="799"/>
      <c r="BD97" s="792" t="str">
        <f t="array" ref="BD97:BE97">{"",'S-10 Оформление сделок Выборка'!BE97}</f>
        <v/>
      </c>
      <c r="BE97" s="793"/>
      <c r="BF97" s="800" t="str">
        <f t="array" ref="BF97:BG97">{"",'S-10 Оформление сделок Выборка'!BG97}</f>
        <v/>
      </c>
      <c r="BG97" s="794"/>
      <c r="BH97" s="794" t="str">
        <f t="array" ref="BH97:BI97">{"",'S-10 Оформление сделок Выборка'!BI97}</f>
        <v/>
      </c>
      <c r="BI97" s="794"/>
      <c r="BJ97" s="792" t="str">
        <f t="array" ref="BJ97:BK97">{"",'S-10 Оформление сделок Выборка'!BK97}</f>
        <v/>
      </c>
      <c r="BK97" s="793"/>
      <c r="BL97" s="792" t="str">
        <f t="array" ref="BL97:BM97">{"",'S-10 Оформление сделок Выборка'!BM97}</f>
        <v/>
      </c>
      <c r="BM97" s="801"/>
      <c r="BN97" s="792" t="str">
        <f t="array" ref="BN97:BO97">{"",'S-10 Оформление сделок Выборка'!BO97}</f>
        <v/>
      </c>
      <c r="BO97" s="793"/>
      <c r="BP97" s="792" t="str">
        <f t="array" ref="BP97:BQ97">{"",'S-10 Оформление сделок Выборка'!BQ97}</f>
        <v/>
      </c>
      <c r="BQ97" s="802"/>
      <c r="BR97" s="792" t="str">
        <f t="array" ref="BR97:BS97">{"",'S-10 Оформление сделок Выборка'!BS97}</f>
        <v/>
      </c>
      <c r="BS97" s="794"/>
      <c r="BT97" s="800" t="str">
        <f t="array" ref="BT97:BU97">{"",'S-10 Оформление сделок Выборка'!BU97}</f>
        <v/>
      </c>
      <c r="BU97" s="794"/>
      <c r="BV97" s="800" t="str">
        <f t="array" ref="BV97:BW97">{"",'S-10 Оформление сделок Выборка'!BW97}</f>
        <v/>
      </c>
      <c r="BW97" s="803" t="s">
        <v>96</v>
      </c>
      <c r="BX97" s="804"/>
    </row>
    <row r="98">
      <c r="A98" s="779"/>
      <c r="B98" s="779"/>
      <c r="C98" s="780" t="str">
        <f>'5-1 Сбор КП Закупки'!C98</f>
        <v/>
      </c>
      <c r="D98" s="781"/>
      <c r="E98" s="780"/>
      <c r="F98" s="783"/>
      <c r="G98" s="783"/>
      <c r="H98" s="783"/>
      <c r="I98" s="783"/>
      <c r="J98" s="780"/>
      <c r="K98" s="786"/>
      <c r="L98" s="785"/>
      <c r="M98" s="786"/>
      <c r="N98" s="786"/>
      <c r="O98" s="780"/>
      <c r="P98" s="787"/>
      <c r="Q98" s="780"/>
      <c r="R98" s="780"/>
      <c r="S98" s="780"/>
      <c r="T98" s="780"/>
      <c r="U98" s="780"/>
      <c r="V98" s="780"/>
      <c r="W98" s="787"/>
      <c r="X98" s="780"/>
      <c r="Y98" s="780"/>
      <c r="Z98" s="780"/>
      <c r="AA98" s="780"/>
      <c r="AB98" s="788"/>
      <c r="AC98" s="781"/>
      <c r="AD98" s="780"/>
      <c r="AE98" s="789" t="str">
        <f t="array" ref="AE98:AF98">{"",'S-10 Оформление сделок Выборка'!AF98}</f>
        <v/>
      </c>
      <c r="AF98" s="790"/>
      <c r="AG98" s="781"/>
      <c r="AH98" s="781"/>
      <c r="AI98" s="785"/>
      <c r="AJ98" s="780"/>
      <c r="AK98" s="792" t="str">
        <f t="array" ref="AK98:AL98">{"",'S-10 Оформление сделок Выборка'!AL98}</f>
        <v/>
      </c>
      <c r="AL98" s="793"/>
      <c r="AM98" s="792" t="str">
        <f t="array" ref="AM98:AN98">{"",'S-10 Оформление сделок Выборка'!AN98}</f>
        <v/>
      </c>
      <c r="AN98" s="794"/>
      <c r="AO98" s="792" t="str">
        <f t="array" ref="AO98:AP98">{"",'S-10 Оформление сделок Выборка'!AP98}</f>
        <v/>
      </c>
      <c r="AP98" s="786"/>
      <c r="AQ98" s="786"/>
      <c r="AR98" s="779" t="str">
        <f t="array" ref="AR98:AS98">{"",'S-10 Оформление сделок Выборка'!AS98}</f>
        <v/>
      </c>
      <c r="AS98" s="795"/>
      <c r="AT98" s="779" t="str">
        <f t="array" ref="AT98:AU98">{"",'S-10 Оформление сделок Выборка'!AU98}</f>
        <v/>
      </c>
      <c r="AU98" s="805"/>
      <c r="AV98" s="779" t="str">
        <f t="array" ref="AV98:AW98">{"",'S-10 Оформление сделок Выборка'!AW98}</f>
        <v/>
      </c>
      <c r="AW98" s="797"/>
      <c r="AX98" s="786"/>
      <c r="AY98" s="786"/>
      <c r="AZ98" s="792" t="str">
        <f t="array" ref="AZ98:BA98">{"",'S-10 Оформление сделок Выборка'!BA98}</f>
        <v/>
      </c>
      <c r="BA98" s="798"/>
      <c r="BB98" s="792" t="str">
        <f t="array" ref="BB98:BC98">{"",'S-10 Оформление сделок Выборка'!BC98}</f>
        <v/>
      </c>
      <c r="BC98" s="799"/>
      <c r="BD98" s="792" t="str">
        <f t="array" ref="BD98:BE98">{"",'S-10 Оформление сделок Выборка'!BE98}</f>
        <v/>
      </c>
      <c r="BE98" s="793"/>
      <c r="BF98" s="800" t="str">
        <f t="array" ref="BF98:BG98">{"",'S-10 Оформление сделок Выборка'!BG98}</f>
        <v/>
      </c>
      <c r="BG98" s="794"/>
      <c r="BH98" s="794" t="str">
        <f t="array" ref="BH98:BI98">{"",'S-10 Оформление сделок Выборка'!BI98}</f>
        <v/>
      </c>
      <c r="BI98" s="794"/>
      <c r="BJ98" s="792" t="str">
        <f t="array" ref="BJ98:BK98">{"",'S-10 Оформление сделок Выборка'!BK98}</f>
        <v/>
      </c>
      <c r="BK98" s="793"/>
      <c r="BL98" s="792" t="str">
        <f t="array" ref="BL98:BM98">{"",'S-10 Оформление сделок Выборка'!BM98}</f>
        <v/>
      </c>
      <c r="BM98" s="801"/>
      <c r="BN98" s="792" t="str">
        <f t="array" ref="BN98:BO98">{"",'S-10 Оформление сделок Выборка'!BO98}</f>
        <v/>
      </c>
      <c r="BO98" s="793"/>
      <c r="BP98" s="792" t="str">
        <f t="array" ref="BP98:BQ98">{"",'S-10 Оформление сделок Выборка'!BQ98}</f>
        <v/>
      </c>
      <c r="BQ98" s="802"/>
      <c r="BR98" s="792" t="str">
        <f t="array" ref="BR98:BS98">{"",'S-10 Оформление сделок Выборка'!BS98}</f>
        <v/>
      </c>
      <c r="BS98" s="794"/>
      <c r="BT98" s="800" t="str">
        <f t="array" ref="BT98:BU98">{"",'S-10 Оформление сделок Выборка'!BU98}</f>
        <v/>
      </c>
      <c r="BU98" s="794"/>
      <c r="BV98" s="800" t="str">
        <f t="array" ref="BV98:BW98">{"",'S-10 Оформление сделок Выборка'!BW98}</f>
        <v/>
      </c>
      <c r="BW98" s="803" t="s">
        <v>96</v>
      </c>
      <c r="BX98" s="804"/>
    </row>
    <row r="99">
      <c r="A99" s="779"/>
      <c r="B99" s="779"/>
      <c r="C99" s="780" t="str">
        <f>'5-1 Сбор КП Закупки'!C99</f>
        <v/>
      </c>
      <c r="D99" s="781"/>
      <c r="E99" s="780"/>
      <c r="F99" s="783"/>
      <c r="G99" s="783"/>
      <c r="H99" s="783"/>
      <c r="I99" s="783"/>
      <c r="J99" s="780"/>
      <c r="K99" s="786"/>
      <c r="L99" s="785"/>
      <c r="M99" s="786"/>
      <c r="N99" s="786"/>
      <c r="O99" s="780"/>
      <c r="P99" s="787"/>
      <c r="Q99" s="780"/>
      <c r="R99" s="780"/>
      <c r="S99" s="780"/>
      <c r="T99" s="780"/>
      <c r="U99" s="780"/>
      <c r="V99" s="780"/>
      <c r="W99" s="787"/>
      <c r="X99" s="780"/>
      <c r="Y99" s="780"/>
      <c r="Z99" s="780"/>
      <c r="AA99" s="780"/>
      <c r="AB99" s="788"/>
      <c r="AC99" s="781"/>
      <c r="AD99" s="780"/>
      <c r="AE99" s="789" t="str">
        <f t="array" ref="AE99:AF99">{"",'S-10 Оформление сделок Выборка'!AF99}</f>
        <v/>
      </c>
      <c r="AF99" s="790"/>
      <c r="AG99" s="781"/>
      <c r="AH99" s="781"/>
      <c r="AI99" s="785"/>
      <c r="AJ99" s="780"/>
      <c r="AK99" s="792" t="str">
        <f t="array" ref="AK99:AL99">{"",'S-10 Оформление сделок Выборка'!AL99}</f>
        <v/>
      </c>
      <c r="AL99" s="793"/>
      <c r="AM99" s="792" t="str">
        <f t="array" ref="AM99:AN99">{"",'S-10 Оформление сделок Выборка'!AN99}</f>
        <v/>
      </c>
      <c r="AN99" s="794"/>
      <c r="AO99" s="792" t="str">
        <f t="array" ref="AO99:AP99">{"",'S-10 Оформление сделок Выборка'!AP99}</f>
        <v/>
      </c>
      <c r="AP99" s="786"/>
      <c r="AQ99" s="786"/>
      <c r="AR99" s="779" t="str">
        <f t="array" ref="AR99:AS99">{"",'S-10 Оформление сделок Выборка'!AS99}</f>
        <v/>
      </c>
      <c r="AS99" s="795"/>
      <c r="AT99" s="779" t="str">
        <f t="array" ref="AT99:AU99">{"",'S-10 Оформление сделок Выборка'!AU99}</f>
        <v/>
      </c>
      <c r="AU99" s="805"/>
      <c r="AV99" s="779" t="str">
        <f t="array" ref="AV99:AW99">{"",'S-10 Оформление сделок Выборка'!AW99}</f>
        <v/>
      </c>
      <c r="AW99" s="797"/>
      <c r="AX99" s="786"/>
      <c r="AY99" s="786"/>
      <c r="AZ99" s="792" t="str">
        <f t="array" ref="AZ99:BA99">{"",'S-10 Оформление сделок Выборка'!BA99}</f>
        <v/>
      </c>
      <c r="BA99" s="798"/>
      <c r="BB99" s="792" t="str">
        <f t="array" ref="BB99:BC99">{"",'S-10 Оформление сделок Выборка'!BC99}</f>
        <v/>
      </c>
      <c r="BC99" s="799"/>
      <c r="BD99" s="792" t="str">
        <f t="array" ref="BD99:BE99">{"",'S-10 Оформление сделок Выборка'!BE99}</f>
        <v/>
      </c>
      <c r="BE99" s="793"/>
      <c r="BF99" s="800" t="str">
        <f t="array" ref="BF99:BG99">{"",'S-10 Оформление сделок Выборка'!BG99}</f>
        <v/>
      </c>
      <c r="BG99" s="794"/>
      <c r="BH99" s="794" t="str">
        <f t="array" ref="BH99:BI99">{"",'S-10 Оформление сделок Выборка'!BI99}</f>
        <v/>
      </c>
      <c r="BI99" s="794"/>
      <c r="BJ99" s="792" t="str">
        <f t="array" ref="BJ99:BK99">{"",'S-10 Оформление сделок Выборка'!BK99}</f>
        <v/>
      </c>
      <c r="BK99" s="793"/>
      <c r="BL99" s="792" t="str">
        <f t="array" ref="BL99:BM99">{"",'S-10 Оформление сделок Выборка'!BM99}</f>
        <v/>
      </c>
      <c r="BM99" s="801"/>
      <c r="BN99" s="792" t="str">
        <f t="array" ref="BN99:BO99">{"",'S-10 Оформление сделок Выборка'!BO99}</f>
        <v/>
      </c>
      <c r="BO99" s="793"/>
      <c r="BP99" s="792" t="str">
        <f t="array" ref="BP99:BQ99">{"",'S-10 Оформление сделок Выборка'!BQ99}</f>
        <v/>
      </c>
      <c r="BQ99" s="802"/>
      <c r="BR99" s="792" t="str">
        <f t="array" ref="BR99:BS99">{"",'S-10 Оформление сделок Выборка'!BS99}</f>
        <v/>
      </c>
      <c r="BS99" s="794"/>
      <c r="BT99" s="800" t="str">
        <f t="array" ref="BT99:BU99">{"",'S-10 Оформление сделок Выборка'!BU99}</f>
        <v/>
      </c>
      <c r="BU99" s="794"/>
      <c r="BV99" s="800" t="str">
        <f t="array" ref="BV99:BW99">{"",'S-10 Оформление сделок Выборка'!BW99}</f>
        <v/>
      </c>
      <c r="BW99" s="803" t="s">
        <v>96</v>
      </c>
      <c r="BX99" s="804"/>
    </row>
    <row r="100">
      <c r="A100" s="779"/>
      <c r="B100" s="779"/>
      <c r="C100" s="780" t="str">
        <f>'5-1 Сбор КП Закупки'!C100</f>
        <v/>
      </c>
      <c r="D100" s="781"/>
      <c r="E100" s="780"/>
      <c r="F100" s="783"/>
      <c r="G100" s="783"/>
      <c r="H100" s="783"/>
      <c r="I100" s="783"/>
      <c r="J100" s="780"/>
      <c r="K100" s="786"/>
      <c r="L100" s="785"/>
      <c r="M100" s="786"/>
      <c r="N100" s="786"/>
      <c r="O100" s="780"/>
      <c r="P100" s="787"/>
      <c r="Q100" s="780"/>
      <c r="R100" s="780"/>
      <c r="S100" s="780"/>
      <c r="T100" s="780"/>
      <c r="U100" s="780"/>
      <c r="V100" s="780"/>
      <c r="W100" s="787"/>
      <c r="X100" s="780"/>
      <c r="Y100" s="780"/>
      <c r="Z100" s="780"/>
      <c r="AA100" s="780"/>
      <c r="AB100" s="788"/>
      <c r="AC100" s="781"/>
      <c r="AD100" s="780"/>
      <c r="AE100" s="789" t="str">
        <f t="array" ref="AE100:AF100">{"",'S-10 Оформление сделок Выборка'!AF100}</f>
        <v/>
      </c>
      <c r="AF100" s="790"/>
      <c r="AG100" s="781"/>
      <c r="AH100" s="781"/>
      <c r="AI100" s="785"/>
      <c r="AJ100" s="780"/>
      <c r="AK100" s="792" t="str">
        <f t="array" ref="AK100:AL100">{"",'S-10 Оформление сделок Выборка'!AL100}</f>
        <v/>
      </c>
      <c r="AL100" s="793"/>
      <c r="AM100" s="792" t="str">
        <f t="array" ref="AM100:AN100">{"",'S-10 Оформление сделок Выборка'!AN100}</f>
        <v/>
      </c>
      <c r="AN100" s="794"/>
      <c r="AO100" s="792" t="str">
        <f t="array" ref="AO100:AP100">{"",'S-10 Оформление сделок Выборка'!AP100}</f>
        <v/>
      </c>
      <c r="AP100" s="786"/>
      <c r="AQ100" s="786"/>
      <c r="AR100" s="779" t="str">
        <f t="array" ref="AR100:AS100">{"",'S-10 Оформление сделок Выборка'!AS100}</f>
        <v/>
      </c>
      <c r="AS100" s="795"/>
      <c r="AT100" s="779" t="str">
        <f t="array" ref="AT100:AU100">{"",'S-10 Оформление сделок Выборка'!AU100}</f>
        <v/>
      </c>
      <c r="AU100" s="805"/>
      <c r="AV100" s="779" t="str">
        <f t="array" ref="AV100:AW100">{"",'S-10 Оформление сделок Выборка'!AW100}</f>
        <v/>
      </c>
      <c r="AW100" s="797"/>
      <c r="AX100" s="786"/>
      <c r="AY100" s="786"/>
      <c r="AZ100" s="792" t="str">
        <f t="array" ref="AZ100:BA100">{"",'S-10 Оформление сделок Выборка'!BA100}</f>
        <v/>
      </c>
      <c r="BA100" s="798"/>
      <c r="BB100" s="792" t="str">
        <f t="array" ref="BB100:BC100">{"",'S-10 Оформление сделок Выборка'!BC100}</f>
        <v/>
      </c>
      <c r="BC100" s="799"/>
      <c r="BD100" s="792" t="str">
        <f t="array" ref="BD100:BE100">{"",'S-10 Оформление сделок Выборка'!BE100}</f>
        <v/>
      </c>
      <c r="BE100" s="793"/>
      <c r="BF100" s="800" t="str">
        <f t="array" ref="BF100:BG100">{"",'S-10 Оформление сделок Выборка'!BG100}</f>
        <v/>
      </c>
      <c r="BG100" s="794"/>
      <c r="BH100" s="794" t="str">
        <f t="array" ref="BH100:BI100">{"",'S-10 Оформление сделок Выборка'!BI100}</f>
        <v/>
      </c>
      <c r="BI100" s="794"/>
      <c r="BJ100" s="792" t="str">
        <f t="array" ref="BJ100:BK100">{"",'S-10 Оформление сделок Выборка'!BK100}</f>
        <v/>
      </c>
      <c r="BK100" s="793"/>
      <c r="BL100" s="792" t="str">
        <f t="array" ref="BL100:BM100">{"",'S-10 Оформление сделок Выборка'!BM100}</f>
        <v/>
      </c>
      <c r="BM100" s="801"/>
      <c r="BN100" s="792" t="str">
        <f t="array" ref="BN100:BO100">{"",'S-10 Оформление сделок Выборка'!BO100}</f>
        <v/>
      </c>
      <c r="BO100" s="793"/>
      <c r="BP100" s="792" t="str">
        <f t="array" ref="BP100:BQ100">{"",'S-10 Оформление сделок Выборка'!BQ100}</f>
        <v/>
      </c>
      <c r="BQ100" s="802"/>
      <c r="BR100" s="792" t="str">
        <f t="array" ref="BR100:BS100">{"",'S-10 Оформление сделок Выборка'!BS100}</f>
        <v/>
      </c>
      <c r="BS100" s="794"/>
      <c r="BT100" s="800" t="str">
        <f t="array" ref="BT100:BU100">{"",'S-10 Оформление сделок Выборка'!BU100}</f>
        <v/>
      </c>
      <c r="BU100" s="794"/>
      <c r="BV100" s="800" t="str">
        <f t="array" ref="BV100:BW100">{"",'S-10 Оформление сделок Выборка'!BW100}</f>
        <v/>
      </c>
      <c r="BW100" s="803" t="s">
        <v>96</v>
      </c>
      <c r="BX100" s="804"/>
    </row>
    <row r="101">
      <c r="A101" s="779"/>
      <c r="B101" s="779"/>
      <c r="C101" s="780" t="str">
        <f>'5-1 Сбор КП Закупки'!C101</f>
        <v/>
      </c>
      <c r="D101" s="781"/>
      <c r="E101" s="780"/>
      <c r="F101" s="783"/>
      <c r="G101" s="783"/>
      <c r="H101" s="783"/>
      <c r="I101" s="783"/>
      <c r="J101" s="780"/>
      <c r="K101" s="786"/>
      <c r="L101" s="785"/>
      <c r="M101" s="786"/>
      <c r="N101" s="786"/>
      <c r="O101" s="780"/>
      <c r="P101" s="787"/>
      <c r="Q101" s="780"/>
      <c r="R101" s="780"/>
      <c r="S101" s="780"/>
      <c r="T101" s="780"/>
      <c r="U101" s="780"/>
      <c r="V101" s="780"/>
      <c r="W101" s="787"/>
      <c r="X101" s="780"/>
      <c r="Y101" s="780"/>
      <c r="Z101" s="780"/>
      <c r="AA101" s="780"/>
      <c r="AB101" s="788"/>
      <c r="AC101" s="781"/>
      <c r="AD101" s="780"/>
      <c r="AE101" s="789" t="str">
        <f t="array" ref="AE101:AF101">{"",'S-10 Оформление сделок Выборка'!AF101}</f>
        <v/>
      </c>
      <c r="AF101" s="790"/>
      <c r="AG101" s="781"/>
      <c r="AH101" s="781"/>
      <c r="AI101" s="785"/>
      <c r="AJ101" s="780"/>
      <c r="AK101" s="792" t="str">
        <f t="array" ref="AK101:AL101">{"",'S-10 Оформление сделок Выборка'!AL101}</f>
        <v/>
      </c>
      <c r="AL101" s="793"/>
      <c r="AM101" s="792" t="str">
        <f t="array" ref="AM101:AN101">{"",'S-10 Оформление сделок Выборка'!AN101}</f>
        <v/>
      </c>
      <c r="AN101" s="794"/>
      <c r="AO101" s="792" t="str">
        <f t="array" ref="AO101:AP101">{"",'S-10 Оформление сделок Выборка'!AP101}</f>
        <v/>
      </c>
      <c r="AP101" s="786"/>
      <c r="AQ101" s="786"/>
      <c r="AR101" s="779" t="str">
        <f t="array" ref="AR101:AS101">{"",'S-10 Оформление сделок Выборка'!AS101}</f>
        <v/>
      </c>
      <c r="AS101" s="795"/>
      <c r="AT101" s="779" t="str">
        <f t="array" ref="AT101:AU101">{"",'S-10 Оформление сделок Выборка'!AU101}</f>
        <v/>
      </c>
      <c r="AU101" s="805"/>
      <c r="AV101" s="779" t="str">
        <f t="array" ref="AV101:AW101">{"",'S-10 Оформление сделок Выборка'!AW101}</f>
        <v/>
      </c>
      <c r="AW101" s="797"/>
      <c r="AX101" s="786"/>
      <c r="AY101" s="786"/>
      <c r="AZ101" s="792" t="str">
        <f t="array" ref="AZ101:BA101">{"",'S-10 Оформление сделок Выборка'!BA101}</f>
        <v/>
      </c>
      <c r="BA101" s="798"/>
      <c r="BB101" s="792" t="str">
        <f t="array" ref="BB101:BC101">{"",'S-10 Оформление сделок Выборка'!BC101}</f>
        <v/>
      </c>
      <c r="BC101" s="799"/>
      <c r="BD101" s="792" t="str">
        <f t="array" ref="BD101:BE101">{"",'S-10 Оформление сделок Выборка'!BE101}</f>
        <v/>
      </c>
      <c r="BE101" s="793"/>
      <c r="BF101" s="800" t="str">
        <f t="array" ref="BF101:BG101">{"",'S-10 Оформление сделок Выборка'!BG101}</f>
        <v/>
      </c>
      <c r="BG101" s="794"/>
      <c r="BH101" s="794" t="str">
        <f t="array" ref="BH101:BI101">{"",'S-10 Оформление сделок Выборка'!BI101}</f>
        <v/>
      </c>
      <c r="BI101" s="794"/>
      <c r="BJ101" s="792" t="str">
        <f t="array" ref="BJ101:BK101">{"",'S-10 Оформление сделок Выборка'!BK101}</f>
        <v/>
      </c>
      <c r="BK101" s="793"/>
      <c r="BL101" s="792" t="str">
        <f t="array" ref="BL101:BM101">{"",'S-10 Оформление сделок Выборка'!BM101}</f>
        <v/>
      </c>
      <c r="BM101" s="801"/>
      <c r="BN101" s="792" t="str">
        <f t="array" ref="BN101:BO101">{"",'S-10 Оформление сделок Выборка'!BO101}</f>
        <v/>
      </c>
      <c r="BO101" s="793"/>
      <c r="BP101" s="792" t="str">
        <f t="array" ref="BP101:BQ101">{"",'S-10 Оформление сделок Выборка'!BQ101}</f>
        <v/>
      </c>
      <c r="BQ101" s="802"/>
      <c r="BR101" s="792" t="str">
        <f t="array" ref="BR101:BS101">{"",'S-10 Оформление сделок Выборка'!BS101}</f>
        <v/>
      </c>
      <c r="BS101" s="794"/>
      <c r="BT101" s="800" t="str">
        <f t="array" ref="BT101:BU101">{"",'S-10 Оформление сделок Выборка'!BU101}</f>
        <v/>
      </c>
      <c r="BU101" s="794"/>
      <c r="BV101" s="800" t="str">
        <f t="array" ref="BV101:BW101">{"",'S-10 Оформление сделок Выборка'!BW101}</f>
        <v/>
      </c>
      <c r="BW101" s="803" t="s">
        <v>96</v>
      </c>
      <c r="BX101" s="804"/>
    </row>
    <row r="102">
      <c r="A102" s="779"/>
      <c r="B102" s="779"/>
      <c r="C102" s="780" t="str">
        <f>'5-1 Сбор КП Закупки'!C102</f>
        <v/>
      </c>
      <c r="D102" s="781"/>
      <c r="E102" s="780"/>
      <c r="F102" s="783"/>
      <c r="G102" s="783"/>
      <c r="H102" s="783"/>
      <c r="I102" s="783"/>
      <c r="J102" s="780"/>
      <c r="K102" s="786"/>
      <c r="L102" s="785"/>
      <c r="M102" s="786"/>
      <c r="N102" s="786"/>
      <c r="O102" s="780"/>
      <c r="P102" s="787"/>
      <c r="Q102" s="780"/>
      <c r="R102" s="780"/>
      <c r="S102" s="780"/>
      <c r="T102" s="780"/>
      <c r="U102" s="780"/>
      <c r="V102" s="780"/>
      <c r="W102" s="787"/>
      <c r="X102" s="780"/>
      <c r="Y102" s="780"/>
      <c r="Z102" s="780"/>
      <c r="AA102" s="780"/>
      <c r="AB102" s="788"/>
      <c r="AC102" s="781"/>
      <c r="AD102" s="780"/>
      <c r="AE102" s="789" t="str">
        <f t="array" ref="AE102:AF102">{"",'S-10 Оформление сделок Выборка'!AF102}</f>
        <v/>
      </c>
      <c r="AF102" s="790"/>
      <c r="AG102" s="781"/>
      <c r="AH102" s="781"/>
      <c r="AI102" s="785"/>
      <c r="AJ102" s="780"/>
      <c r="AK102" s="792" t="str">
        <f t="array" ref="AK102:AL102">{"",'S-10 Оформление сделок Выборка'!AL102}</f>
        <v/>
      </c>
      <c r="AL102" s="793"/>
      <c r="AM102" s="792" t="str">
        <f t="array" ref="AM102:AN102">{"",'S-10 Оформление сделок Выборка'!AN102}</f>
        <v/>
      </c>
      <c r="AN102" s="794"/>
      <c r="AO102" s="792" t="str">
        <f t="array" ref="AO102:AP102">{"",'S-10 Оформление сделок Выборка'!AP102}</f>
        <v/>
      </c>
      <c r="AP102" s="786"/>
      <c r="AQ102" s="786"/>
      <c r="AR102" s="779" t="str">
        <f t="array" ref="AR102:AS102">{"",'S-10 Оформление сделок Выборка'!AS102}</f>
        <v/>
      </c>
      <c r="AS102" s="795"/>
      <c r="AT102" s="779" t="str">
        <f t="array" ref="AT102:AU102">{"",'S-10 Оформление сделок Выборка'!AU102}</f>
        <v/>
      </c>
      <c r="AU102" s="805"/>
      <c r="AV102" s="779" t="str">
        <f t="array" ref="AV102:AW102">{"",'S-10 Оформление сделок Выборка'!AW102}</f>
        <v/>
      </c>
      <c r="AW102" s="797"/>
      <c r="AX102" s="786"/>
      <c r="AY102" s="786"/>
      <c r="AZ102" s="792" t="str">
        <f t="array" ref="AZ102:BA102">{"",'S-10 Оформление сделок Выборка'!BA102}</f>
        <v/>
      </c>
      <c r="BA102" s="798"/>
      <c r="BB102" s="792" t="str">
        <f t="array" ref="BB102:BC102">{"",'S-10 Оформление сделок Выборка'!BC102}</f>
        <v/>
      </c>
      <c r="BC102" s="799"/>
      <c r="BD102" s="792" t="str">
        <f t="array" ref="BD102:BE102">{"",'S-10 Оформление сделок Выборка'!BE102}</f>
        <v/>
      </c>
      <c r="BE102" s="793"/>
      <c r="BF102" s="800" t="str">
        <f t="array" ref="BF102:BG102">{"",'S-10 Оформление сделок Выборка'!BG102}</f>
        <v/>
      </c>
      <c r="BG102" s="794"/>
      <c r="BH102" s="794" t="str">
        <f t="array" ref="BH102:BI102">{"",'S-10 Оформление сделок Выборка'!BI102}</f>
        <v/>
      </c>
      <c r="BI102" s="794"/>
      <c r="BJ102" s="792" t="str">
        <f t="array" ref="BJ102:BK102">{"",'S-10 Оформление сделок Выборка'!BK102}</f>
        <v/>
      </c>
      <c r="BK102" s="793"/>
      <c r="BL102" s="792" t="str">
        <f t="array" ref="BL102:BM102">{"",'S-10 Оформление сделок Выборка'!BM102}</f>
        <v/>
      </c>
      <c r="BM102" s="801"/>
      <c r="BN102" s="792" t="str">
        <f t="array" ref="BN102:BO102">{"",'S-10 Оформление сделок Выборка'!BO102}</f>
        <v/>
      </c>
      <c r="BO102" s="793"/>
      <c r="BP102" s="792" t="str">
        <f t="array" ref="BP102:BQ102">{"",'S-10 Оформление сделок Выборка'!BQ102}</f>
        <v/>
      </c>
      <c r="BQ102" s="802"/>
      <c r="BR102" s="792" t="str">
        <f t="array" ref="BR102:BS102">{"",'S-10 Оформление сделок Выборка'!BS102}</f>
        <v/>
      </c>
      <c r="BS102" s="794"/>
      <c r="BT102" s="800" t="str">
        <f t="array" ref="BT102:BU102">{"",'S-10 Оформление сделок Выборка'!BU102}</f>
        <v/>
      </c>
      <c r="BU102" s="794"/>
      <c r="BV102" s="800" t="str">
        <f t="array" ref="BV102:BW102">{"",'S-10 Оформление сделок Выборка'!BW102}</f>
        <v/>
      </c>
      <c r="BW102" s="803" t="s">
        <v>96</v>
      </c>
      <c r="BX102" s="804"/>
    </row>
    <row r="103">
      <c r="A103" s="779"/>
      <c r="B103" s="779"/>
      <c r="C103" s="780" t="str">
        <f>'5-1 Сбор КП Закупки'!C103</f>
        <v/>
      </c>
      <c r="D103" s="781"/>
      <c r="E103" s="780"/>
      <c r="F103" s="783"/>
      <c r="G103" s="783"/>
      <c r="H103" s="783"/>
      <c r="I103" s="783"/>
      <c r="J103" s="780"/>
      <c r="K103" s="786"/>
      <c r="L103" s="785"/>
      <c r="M103" s="786"/>
      <c r="N103" s="786"/>
      <c r="O103" s="780"/>
      <c r="P103" s="787"/>
      <c r="Q103" s="780"/>
      <c r="R103" s="780"/>
      <c r="S103" s="780"/>
      <c r="T103" s="780"/>
      <c r="U103" s="780"/>
      <c r="V103" s="780"/>
      <c r="W103" s="787"/>
      <c r="X103" s="780"/>
      <c r="Y103" s="780"/>
      <c r="Z103" s="780"/>
      <c r="AA103" s="780"/>
      <c r="AB103" s="788"/>
      <c r="AC103" s="781"/>
      <c r="AD103" s="780"/>
      <c r="AE103" s="789" t="str">
        <f t="array" ref="AE103:AF103">{"",'S-10 Оформление сделок Выборка'!AF103}</f>
        <v/>
      </c>
      <c r="AF103" s="790"/>
      <c r="AG103" s="781"/>
      <c r="AH103" s="781"/>
      <c r="AI103" s="785"/>
      <c r="AJ103" s="780"/>
      <c r="AK103" s="792" t="str">
        <f t="array" ref="AK103:AL103">{"",'S-10 Оформление сделок Выборка'!AL103}</f>
        <v/>
      </c>
      <c r="AL103" s="793"/>
      <c r="AM103" s="792" t="str">
        <f t="array" ref="AM103:AN103">{"",'S-10 Оформление сделок Выборка'!AN103}</f>
        <v/>
      </c>
      <c r="AN103" s="794"/>
      <c r="AO103" s="792" t="str">
        <f t="array" ref="AO103:AP103">{"",'S-10 Оформление сделок Выборка'!AP103}</f>
        <v/>
      </c>
      <c r="AP103" s="786"/>
      <c r="AQ103" s="786"/>
      <c r="AR103" s="779" t="str">
        <f t="array" ref="AR103:AS103">{"",'S-10 Оформление сделок Выборка'!AS103}</f>
        <v/>
      </c>
      <c r="AS103" s="795"/>
      <c r="AT103" s="779" t="str">
        <f t="array" ref="AT103:AU103">{"",'S-10 Оформление сделок Выборка'!AU103}</f>
        <v/>
      </c>
      <c r="AU103" s="805"/>
      <c r="AV103" s="779" t="str">
        <f t="array" ref="AV103:AW103">{"",'S-10 Оформление сделок Выборка'!AW103}</f>
        <v/>
      </c>
      <c r="AW103" s="797"/>
      <c r="AX103" s="786"/>
      <c r="AY103" s="786"/>
      <c r="AZ103" s="792" t="str">
        <f t="array" ref="AZ103:BA103">{"",'S-10 Оформление сделок Выборка'!BA103}</f>
        <v/>
      </c>
      <c r="BA103" s="798"/>
      <c r="BB103" s="792" t="str">
        <f t="array" ref="BB103:BC103">{"",'S-10 Оформление сделок Выборка'!BC103}</f>
        <v/>
      </c>
      <c r="BC103" s="799"/>
      <c r="BD103" s="792" t="str">
        <f t="array" ref="BD103:BE103">{"",'S-10 Оформление сделок Выборка'!BE103}</f>
        <v/>
      </c>
      <c r="BE103" s="793"/>
      <c r="BF103" s="800" t="str">
        <f t="array" ref="BF103:BG103">{"",'S-10 Оформление сделок Выборка'!BG103}</f>
        <v/>
      </c>
      <c r="BG103" s="794"/>
      <c r="BH103" s="794" t="str">
        <f t="array" ref="BH103:BI103">{"",'S-10 Оформление сделок Выборка'!BI103}</f>
        <v/>
      </c>
      <c r="BI103" s="794"/>
      <c r="BJ103" s="792" t="str">
        <f t="array" ref="BJ103:BK103">{"",'S-10 Оформление сделок Выборка'!BK103}</f>
        <v/>
      </c>
      <c r="BK103" s="793"/>
      <c r="BL103" s="792" t="str">
        <f t="array" ref="BL103:BM103">{"",'S-10 Оформление сделок Выборка'!BM103}</f>
        <v/>
      </c>
      <c r="BM103" s="801"/>
      <c r="BN103" s="792" t="str">
        <f t="array" ref="BN103:BO103">{"",'S-10 Оформление сделок Выборка'!BO103}</f>
        <v/>
      </c>
      <c r="BO103" s="793"/>
      <c r="BP103" s="792" t="str">
        <f t="array" ref="BP103:BQ103">{"",'S-10 Оформление сделок Выборка'!BQ103}</f>
        <v/>
      </c>
      <c r="BQ103" s="802"/>
      <c r="BR103" s="792" t="str">
        <f t="array" ref="BR103:BS103">{"",'S-10 Оформление сделок Выборка'!BS103}</f>
        <v/>
      </c>
      <c r="BS103" s="794"/>
      <c r="BT103" s="800" t="str">
        <f t="array" ref="BT103:BU103">{"",'S-10 Оформление сделок Выборка'!BU103}</f>
        <v/>
      </c>
      <c r="BU103" s="794"/>
      <c r="BV103" s="800" t="str">
        <f t="array" ref="BV103:BW103">{"",'S-10 Оформление сделок Выборка'!BW103}</f>
        <v/>
      </c>
      <c r="BW103" s="803" t="s">
        <v>96</v>
      </c>
      <c r="BX103" s="804"/>
    </row>
    <row r="104">
      <c r="A104" s="779"/>
      <c r="B104" s="779"/>
      <c r="C104" s="780" t="str">
        <f>'5-1 Сбор КП Закупки'!C104</f>
        <v/>
      </c>
      <c r="D104" s="781"/>
      <c r="E104" s="780"/>
      <c r="F104" s="783"/>
      <c r="G104" s="783"/>
      <c r="H104" s="783"/>
      <c r="I104" s="783"/>
      <c r="J104" s="780"/>
      <c r="K104" s="786"/>
      <c r="L104" s="785"/>
      <c r="M104" s="786"/>
      <c r="N104" s="786"/>
      <c r="O104" s="780"/>
      <c r="P104" s="787"/>
      <c r="Q104" s="780"/>
      <c r="R104" s="780"/>
      <c r="S104" s="780"/>
      <c r="T104" s="780"/>
      <c r="U104" s="780"/>
      <c r="V104" s="780"/>
      <c r="W104" s="787"/>
      <c r="X104" s="780"/>
      <c r="Y104" s="780"/>
      <c r="Z104" s="780"/>
      <c r="AA104" s="780"/>
      <c r="AB104" s="788"/>
      <c r="AC104" s="781"/>
      <c r="AD104" s="780"/>
      <c r="AE104" s="789" t="str">
        <f t="array" ref="AE104:AF104">{"",'S-10 Оформление сделок Выборка'!AF104}</f>
        <v/>
      </c>
      <c r="AF104" s="790"/>
      <c r="AG104" s="781"/>
      <c r="AH104" s="781"/>
      <c r="AI104" s="785"/>
      <c r="AJ104" s="780"/>
      <c r="AK104" s="792" t="str">
        <f t="array" ref="AK104:AL104">{"",'S-10 Оформление сделок Выборка'!AL104}</f>
        <v/>
      </c>
      <c r="AL104" s="793"/>
      <c r="AM104" s="792" t="str">
        <f t="array" ref="AM104:AN104">{"",'S-10 Оформление сделок Выборка'!AN104}</f>
        <v/>
      </c>
      <c r="AN104" s="794"/>
      <c r="AO104" s="792" t="str">
        <f t="array" ref="AO104:AP104">{"",'S-10 Оформление сделок Выборка'!AP104}</f>
        <v/>
      </c>
      <c r="AP104" s="786"/>
      <c r="AQ104" s="786"/>
      <c r="AR104" s="779" t="str">
        <f t="array" ref="AR104:AS104">{"",'S-10 Оформление сделок Выборка'!AS104}</f>
        <v/>
      </c>
      <c r="AS104" s="795"/>
      <c r="AT104" s="779" t="str">
        <f t="array" ref="AT104:AU104">{"",'S-10 Оформление сделок Выборка'!AU104}</f>
        <v/>
      </c>
      <c r="AU104" s="805"/>
      <c r="AV104" s="779" t="str">
        <f t="array" ref="AV104:AW104">{"",'S-10 Оформление сделок Выборка'!AW104}</f>
        <v/>
      </c>
      <c r="AW104" s="797"/>
      <c r="AX104" s="786"/>
      <c r="AY104" s="786"/>
      <c r="AZ104" s="792" t="str">
        <f t="array" ref="AZ104:BA104">{"",'S-10 Оформление сделок Выборка'!BA104}</f>
        <v/>
      </c>
      <c r="BA104" s="798"/>
      <c r="BB104" s="792" t="str">
        <f t="array" ref="BB104:BC104">{"",'S-10 Оформление сделок Выборка'!BC104}</f>
        <v/>
      </c>
      <c r="BC104" s="799"/>
      <c r="BD104" s="792" t="str">
        <f t="array" ref="BD104:BE104">{"",'S-10 Оформление сделок Выборка'!BE104}</f>
        <v/>
      </c>
      <c r="BE104" s="793"/>
      <c r="BF104" s="800" t="str">
        <f t="array" ref="BF104:BG104">{"",'S-10 Оформление сделок Выборка'!BG104}</f>
        <v/>
      </c>
      <c r="BG104" s="794"/>
      <c r="BH104" s="794" t="str">
        <f t="array" ref="BH104:BI104">{"",'S-10 Оформление сделок Выборка'!BI104}</f>
        <v/>
      </c>
      <c r="BI104" s="794"/>
      <c r="BJ104" s="792" t="str">
        <f t="array" ref="BJ104:BK104">{"",'S-10 Оформление сделок Выборка'!BK104}</f>
        <v/>
      </c>
      <c r="BK104" s="793"/>
      <c r="BL104" s="792" t="str">
        <f t="array" ref="BL104:BM104">{"",'S-10 Оформление сделок Выборка'!BM104}</f>
        <v/>
      </c>
      <c r="BM104" s="801"/>
      <c r="BN104" s="792" t="str">
        <f t="array" ref="BN104:BO104">{"",'S-10 Оформление сделок Выборка'!BO104}</f>
        <v/>
      </c>
      <c r="BO104" s="793"/>
      <c r="BP104" s="792" t="str">
        <f t="array" ref="BP104:BQ104">{"",'S-10 Оформление сделок Выборка'!BQ104}</f>
        <v/>
      </c>
      <c r="BQ104" s="802"/>
      <c r="BR104" s="792" t="str">
        <f t="array" ref="BR104:BS104">{"",'S-10 Оформление сделок Выборка'!BS104}</f>
        <v/>
      </c>
      <c r="BS104" s="794"/>
      <c r="BT104" s="800" t="str">
        <f t="array" ref="BT104:BU104">{"",'S-10 Оформление сделок Выборка'!BU104}</f>
        <v/>
      </c>
      <c r="BU104" s="794"/>
      <c r="BV104" s="800" t="str">
        <f t="array" ref="BV104:BW104">{"",'S-10 Оформление сделок Выборка'!BW104}</f>
        <v/>
      </c>
      <c r="BW104" s="803" t="s">
        <v>96</v>
      </c>
      <c r="BX104" s="804"/>
    </row>
    <row r="105">
      <c r="A105" s="779"/>
      <c r="B105" s="779"/>
      <c r="C105" s="780" t="str">
        <f>'5-1 Сбор КП Закупки'!C105</f>
        <v/>
      </c>
      <c r="D105" s="781"/>
      <c r="E105" s="780"/>
      <c r="F105" s="783"/>
      <c r="G105" s="783"/>
      <c r="H105" s="783"/>
      <c r="I105" s="783"/>
      <c r="J105" s="780"/>
      <c r="K105" s="786"/>
      <c r="L105" s="785"/>
      <c r="M105" s="786"/>
      <c r="N105" s="786"/>
      <c r="O105" s="780"/>
      <c r="P105" s="787"/>
      <c r="Q105" s="780"/>
      <c r="R105" s="780"/>
      <c r="S105" s="780"/>
      <c r="T105" s="780"/>
      <c r="U105" s="780"/>
      <c r="V105" s="780"/>
      <c r="W105" s="787"/>
      <c r="X105" s="780"/>
      <c r="Y105" s="780"/>
      <c r="Z105" s="780"/>
      <c r="AA105" s="780"/>
      <c r="AB105" s="788"/>
      <c r="AC105" s="781"/>
      <c r="AD105" s="780"/>
      <c r="AE105" s="789" t="str">
        <f t="array" ref="AE105:AF105">{"",'S-10 Оформление сделок Выборка'!AF105}</f>
        <v/>
      </c>
      <c r="AF105" s="790"/>
      <c r="AG105" s="781"/>
      <c r="AH105" s="781"/>
      <c r="AI105" s="785"/>
      <c r="AJ105" s="780"/>
      <c r="AK105" s="792" t="str">
        <f t="array" ref="AK105:AL105">{"",'S-10 Оформление сделок Выборка'!AL105}</f>
        <v/>
      </c>
      <c r="AL105" s="793"/>
      <c r="AM105" s="792" t="str">
        <f t="array" ref="AM105:AN105">{"",'S-10 Оформление сделок Выборка'!AN105}</f>
        <v/>
      </c>
      <c r="AN105" s="794"/>
      <c r="AO105" s="792" t="str">
        <f t="array" ref="AO105:AP105">{"",'S-10 Оформление сделок Выборка'!AP105}</f>
        <v/>
      </c>
      <c r="AP105" s="786"/>
      <c r="AQ105" s="786"/>
      <c r="AR105" s="779" t="str">
        <f t="array" ref="AR105:AS105">{"",'S-10 Оформление сделок Выборка'!AS105}</f>
        <v/>
      </c>
      <c r="AS105" s="795"/>
      <c r="AT105" s="779" t="str">
        <f t="array" ref="AT105:AU105">{"",'S-10 Оформление сделок Выборка'!AU105}</f>
        <v/>
      </c>
      <c r="AU105" s="805"/>
      <c r="AV105" s="779" t="str">
        <f t="array" ref="AV105:AW105">{"",'S-10 Оформление сделок Выборка'!AW105}</f>
        <v/>
      </c>
      <c r="AW105" s="797"/>
      <c r="AX105" s="786"/>
      <c r="AY105" s="786"/>
      <c r="AZ105" s="792" t="str">
        <f t="array" ref="AZ105:BA105">{"",'S-10 Оформление сделок Выборка'!BA105}</f>
        <v/>
      </c>
      <c r="BA105" s="798"/>
      <c r="BB105" s="792" t="str">
        <f t="array" ref="BB105:BC105">{"",'S-10 Оформление сделок Выборка'!BC105}</f>
        <v/>
      </c>
      <c r="BC105" s="799"/>
      <c r="BD105" s="792" t="str">
        <f t="array" ref="BD105:BE105">{"",'S-10 Оформление сделок Выборка'!BE105}</f>
        <v/>
      </c>
      <c r="BE105" s="793"/>
      <c r="BF105" s="800" t="str">
        <f t="array" ref="BF105:BG105">{"",'S-10 Оформление сделок Выборка'!BG105}</f>
        <v/>
      </c>
      <c r="BG105" s="794"/>
      <c r="BH105" s="794" t="str">
        <f t="array" ref="BH105:BI105">{"",'S-10 Оформление сделок Выборка'!BI105}</f>
        <v/>
      </c>
      <c r="BI105" s="794"/>
      <c r="BJ105" s="792" t="str">
        <f t="array" ref="BJ105:BK105">{"",'S-10 Оформление сделок Выборка'!BK105}</f>
        <v/>
      </c>
      <c r="BK105" s="793"/>
      <c r="BL105" s="792" t="str">
        <f t="array" ref="BL105:BM105">{"",'S-10 Оформление сделок Выборка'!BM105}</f>
        <v/>
      </c>
      <c r="BM105" s="801"/>
      <c r="BN105" s="792" t="str">
        <f t="array" ref="BN105:BO105">{"",'S-10 Оформление сделок Выборка'!BO105}</f>
        <v/>
      </c>
      <c r="BO105" s="793"/>
      <c r="BP105" s="792" t="str">
        <f t="array" ref="BP105:BQ105">{"",'S-10 Оформление сделок Выборка'!BQ105}</f>
        <v/>
      </c>
      <c r="BQ105" s="802"/>
      <c r="BR105" s="792" t="str">
        <f t="array" ref="BR105:BS105">{"",'S-10 Оформление сделок Выборка'!BS105}</f>
        <v/>
      </c>
      <c r="BS105" s="794"/>
      <c r="BT105" s="800" t="str">
        <f t="array" ref="BT105:BU105">{"",'S-10 Оформление сделок Выборка'!BU105}</f>
        <v/>
      </c>
      <c r="BU105" s="794"/>
      <c r="BV105" s="800" t="str">
        <f t="array" ref="BV105:BW105">{"",'S-10 Оформление сделок Выборка'!BW105}</f>
        <v/>
      </c>
      <c r="BW105" s="803" t="s">
        <v>96</v>
      </c>
      <c r="BX105" s="804"/>
    </row>
    <row r="106">
      <c r="A106" s="779"/>
      <c r="B106" s="779"/>
      <c r="C106" s="780" t="str">
        <f>'5-1 Сбор КП Закупки'!C106</f>
        <v/>
      </c>
      <c r="D106" s="781"/>
      <c r="E106" s="780"/>
      <c r="F106" s="783"/>
      <c r="G106" s="783"/>
      <c r="H106" s="783"/>
      <c r="I106" s="783"/>
      <c r="J106" s="780"/>
      <c r="K106" s="786"/>
      <c r="L106" s="785"/>
      <c r="M106" s="786"/>
      <c r="N106" s="786"/>
      <c r="O106" s="780"/>
      <c r="P106" s="787"/>
      <c r="Q106" s="780"/>
      <c r="R106" s="780"/>
      <c r="S106" s="780"/>
      <c r="T106" s="780"/>
      <c r="U106" s="780"/>
      <c r="V106" s="780"/>
      <c r="W106" s="787"/>
      <c r="X106" s="780"/>
      <c r="Y106" s="780"/>
      <c r="Z106" s="780"/>
      <c r="AA106" s="780"/>
      <c r="AB106" s="788"/>
      <c r="AC106" s="781"/>
      <c r="AD106" s="780"/>
      <c r="AE106" s="789" t="str">
        <f t="array" ref="AE106:AF106">{"",'S-10 Оформление сделок Выборка'!AF106}</f>
        <v/>
      </c>
      <c r="AF106" s="790"/>
      <c r="AG106" s="781"/>
      <c r="AH106" s="781"/>
      <c r="AI106" s="785"/>
      <c r="AJ106" s="780"/>
      <c r="AK106" s="792" t="str">
        <f t="array" ref="AK106:AL106">{"",'S-10 Оформление сделок Выборка'!AL106}</f>
        <v/>
      </c>
      <c r="AL106" s="793"/>
      <c r="AM106" s="792" t="str">
        <f t="array" ref="AM106:AN106">{"",'S-10 Оформление сделок Выборка'!AN106}</f>
        <v/>
      </c>
      <c r="AN106" s="794"/>
      <c r="AO106" s="792" t="str">
        <f t="array" ref="AO106:AP106">{"",'S-10 Оформление сделок Выборка'!AP106}</f>
        <v/>
      </c>
      <c r="AP106" s="786"/>
      <c r="AQ106" s="786"/>
      <c r="AR106" s="779" t="str">
        <f t="array" ref="AR106:AS106">{"",'S-10 Оформление сделок Выборка'!AS106}</f>
        <v/>
      </c>
      <c r="AS106" s="795"/>
      <c r="AT106" s="779" t="str">
        <f t="array" ref="AT106:AU106">{"",'S-10 Оформление сделок Выборка'!AU106}</f>
        <v/>
      </c>
      <c r="AU106" s="805"/>
      <c r="AV106" s="779" t="str">
        <f t="array" ref="AV106:AW106">{"",'S-10 Оформление сделок Выборка'!AW106}</f>
        <v/>
      </c>
      <c r="AW106" s="797"/>
      <c r="AX106" s="786"/>
      <c r="AY106" s="786"/>
      <c r="AZ106" s="792" t="str">
        <f t="array" ref="AZ106:BA106">{"",'S-10 Оформление сделок Выборка'!BA106}</f>
        <v/>
      </c>
      <c r="BA106" s="798"/>
      <c r="BB106" s="792" t="str">
        <f t="array" ref="BB106:BC106">{"",'S-10 Оформление сделок Выборка'!BC106}</f>
        <v/>
      </c>
      <c r="BC106" s="799"/>
      <c r="BD106" s="792" t="str">
        <f t="array" ref="BD106:BE106">{"",'S-10 Оформление сделок Выборка'!BE106}</f>
        <v/>
      </c>
      <c r="BE106" s="793"/>
      <c r="BF106" s="800" t="str">
        <f t="array" ref="BF106:BG106">{"",'S-10 Оформление сделок Выборка'!BG106}</f>
        <v/>
      </c>
      <c r="BG106" s="794"/>
      <c r="BH106" s="794" t="str">
        <f t="array" ref="BH106:BI106">{"",'S-10 Оформление сделок Выборка'!BI106}</f>
        <v/>
      </c>
      <c r="BI106" s="794"/>
      <c r="BJ106" s="792" t="str">
        <f t="array" ref="BJ106:BK106">{"",'S-10 Оформление сделок Выборка'!BK106}</f>
        <v/>
      </c>
      <c r="BK106" s="793"/>
      <c r="BL106" s="792" t="str">
        <f t="array" ref="BL106:BM106">{"",'S-10 Оформление сделок Выборка'!BM106}</f>
        <v/>
      </c>
      <c r="BM106" s="801"/>
      <c r="BN106" s="792" t="str">
        <f t="array" ref="BN106:BO106">{"",'S-10 Оформление сделок Выборка'!BO106}</f>
        <v/>
      </c>
      <c r="BO106" s="793"/>
      <c r="BP106" s="792" t="str">
        <f t="array" ref="BP106:BQ106">{"",'S-10 Оформление сделок Выборка'!BQ106}</f>
        <v/>
      </c>
      <c r="BQ106" s="802"/>
      <c r="BR106" s="792" t="str">
        <f t="array" ref="BR106:BS106">{"",'S-10 Оформление сделок Выборка'!BS106}</f>
        <v/>
      </c>
      <c r="BS106" s="794"/>
      <c r="BT106" s="800" t="str">
        <f t="array" ref="BT106:BU106">{"",'S-10 Оформление сделок Выборка'!BU106}</f>
        <v/>
      </c>
      <c r="BU106" s="794"/>
      <c r="BV106" s="800" t="str">
        <f t="array" ref="BV106:BW106">{"",'S-10 Оформление сделок Выборка'!BW106}</f>
        <v/>
      </c>
      <c r="BW106" s="803" t="s">
        <v>96</v>
      </c>
      <c r="BX106" s="804"/>
    </row>
    <row r="107">
      <c r="A107" s="779"/>
      <c r="B107" s="779"/>
      <c r="C107" s="780" t="str">
        <f>'5-1 Сбор КП Закупки'!C107</f>
        <v/>
      </c>
      <c r="D107" s="781"/>
      <c r="E107" s="780"/>
      <c r="F107" s="783"/>
      <c r="G107" s="783"/>
      <c r="H107" s="783"/>
      <c r="I107" s="783"/>
      <c r="J107" s="780"/>
      <c r="K107" s="786"/>
      <c r="L107" s="785"/>
      <c r="M107" s="786"/>
      <c r="N107" s="786"/>
      <c r="O107" s="780"/>
      <c r="P107" s="787"/>
      <c r="Q107" s="780"/>
      <c r="R107" s="780"/>
      <c r="S107" s="780"/>
      <c r="T107" s="780"/>
      <c r="U107" s="780"/>
      <c r="V107" s="780"/>
      <c r="W107" s="787"/>
      <c r="X107" s="780"/>
      <c r="Y107" s="780"/>
      <c r="Z107" s="780"/>
      <c r="AA107" s="780"/>
      <c r="AB107" s="788"/>
      <c r="AC107" s="781"/>
      <c r="AD107" s="780"/>
      <c r="AE107" s="789" t="str">
        <f t="array" ref="AE107:AF107">{"",'S-10 Оформление сделок Выборка'!AF107}</f>
        <v/>
      </c>
      <c r="AF107" s="790"/>
      <c r="AG107" s="781"/>
      <c r="AH107" s="781"/>
      <c r="AI107" s="785"/>
      <c r="AJ107" s="780"/>
      <c r="AK107" s="792" t="str">
        <f t="array" ref="AK107:AL107">{"",'S-10 Оформление сделок Выборка'!AL107}</f>
        <v/>
      </c>
      <c r="AL107" s="793"/>
      <c r="AM107" s="792" t="str">
        <f t="array" ref="AM107:AN107">{"",'S-10 Оформление сделок Выборка'!AN107}</f>
        <v/>
      </c>
      <c r="AN107" s="794"/>
      <c r="AO107" s="792" t="str">
        <f t="array" ref="AO107:AP107">{"",'S-10 Оформление сделок Выборка'!AP107}</f>
        <v/>
      </c>
      <c r="AP107" s="786"/>
      <c r="AQ107" s="786"/>
      <c r="AR107" s="779" t="str">
        <f t="array" ref="AR107:AS107">{"",'S-10 Оформление сделок Выборка'!AS107}</f>
        <v/>
      </c>
      <c r="AS107" s="795"/>
      <c r="AT107" s="779" t="str">
        <f t="array" ref="AT107:AU107">{"",'S-10 Оформление сделок Выборка'!AU107}</f>
        <v/>
      </c>
      <c r="AU107" s="805"/>
      <c r="AV107" s="779" t="str">
        <f t="array" ref="AV107:AW107">{"",'S-10 Оформление сделок Выборка'!AW107}</f>
        <v/>
      </c>
      <c r="AW107" s="797"/>
      <c r="AX107" s="786"/>
      <c r="AY107" s="786"/>
      <c r="AZ107" s="792" t="str">
        <f t="array" ref="AZ107:BA107">{"",'S-10 Оформление сделок Выборка'!BA107}</f>
        <v/>
      </c>
      <c r="BA107" s="798"/>
      <c r="BB107" s="792" t="str">
        <f t="array" ref="BB107:BC107">{"",'S-10 Оформление сделок Выборка'!BC107}</f>
        <v/>
      </c>
      <c r="BC107" s="799"/>
      <c r="BD107" s="792" t="str">
        <f t="array" ref="BD107:BE107">{"",'S-10 Оформление сделок Выборка'!BE107}</f>
        <v/>
      </c>
      <c r="BE107" s="793"/>
      <c r="BF107" s="800" t="str">
        <f t="array" ref="BF107:BG107">{"",'S-10 Оформление сделок Выборка'!BG107}</f>
        <v/>
      </c>
      <c r="BG107" s="794"/>
      <c r="BH107" s="794" t="str">
        <f t="array" ref="BH107:BI107">{"",'S-10 Оформление сделок Выборка'!BI107}</f>
        <v/>
      </c>
      <c r="BI107" s="794"/>
      <c r="BJ107" s="792" t="str">
        <f t="array" ref="BJ107:BK107">{"",'S-10 Оформление сделок Выборка'!BK107}</f>
        <v/>
      </c>
      <c r="BK107" s="793"/>
      <c r="BL107" s="792" t="str">
        <f t="array" ref="BL107:BM107">{"",'S-10 Оформление сделок Выборка'!BM107}</f>
        <v/>
      </c>
      <c r="BM107" s="801"/>
      <c r="BN107" s="792" t="str">
        <f t="array" ref="BN107:BO107">{"",'S-10 Оформление сделок Выборка'!BO107}</f>
        <v/>
      </c>
      <c r="BO107" s="793"/>
      <c r="BP107" s="792" t="str">
        <f t="array" ref="BP107:BQ107">{"",'S-10 Оформление сделок Выборка'!BQ107}</f>
        <v/>
      </c>
      <c r="BQ107" s="802"/>
      <c r="BR107" s="792" t="str">
        <f t="array" ref="BR107:BS107">{"",'S-10 Оформление сделок Выборка'!BS107}</f>
        <v/>
      </c>
      <c r="BS107" s="794"/>
      <c r="BT107" s="800" t="str">
        <f t="array" ref="BT107:BU107">{"",'S-10 Оформление сделок Выборка'!BU107}</f>
        <v/>
      </c>
      <c r="BU107" s="794"/>
      <c r="BV107" s="800" t="str">
        <f t="array" ref="BV107:BW107">{"",'S-10 Оформление сделок Выборка'!BW107}</f>
        <v/>
      </c>
      <c r="BW107" s="803" t="s">
        <v>96</v>
      </c>
      <c r="BX107" s="804"/>
    </row>
    <row r="108">
      <c r="A108" s="779"/>
      <c r="B108" s="779"/>
      <c r="C108" s="780" t="str">
        <f>'5-1 Сбор КП Закупки'!C108</f>
        <v/>
      </c>
      <c r="D108" s="781"/>
      <c r="E108" s="780"/>
      <c r="F108" s="783"/>
      <c r="G108" s="783"/>
      <c r="H108" s="783"/>
      <c r="I108" s="783"/>
      <c r="J108" s="780"/>
      <c r="K108" s="786"/>
      <c r="L108" s="785"/>
      <c r="M108" s="786"/>
      <c r="N108" s="786"/>
      <c r="O108" s="780"/>
      <c r="P108" s="787"/>
      <c r="Q108" s="780"/>
      <c r="R108" s="780"/>
      <c r="S108" s="780"/>
      <c r="T108" s="780"/>
      <c r="U108" s="780"/>
      <c r="V108" s="780"/>
      <c r="W108" s="787"/>
      <c r="X108" s="780"/>
      <c r="Y108" s="780"/>
      <c r="Z108" s="780"/>
      <c r="AA108" s="780"/>
      <c r="AB108" s="788"/>
      <c r="AC108" s="781"/>
      <c r="AD108" s="780"/>
      <c r="AE108" s="789" t="str">
        <f t="array" ref="AE108:AF108">{"",'S-10 Оформление сделок Выборка'!AF108}</f>
        <v/>
      </c>
      <c r="AF108" s="790"/>
      <c r="AG108" s="781"/>
      <c r="AH108" s="781"/>
      <c r="AI108" s="785"/>
      <c r="AJ108" s="780"/>
      <c r="AK108" s="792" t="str">
        <f t="array" ref="AK108:AL108">{"",'S-10 Оформление сделок Выборка'!AL108}</f>
        <v/>
      </c>
      <c r="AL108" s="793"/>
      <c r="AM108" s="792" t="str">
        <f t="array" ref="AM108:AN108">{"",'S-10 Оформление сделок Выборка'!AN108}</f>
        <v/>
      </c>
      <c r="AN108" s="794"/>
      <c r="AO108" s="792" t="str">
        <f t="array" ref="AO108:AP108">{"",'S-10 Оформление сделок Выборка'!AP108}</f>
        <v/>
      </c>
      <c r="AP108" s="786"/>
      <c r="AQ108" s="786"/>
      <c r="AR108" s="779" t="str">
        <f t="array" ref="AR108:AS108">{"",'S-10 Оформление сделок Выборка'!AS108}</f>
        <v/>
      </c>
      <c r="AS108" s="795"/>
      <c r="AT108" s="779" t="str">
        <f t="array" ref="AT108:AU108">{"",'S-10 Оформление сделок Выборка'!AU108}</f>
        <v/>
      </c>
      <c r="AU108" s="805"/>
      <c r="AV108" s="779" t="str">
        <f t="array" ref="AV108:AW108">{"",'S-10 Оформление сделок Выборка'!AW108}</f>
        <v/>
      </c>
      <c r="AW108" s="797"/>
      <c r="AX108" s="786"/>
      <c r="AY108" s="786"/>
      <c r="AZ108" s="792" t="str">
        <f t="array" ref="AZ108:BA108">{"",'S-10 Оформление сделок Выборка'!BA108}</f>
        <v/>
      </c>
      <c r="BA108" s="798"/>
      <c r="BB108" s="792" t="str">
        <f t="array" ref="BB108:BC108">{"",'S-10 Оформление сделок Выборка'!BC108}</f>
        <v/>
      </c>
      <c r="BC108" s="799"/>
      <c r="BD108" s="792" t="str">
        <f t="array" ref="BD108:BE108">{"",'S-10 Оформление сделок Выборка'!BE108}</f>
        <v/>
      </c>
      <c r="BE108" s="793"/>
      <c r="BF108" s="800" t="str">
        <f t="array" ref="BF108:BG108">{"",'S-10 Оформление сделок Выборка'!BG108}</f>
        <v/>
      </c>
      <c r="BG108" s="794"/>
      <c r="BH108" s="794" t="str">
        <f t="array" ref="BH108:BI108">{"",'S-10 Оформление сделок Выборка'!BI108}</f>
        <v/>
      </c>
      <c r="BI108" s="794"/>
      <c r="BJ108" s="792" t="str">
        <f t="array" ref="BJ108:BK108">{"",'S-10 Оформление сделок Выборка'!BK108}</f>
        <v/>
      </c>
      <c r="BK108" s="793"/>
      <c r="BL108" s="792" t="str">
        <f t="array" ref="BL108:BM108">{"",'S-10 Оформление сделок Выборка'!BM108}</f>
        <v/>
      </c>
      <c r="BM108" s="801"/>
      <c r="BN108" s="792" t="str">
        <f t="array" ref="BN108:BO108">{"",'S-10 Оформление сделок Выборка'!BO108}</f>
        <v/>
      </c>
      <c r="BO108" s="793"/>
      <c r="BP108" s="792" t="str">
        <f t="array" ref="BP108:BQ108">{"",'S-10 Оформление сделок Выборка'!BQ108}</f>
        <v/>
      </c>
      <c r="BQ108" s="802"/>
      <c r="BR108" s="792" t="str">
        <f t="array" ref="BR108:BS108">{"",'S-10 Оформление сделок Выборка'!BS108}</f>
        <v/>
      </c>
      <c r="BS108" s="794"/>
      <c r="BT108" s="800" t="str">
        <f t="array" ref="BT108:BU108">{"",'S-10 Оформление сделок Выборка'!BU108}</f>
        <v/>
      </c>
      <c r="BU108" s="794"/>
      <c r="BV108" s="800" t="str">
        <f t="array" ref="BV108:BW108">{"",'S-10 Оформление сделок Выборка'!BW108}</f>
        <v/>
      </c>
      <c r="BW108" s="803" t="s">
        <v>96</v>
      </c>
      <c r="BX108" s="804"/>
    </row>
    <row r="109">
      <c r="A109" s="779"/>
      <c r="B109" s="779"/>
      <c r="C109" s="780" t="str">
        <f>'5-1 Сбор КП Закупки'!C109</f>
        <v/>
      </c>
      <c r="D109" s="781"/>
      <c r="E109" s="780"/>
      <c r="F109" s="783"/>
      <c r="G109" s="783"/>
      <c r="H109" s="783"/>
      <c r="I109" s="783"/>
      <c r="J109" s="780"/>
      <c r="K109" s="786"/>
      <c r="L109" s="785"/>
      <c r="M109" s="786"/>
      <c r="N109" s="786"/>
      <c r="O109" s="780"/>
      <c r="P109" s="787"/>
      <c r="Q109" s="780"/>
      <c r="R109" s="780"/>
      <c r="S109" s="780"/>
      <c r="T109" s="780"/>
      <c r="U109" s="780"/>
      <c r="V109" s="780"/>
      <c r="W109" s="787"/>
      <c r="X109" s="780"/>
      <c r="Y109" s="780"/>
      <c r="Z109" s="780"/>
      <c r="AA109" s="780"/>
      <c r="AB109" s="788"/>
      <c r="AC109" s="781"/>
      <c r="AD109" s="780"/>
      <c r="AE109" s="789" t="str">
        <f t="array" ref="AE109:AF109">{"",'S-10 Оформление сделок Выборка'!AF109}</f>
        <v/>
      </c>
      <c r="AF109" s="790"/>
      <c r="AG109" s="781"/>
      <c r="AH109" s="781"/>
      <c r="AI109" s="785"/>
      <c r="AJ109" s="780"/>
      <c r="AK109" s="792" t="str">
        <f t="array" ref="AK109:AL109">{"",'S-10 Оформление сделок Выборка'!AL109}</f>
        <v/>
      </c>
      <c r="AL109" s="793"/>
      <c r="AM109" s="792" t="str">
        <f t="array" ref="AM109:AN109">{"",'S-10 Оформление сделок Выборка'!AN109}</f>
        <v/>
      </c>
      <c r="AN109" s="794"/>
      <c r="AO109" s="792" t="str">
        <f t="array" ref="AO109:AP109">{"",'S-10 Оформление сделок Выборка'!AP109}</f>
        <v/>
      </c>
      <c r="AP109" s="786"/>
      <c r="AQ109" s="786"/>
      <c r="AR109" s="779" t="str">
        <f t="array" ref="AR109:AS109">{"",'S-10 Оформление сделок Выборка'!AS109}</f>
        <v/>
      </c>
      <c r="AS109" s="795"/>
      <c r="AT109" s="779" t="str">
        <f t="array" ref="AT109:AU109">{"",'S-10 Оформление сделок Выборка'!AU109}</f>
        <v/>
      </c>
      <c r="AU109" s="805"/>
      <c r="AV109" s="779" t="str">
        <f t="array" ref="AV109:AW109">{"",'S-10 Оформление сделок Выборка'!AW109}</f>
        <v/>
      </c>
      <c r="AW109" s="797"/>
      <c r="AX109" s="786"/>
      <c r="AY109" s="786"/>
      <c r="AZ109" s="792" t="str">
        <f t="array" ref="AZ109:BA109">{"",'S-10 Оформление сделок Выборка'!BA109}</f>
        <v/>
      </c>
      <c r="BA109" s="798"/>
      <c r="BB109" s="792" t="str">
        <f t="array" ref="BB109:BC109">{"",'S-10 Оформление сделок Выборка'!BC109}</f>
        <v/>
      </c>
      <c r="BC109" s="799"/>
      <c r="BD109" s="792" t="str">
        <f t="array" ref="BD109:BE109">{"",'S-10 Оформление сделок Выборка'!BE109}</f>
        <v/>
      </c>
      <c r="BE109" s="793"/>
      <c r="BF109" s="800" t="str">
        <f t="array" ref="BF109:BG109">{"",'S-10 Оформление сделок Выборка'!BG109}</f>
        <v/>
      </c>
      <c r="BG109" s="794"/>
      <c r="BH109" s="794" t="str">
        <f t="array" ref="BH109:BI109">{"",'S-10 Оформление сделок Выборка'!BI109}</f>
        <v/>
      </c>
      <c r="BI109" s="794"/>
      <c r="BJ109" s="792" t="str">
        <f t="array" ref="BJ109:BK109">{"",'S-10 Оформление сделок Выборка'!BK109}</f>
        <v/>
      </c>
      <c r="BK109" s="793"/>
      <c r="BL109" s="792" t="str">
        <f t="array" ref="BL109:BM109">{"",'S-10 Оформление сделок Выборка'!BM109}</f>
        <v/>
      </c>
      <c r="BM109" s="801"/>
      <c r="BN109" s="792" t="str">
        <f t="array" ref="BN109:BO109">{"",'S-10 Оформление сделок Выборка'!BO109}</f>
        <v/>
      </c>
      <c r="BO109" s="793"/>
      <c r="BP109" s="792" t="str">
        <f t="array" ref="BP109:BQ109">{"",'S-10 Оформление сделок Выборка'!BQ109}</f>
        <v/>
      </c>
      <c r="BQ109" s="802"/>
      <c r="BR109" s="792" t="str">
        <f t="array" ref="BR109:BS109">{"",'S-10 Оформление сделок Выборка'!BS109}</f>
        <v/>
      </c>
      <c r="BS109" s="794"/>
      <c r="BT109" s="800" t="str">
        <f t="array" ref="BT109:BU109">{"",'S-10 Оформление сделок Выборка'!BU109}</f>
        <v/>
      </c>
      <c r="BU109" s="794"/>
      <c r="BV109" s="800" t="str">
        <f t="array" ref="BV109:BW109">{"",'S-10 Оформление сделок Выборка'!BW109}</f>
        <v/>
      </c>
      <c r="BW109" s="803" t="s">
        <v>96</v>
      </c>
      <c r="BX109" s="804"/>
    </row>
    <row r="110">
      <c r="A110" s="779"/>
      <c r="B110" s="779"/>
      <c r="C110" s="780" t="str">
        <f>'5-1 Сбор КП Закупки'!C110</f>
        <v/>
      </c>
      <c r="D110" s="781"/>
      <c r="E110" s="780"/>
      <c r="F110" s="783"/>
      <c r="G110" s="783"/>
      <c r="H110" s="783"/>
      <c r="I110" s="783"/>
      <c r="J110" s="780"/>
      <c r="K110" s="786"/>
      <c r="L110" s="785"/>
      <c r="M110" s="786"/>
      <c r="N110" s="786"/>
      <c r="O110" s="780"/>
      <c r="P110" s="787"/>
      <c r="Q110" s="780"/>
      <c r="R110" s="780"/>
      <c r="S110" s="780"/>
      <c r="T110" s="780"/>
      <c r="U110" s="780"/>
      <c r="V110" s="780"/>
      <c r="W110" s="787"/>
      <c r="X110" s="780"/>
      <c r="Y110" s="780"/>
      <c r="Z110" s="780"/>
      <c r="AA110" s="780"/>
      <c r="AB110" s="788"/>
      <c r="AC110" s="781"/>
      <c r="AD110" s="780"/>
      <c r="AE110" s="789" t="str">
        <f t="array" ref="AE110:AF110">{"",'S-10 Оформление сделок Выборка'!AF110}</f>
        <v/>
      </c>
      <c r="AF110" s="790"/>
      <c r="AG110" s="781"/>
      <c r="AH110" s="781"/>
      <c r="AI110" s="785"/>
      <c r="AJ110" s="780"/>
      <c r="AK110" s="792" t="str">
        <f t="array" ref="AK110:AL110">{"",'S-10 Оформление сделок Выборка'!AL110}</f>
        <v/>
      </c>
      <c r="AL110" s="793"/>
      <c r="AM110" s="792" t="str">
        <f t="array" ref="AM110:AN110">{"",'S-10 Оформление сделок Выборка'!AN110}</f>
        <v/>
      </c>
      <c r="AN110" s="794"/>
      <c r="AO110" s="792" t="str">
        <f t="array" ref="AO110:AP110">{"",'S-10 Оформление сделок Выборка'!AP110}</f>
        <v/>
      </c>
      <c r="AP110" s="786"/>
      <c r="AQ110" s="786"/>
      <c r="AR110" s="779" t="str">
        <f t="array" ref="AR110:AS110">{"",'S-10 Оформление сделок Выборка'!AS110}</f>
        <v/>
      </c>
      <c r="AS110" s="795"/>
      <c r="AT110" s="779" t="str">
        <f t="array" ref="AT110:AU110">{"",'S-10 Оформление сделок Выборка'!AU110}</f>
        <v/>
      </c>
      <c r="AU110" s="805"/>
      <c r="AV110" s="779" t="str">
        <f t="array" ref="AV110:AW110">{"",'S-10 Оформление сделок Выборка'!AW110}</f>
        <v/>
      </c>
      <c r="AW110" s="797"/>
      <c r="AX110" s="786"/>
      <c r="AY110" s="786"/>
      <c r="AZ110" s="792" t="str">
        <f t="array" ref="AZ110:BA110">{"",'S-10 Оформление сделок Выборка'!BA110}</f>
        <v/>
      </c>
      <c r="BA110" s="798"/>
      <c r="BB110" s="792" t="str">
        <f t="array" ref="BB110:BC110">{"",'S-10 Оформление сделок Выборка'!BC110}</f>
        <v/>
      </c>
      <c r="BC110" s="799"/>
      <c r="BD110" s="792" t="str">
        <f t="array" ref="BD110:BE110">{"",'S-10 Оформление сделок Выборка'!BE110}</f>
        <v/>
      </c>
      <c r="BE110" s="793"/>
      <c r="BF110" s="800" t="str">
        <f t="array" ref="BF110:BG110">{"",'S-10 Оформление сделок Выборка'!BG110}</f>
        <v/>
      </c>
      <c r="BG110" s="794"/>
      <c r="BH110" s="794" t="str">
        <f t="array" ref="BH110:BI110">{"",'S-10 Оформление сделок Выборка'!BI110}</f>
        <v/>
      </c>
      <c r="BI110" s="794"/>
      <c r="BJ110" s="792" t="str">
        <f t="array" ref="BJ110:BK110">{"",'S-10 Оформление сделок Выборка'!BK110}</f>
        <v/>
      </c>
      <c r="BK110" s="793"/>
      <c r="BL110" s="792" t="str">
        <f t="array" ref="BL110:BM110">{"",'S-10 Оформление сделок Выборка'!BM110}</f>
        <v/>
      </c>
      <c r="BM110" s="801"/>
      <c r="BN110" s="792" t="str">
        <f t="array" ref="BN110:BO110">{"",'S-10 Оформление сделок Выборка'!BO110}</f>
        <v/>
      </c>
      <c r="BO110" s="793"/>
      <c r="BP110" s="792" t="str">
        <f t="array" ref="BP110:BQ110">{"",'S-10 Оформление сделок Выборка'!BQ110}</f>
        <v/>
      </c>
      <c r="BQ110" s="802"/>
      <c r="BR110" s="792" t="str">
        <f t="array" ref="BR110:BS110">{"",'S-10 Оформление сделок Выборка'!BS110}</f>
        <v/>
      </c>
      <c r="BS110" s="794"/>
      <c r="BT110" s="800" t="str">
        <f t="array" ref="BT110:BU110">{"",'S-10 Оформление сделок Выборка'!BU110}</f>
        <v/>
      </c>
      <c r="BU110" s="794"/>
      <c r="BV110" s="800" t="str">
        <f t="array" ref="BV110:BW110">{"",'S-10 Оформление сделок Выборка'!BW110}</f>
        <v/>
      </c>
      <c r="BW110" s="803" t="s">
        <v>96</v>
      </c>
      <c r="BX110" s="804"/>
    </row>
    <row r="111">
      <c r="A111" s="779"/>
      <c r="B111" s="779"/>
      <c r="C111" s="780" t="str">
        <f>'5-1 Сбор КП Закупки'!C111</f>
        <v/>
      </c>
      <c r="D111" s="781"/>
      <c r="E111" s="780"/>
      <c r="F111" s="783"/>
      <c r="G111" s="783"/>
      <c r="H111" s="783"/>
      <c r="I111" s="783"/>
      <c r="J111" s="780"/>
      <c r="K111" s="786"/>
      <c r="L111" s="785"/>
      <c r="M111" s="786"/>
      <c r="N111" s="786"/>
      <c r="O111" s="780"/>
      <c r="P111" s="787"/>
      <c r="Q111" s="780"/>
      <c r="R111" s="780"/>
      <c r="S111" s="780"/>
      <c r="T111" s="780"/>
      <c r="U111" s="780"/>
      <c r="V111" s="780"/>
      <c r="W111" s="787"/>
      <c r="X111" s="780"/>
      <c r="Y111" s="780"/>
      <c r="Z111" s="780"/>
      <c r="AA111" s="780"/>
      <c r="AB111" s="788"/>
      <c r="AC111" s="781"/>
      <c r="AD111" s="780"/>
      <c r="AE111" s="789" t="str">
        <f t="array" ref="AE111:AF111">{"",'S-10 Оформление сделок Выборка'!AF111}</f>
        <v/>
      </c>
      <c r="AF111" s="790"/>
      <c r="AG111" s="781"/>
      <c r="AH111" s="781"/>
      <c r="AI111" s="785"/>
      <c r="AJ111" s="780"/>
      <c r="AK111" s="792" t="str">
        <f t="array" ref="AK111:AL111">{"",'S-10 Оформление сделок Выборка'!AL111}</f>
        <v/>
      </c>
      <c r="AL111" s="793"/>
      <c r="AM111" s="792" t="str">
        <f t="array" ref="AM111:AN111">{"",'S-10 Оформление сделок Выборка'!AN111}</f>
        <v/>
      </c>
      <c r="AN111" s="794"/>
      <c r="AO111" s="792" t="str">
        <f t="array" ref="AO111:AP111">{"",'S-10 Оформление сделок Выборка'!AP111}</f>
        <v/>
      </c>
      <c r="AP111" s="786"/>
      <c r="AQ111" s="786"/>
      <c r="AR111" s="779" t="str">
        <f t="array" ref="AR111:AS111">{"",'S-10 Оформление сделок Выборка'!AS111}</f>
        <v/>
      </c>
      <c r="AS111" s="795"/>
      <c r="AT111" s="779" t="str">
        <f t="array" ref="AT111:AU111">{"",'S-10 Оформление сделок Выборка'!AU111}</f>
        <v/>
      </c>
      <c r="AU111" s="805"/>
      <c r="AV111" s="779" t="str">
        <f t="array" ref="AV111:AW111">{"",'S-10 Оформление сделок Выборка'!AW111}</f>
        <v/>
      </c>
      <c r="AW111" s="797"/>
      <c r="AX111" s="786"/>
      <c r="AY111" s="786"/>
      <c r="AZ111" s="792" t="str">
        <f t="array" ref="AZ111:BA111">{"",'S-10 Оформление сделок Выборка'!BA111}</f>
        <v/>
      </c>
      <c r="BA111" s="798"/>
      <c r="BB111" s="792" t="str">
        <f t="array" ref="BB111:BC111">{"",'S-10 Оформление сделок Выборка'!BC111}</f>
        <v/>
      </c>
      <c r="BC111" s="799"/>
      <c r="BD111" s="792" t="str">
        <f t="array" ref="BD111:BE111">{"",'S-10 Оформление сделок Выборка'!BE111}</f>
        <v/>
      </c>
      <c r="BE111" s="793"/>
      <c r="BF111" s="800" t="str">
        <f t="array" ref="BF111:BG111">{"",'S-10 Оформление сделок Выборка'!BG111}</f>
        <v/>
      </c>
      <c r="BG111" s="794"/>
      <c r="BH111" s="794" t="str">
        <f t="array" ref="BH111:BI111">{"",'S-10 Оформление сделок Выборка'!BI111}</f>
        <v/>
      </c>
      <c r="BI111" s="794"/>
      <c r="BJ111" s="792" t="str">
        <f t="array" ref="BJ111:BK111">{"",'S-10 Оформление сделок Выборка'!BK111}</f>
        <v/>
      </c>
      <c r="BK111" s="793"/>
      <c r="BL111" s="792" t="str">
        <f t="array" ref="BL111:BM111">{"",'S-10 Оформление сделок Выборка'!BM111}</f>
        <v/>
      </c>
      <c r="BM111" s="801"/>
      <c r="BN111" s="792" t="str">
        <f t="array" ref="BN111:BO111">{"",'S-10 Оформление сделок Выборка'!BO111}</f>
        <v/>
      </c>
      <c r="BO111" s="793"/>
      <c r="BP111" s="792" t="str">
        <f t="array" ref="BP111:BQ111">{"",'S-10 Оформление сделок Выборка'!BQ111}</f>
        <v/>
      </c>
      <c r="BQ111" s="802"/>
      <c r="BR111" s="792" t="str">
        <f t="array" ref="BR111:BS111">{"",'S-10 Оформление сделок Выборка'!BS111}</f>
        <v/>
      </c>
      <c r="BS111" s="794"/>
      <c r="BT111" s="800" t="str">
        <f t="array" ref="BT111:BU111">{"",'S-10 Оформление сделок Выборка'!BU111}</f>
        <v/>
      </c>
      <c r="BU111" s="794"/>
      <c r="BV111" s="800" t="str">
        <f t="array" ref="BV111:BW111">{"",'S-10 Оформление сделок Выборка'!BW111}</f>
        <v/>
      </c>
      <c r="BW111" s="803" t="s">
        <v>96</v>
      </c>
      <c r="BX111" s="804"/>
    </row>
    <row r="112">
      <c r="A112" s="779"/>
      <c r="B112" s="779"/>
      <c r="C112" s="780" t="str">
        <f>'5-1 Сбор КП Закупки'!C112</f>
        <v/>
      </c>
      <c r="D112" s="781"/>
      <c r="E112" s="780"/>
      <c r="F112" s="783"/>
      <c r="G112" s="783"/>
      <c r="H112" s="783"/>
      <c r="I112" s="783"/>
      <c r="J112" s="780"/>
      <c r="K112" s="786"/>
      <c r="L112" s="785"/>
      <c r="M112" s="786"/>
      <c r="N112" s="786"/>
      <c r="O112" s="780"/>
      <c r="P112" s="787"/>
      <c r="Q112" s="780"/>
      <c r="R112" s="780"/>
      <c r="S112" s="780"/>
      <c r="T112" s="780"/>
      <c r="U112" s="780"/>
      <c r="V112" s="780"/>
      <c r="W112" s="787"/>
      <c r="X112" s="780"/>
      <c r="Y112" s="780"/>
      <c r="Z112" s="780"/>
      <c r="AA112" s="780"/>
      <c r="AB112" s="788"/>
      <c r="AC112" s="781"/>
      <c r="AD112" s="780"/>
      <c r="AE112" s="789" t="str">
        <f t="array" ref="AE112:AF112">{"",'S-10 Оформление сделок Выборка'!AF112}</f>
        <v/>
      </c>
      <c r="AF112" s="790"/>
      <c r="AG112" s="781"/>
      <c r="AH112" s="781"/>
      <c r="AI112" s="785"/>
      <c r="AJ112" s="780"/>
      <c r="AK112" s="792" t="str">
        <f t="array" ref="AK112:AL112">{"",'S-10 Оформление сделок Выборка'!AL112}</f>
        <v/>
      </c>
      <c r="AL112" s="793"/>
      <c r="AM112" s="792" t="str">
        <f t="array" ref="AM112:AN112">{"",'S-10 Оформление сделок Выборка'!AN112}</f>
        <v/>
      </c>
      <c r="AN112" s="794"/>
      <c r="AO112" s="792" t="str">
        <f t="array" ref="AO112:AP112">{"",'S-10 Оформление сделок Выборка'!AP112}</f>
        <v/>
      </c>
      <c r="AP112" s="786"/>
      <c r="AQ112" s="786"/>
      <c r="AR112" s="779" t="str">
        <f t="array" ref="AR112:AS112">{"",'S-10 Оформление сделок Выборка'!AS112}</f>
        <v/>
      </c>
      <c r="AS112" s="795"/>
      <c r="AT112" s="779" t="str">
        <f t="array" ref="AT112:AU112">{"",'S-10 Оформление сделок Выборка'!AU112}</f>
        <v/>
      </c>
      <c r="AU112" s="805"/>
      <c r="AV112" s="779" t="str">
        <f t="array" ref="AV112:AW112">{"",'S-10 Оформление сделок Выборка'!AW112}</f>
        <v/>
      </c>
      <c r="AW112" s="797"/>
      <c r="AX112" s="786"/>
      <c r="AY112" s="786"/>
      <c r="AZ112" s="792" t="str">
        <f t="array" ref="AZ112:BA112">{"",'S-10 Оформление сделок Выборка'!BA112}</f>
        <v/>
      </c>
      <c r="BA112" s="798"/>
      <c r="BB112" s="792" t="str">
        <f t="array" ref="BB112:BC112">{"",'S-10 Оформление сделок Выборка'!BC112}</f>
        <v/>
      </c>
      <c r="BC112" s="799"/>
      <c r="BD112" s="792" t="str">
        <f t="array" ref="BD112:BE112">{"",'S-10 Оформление сделок Выборка'!BE112}</f>
        <v/>
      </c>
      <c r="BE112" s="793"/>
      <c r="BF112" s="800" t="str">
        <f t="array" ref="BF112:BG112">{"",'S-10 Оформление сделок Выборка'!BG112}</f>
        <v/>
      </c>
      <c r="BG112" s="794"/>
      <c r="BH112" s="794" t="str">
        <f t="array" ref="BH112:BI112">{"",'S-10 Оформление сделок Выборка'!BI112}</f>
        <v/>
      </c>
      <c r="BI112" s="794"/>
      <c r="BJ112" s="792" t="str">
        <f t="array" ref="BJ112:BK112">{"",'S-10 Оформление сделок Выборка'!BK112}</f>
        <v/>
      </c>
      <c r="BK112" s="793"/>
      <c r="BL112" s="792" t="str">
        <f t="array" ref="BL112:BM112">{"",'S-10 Оформление сделок Выборка'!BM112}</f>
        <v/>
      </c>
      <c r="BM112" s="801"/>
      <c r="BN112" s="792" t="str">
        <f t="array" ref="BN112:BO112">{"",'S-10 Оформление сделок Выборка'!BO112}</f>
        <v/>
      </c>
      <c r="BO112" s="793"/>
      <c r="BP112" s="792" t="str">
        <f t="array" ref="BP112:BQ112">{"",'S-10 Оформление сделок Выборка'!BQ112}</f>
        <v/>
      </c>
      <c r="BQ112" s="802"/>
      <c r="BR112" s="792" t="str">
        <f t="array" ref="BR112:BS112">{"",'S-10 Оформление сделок Выборка'!BS112}</f>
        <v/>
      </c>
      <c r="BS112" s="794"/>
      <c r="BT112" s="800" t="str">
        <f t="array" ref="BT112:BU112">{"",'S-10 Оформление сделок Выборка'!BU112}</f>
        <v/>
      </c>
      <c r="BU112" s="794"/>
      <c r="BV112" s="800" t="str">
        <f t="array" ref="BV112:BW112">{"",'S-10 Оформление сделок Выборка'!BW112}</f>
        <v/>
      </c>
      <c r="BW112" s="803" t="s">
        <v>96</v>
      </c>
      <c r="BX112" s="804"/>
    </row>
    <row r="113">
      <c r="A113" s="779"/>
      <c r="B113" s="779"/>
      <c r="C113" s="780" t="str">
        <f>'5-1 Сбор КП Закупки'!C113</f>
        <v/>
      </c>
      <c r="D113" s="781"/>
      <c r="E113" s="780"/>
      <c r="F113" s="783"/>
      <c r="G113" s="783"/>
      <c r="H113" s="783"/>
      <c r="I113" s="783"/>
      <c r="J113" s="780"/>
      <c r="K113" s="786"/>
      <c r="L113" s="785"/>
      <c r="M113" s="786"/>
      <c r="N113" s="786"/>
      <c r="O113" s="780"/>
      <c r="P113" s="787"/>
      <c r="Q113" s="780"/>
      <c r="R113" s="780"/>
      <c r="S113" s="780"/>
      <c r="T113" s="780"/>
      <c r="U113" s="780"/>
      <c r="V113" s="780"/>
      <c r="W113" s="787"/>
      <c r="X113" s="780"/>
      <c r="Y113" s="780"/>
      <c r="Z113" s="780"/>
      <c r="AA113" s="780"/>
      <c r="AB113" s="788"/>
      <c r="AC113" s="781"/>
      <c r="AD113" s="780"/>
      <c r="AE113" s="789" t="str">
        <f t="array" ref="AE113:AF113">{"",'S-10 Оформление сделок Выборка'!AF113}</f>
        <v/>
      </c>
      <c r="AF113" s="790"/>
      <c r="AG113" s="781"/>
      <c r="AH113" s="781"/>
      <c r="AI113" s="785"/>
      <c r="AJ113" s="780"/>
      <c r="AK113" s="792" t="str">
        <f t="array" ref="AK113:AL113">{"",'S-10 Оформление сделок Выборка'!AL113}</f>
        <v/>
      </c>
      <c r="AL113" s="793"/>
      <c r="AM113" s="792" t="str">
        <f t="array" ref="AM113:AN113">{"",'S-10 Оформление сделок Выборка'!AN113}</f>
        <v/>
      </c>
      <c r="AN113" s="794"/>
      <c r="AO113" s="792" t="str">
        <f t="array" ref="AO113:AP113">{"",'S-10 Оформление сделок Выборка'!AP113}</f>
        <v/>
      </c>
      <c r="AP113" s="786"/>
      <c r="AQ113" s="786"/>
      <c r="AR113" s="779" t="str">
        <f t="array" ref="AR113:AS113">{"",'S-10 Оформление сделок Выборка'!AS113}</f>
        <v/>
      </c>
      <c r="AS113" s="795"/>
      <c r="AT113" s="779" t="str">
        <f t="array" ref="AT113:AU113">{"",'S-10 Оформление сделок Выборка'!AU113}</f>
        <v/>
      </c>
      <c r="AU113" s="805"/>
      <c r="AV113" s="779" t="str">
        <f t="array" ref="AV113:AW113">{"",'S-10 Оформление сделок Выборка'!AW113}</f>
        <v/>
      </c>
      <c r="AW113" s="797"/>
      <c r="AX113" s="786"/>
      <c r="AY113" s="786"/>
      <c r="AZ113" s="792" t="str">
        <f t="array" ref="AZ113:BA113">{"",'S-10 Оформление сделок Выборка'!BA113}</f>
        <v/>
      </c>
      <c r="BA113" s="798"/>
      <c r="BB113" s="792" t="str">
        <f t="array" ref="BB113:BC113">{"",'S-10 Оформление сделок Выборка'!BC113}</f>
        <v/>
      </c>
      <c r="BC113" s="799"/>
      <c r="BD113" s="792" t="str">
        <f t="array" ref="BD113:BE113">{"",'S-10 Оформление сделок Выборка'!BE113}</f>
        <v/>
      </c>
      <c r="BE113" s="793"/>
      <c r="BF113" s="800" t="str">
        <f t="array" ref="BF113:BG113">{"",'S-10 Оформление сделок Выборка'!BG113}</f>
        <v/>
      </c>
      <c r="BG113" s="794"/>
      <c r="BH113" s="794" t="str">
        <f t="array" ref="BH113:BI113">{"",'S-10 Оформление сделок Выборка'!BI113}</f>
        <v/>
      </c>
      <c r="BI113" s="794"/>
      <c r="BJ113" s="792" t="str">
        <f t="array" ref="BJ113:BK113">{"",'S-10 Оформление сделок Выборка'!BK113}</f>
        <v/>
      </c>
      <c r="BK113" s="793"/>
      <c r="BL113" s="792" t="str">
        <f t="array" ref="BL113:BM113">{"",'S-10 Оформление сделок Выборка'!BM113}</f>
        <v/>
      </c>
      <c r="BM113" s="801"/>
      <c r="BN113" s="792" t="str">
        <f t="array" ref="BN113:BO113">{"",'S-10 Оформление сделок Выборка'!BO113}</f>
        <v/>
      </c>
      <c r="BO113" s="793"/>
      <c r="BP113" s="792" t="str">
        <f t="array" ref="BP113:BQ113">{"",'S-10 Оформление сделок Выборка'!BQ113}</f>
        <v/>
      </c>
      <c r="BQ113" s="802"/>
      <c r="BR113" s="792" t="str">
        <f t="array" ref="BR113:BS113">{"",'S-10 Оформление сделок Выборка'!BS113}</f>
        <v/>
      </c>
      <c r="BS113" s="794"/>
      <c r="BT113" s="800" t="str">
        <f t="array" ref="BT113:BU113">{"",'S-10 Оформление сделок Выборка'!BU113}</f>
        <v/>
      </c>
      <c r="BU113" s="794"/>
      <c r="BV113" s="800" t="str">
        <f t="array" ref="BV113:BW113">{"",'S-10 Оформление сделок Выборка'!BW113}</f>
        <v/>
      </c>
      <c r="BW113" s="803" t="s">
        <v>96</v>
      </c>
      <c r="BX113" s="804"/>
    </row>
    <row r="114">
      <c r="A114" s="779"/>
      <c r="B114" s="779"/>
      <c r="C114" s="780" t="str">
        <f>'5-1 Сбор КП Закупки'!C114</f>
        <v/>
      </c>
      <c r="D114" s="781"/>
      <c r="E114" s="780"/>
      <c r="F114" s="783"/>
      <c r="G114" s="783"/>
      <c r="H114" s="783"/>
      <c r="I114" s="783"/>
      <c r="J114" s="780"/>
      <c r="K114" s="786"/>
      <c r="L114" s="785"/>
      <c r="M114" s="786"/>
      <c r="N114" s="786"/>
      <c r="O114" s="780"/>
      <c r="P114" s="787"/>
      <c r="Q114" s="780"/>
      <c r="R114" s="780"/>
      <c r="S114" s="780"/>
      <c r="T114" s="780"/>
      <c r="U114" s="780"/>
      <c r="V114" s="780"/>
      <c r="W114" s="787"/>
      <c r="X114" s="780"/>
      <c r="Y114" s="780"/>
      <c r="Z114" s="780"/>
      <c r="AA114" s="780"/>
      <c r="AB114" s="788"/>
      <c r="AC114" s="781"/>
      <c r="AD114" s="780"/>
      <c r="AE114" s="789" t="str">
        <f t="array" ref="AE114:AF114">{"",'S-10 Оформление сделок Выборка'!AF114}</f>
        <v/>
      </c>
      <c r="AF114" s="790"/>
      <c r="AG114" s="781"/>
      <c r="AH114" s="781"/>
      <c r="AI114" s="785"/>
      <c r="AJ114" s="780"/>
      <c r="AK114" s="792" t="str">
        <f t="array" ref="AK114:AL114">{"",'S-10 Оформление сделок Выборка'!AL114}</f>
        <v/>
      </c>
      <c r="AL114" s="793"/>
      <c r="AM114" s="792" t="str">
        <f t="array" ref="AM114:AN114">{"",'S-10 Оформление сделок Выборка'!AN114}</f>
        <v/>
      </c>
      <c r="AN114" s="794"/>
      <c r="AO114" s="792" t="str">
        <f t="array" ref="AO114:AP114">{"",'S-10 Оформление сделок Выборка'!AP114}</f>
        <v/>
      </c>
      <c r="AP114" s="786"/>
      <c r="AQ114" s="786"/>
      <c r="AR114" s="779" t="str">
        <f t="array" ref="AR114:AS114">{"",'S-10 Оформление сделок Выборка'!AS114}</f>
        <v/>
      </c>
      <c r="AS114" s="795"/>
      <c r="AT114" s="779" t="str">
        <f t="array" ref="AT114:AU114">{"",'S-10 Оформление сделок Выборка'!AU114}</f>
        <v/>
      </c>
      <c r="AU114" s="805"/>
      <c r="AV114" s="779" t="str">
        <f t="array" ref="AV114:AW114">{"",'S-10 Оформление сделок Выборка'!AW114}</f>
        <v/>
      </c>
      <c r="AW114" s="797"/>
      <c r="AX114" s="786"/>
      <c r="AY114" s="786"/>
      <c r="AZ114" s="792" t="str">
        <f t="array" ref="AZ114:BA114">{"",'S-10 Оформление сделок Выборка'!BA114}</f>
        <v/>
      </c>
      <c r="BA114" s="798"/>
      <c r="BB114" s="792" t="str">
        <f t="array" ref="BB114:BC114">{"",'S-10 Оформление сделок Выборка'!BC114}</f>
        <v/>
      </c>
      <c r="BC114" s="799"/>
      <c r="BD114" s="792" t="str">
        <f t="array" ref="BD114:BE114">{"",'S-10 Оформление сделок Выборка'!BE114}</f>
        <v/>
      </c>
      <c r="BE114" s="793"/>
      <c r="BF114" s="800" t="str">
        <f t="array" ref="BF114:BG114">{"",'S-10 Оформление сделок Выборка'!BG114}</f>
        <v/>
      </c>
      <c r="BG114" s="794"/>
      <c r="BH114" s="794" t="str">
        <f t="array" ref="BH114:BI114">{"",'S-10 Оформление сделок Выборка'!BI114}</f>
        <v/>
      </c>
      <c r="BI114" s="794"/>
      <c r="BJ114" s="792" t="str">
        <f t="array" ref="BJ114:BK114">{"",'S-10 Оформление сделок Выборка'!BK114}</f>
        <v/>
      </c>
      <c r="BK114" s="793"/>
      <c r="BL114" s="792" t="str">
        <f t="array" ref="BL114:BM114">{"",'S-10 Оформление сделок Выборка'!BM114}</f>
        <v/>
      </c>
      <c r="BM114" s="801"/>
      <c r="BN114" s="792" t="str">
        <f t="array" ref="BN114:BO114">{"",'S-10 Оформление сделок Выборка'!BO114}</f>
        <v/>
      </c>
      <c r="BO114" s="793"/>
      <c r="BP114" s="792" t="str">
        <f t="array" ref="BP114:BQ114">{"",'S-10 Оформление сделок Выборка'!BQ114}</f>
        <v/>
      </c>
      <c r="BQ114" s="802"/>
      <c r="BR114" s="792" t="str">
        <f t="array" ref="BR114:BS114">{"",'S-10 Оформление сделок Выборка'!BS114}</f>
        <v/>
      </c>
      <c r="BS114" s="794"/>
      <c r="BT114" s="800" t="str">
        <f t="array" ref="BT114:BU114">{"",'S-10 Оформление сделок Выборка'!BU114}</f>
        <v/>
      </c>
      <c r="BU114" s="794"/>
      <c r="BV114" s="800" t="str">
        <f t="array" ref="BV114:BW114">{"",'S-10 Оформление сделок Выборка'!BW114}</f>
        <v/>
      </c>
      <c r="BW114" s="803" t="s">
        <v>96</v>
      </c>
      <c r="BX114" s="804"/>
    </row>
    <row r="115">
      <c r="A115" s="779"/>
      <c r="B115" s="779"/>
      <c r="C115" s="780" t="str">
        <f>'5-1 Сбор КП Закупки'!C115</f>
        <v/>
      </c>
      <c r="D115" s="781"/>
      <c r="E115" s="780"/>
      <c r="F115" s="783"/>
      <c r="G115" s="783"/>
      <c r="H115" s="783"/>
      <c r="I115" s="783"/>
      <c r="J115" s="780"/>
      <c r="K115" s="786"/>
      <c r="L115" s="785"/>
      <c r="M115" s="786"/>
      <c r="N115" s="786"/>
      <c r="O115" s="780"/>
      <c r="P115" s="787"/>
      <c r="Q115" s="780"/>
      <c r="R115" s="780"/>
      <c r="S115" s="780"/>
      <c r="T115" s="780"/>
      <c r="U115" s="780"/>
      <c r="V115" s="780"/>
      <c r="W115" s="787"/>
      <c r="X115" s="780"/>
      <c r="Y115" s="780"/>
      <c r="Z115" s="780"/>
      <c r="AA115" s="780"/>
      <c r="AB115" s="788"/>
      <c r="AC115" s="781"/>
      <c r="AD115" s="780"/>
      <c r="AE115" s="789" t="str">
        <f t="array" ref="AE115:AF115">{"",'S-10 Оформление сделок Выборка'!AF115}</f>
        <v/>
      </c>
      <c r="AF115" s="790"/>
      <c r="AG115" s="781"/>
      <c r="AH115" s="781"/>
      <c r="AI115" s="785"/>
      <c r="AJ115" s="780"/>
      <c r="AK115" s="792" t="str">
        <f t="array" ref="AK115:AL115">{"",'S-10 Оформление сделок Выборка'!AL115}</f>
        <v/>
      </c>
      <c r="AL115" s="793"/>
      <c r="AM115" s="792" t="str">
        <f t="array" ref="AM115:AN115">{"",'S-10 Оформление сделок Выборка'!AN115}</f>
        <v/>
      </c>
      <c r="AN115" s="794"/>
      <c r="AO115" s="792" t="str">
        <f t="array" ref="AO115:AP115">{"",'S-10 Оформление сделок Выборка'!AP115}</f>
        <v/>
      </c>
      <c r="AP115" s="786"/>
      <c r="AQ115" s="786"/>
      <c r="AR115" s="779" t="str">
        <f t="array" ref="AR115:AS115">{"",'S-10 Оформление сделок Выборка'!AS115}</f>
        <v/>
      </c>
      <c r="AS115" s="795"/>
      <c r="AT115" s="779" t="str">
        <f t="array" ref="AT115:AU115">{"",'S-10 Оформление сделок Выборка'!AU115}</f>
        <v/>
      </c>
      <c r="AU115" s="805"/>
      <c r="AV115" s="779" t="str">
        <f t="array" ref="AV115:AW115">{"",'S-10 Оформление сделок Выборка'!AW115}</f>
        <v/>
      </c>
      <c r="AW115" s="797"/>
      <c r="AX115" s="786"/>
      <c r="AY115" s="786"/>
      <c r="AZ115" s="792" t="str">
        <f t="array" ref="AZ115:BA115">{"",'S-10 Оформление сделок Выборка'!BA115}</f>
        <v/>
      </c>
      <c r="BA115" s="798"/>
      <c r="BB115" s="792" t="str">
        <f t="array" ref="BB115:BC115">{"",'S-10 Оформление сделок Выборка'!BC115}</f>
        <v/>
      </c>
      <c r="BC115" s="799"/>
      <c r="BD115" s="792" t="str">
        <f t="array" ref="BD115:BE115">{"",'S-10 Оформление сделок Выборка'!BE115}</f>
        <v/>
      </c>
      <c r="BE115" s="793"/>
      <c r="BF115" s="800" t="str">
        <f t="array" ref="BF115:BG115">{"",'S-10 Оформление сделок Выборка'!BG115}</f>
        <v/>
      </c>
      <c r="BG115" s="794"/>
      <c r="BH115" s="794" t="str">
        <f t="array" ref="BH115:BI115">{"",'S-10 Оформление сделок Выборка'!BI115}</f>
        <v/>
      </c>
      <c r="BI115" s="794"/>
      <c r="BJ115" s="792" t="str">
        <f t="array" ref="BJ115:BK115">{"",'S-10 Оформление сделок Выборка'!BK115}</f>
        <v/>
      </c>
      <c r="BK115" s="793"/>
      <c r="BL115" s="792" t="str">
        <f t="array" ref="BL115:BM115">{"",'S-10 Оформление сделок Выборка'!BM115}</f>
        <v/>
      </c>
      <c r="BM115" s="801"/>
      <c r="BN115" s="792" t="str">
        <f t="array" ref="BN115:BO115">{"",'S-10 Оформление сделок Выборка'!BO115}</f>
        <v/>
      </c>
      <c r="BO115" s="793"/>
      <c r="BP115" s="792" t="str">
        <f t="array" ref="BP115:BQ115">{"",'S-10 Оформление сделок Выборка'!BQ115}</f>
        <v/>
      </c>
      <c r="BQ115" s="802"/>
      <c r="BR115" s="792" t="str">
        <f t="array" ref="BR115:BS115">{"",'S-10 Оформление сделок Выборка'!BS115}</f>
        <v/>
      </c>
      <c r="BS115" s="794"/>
      <c r="BT115" s="800" t="str">
        <f t="array" ref="BT115:BU115">{"",'S-10 Оформление сделок Выборка'!BU115}</f>
        <v/>
      </c>
      <c r="BU115" s="794"/>
      <c r="BV115" s="800" t="str">
        <f t="array" ref="BV115:BW115">{"",'S-10 Оформление сделок Выборка'!BW115}</f>
        <v/>
      </c>
      <c r="BW115" s="803" t="s">
        <v>96</v>
      </c>
      <c r="BX115" s="804"/>
    </row>
    <row r="116">
      <c r="A116" s="779"/>
      <c r="B116" s="779"/>
      <c r="C116" s="780" t="str">
        <f>'5-1 Сбор КП Закупки'!C116</f>
        <v/>
      </c>
      <c r="D116" s="781"/>
      <c r="E116" s="780"/>
      <c r="F116" s="783"/>
      <c r="G116" s="783"/>
      <c r="H116" s="783"/>
      <c r="I116" s="783"/>
      <c r="J116" s="780"/>
      <c r="K116" s="786"/>
      <c r="L116" s="785"/>
      <c r="M116" s="786"/>
      <c r="N116" s="786"/>
      <c r="O116" s="780"/>
      <c r="P116" s="787"/>
      <c r="Q116" s="780"/>
      <c r="R116" s="780"/>
      <c r="S116" s="780"/>
      <c r="T116" s="780"/>
      <c r="U116" s="780"/>
      <c r="V116" s="780"/>
      <c r="W116" s="787"/>
      <c r="X116" s="780"/>
      <c r="Y116" s="780"/>
      <c r="Z116" s="780"/>
      <c r="AA116" s="780"/>
      <c r="AB116" s="788"/>
      <c r="AC116" s="781"/>
      <c r="AD116" s="780"/>
      <c r="AE116" s="789" t="str">
        <f t="array" ref="AE116:AF116">{"",'S-10 Оформление сделок Выборка'!AF116}</f>
        <v/>
      </c>
      <c r="AF116" s="790"/>
      <c r="AG116" s="781"/>
      <c r="AH116" s="781"/>
      <c r="AI116" s="785"/>
      <c r="AJ116" s="780"/>
      <c r="AK116" s="792" t="str">
        <f t="array" ref="AK116:AL116">{"",'S-10 Оформление сделок Выборка'!AL116}</f>
        <v/>
      </c>
      <c r="AL116" s="793"/>
      <c r="AM116" s="792" t="str">
        <f t="array" ref="AM116:AN116">{"",'S-10 Оформление сделок Выборка'!AN116}</f>
        <v/>
      </c>
      <c r="AN116" s="794"/>
      <c r="AO116" s="792" t="str">
        <f t="array" ref="AO116:AP116">{"",'S-10 Оформление сделок Выборка'!AP116}</f>
        <v/>
      </c>
      <c r="AP116" s="786"/>
      <c r="AQ116" s="786"/>
      <c r="AR116" s="779" t="str">
        <f t="array" ref="AR116:AS116">{"",'S-10 Оформление сделок Выборка'!AS116}</f>
        <v/>
      </c>
      <c r="AS116" s="795"/>
      <c r="AT116" s="779" t="str">
        <f t="array" ref="AT116:AU116">{"",'S-10 Оформление сделок Выборка'!AU116}</f>
        <v/>
      </c>
      <c r="AU116" s="805"/>
      <c r="AV116" s="779" t="str">
        <f t="array" ref="AV116:AW116">{"",'S-10 Оформление сделок Выборка'!AW116}</f>
        <v/>
      </c>
      <c r="AW116" s="797"/>
      <c r="AX116" s="786"/>
      <c r="AY116" s="786"/>
      <c r="AZ116" s="792" t="str">
        <f t="array" ref="AZ116:BA116">{"",'S-10 Оформление сделок Выборка'!BA116}</f>
        <v/>
      </c>
      <c r="BA116" s="798"/>
      <c r="BB116" s="792" t="str">
        <f t="array" ref="BB116:BC116">{"",'S-10 Оформление сделок Выборка'!BC116}</f>
        <v/>
      </c>
      <c r="BC116" s="799"/>
      <c r="BD116" s="792" t="str">
        <f t="array" ref="BD116:BE116">{"",'S-10 Оформление сделок Выборка'!BE116}</f>
        <v/>
      </c>
      <c r="BE116" s="793"/>
      <c r="BF116" s="800" t="str">
        <f t="array" ref="BF116:BG116">{"",'S-10 Оформление сделок Выборка'!BG116}</f>
        <v/>
      </c>
      <c r="BG116" s="794"/>
      <c r="BH116" s="794" t="str">
        <f t="array" ref="BH116:BI116">{"",'S-10 Оформление сделок Выборка'!BI116}</f>
        <v/>
      </c>
      <c r="BI116" s="794"/>
      <c r="BJ116" s="792" t="str">
        <f t="array" ref="BJ116:BK116">{"",'S-10 Оформление сделок Выборка'!BK116}</f>
        <v/>
      </c>
      <c r="BK116" s="793"/>
      <c r="BL116" s="792" t="str">
        <f t="array" ref="BL116:BM116">{"",'S-10 Оформление сделок Выборка'!BM116}</f>
        <v/>
      </c>
      <c r="BM116" s="801"/>
      <c r="BN116" s="792" t="str">
        <f t="array" ref="BN116:BO116">{"",'S-10 Оформление сделок Выборка'!BO116}</f>
        <v/>
      </c>
      <c r="BO116" s="793"/>
      <c r="BP116" s="792" t="str">
        <f t="array" ref="BP116:BQ116">{"",'S-10 Оформление сделок Выборка'!BQ116}</f>
        <v/>
      </c>
      <c r="BQ116" s="802"/>
      <c r="BR116" s="792" t="str">
        <f t="array" ref="BR116:BS116">{"",'S-10 Оформление сделок Выборка'!BS116}</f>
        <v/>
      </c>
      <c r="BS116" s="794"/>
      <c r="BT116" s="800" t="str">
        <f t="array" ref="BT116:BU116">{"",'S-10 Оформление сделок Выборка'!BU116}</f>
        <v/>
      </c>
      <c r="BU116" s="794"/>
      <c r="BV116" s="800" t="str">
        <f t="array" ref="BV116:BW116">{"",'S-10 Оформление сделок Выборка'!BW116}</f>
        <v/>
      </c>
      <c r="BW116" s="803" t="s">
        <v>96</v>
      </c>
      <c r="BX116" s="804"/>
    </row>
    <row r="117">
      <c r="A117" s="779"/>
      <c r="B117" s="779"/>
      <c r="C117" s="780" t="str">
        <f>'5-1 Сбор КП Закупки'!C117</f>
        <v/>
      </c>
      <c r="D117" s="781"/>
      <c r="E117" s="780"/>
      <c r="F117" s="783"/>
      <c r="G117" s="783"/>
      <c r="H117" s="783"/>
      <c r="I117" s="783"/>
      <c r="J117" s="780"/>
      <c r="K117" s="786"/>
      <c r="L117" s="785"/>
      <c r="M117" s="786"/>
      <c r="N117" s="786"/>
      <c r="O117" s="780"/>
      <c r="P117" s="787"/>
      <c r="Q117" s="780"/>
      <c r="R117" s="780"/>
      <c r="S117" s="780"/>
      <c r="T117" s="780"/>
      <c r="U117" s="780"/>
      <c r="V117" s="780"/>
      <c r="W117" s="787"/>
      <c r="X117" s="780"/>
      <c r="Y117" s="780"/>
      <c r="Z117" s="780"/>
      <c r="AA117" s="780"/>
      <c r="AB117" s="788"/>
      <c r="AC117" s="781"/>
      <c r="AD117" s="780"/>
      <c r="AE117" s="789" t="str">
        <f t="array" ref="AE117:AF117">{"",'S-10 Оформление сделок Выборка'!AF117}</f>
        <v/>
      </c>
      <c r="AF117" s="790"/>
      <c r="AG117" s="781"/>
      <c r="AH117" s="781"/>
      <c r="AI117" s="785"/>
      <c r="AJ117" s="780"/>
      <c r="AK117" s="792" t="str">
        <f t="array" ref="AK117:AL117">{"",'S-10 Оформление сделок Выборка'!AL117}</f>
        <v/>
      </c>
      <c r="AL117" s="793"/>
      <c r="AM117" s="792" t="str">
        <f t="array" ref="AM117:AN117">{"",'S-10 Оформление сделок Выборка'!AN117}</f>
        <v/>
      </c>
      <c r="AN117" s="794"/>
      <c r="AO117" s="792" t="str">
        <f t="array" ref="AO117:AP117">{"",'S-10 Оформление сделок Выборка'!AP117}</f>
        <v/>
      </c>
      <c r="AP117" s="786"/>
      <c r="AQ117" s="786"/>
      <c r="AR117" s="779" t="str">
        <f t="array" ref="AR117:AS117">{"",'S-10 Оформление сделок Выборка'!AS117}</f>
        <v/>
      </c>
      <c r="AS117" s="795"/>
      <c r="AT117" s="779" t="str">
        <f t="array" ref="AT117:AU117">{"",'S-10 Оформление сделок Выборка'!AU117}</f>
        <v/>
      </c>
      <c r="AU117" s="805"/>
      <c r="AV117" s="779" t="str">
        <f t="array" ref="AV117:AW117">{"",'S-10 Оформление сделок Выборка'!AW117}</f>
        <v/>
      </c>
      <c r="AW117" s="797"/>
      <c r="AX117" s="786"/>
      <c r="AY117" s="786"/>
      <c r="AZ117" s="792" t="str">
        <f t="array" ref="AZ117:BA117">{"",'S-10 Оформление сделок Выборка'!BA117}</f>
        <v/>
      </c>
      <c r="BA117" s="798"/>
      <c r="BB117" s="792" t="str">
        <f t="array" ref="BB117:BC117">{"",'S-10 Оформление сделок Выборка'!BC117}</f>
        <v/>
      </c>
      <c r="BC117" s="799"/>
      <c r="BD117" s="792" t="str">
        <f t="array" ref="BD117:BE117">{"",'S-10 Оформление сделок Выборка'!BE117}</f>
        <v/>
      </c>
      <c r="BE117" s="793"/>
      <c r="BF117" s="800" t="str">
        <f t="array" ref="BF117:BG117">{"",'S-10 Оформление сделок Выборка'!BG117}</f>
        <v/>
      </c>
      <c r="BG117" s="794"/>
      <c r="BH117" s="794" t="str">
        <f t="array" ref="BH117:BI117">{"",'S-10 Оформление сделок Выборка'!BI117}</f>
        <v/>
      </c>
      <c r="BI117" s="794"/>
      <c r="BJ117" s="792" t="str">
        <f t="array" ref="BJ117:BK117">{"",'S-10 Оформление сделок Выборка'!BK117}</f>
        <v/>
      </c>
      <c r="BK117" s="793"/>
      <c r="BL117" s="792" t="str">
        <f t="array" ref="BL117:BM117">{"",'S-10 Оформление сделок Выборка'!BM117}</f>
        <v/>
      </c>
      <c r="BM117" s="801"/>
      <c r="BN117" s="792" t="str">
        <f t="array" ref="BN117:BO117">{"",'S-10 Оформление сделок Выборка'!BO117}</f>
        <v/>
      </c>
      <c r="BO117" s="793"/>
      <c r="BP117" s="792" t="str">
        <f t="array" ref="BP117:BQ117">{"",'S-10 Оформление сделок Выборка'!BQ117}</f>
        <v/>
      </c>
      <c r="BQ117" s="802"/>
      <c r="BR117" s="792" t="str">
        <f t="array" ref="BR117:BS117">{"",'S-10 Оформление сделок Выборка'!BS117}</f>
        <v/>
      </c>
      <c r="BS117" s="794"/>
      <c r="BT117" s="800" t="str">
        <f t="array" ref="BT117:BU117">{"",'S-10 Оформление сделок Выборка'!BU117}</f>
        <v/>
      </c>
      <c r="BU117" s="794"/>
      <c r="BV117" s="800" t="str">
        <f t="array" ref="BV117:BW117">{"",'S-10 Оформление сделок Выборка'!BW117}</f>
        <v/>
      </c>
      <c r="BW117" s="803" t="s">
        <v>96</v>
      </c>
      <c r="BX117" s="804"/>
    </row>
    <row r="118">
      <c r="A118" s="779"/>
      <c r="B118" s="779"/>
      <c r="C118" s="780" t="str">
        <f>'5-1 Сбор КП Закупки'!C118</f>
        <v/>
      </c>
      <c r="D118" s="781"/>
      <c r="E118" s="780"/>
      <c r="F118" s="783"/>
      <c r="G118" s="783"/>
      <c r="H118" s="783"/>
      <c r="I118" s="783"/>
      <c r="J118" s="780"/>
      <c r="K118" s="786"/>
      <c r="L118" s="785"/>
      <c r="M118" s="786"/>
      <c r="N118" s="786"/>
      <c r="O118" s="780"/>
      <c r="P118" s="787"/>
      <c r="Q118" s="780"/>
      <c r="R118" s="780"/>
      <c r="S118" s="780"/>
      <c r="T118" s="780"/>
      <c r="U118" s="780"/>
      <c r="V118" s="780"/>
      <c r="W118" s="787"/>
      <c r="X118" s="780"/>
      <c r="Y118" s="780"/>
      <c r="Z118" s="780"/>
      <c r="AA118" s="780"/>
      <c r="AB118" s="788"/>
      <c r="AC118" s="781"/>
      <c r="AD118" s="780"/>
      <c r="AE118" s="789" t="str">
        <f t="array" ref="AE118:AF118">{"",'S-10 Оформление сделок Выборка'!AF118}</f>
        <v/>
      </c>
      <c r="AF118" s="790"/>
      <c r="AG118" s="781"/>
      <c r="AH118" s="781"/>
      <c r="AI118" s="785"/>
      <c r="AJ118" s="780"/>
      <c r="AK118" s="792" t="str">
        <f t="array" ref="AK118:AL118">{"",'S-10 Оформление сделок Выборка'!AL118}</f>
        <v/>
      </c>
      <c r="AL118" s="793"/>
      <c r="AM118" s="792" t="str">
        <f t="array" ref="AM118:AN118">{"",'S-10 Оформление сделок Выборка'!AN118}</f>
        <v/>
      </c>
      <c r="AN118" s="794"/>
      <c r="AO118" s="792" t="str">
        <f t="array" ref="AO118:AP118">{"",'S-10 Оформление сделок Выборка'!AP118}</f>
        <v/>
      </c>
      <c r="AP118" s="786"/>
      <c r="AQ118" s="786"/>
      <c r="AR118" s="779" t="str">
        <f t="array" ref="AR118:AS118">{"",'S-10 Оформление сделок Выборка'!AS118}</f>
        <v/>
      </c>
      <c r="AS118" s="795"/>
      <c r="AT118" s="779" t="str">
        <f t="array" ref="AT118:AU118">{"",'S-10 Оформление сделок Выборка'!AU118}</f>
        <v/>
      </c>
      <c r="AU118" s="805"/>
      <c r="AV118" s="779" t="str">
        <f t="array" ref="AV118:AW118">{"",'S-10 Оформление сделок Выборка'!AW118}</f>
        <v/>
      </c>
      <c r="AW118" s="797"/>
      <c r="AX118" s="786"/>
      <c r="AY118" s="786"/>
      <c r="AZ118" s="792" t="str">
        <f t="array" ref="AZ118:BA118">{"",'S-10 Оформление сделок Выборка'!BA118}</f>
        <v/>
      </c>
      <c r="BA118" s="798"/>
      <c r="BB118" s="792" t="str">
        <f t="array" ref="BB118:BC118">{"",'S-10 Оформление сделок Выборка'!BC118}</f>
        <v/>
      </c>
      <c r="BC118" s="799"/>
      <c r="BD118" s="792" t="str">
        <f t="array" ref="BD118:BE118">{"",'S-10 Оформление сделок Выборка'!BE118}</f>
        <v/>
      </c>
      <c r="BE118" s="793"/>
      <c r="BF118" s="800" t="str">
        <f t="array" ref="BF118:BG118">{"",'S-10 Оформление сделок Выборка'!BG118}</f>
        <v/>
      </c>
      <c r="BG118" s="794"/>
      <c r="BH118" s="794" t="str">
        <f t="array" ref="BH118:BI118">{"",'S-10 Оформление сделок Выборка'!BI118}</f>
        <v/>
      </c>
      <c r="BI118" s="794"/>
      <c r="BJ118" s="792" t="str">
        <f t="array" ref="BJ118:BK118">{"",'S-10 Оформление сделок Выборка'!BK118}</f>
        <v/>
      </c>
      <c r="BK118" s="793"/>
      <c r="BL118" s="792" t="str">
        <f t="array" ref="BL118:BM118">{"",'S-10 Оформление сделок Выборка'!BM118}</f>
        <v/>
      </c>
      <c r="BM118" s="801"/>
      <c r="BN118" s="792" t="str">
        <f t="array" ref="BN118:BO118">{"",'S-10 Оформление сделок Выборка'!BO118}</f>
        <v/>
      </c>
      <c r="BO118" s="793"/>
      <c r="BP118" s="792" t="str">
        <f t="array" ref="BP118:BQ118">{"",'S-10 Оформление сделок Выборка'!BQ118}</f>
        <v/>
      </c>
      <c r="BQ118" s="802"/>
      <c r="BR118" s="792" t="str">
        <f t="array" ref="BR118:BS118">{"",'S-10 Оформление сделок Выборка'!BS118}</f>
        <v/>
      </c>
      <c r="BS118" s="794"/>
      <c r="BT118" s="800" t="str">
        <f t="array" ref="BT118:BU118">{"",'S-10 Оформление сделок Выборка'!BU118}</f>
        <v/>
      </c>
      <c r="BU118" s="794"/>
      <c r="BV118" s="800" t="str">
        <f t="array" ref="BV118:BW118">{"",'S-10 Оформление сделок Выборка'!BW118}</f>
        <v/>
      </c>
      <c r="BW118" s="803" t="s">
        <v>96</v>
      </c>
      <c r="BX118" s="804"/>
    </row>
    <row r="119">
      <c r="A119" s="779"/>
      <c r="B119" s="779"/>
      <c r="C119" s="780" t="str">
        <f>'5-1 Сбор КП Закупки'!C119</f>
        <v/>
      </c>
      <c r="D119" s="781"/>
      <c r="E119" s="780"/>
      <c r="F119" s="783"/>
      <c r="G119" s="783"/>
      <c r="H119" s="783"/>
      <c r="I119" s="783"/>
      <c r="J119" s="780"/>
      <c r="K119" s="786"/>
      <c r="L119" s="785"/>
      <c r="M119" s="786"/>
      <c r="N119" s="786"/>
      <c r="O119" s="780"/>
      <c r="P119" s="787"/>
      <c r="Q119" s="780"/>
      <c r="R119" s="780"/>
      <c r="S119" s="780"/>
      <c r="T119" s="780"/>
      <c r="U119" s="780"/>
      <c r="V119" s="780"/>
      <c r="W119" s="787"/>
      <c r="X119" s="780"/>
      <c r="Y119" s="780"/>
      <c r="Z119" s="780"/>
      <c r="AA119" s="780"/>
      <c r="AB119" s="788"/>
      <c r="AC119" s="781"/>
      <c r="AD119" s="780"/>
      <c r="AE119" s="789" t="str">
        <f t="array" ref="AE119:AF119">{"",'S-10 Оформление сделок Выборка'!AF119}</f>
        <v/>
      </c>
      <c r="AF119" s="790"/>
      <c r="AG119" s="781"/>
      <c r="AH119" s="781"/>
      <c r="AI119" s="785"/>
      <c r="AJ119" s="780"/>
      <c r="AK119" s="792" t="str">
        <f t="array" ref="AK119:AL119">{"",'S-10 Оформление сделок Выборка'!AL119}</f>
        <v/>
      </c>
      <c r="AL119" s="793"/>
      <c r="AM119" s="792" t="str">
        <f t="array" ref="AM119:AN119">{"",'S-10 Оформление сделок Выборка'!AN119}</f>
        <v/>
      </c>
      <c r="AN119" s="794"/>
      <c r="AO119" s="792" t="str">
        <f t="array" ref="AO119:AP119">{"",'S-10 Оформление сделок Выборка'!AP119}</f>
        <v/>
      </c>
      <c r="AP119" s="786"/>
      <c r="AQ119" s="786"/>
      <c r="AR119" s="779" t="str">
        <f t="array" ref="AR119:AS119">{"",'S-10 Оформление сделок Выборка'!AS119}</f>
        <v/>
      </c>
      <c r="AS119" s="795"/>
      <c r="AT119" s="779" t="str">
        <f t="array" ref="AT119:AU119">{"",'S-10 Оформление сделок Выборка'!AU119}</f>
        <v/>
      </c>
      <c r="AU119" s="805"/>
      <c r="AV119" s="779" t="str">
        <f t="array" ref="AV119:AW119">{"",'S-10 Оформление сделок Выборка'!AW119}</f>
        <v/>
      </c>
      <c r="AW119" s="797"/>
      <c r="AX119" s="786"/>
      <c r="AY119" s="786"/>
      <c r="AZ119" s="792" t="str">
        <f t="array" ref="AZ119:BA119">{"",'S-10 Оформление сделок Выборка'!BA119}</f>
        <v/>
      </c>
      <c r="BA119" s="798"/>
      <c r="BB119" s="792" t="str">
        <f t="array" ref="BB119:BC119">{"",'S-10 Оформление сделок Выборка'!BC119}</f>
        <v/>
      </c>
      <c r="BC119" s="799"/>
      <c r="BD119" s="792" t="str">
        <f t="array" ref="BD119:BE119">{"",'S-10 Оформление сделок Выборка'!BE119}</f>
        <v/>
      </c>
      <c r="BE119" s="793"/>
      <c r="BF119" s="800" t="str">
        <f t="array" ref="BF119:BG119">{"",'S-10 Оформление сделок Выборка'!BG119}</f>
        <v/>
      </c>
      <c r="BG119" s="794"/>
      <c r="BH119" s="794" t="str">
        <f t="array" ref="BH119:BI119">{"",'S-10 Оформление сделок Выборка'!BI119}</f>
        <v/>
      </c>
      <c r="BI119" s="794"/>
      <c r="BJ119" s="792" t="str">
        <f t="array" ref="BJ119:BK119">{"",'S-10 Оформление сделок Выборка'!BK119}</f>
        <v/>
      </c>
      <c r="BK119" s="793"/>
      <c r="BL119" s="792" t="str">
        <f t="array" ref="BL119:BM119">{"",'S-10 Оформление сделок Выборка'!BM119}</f>
        <v/>
      </c>
      <c r="BM119" s="801"/>
      <c r="BN119" s="792" t="str">
        <f t="array" ref="BN119:BO119">{"",'S-10 Оформление сделок Выборка'!BO119}</f>
        <v/>
      </c>
      <c r="BO119" s="793"/>
      <c r="BP119" s="792" t="str">
        <f t="array" ref="BP119:BQ119">{"",'S-10 Оформление сделок Выборка'!BQ119}</f>
        <v/>
      </c>
      <c r="BQ119" s="802"/>
      <c r="BR119" s="792" t="str">
        <f t="array" ref="BR119:BS119">{"",'S-10 Оформление сделок Выборка'!BS119}</f>
        <v/>
      </c>
      <c r="BS119" s="794"/>
      <c r="BT119" s="800" t="str">
        <f t="array" ref="BT119:BU119">{"",'S-10 Оформление сделок Выборка'!BU119}</f>
        <v/>
      </c>
      <c r="BU119" s="794"/>
      <c r="BV119" s="800" t="str">
        <f t="array" ref="BV119:BW119">{"",'S-10 Оформление сделок Выборка'!BW119}</f>
        <v/>
      </c>
      <c r="BW119" s="803" t="s">
        <v>96</v>
      </c>
      <c r="BX119" s="804"/>
    </row>
    <row r="120">
      <c r="A120" s="779"/>
      <c r="B120" s="779"/>
      <c r="C120" s="780" t="str">
        <f>'5-1 Сбор КП Закупки'!C120</f>
        <v/>
      </c>
      <c r="D120" s="781"/>
      <c r="E120" s="780"/>
      <c r="F120" s="783"/>
      <c r="G120" s="783"/>
      <c r="H120" s="783"/>
      <c r="I120" s="783"/>
      <c r="J120" s="780"/>
      <c r="K120" s="786"/>
      <c r="L120" s="785"/>
      <c r="M120" s="786"/>
      <c r="N120" s="786"/>
      <c r="O120" s="780"/>
      <c r="P120" s="787"/>
      <c r="Q120" s="780"/>
      <c r="R120" s="780"/>
      <c r="S120" s="780"/>
      <c r="T120" s="780"/>
      <c r="U120" s="780"/>
      <c r="V120" s="780"/>
      <c r="W120" s="787"/>
      <c r="X120" s="780"/>
      <c r="Y120" s="780"/>
      <c r="Z120" s="780"/>
      <c r="AA120" s="780"/>
      <c r="AB120" s="788"/>
      <c r="AC120" s="781"/>
      <c r="AD120" s="780"/>
      <c r="AE120" s="789" t="str">
        <f t="array" ref="AE120:AF120">{"",'S-10 Оформление сделок Выборка'!AF120}</f>
        <v/>
      </c>
      <c r="AF120" s="790"/>
      <c r="AG120" s="781"/>
      <c r="AH120" s="781"/>
      <c r="AI120" s="785"/>
      <c r="AJ120" s="780"/>
      <c r="AK120" s="792" t="str">
        <f t="array" ref="AK120:AL120">{"",'S-10 Оформление сделок Выборка'!AL120}</f>
        <v/>
      </c>
      <c r="AL120" s="793"/>
      <c r="AM120" s="792" t="str">
        <f t="array" ref="AM120:AN120">{"",'S-10 Оформление сделок Выборка'!AN120}</f>
        <v/>
      </c>
      <c r="AN120" s="794"/>
      <c r="AO120" s="792" t="str">
        <f t="array" ref="AO120:AP120">{"",'S-10 Оформление сделок Выборка'!AP120}</f>
        <v/>
      </c>
      <c r="AP120" s="786"/>
      <c r="AQ120" s="786"/>
      <c r="AR120" s="779" t="str">
        <f t="array" ref="AR120:AS120">{"",'S-10 Оформление сделок Выборка'!AS120}</f>
        <v/>
      </c>
      <c r="AS120" s="795"/>
      <c r="AT120" s="779" t="str">
        <f t="array" ref="AT120:AU120">{"",'S-10 Оформление сделок Выборка'!AU120}</f>
        <v/>
      </c>
      <c r="AU120" s="805"/>
      <c r="AV120" s="779" t="str">
        <f t="array" ref="AV120:AW120">{"",'S-10 Оформление сделок Выборка'!AW120}</f>
        <v/>
      </c>
      <c r="AW120" s="797"/>
      <c r="AX120" s="786"/>
      <c r="AY120" s="786"/>
      <c r="AZ120" s="792" t="str">
        <f t="array" ref="AZ120:BA120">{"",'S-10 Оформление сделок Выборка'!BA120}</f>
        <v/>
      </c>
      <c r="BA120" s="798"/>
      <c r="BB120" s="792" t="str">
        <f t="array" ref="BB120:BC120">{"",'S-10 Оформление сделок Выборка'!BC120}</f>
        <v/>
      </c>
      <c r="BC120" s="799"/>
      <c r="BD120" s="792" t="str">
        <f t="array" ref="BD120:BE120">{"",'S-10 Оформление сделок Выборка'!BE120}</f>
        <v/>
      </c>
      <c r="BE120" s="793"/>
      <c r="BF120" s="800" t="str">
        <f t="array" ref="BF120:BG120">{"",'S-10 Оформление сделок Выборка'!BG120}</f>
        <v/>
      </c>
      <c r="BG120" s="794"/>
      <c r="BH120" s="794" t="str">
        <f t="array" ref="BH120:BI120">{"",'S-10 Оформление сделок Выборка'!BI120}</f>
        <v/>
      </c>
      <c r="BI120" s="794"/>
      <c r="BJ120" s="792" t="str">
        <f t="array" ref="BJ120:BK120">{"",'S-10 Оформление сделок Выборка'!BK120}</f>
        <v/>
      </c>
      <c r="BK120" s="793"/>
      <c r="BL120" s="792" t="str">
        <f t="array" ref="BL120:BM120">{"",'S-10 Оформление сделок Выборка'!BM120}</f>
        <v/>
      </c>
      <c r="BM120" s="801"/>
      <c r="BN120" s="792" t="str">
        <f t="array" ref="BN120:BO120">{"",'S-10 Оформление сделок Выборка'!BO120}</f>
        <v/>
      </c>
      <c r="BO120" s="793"/>
      <c r="BP120" s="792" t="str">
        <f t="array" ref="BP120:BQ120">{"",'S-10 Оформление сделок Выборка'!BQ120}</f>
        <v/>
      </c>
      <c r="BQ120" s="802"/>
      <c r="BR120" s="792" t="str">
        <f t="array" ref="BR120:BS120">{"",'S-10 Оформление сделок Выборка'!BS120}</f>
        <v/>
      </c>
      <c r="BS120" s="794"/>
      <c r="BT120" s="800" t="str">
        <f t="array" ref="BT120:BU120">{"",'S-10 Оформление сделок Выборка'!BU120}</f>
        <v/>
      </c>
      <c r="BU120" s="794"/>
      <c r="BV120" s="800" t="str">
        <f t="array" ref="BV120:BW120">{"",'S-10 Оформление сделок Выборка'!BW120}</f>
        <v/>
      </c>
      <c r="BW120" s="803" t="s">
        <v>96</v>
      </c>
      <c r="BX120" s="804"/>
    </row>
    <row r="121">
      <c r="A121" s="779"/>
      <c r="B121" s="779"/>
      <c r="C121" s="780" t="str">
        <f>'5-1 Сбор КП Закупки'!C121</f>
        <v/>
      </c>
      <c r="D121" s="781"/>
      <c r="E121" s="780"/>
      <c r="F121" s="783"/>
      <c r="G121" s="783"/>
      <c r="H121" s="783"/>
      <c r="I121" s="783"/>
      <c r="J121" s="780"/>
      <c r="K121" s="786"/>
      <c r="L121" s="785"/>
      <c r="M121" s="786"/>
      <c r="N121" s="786"/>
      <c r="O121" s="780"/>
      <c r="P121" s="787"/>
      <c r="Q121" s="780"/>
      <c r="R121" s="780"/>
      <c r="S121" s="780"/>
      <c r="T121" s="780"/>
      <c r="U121" s="780"/>
      <c r="V121" s="780"/>
      <c r="W121" s="787"/>
      <c r="X121" s="780"/>
      <c r="Y121" s="780"/>
      <c r="Z121" s="780"/>
      <c r="AA121" s="780"/>
      <c r="AB121" s="788"/>
      <c r="AC121" s="781"/>
      <c r="AD121" s="780"/>
      <c r="AE121" s="789" t="str">
        <f t="array" ref="AE121:AF121">{"",'S-10 Оформление сделок Выборка'!AF121}</f>
        <v/>
      </c>
      <c r="AF121" s="790"/>
      <c r="AG121" s="781"/>
      <c r="AH121" s="781"/>
      <c r="AI121" s="785"/>
      <c r="AJ121" s="780"/>
      <c r="AK121" s="792" t="str">
        <f t="array" ref="AK121:AL121">{"",'S-10 Оформление сделок Выборка'!AL121}</f>
        <v/>
      </c>
      <c r="AL121" s="793"/>
      <c r="AM121" s="792" t="str">
        <f t="array" ref="AM121:AN121">{"",'S-10 Оформление сделок Выборка'!AN121}</f>
        <v/>
      </c>
      <c r="AN121" s="794"/>
      <c r="AO121" s="792" t="str">
        <f t="array" ref="AO121:AP121">{"",'S-10 Оформление сделок Выборка'!AP121}</f>
        <v/>
      </c>
      <c r="AP121" s="786"/>
      <c r="AQ121" s="786"/>
      <c r="AR121" s="779" t="str">
        <f t="array" ref="AR121:AS121">{"",'S-10 Оформление сделок Выборка'!AS121}</f>
        <v/>
      </c>
      <c r="AS121" s="795"/>
      <c r="AT121" s="779" t="str">
        <f t="array" ref="AT121:AU121">{"",'S-10 Оформление сделок Выборка'!AU121}</f>
        <v/>
      </c>
      <c r="AU121" s="805"/>
      <c r="AV121" s="779" t="str">
        <f t="array" ref="AV121:AW121">{"",'S-10 Оформление сделок Выборка'!AW121}</f>
        <v/>
      </c>
      <c r="AW121" s="797"/>
      <c r="AX121" s="786"/>
      <c r="AY121" s="786"/>
      <c r="AZ121" s="792" t="str">
        <f t="array" ref="AZ121:BA121">{"",'S-10 Оформление сделок Выборка'!BA121}</f>
        <v/>
      </c>
      <c r="BA121" s="798"/>
      <c r="BB121" s="792" t="str">
        <f t="array" ref="BB121:BC121">{"",'S-10 Оформление сделок Выборка'!BC121}</f>
        <v/>
      </c>
      <c r="BC121" s="799"/>
      <c r="BD121" s="792" t="str">
        <f t="array" ref="BD121:BE121">{"",'S-10 Оформление сделок Выборка'!BE121}</f>
        <v/>
      </c>
      <c r="BE121" s="793"/>
      <c r="BF121" s="800" t="str">
        <f t="array" ref="BF121:BG121">{"",'S-10 Оформление сделок Выборка'!BG121}</f>
        <v/>
      </c>
      <c r="BG121" s="794"/>
      <c r="BH121" s="794" t="str">
        <f t="array" ref="BH121:BI121">{"",'S-10 Оформление сделок Выборка'!BI121}</f>
        <v/>
      </c>
      <c r="BI121" s="794"/>
      <c r="BJ121" s="792" t="str">
        <f t="array" ref="BJ121:BK121">{"",'S-10 Оформление сделок Выборка'!BK121}</f>
        <v/>
      </c>
      <c r="BK121" s="793"/>
      <c r="BL121" s="792" t="str">
        <f t="array" ref="BL121:BM121">{"",'S-10 Оформление сделок Выборка'!BM121}</f>
        <v/>
      </c>
      <c r="BM121" s="801"/>
      <c r="BN121" s="792" t="str">
        <f t="array" ref="BN121:BO121">{"",'S-10 Оформление сделок Выборка'!BO121}</f>
        <v/>
      </c>
      <c r="BO121" s="793"/>
      <c r="BP121" s="792" t="str">
        <f t="array" ref="BP121:BQ121">{"",'S-10 Оформление сделок Выборка'!BQ121}</f>
        <v/>
      </c>
      <c r="BQ121" s="802"/>
      <c r="BR121" s="792" t="str">
        <f t="array" ref="BR121:BS121">{"",'S-10 Оформление сделок Выборка'!BS121}</f>
        <v/>
      </c>
      <c r="BS121" s="794"/>
      <c r="BT121" s="800" t="str">
        <f t="array" ref="BT121:BU121">{"",'S-10 Оформление сделок Выборка'!BU121}</f>
        <v/>
      </c>
      <c r="BU121" s="794"/>
      <c r="BV121" s="800" t="str">
        <f t="array" ref="BV121:BW121">{"",'S-10 Оформление сделок Выборка'!BW121}</f>
        <v/>
      </c>
      <c r="BW121" s="803" t="s">
        <v>96</v>
      </c>
      <c r="BX121" s="804"/>
    </row>
    <row r="122">
      <c r="A122" s="779"/>
      <c r="B122" s="779"/>
      <c r="C122" s="780" t="str">
        <f>'5-1 Сбор КП Закупки'!C122</f>
        <v/>
      </c>
      <c r="D122" s="781"/>
      <c r="E122" s="780"/>
      <c r="F122" s="783"/>
      <c r="G122" s="783"/>
      <c r="H122" s="783"/>
      <c r="I122" s="783"/>
      <c r="J122" s="780"/>
      <c r="K122" s="786"/>
      <c r="L122" s="785"/>
      <c r="M122" s="786"/>
      <c r="N122" s="786"/>
      <c r="O122" s="780"/>
      <c r="P122" s="787"/>
      <c r="Q122" s="780"/>
      <c r="R122" s="780"/>
      <c r="S122" s="780"/>
      <c r="T122" s="780"/>
      <c r="U122" s="780"/>
      <c r="V122" s="780"/>
      <c r="W122" s="787"/>
      <c r="X122" s="780"/>
      <c r="Y122" s="780"/>
      <c r="Z122" s="780"/>
      <c r="AA122" s="780"/>
      <c r="AB122" s="788"/>
      <c r="AC122" s="781"/>
      <c r="AD122" s="780"/>
      <c r="AE122" s="789" t="str">
        <f t="array" ref="AE122:AF122">{"",'S-10 Оформление сделок Выборка'!AF122}</f>
        <v/>
      </c>
      <c r="AF122" s="790"/>
      <c r="AG122" s="781"/>
      <c r="AH122" s="781"/>
      <c r="AI122" s="785"/>
      <c r="AJ122" s="780"/>
      <c r="AK122" s="792" t="str">
        <f t="array" ref="AK122:AL122">{"",'S-10 Оформление сделок Выборка'!AL122}</f>
        <v/>
      </c>
      <c r="AL122" s="793"/>
      <c r="AM122" s="792" t="str">
        <f t="array" ref="AM122:AN122">{"",'S-10 Оформление сделок Выборка'!AN122}</f>
        <v/>
      </c>
      <c r="AN122" s="794"/>
      <c r="AO122" s="792" t="str">
        <f t="array" ref="AO122:AP122">{"",'S-10 Оформление сделок Выборка'!AP122}</f>
        <v/>
      </c>
      <c r="AP122" s="786"/>
      <c r="AQ122" s="786"/>
      <c r="AR122" s="779" t="str">
        <f t="array" ref="AR122:AS122">{"",'S-10 Оформление сделок Выборка'!AS122}</f>
        <v/>
      </c>
      <c r="AS122" s="795"/>
      <c r="AT122" s="779" t="str">
        <f t="array" ref="AT122:AU122">{"",'S-10 Оформление сделок Выборка'!AU122}</f>
        <v/>
      </c>
      <c r="AU122" s="805"/>
      <c r="AV122" s="779" t="str">
        <f t="array" ref="AV122:AW122">{"",'S-10 Оформление сделок Выборка'!AW122}</f>
        <v/>
      </c>
      <c r="AW122" s="797"/>
      <c r="AX122" s="786"/>
      <c r="AY122" s="786"/>
      <c r="AZ122" s="792" t="str">
        <f t="array" ref="AZ122:BA122">{"",'S-10 Оформление сделок Выборка'!BA122}</f>
        <v/>
      </c>
      <c r="BA122" s="798"/>
      <c r="BB122" s="792" t="str">
        <f t="array" ref="BB122:BC122">{"",'S-10 Оформление сделок Выборка'!BC122}</f>
        <v/>
      </c>
      <c r="BC122" s="799"/>
      <c r="BD122" s="792" t="str">
        <f t="array" ref="BD122:BE122">{"",'S-10 Оформление сделок Выборка'!BE122}</f>
        <v/>
      </c>
      <c r="BE122" s="793"/>
      <c r="BF122" s="800" t="str">
        <f t="array" ref="BF122:BG122">{"",'S-10 Оформление сделок Выборка'!BG122}</f>
        <v/>
      </c>
      <c r="BG122" s="794"/>
      <c r="BH122" s="794" t="str">
        <f t="array" ref="BH122:BI122">{"",'S-10 Оформление сделок Выборка'!BI122}</f>
        <v/>
      </c>
      <c r="BI122" s="794"/>
      <c r="BJ122" s="792" t="str">
        <f t="array" ref="BJ122:BK122">{"",'S-10 Оформление сделок Выборка'!BK122}</f>
        <v/>
      </c>
      <c r="BK122" s="793"/>
      <c r="BL122" s="792" t="str">
        <f t="array" ref="BL122:BM122">{"",'S-10 Оформление сделок Выборка'!BM122}</f>
        <v/>
      </c>
      <c r="BM122" s="801"/>
      <c r="BN122" s="792" t="str">
        <f t="array" ref="BN122:BO122">{"",'S-10 Оформление сделок Выборка'!BO122}</f>
        <v/>
      </c>
      <c r="BO122" s="793"/>
      <c r="BP122" s="792" t="str">
        <f t="array" ref="BP122:BQ122">{"",'S-10 Оформление сделок Выборка'!BQ122}</f>
        <v/>
      </c>
      <c r="BQ122" s="802"/>
      <c r="BR122" s="792" t="str">
        <f t="array" ref="BR122:BS122">{"",'S-10 Оформление сделок Выборка'!BS122}</f>
        <v/>
      </c>
      <c r="BS122" s="794"/>
      <c r="BT122" s="800" t="str">
        <f t="array" ref="BT122:BU122">{"",'S-10 Оформление сделок Выборка'!BU122}</f>
        <v/>
      </c>
      <c r="BU122" s="794"/>
      <c r="BV122" s="800" t="str">
        <f t="array" ref="BV122:BW122">{"",'S-10 Оформление сделок Выборка'!BW122}</f>
        <v/>
      </c>
      <c r="BW122" s="803" t="s">
        <v>96</v>
      </c>
      <c r="BX122" s="804"/>
    </row>
    <row r="123">
      <c r="A123" s="779"/>
      <c r="B123" s="779"/>
      <c r="C123" s="780" t="str">
        <f>'5-1 Сбор КП Закупки'!C123</f>
        <v/>
      </c>
      <c r="D123" s="781"/>
      <c r="E123" s="780"/>
      <c r="F123" s="783"/>
      <c r="G123" s="783"/>
      <c r="H123" s="783"/>
      <c r="I123" s="783"/>
      <c r="J123" s="780"/>
      <c r="K123" s="786"/>
      <c r="L123" s="785"/>
      <c r="M123" s="786"/>
      <c r="N123" s="786"/>
      <c r="O123" s="780"/>
      <c r="P123" s="787"/>
      <c r="Q123" s="780"/>
      <c r="R123" s="780"/>
      <c r="S123" s="780"/>
      <c r="T123" s="780"/>
      <c r="U123" s="780"/>
      <c r="V123" s="780"/>
      <c r="W123" s="787"/>
      <c r="X123" s="780"/>
      <c r="Y123" s="780"/>
      <c r="Z123" s="780"/>
      <c r="AA123" s="780"/>
      <c r="AB123" s="788"/>
      <c r="AC123" s="781"/>
      <c r="AD123" s="780"/>
      <c r="AE123" s="789" t="str">
        <f t="array" ref="AE123:AF123">{"",'S-10 Оформление сделок Выборка'!AF123}</f>
        <v/>
      </c>
      <c r="AF123" s="790"/>
      <c r="AG123" s="781"/>
      <c r="AH123" s="781"/>
      <c r="AI123" s="785"/>
      <c r="AJ123" s="780"/>
      <c r="AK123" s="792" t="str">
        <f t="array" ref="AK123:AL123">{"",'S-10 Оформление сделок Выборка'!AL123}</f>
        <v/>
      </c>
      <c r="AL123" s="793"/>
      <c r="AM123" s="792" t="str">
        <f t="array" ref="AM123:AN123">{"",'S-10 Оформление сделок Выборка'!AN123}</f>
        <v/>
      </c>
      <c r="AN123" s="794"/>
      <c r="AO123" s="792" t="str">
        <f t="array" ref="AO123:AP123">{"",'S-10 Оформление сделок Выборка'!AP123}</f>
        <v/>
      </c>
      <c r="AP123" s="786"/>
      <c r="AQ123" s="786"/>
      <c r="AR123" s="779" t="str">
        <f t="array" ref="AR123:AS123">{"",'S-10 Оформление сделок Выборка'!AS123}</f>
        <v/>
      </c>
      <c r="AS123" s="795"/>
      <c r="AT123" s="779" t="str">
        <f t="array" ref="AT123:AU123">{"",'S-10 Оформление сделок Выборка'!AU123}</f>
        <v/>
      </c>
      <c r="AU123" s="805"/>
      <c r="AV123" s="779" t="str">
        <f t="array" ref="AV123:AW123">{"",'S-10 Оформление сделок Выборка'!AW123}</f>
        <v/>
      </c>
      <c r="AW123" s="797"/>
      <c r="AX123" s="786"/>
      <c r="AY123" s="786"/>
      <c r="AZ123" s="792" t="str">
        <f t="array" ref="AZ123:BA123">{"",'S-10 Оформление сделок Выборка'!BA123}</f>
        <v/>
      </c>
      <c r="BA123" s="798"/>
      <c r="BB123" s="792" t="str">
        <f t="array" ref="BB123:BC123">{"",'S-10 Оформление сделок Выборка'!BC123}</f>
        <v/>
      </c>
      <c r="BC123" s="799"/>
      <c r="BD123" s="792" t="str">
        <f t="array" ref="BD123:BE123">{"",'S-10 Оформление сделок Выборка'!BE123}</f>
        <v/>
      </c>
      <c r="BE123" s="793"/>
      <c r="BF123" s="800" t="str">
        <f t="array" ref="BF123:BG123">{"",'S-10 Оформление сделок Выборка'!BG123}</f>
        <v/>
      </c>
      <c r="BG123" s="794"/>
      <c r="BH123" s="794" t="str">
        <f t="array" ref="BH123:BI123">{"",'S-10 Оформление сделок Выборка'!BI123}</f>
        <v/>
      </c>
      <c r="BI123" s="794"/>
      <c r="BJ123" s="792" t="str">
        <f t="array" ref="BJ123:BK123">{"",'S-10 Оформление сделок Выборка'!BK123}</f>
        <v/>
      </c>
      <c r="BK123" s="793"/>
      <c r="BL123" s="792" t="str">
        <f t="array" ref="BL123:BM123">{"",'S-10 Оформление сделок Выборка'!BM123}</f>
        <v/>
      </c>
      <c r="BM123" s="801"/>
      <c r="BN123" s="792" t="str">
        <f t="array" ref="BN123:BO123">{"",'S-10 Оформление сделок Выборка'!BO123}</f>
        <v/>
      </c>
      <c r="BO123" s="793"/>
      <c r="BP123" s="792" t="str">
        <f t="array" ref="BP123:BQ123">{"",'S-10 Оформление сделок Выборка'!BQ123}</f>
        <v/>
      </c>
      <c r="BQ123" s="802"/>
      <c r="BR123" s="792" t="str">
        <f t="array" ref="BR123:BS123">{"",'S-10 Оформление сделок Выборка'!BS123}</f>
        <v/>
      </c>
      <c r="BS123" s="794"/>
      <c r="BT123" s="800" t="str">
        <f t="array" ref="BT123:BU123">{"",'S-10 Оформление сделок Выборка'!BU123}</f>
        <v/>
      </c>
      <c r="BU123" s="794"/>
      <c r="BV123" s="800" t="str">
        <f t="array" ref="BV123:BW123">{"",'S-10 Оформление сделок Выборка'!BW123}</f>
        <v/>
      </c>
      <c r="BW123" s="803" t="s">
        <v>96</v>
      </c>
      <c r="BX123" s="804"/>
    </row>
    <row r="124">
      <c r="A124" s="779"/>
      <c r="B124" s="779"/>
      <c r="C124" s="780" t="str">
        <f>'5-1 Сбор КП Закупки'!C124</f>
        <v/>
      </c>
      <c r="D124" s="781"/>
      <c r="E124" s="780"/>
      <c r="F124" s="783"/>
      <c r="G124" s="783"/>
      <c r="H124" s="783"/>
      <c r="I124" s="783"/>
      <c r="J124" s="780"/>
      <c r="K124" s="786"/>
      <c r="L124" s="785"/>
      <c r="M124" s="786"/>
      <c r="N124" s="786"/>
      <c r="O124" s="780"/>
      <c r="P124" s="787"/>
      <c r="Q124" s="780"/>
      <c r="R124" s="780"/>
      <c r="S124" s="780"/>
      <c r="T124" s="780"/>
      <c r="U124" s="780"/>
      <c r="V124" s="780"/>
      <c r="W124" s="787"/>
      <c r="X124" s="780"/>
      <c r="Y124" s="780"/>
      <c r="Z124" s="780"/>
      <c r="AA124" s="780"/>
      <c r="AB124" s="788"/>
      <c r="AC124" s="781"/>
      <c r="AD124" s="780"/>
      <c r="AE124" s="789" t="str">
        <f t="array" ref="AE124:AF124">{"",'S-10 Оформление сделок Выборка'!AF124}</f>
        <v/>
      </c>
      <c r="AF124" s="790"/>
      <c r="AG124" s="781"/>
      <c r="AH124" s="781"/>
      <c r="AI124" s="785"/>
      <c r="AJ124" s="780"/>
      <c r="AK124" s="792" t="str">
        <f t="array" ref="AK124:AL124">{"",'S-10 Оформление сделок Выборка'!AL124}</f>
        <v/>
      </c>
      <c r="AL124" s="793"/>
      <c r="AM124" s="792" t="str">
        <f t="array" ref="AM124:AN124">{"",'S-10 Оформление сделок Выборка'!AN124}</f>
        <v/>
      </c>
      <c r="AN124" s="794"/>
      <c r="AO124" s="792" t="str">
        <f t="array" ref="AO124:AP124">{"",'S-10 Оформление сделок Выборка'!AP124}</f>
        <v/>
      </c>
      <c r="AP124" s="786"/>
      <c r="AQ124" s="786"/>
      <c r="AR124" s="779" t="str">
        <f t="array" ref="AR124:AS124">{"",'S-10 Оформление сделок Выборка'!AS124}</f>
        <v/>
      </c>
      <c r="AS124" s="795"/>
      <c r="AT124" s="779" t="str">
        <f t="array" ref="AT124:AU124">{"",'S-10 Оформление сделок Выборка'!AU124}</f>
        <v/>
      </c>
      <c r="AU124" s="805"/>
      <c r="AV124" s="779" t="str">
        <f t="array" ref="AV124:AW124">{"",'S-10 Оформление сделок Выборка'!AW124}</f>
        <v/>
      </c>
      <c r="AW124" s="797"/>
      <c r="AX124" s="786"/>
      <c r="AY124" s="786"/>
      <c r="AZ124" s="792" t="str">
        <f t="array" ref="AZ124:BA124">{"",'S-10 Оформление сделок Выборка'!BA124}</f>
        <v/>
      </c>
      <c r="BA124" s="798"/>
      <c r="BB124" s="792" t="str">
        <f t="array" ref="BB124:BC124">{"",'S-10 Оформление сделок Выборка'!BC124}</f>
        <v/>
      </c>
      <c r="BC124" s="799"/>
      <c r="BD124" s="792" t="str">
        <f t="array" ref="BD124:BE124">{"",'S-10 Оформление сделок Выборка'!BE124}</f>
        <v/>
      </c>
      <c r="BE124" s="793"/>
      <c r="BF124" s="800" t="str">
        <f t="array" ref="BF124:BG124">{"",'S-10 Оформление сделок Выборка'!BG124}</f>
        <v/>
      </c>
      <c r="BG124" s="794"/>
      <c r="BH124" s="794" t="str">
        <f t="array" ref="BH124:BI124">{"",'S-10 Оформление сделок Выборка'!BI124}</f>
        <v/>
      </c>
      <c r="BI124" s="794"/>
      <c r="BJ124" s="792" t="str">
        <f t="array" ref="BJ124:BK124">{"",'S-10 Оформление сделок Выборка'!BK124}</f>
        <v/>
      </c>
      <c r="BK124" s="793"/>
      <c r="BL124" s="792" t="str">
        <f t="array" ref="BL124:BM124">{"",'S-10 Оформление сделок Выборка'!BM124}</f>
        <v/>
      </c>
      <c r="BM124" s="801"/>
      <c r="BN124" s="792" t="str">
        <f t="array" ref="BN124:BO124">{"",'S-10 Оформление сделок Выборка'!BO124}</f>
        <v/>
      </c>
      <c r="BO124" s="793"/>
      <c r="BP124" s="792" t="str">
        <f t="array" ref="BP124:BQ124">{"",'S-10 Оформление сделок Выборка'!BQ124}</f>
        <v/>
      </c>
      <c r="BQ124" s="802"/>
      <c r="BR124" s="792" t="str">
        <f t="array" ref="BR124:BS124">{"",'S-10 Оформление сделок Выборка'!BS124}</f>
        <v/>
      </c>
      <c r="BS124" s="794"/>
      <c r="BT124" s="800" t="str">
        <f t="array" ref="BT124:BU124">{"",'S-10 Оформление сделок Выборка'!BU124}</f>
        <v/>
      </c>
      <c r="BU124" s="794"/>
      <c r="BV124" s="800" t="str">
        <f t="array" ref="BV124:BW124">{"",'S-10 Оформление сделок Выборка'!BW124}</f>
        <v/>
      </c>
      <c r="BW124" s="803" t="s">
        <v>96</v>
      </c>
      <c r="BX124" s="804"/>
    </row>
    <row r="125">
      <c r="A125" s="779"/>
      <c r="B125" s="779"/>
      <c r="C125" s="780" t="str">
        <f>'5-1 Сбор КП Закупки'!C125</f>
        <v/>
      </c>
      <c r="D125" s="781"/>
      <c r="E125" s="780"/>
      <c r="F125" s="783"/>
      <c r="G125" s="783"/>
      <c r="H125" s="783"/>
      <c r="I125" s="783"/>
      <c r="J125" s="780"/>
      <c r="K125" s="786"/>
      <c r="L125" s="785"/>
      <c r="M125" s="786"/>
      <c r="N125" s="786"/>
      <c r="O125" s="780"/>
      <c r="P125" s="787"/>
      <c r="Q125" s="780"/>
      <c r="R125" s="780"/>
      <c r="S125" s="780"/>
      <c r="T125" s="780"/>
      <c r="U125" s="780"/>
      <c r="V125" s="780"/>
      <c r="W125" s="787"/>
      <c r="X125" s="780"/>
      <c r="Y125" s="780"/>
      <c r="Z125" s="780"/>
      <c r="AA125" s="780"/>
      <c r="AB125" s="788"/>
      <c r="AC125" s="781"/>
      <c r="AD125" s="780"/>
      <c r="AE125" s="789" t="str">
        <f t="array" ref="AE125:AF125">{"",'S-10 Оформление сделок Выборка'!AF125}</f>
        <v/>
      </c>
      <c r="AF125" s="790"/>
      <c r="AG125" s="781"/>
      <c r="AH125" s="781"/>
      <c r="AI125" s="785"/>
      <c r="AJ125" s="780"/>
      <c r="AK125" s="792" t="str">
        <f t="array" ref="AK125:AL125">{"",'S-10 Оформление сделок Выборка'!AL125}</f>
        <v/>
      </c>
      <c r="AL125" s="793"/>
      <c r="AM125" s="792" t="str">
        <f t="array" ref="AM125:AN125">{"",'S-10 Оформление сделок Выборка'!AN125}</f>
        <v/>
      </c>
      <c r="AN125" s="794"/>
      <c r="AO125" s="792" t="str">
        <f t="array" ref="AO125:AP125">{"",'S-10 Оформление сделок Выборка'!AP125}</f>
        <v/>
      </c>
      <c r="AP125" s="786"/>
      <c r="AQ125" s="786"/>
      <c r="AR125" s="779" t="str">
        <f t="array" ref="AR125:AS125">{"",'S-10 Оформление сделок Выборка'!AS125}</f>
        <v/>
      </c>
      <c r="AS125" s="795"/>
      <c r="AT125" s="779" t="str">
        <f t="array" ref="AT125:AU125">{"",'S-10 Оформление сделок Выборка'!AU125}</f>
        <v/>
      </c>
      <c r="AU125" s="805"/>
      <c r="AV125" s="779" t="str">
        <f t="array" ref="AV125:AW125">{"",'S-10 Оформление сделок Выборка'!AW125}</f>
        <v/>
      </c>
      <c r="AW125" s="797"/>
      <c r="AX125" s="786"/>
      <c r="AY125" s="786"/>
      <c r="AZ125" s="792" t="str">
        <f t="array" ref="AZ125:BA125">{"",'S-10 Оформление сделок Выборка'!BA125}</f>
        <v/>
      </c>
      <c r="BA125" s="798"/>
      <c r="BB125" s="792" t="str">
        <f t="array" ref="BB125:BC125">{"",'S-10 Оформление сделок Выборка'!BC125}</f>
        <v/>
      </c>
      <c r="BC125" s="799"/>
      <c r="BD125" s="792" t="str">
        <f t="array" ref="BD125:BE125">{"",'S-10 Оформление сделок Выборка'!BE125}</f>
        <v/>
      </c>
      <c r="BE125" s="793"/>
      <c r="BF125" s="800" t="str">
        <f t="array" ref="BF125:BG125">{"",'S-10 Оформление сделок Выборка'!BG125}</f>
        <v/>
      </c>
      <c r="BG125" s="794"/>
      <c r="BH125" s="794" t="str">
        <f t="array" ref="BH125:BI125">{"",'S-10 Оформление сделок Выборка'!BI125}</f>
        <v/>
      </c>
      <c r="BI125" s="794"/>
      <c r="BJ125" s="792" t="str">
        <f t="array" ref="BJ125:BK125">{"",'S-10 Оформление сделок Выборка'!BK125}</f>
        <v/>
      </c>
      <c r="BK125" s="793"/>
      <c r="BL125" s="792" t="str">
        <f t="array" ref="BL125:BM125">{"",'S-10 Оформление сделок Выборка'!BM125}</f>
        <v/>
      </c>
      <c r="BM125" s="801"/>
      <c r="BN125" s="792" t="str">
        <f t="array" ref="BN125:BO125">{"",'S-10 Оформление сделок Выборка'!BO125}</f>
        <v/>
      </c>
      <c r="BO125" s="793"/>
      <c r="BP125" s="792" t="str">
        <f t="array" ref="BP125:BQ125">{"",'S-10 Оформление сделок Выборка'!BQ125}</f>
        <v/>
      </c>
      <c r="BQ125" s="802"/>
      <c r="BR125" s="792" t="str">
        <f t="array" ref="BR125:BS125">{"",'S-10 Оформление сделок Выборка'!BS125}</f>
        <v/>
      </c>
      <c r="BS125" s="794"/>
      <c r="BT125" s="800" t="str">
        <f t="array" ref="BT125:BU125">{"",'S-10 Оформление сделок Выборка'!BU125}</f>
        <v/>
      </c>
      <c r="BU125" s="794"/>
      <c r="BV125" s="800" t="str">
        <f t="array" ref="BV125:BW125">{"",'S-10 Оформление сделок Выборка'!BW125}</f>
        <v/>
      </c>
      <c r="BW125" s="803" t="s">
        <v>96</v>
      </c>
      <c r="BX125" s="804"/>
    </row>
    <row r="126">
      <c r="A126" s="779"/>
      <c r="B126" s="779"/>
      <c r="C126" s="780" t="str">
        <f>'5-1 Сбор КП Закупки'!C126</f>
        <v/>
      </c>
      <c r="D126" s="781"/>
      <c r="E126" s="780"/>
      <c r="F126" s="783"/>
      <c r="G126" s="783"/>
      <c r="H126" s="783"/>
      <c r="I126" s="783"/>
      <c r="J126" s="780"/>
      <c r="K126" s="786"/>
      <c r="L126" s="785"/>
      <c r="M126" s="786"/>
      <c r="N126" s="786"/>
      <c r="O126" s="780"/>
      <c r="P126" s="787"/>
      <c r="Q126" s="780"/>
      <c r="R126" s="780"/>
      <c r="S126" s="780"/>
      <c r="T126" s="780"/>
      <c r="U126" s="780"/>
      <c r="V126" s="780"/>
      <c r="W126" s="787"/>
      <c r="X126" s="780"/>
      <c r="Y126" s="780"/>
      <c r="Z126" s="780"/>
      <c r="AA126" s="780"/>
      <c r="AB126" s="788"/>
      <c r="AC126" s="781"/>
      <c r="AD126" s="780"/>
      <c r="AE126" s="789" t="str">
        <f t="array" ref="AE126:AF126">{"",'S-10 Оформление сделок Выборка'!AF126}</f>
        <v/>
      </c>
      <c r="AF126" s="790"/>
      <c r="AG126" s="781"/>
      <c r="AH126" s="781"/>
      <c r="AI126" s="785"/>
      <c r="AJ126" s="780"/>
      <c r="AK126" s="792" t="str">
        <f t="array" ref="AK126:AL126">{"",'S-10 Оформление сделок Выборка'!AL126}</f>
        <v/>
      </c>
      <c r="AL126" s="793"/>
      <c r="AM126" s="792" t="str">
        <f t="array" ref="AM126:AN126">{"",'S-10 Оформление сделок Выборка'!AN126}</f>
        <v/>
      </c>
      <c r="AN126" s="794"/>
      <c r="AO126" s="792" t="str">
        <f t="array" ref="AO126:AP126">{"",'S-10 Оформление сделок Выборка'!AP126}</f>
        <v/>
      </c>
      <c r="AP126" s="786"/>
      <c r="AQ126" s="786"/>
      <c r="AR126" s="779" t="str">
        <f t="array" ref="AR126:AS126">{"",'S-10 Оформление сделок Выборка'!AS126}</f>
        <v/>
      </c>
      <c r="AS126" s="795"/>
      <c r="AT126" s="779" t="str">
        <f t="array" ref="AT126:AU126">{"",'S-10 Оформление сделок Выборка'!AU126}</f>
        <v/>
      </c>
      <c r="AU126" s="805"/>
      <c r="AV126" s="779" t="str">
        <f t="array" ref="AV126:AW126">{"",'S-10 Оформление сделок Выборка'!AW126}</f>
        <v/>
      </c>
      <c r="AW126" s="797"/>
      <c r="AX126" s="786"/>
      <c r="AY126" s="786"/>
      <c r="AZ126" s="792" t="str">
        <f t="array" ref="AZ126:BA126">{"",'S-10 Оформление сделок Выборка'!BA126}</f>
        <v/>
      </c>
      <c r="BA126" s="798"/>
      <c r="BB126" s="792" t="str">
        <f t="array" ref="BB126:BC126">{"",'S-10 Оформление сделок Выборка'!BC126}</f>
        <v/>
      </c>
      <c r="BC126" s="799"/>
      <c r="BD126" s="792" t="str">
        <f t="array" ref="BD126:BE126">{"",'S-10 Оформление сделок Выборка'!BE126}</f>
        <v/>
      </c>
      <c r="BE126" s="793"/>
      <c r="BF126" s="800" t="str">
        <f t="array" ref="BF126:BG126">{"",'S-10 Оформление сделок Выборка'!BG126}</f>
        <v/>
      </c>
      <c r="BG126" s="794"/>
      <c r="BH126" s="794" t="str">
        <f t="array" ref="BH126:BI126">{"",'S-10 Оформление сделок Выборка'!BI126}</f>
        <v/>
      </c>
      <c r="BI126" s="794"/>
      <c r="BJ126" s="792" t="str">
        <f t="array" ref="BJ126:BK126">{"",'S-10 Оформление сделок Выборка'!BK126}</f>
        <v/>
      </c>
      <c r="BK126" s="793"/>
      <c r="BL126" s="792" t="str">
        <f t="array" ref="BL126:BM126">{"",'S-10 Оформление сделок Выборка'!BM126}</f>
        <v/>
      </c>
      <c r="BM126" s="801"/>
      <c r="BN126" s="792" t="str">
        <f t="array" ref="BN126:BO126">{"",'S-10 Оформление сделок Выборка'!BO126}</f>
        <v/>
      </c>
      <c r="BO126" s="793"/>
      <c r="BP126" s="792" t="str">
        <f t="array" ref="BP126:BQ126">{"",'S-10 Оформление сделок Выборка'!BQ126}</f>
        <v/>
      </c>
      <c r="BQ126" s="802"/>
      <c r="BR126" s="792" t="str">
        <f t="array" ref="BR126:BS126">{"",'S-10 Оформление сделок Выборка'!BS126}</f>
        <v/>
      </c>
      <c r="BS126" s="794"/>
      <c r="BT126" s="800" t="str">
        <f t="array" ref="BT126:BU126">{"",'S-10 Оформление сделок Выборка'!BU126}</f>
        <v/>
      </c>
      <c r="BU126" s="794"/>
      <c r="BV126" s="800" t="str">
        <f t="array" ref="BV126:BW126">{"",'S-10 Оформление сделок Выборка'!BW126}</f>
        <v/>
      </c>
      <c r="BW126" s="803" t="s">
        <v>96</v>
      </c>
      <c r="BX126" s="804"/>
    </row>
    <row r="127">
      <c r="A127" s="779"/>
      <c r="B127" s="779"/>
      <c r="C127" s="780" t="str">
        <f>'5-1 Сбор КП Закупки'!C127</f>
        <v/>
      </c>
      <c r="D127" s="781"/>
      <c r="E127" s="780"/>
      <c r="F127" s="783"/>
      <c r="G127" s="783"/>
      <c r="H127" s="783"/>
      <c r="I127" s="783"/>
      <c r="J127" s="780"/>
      <c r="K127" s="786"/>
      <c r="L127" s="785"/>
      <c r="M127" s="786"/>
      <c r="N127" s="786"/>
      <c r="O127" s="780"/>
      <c r="P127" s="787"/>
      <c r="Q127" s="780"/>
      <c r="R127" s="780"/>
      <c r="S127" s="780"/>
      <c r="T127" s="780"/>
      <c r="U127" s="780"/>
      <c r="V127" s="780"/>
      <c r="W127" s="787"/>
      <c r="X127" s="780"/>
      <c r="Y127" s="780"/>
      <c r="Z127" s="780"/>
      <c r="AA127" s="780"/>
      <c r="AB127" s="788"/>
      <c r="AC127" s="781"/>
      <c r="AD127" s="780"/>
      <c r="AE127" s="789" t="str">
        <f t="array" ref="AE127:AF127">{"",'S-10 Оформление сделок Выборка'!AF127}</f>
        <v/>
      </c>
      <c r="AF127" s="790"/>
      <c r="AG127" s="781"/>
      <c r="AH127" s="781"/>
      <c r="AI127" s="785"/>
      <c r="AJ127" s="780"/>
      <c r="AK127" s="792" t="str">
        <f t="array" ref="AK127:AL127">{"",'S-10 Оформление сделок Выборка'!AL127}</f>
        <v/>
      </c>
      <c r="AL127" s="793"/>
      <c r="AM127" s="792" t="str">
        <f t="array" ref="AM127:AN127">{"",'S-10 Оформление сделок Выборка'!AN127}</f>
        <v/>
      </c>
      <c r="AN127" s="794"/>
      <c r="AO127" s="792" t="str">
        <f t="array" ref="AO127:AP127">{"",'S-10 Оформление сделок Выборка'!AP127}</f>
        <v/>
      </c>
      <c r="AP127" s="786"/>
      <c r="AQ127" s="786"/>
      <c r="AR127" s="779" t="str">
        <f t="array" ref="AR127:AS127">{"",'S-10 Оформление сделок Выборка'!AS127}</f>
        <v/>
      </c>
      <c r="AS127" s="795"/>
      <c r="AT127" s="779" t="str">
        <f t="array" ref="AT127:AU127">{"",'S-10 Оформление сделок Выборка'!AU127}</f>
        <v/>
      </c>
      <c r="AU127" s="805"/>
      <c r="AV127" s="779" t="str">
        <f t="array" ref="AV127:AW127">{"",'S-10 Оформление сделок Выборка'!AW127}</f>
        <v/>
      </c>
      <c r="AW127" s="797"/>
      <c r="AX127" s="786"/>
      <c r="AY127" s="786"/>
      <c r="AZ127" s="792" t="str">
        <f t="array" ref="AZ127:BA127">{"",'S-10 Оформление сделок Выборка'!BA127}</f>
        <v/>
      </c>
      <c r="BA127" s="798"/>
      <c r="BB127" s="792" t="str">
        <f t="array" ref="BB127:BC127">{"",'S-10 Оформление сделок Выборка'!BC127}</f>
        <v/>
      </c>
      <c r="BC127" s="799"/>
      <c r="BD127" s="792" t="str">
        <f t="array" ref="BD127:BE127">{"",'S-10 Оформление сделок Выборка'!BE127}</f>
        <v/>
      </c>
      <c r="BE127" s="793"/>
      <c r="BF127" s="800" t="str">
        <f t="array" ref="BF127:BG127">{"",'S-10 Оформление сделок Выборка'!BG127}</f>
        <v/>
      </c>
      <c r="BG127" s="794"/>
      <c r="BH127" s="794" t="str">
        <f t="array" ref="BH127:BI127">{"",'S-10 Оформление сделок Выборка'!BI127}</f>
        <v/>
      </c>
      <c r="BI127" s="794"/>
      <c r="BJ127" s="792" t="str">
        <f t="array" ref="BJ127:BK127">{"",'S-10 Оформление сделок Выборка'!BK127}</f>
        <v/>
      </c>
      <c r="BK127" s="793"/>
      <c r="BL127" s="792" t="str">
        <f t="array" ref="BL127:BM127">{"",'S-10 Оформление сделок Выборка'!BM127}</f>
        <v/>
      </c>
      <c r="BM127" s="801"/>
      <c r="BN127" s="792" t="str">
        <f t="array" ref="BN127:BO127">{"",'S-10 Оформление сделок Выборка'!BO127}</f>
        <v/>
      </c>
      <c r="BO127" s="793"/>
      <c r="BP127" s="792" t="str">
        <f t="array" ref="BP127:BQ127">{"",'S-10 Оформление сделок Выборка'!BQ127}</f>
        <v/>
      </c>
      <c r="BQ127" s="802"/>
      <c r="BR127" s="792" t="str">
        <f t="array" ref="BR127:BS127">{"",'S-10 Оформление сделок Выборка'!BS127}</f>
        <v/>
      </c>
      <c r="BS127" s="794"/>
      <c r="BT127" s="800" t="str">
        <f t="array" ref="BT127:BU127">{"",'S-10 Оформление сделок Выборка'!BU127}</f>
        <v/>
      </c>
      <c r="BU127" s="794"/>
      <c r="BV127" s="800" t="str">
        <f t="array" ref="BV127:BW127">{"",'S-10 Оформление сделок Выборка'!BW127}</f>
        <v/>
      </c>
      <c r="BW127" s="803" t="s">
        <v>96</v>
      </c>
      <c r="BX127" s="804"/>
    </row>
    <row r="128">
      <c r="A128" s="779"/>
      <c r="B128" s="779"/>
      <c r="C128" s="780" t="str">
        <f>'5-1 Сбор КП Закупки'!C128</f>
        <v/>
      </c>
      <c r="D128" s="781"/>
      <c r="E128" s="780"/>
      <c r="F128" s="783"/>
      <c r="G128" s="783"/>
      <c r="H128" s="783"/>
      <c r="I128" s="783"/>
      <c r="J128" s="780"/>
      <c r="K128" s="786"/>
      <c r="L128" s="785"/>
      <c r="M128" s="786"/>
      <c r="N128" s="786"/>
      <c r="O128" s="780"/>
      <c r="P128" s="787"/>
      <c r="Q128" s="780"/>
      <c r="R128" s="780"/>
      <c r="S128" s="780"/>
      <c r="T128" s="780"/>
      <c r="U128" s="780"/>
      <c r="V128" s="780"/>
      <c r="W128" s="787"/>
      <c r="X128" s="780"/>
      <c r="Y128" s="780"/>
      <c r="Z128" s="780"/>
      <c r="AA128" s="780"/>
      <c r="AB128" s="788"/>
      <c r="AC128" s="781"/>
      <c r="AD128" s="780"/>
      <c r="AE128" s="789" t="str">
        <f t="array" ref="AE128:AF128">{"",'S-10 Оформление сделок Выборка'!AF128}</f>
        <v/>
      </c>
      <c r="AF128" s="790"/>
      <c r="AG128" s="781"/>
      <c r="AH128" s="781"/>
      <c r="AI128" s="785"/>
      <c r="AJ128" s="780"/>
      <c r="AK128" s="792" t="str">
        <f t="array" ref="AK128:AL128">{"",'S-10 Оформление сделок Выборка'!AL128}</f>
        <v/>
      </c>
      <c r="AL128" s="793"/>
      <c r="AM128" s="792" t="str">
        <f t="array" ref="AM128:AN128">{"",'S-10 Оформление сделок Выборка'!AN128}</f>
        <v/>
      </c>
      <c r="AN128" s="794"/>
      <c r="AO128" s="792" t="str">
        <f t="array" ref="AO128:AP128">{"",'S-10 Оформление сделок Выборка'!AP128}</f>
        <v/>
      </c>
      <c r="AP128" s="786"/>
      <c r="AQ128" s="786"/>
      <c r="AR128" s="779" t="str">
        <f t="array" ref="AR128:AS128">{"",'S-10 Оформление сделок Выборка'!AS128}</f>
        <v/>
      </c>
      <c r="AS128" s="795"/>
      <c r="AT128" s="779" t="str">
        <f t="array" ref="AT128:AU128">{"",'S-10 Оформление сделок Выборка'!AU128}</f>
        <v/>
      </c>
      <c r="AU128" s="805"/>
      <c r="AV128" s="779" t="str">
        <f t="array" ref="AV128:AW128">{"",'S-10 Оформление сделок Выборка'!AW128}</f>
        <v/>
      </c>
      <c r="AW128" s="797"/>
      <c r="AX128" s="786"/>
      <c r="AY128" s="786"/>
      <c r="AZ128" s="792" t="str">
        <f t="array" ref="AZ128:BA128">{"",'S-10 Оформление сделок Выборка'!BA128}</f>
        <v/>
      </c>
      <c r="BA128" s="798"/>
      <c r="BB128" s="792" t="str">
        <f t="array" ref="BB128:BC128">{"",'S-10 Оформление сделок Выборка'!BC128}</f>
        <v/>
      </c>
      <c r="BC128" s="799"/>
      <c r="BD128" s="792" t="str">
        <f t="array" ref="BD128:BE128">{"",'S-10 Оформление сделок Выборка'!BE128}</f>
        <v/>
      </c>
      <c r="BE128" s="793"/>
      <c r="BF128" s="800" t="str">
        <f t="array" ref="BF128:BG128">{"",'S-10 Оформление сделок Выборка'!BG128}</f>
        <v/>
      </c>
      <c r="BG128" s="794"/>
      <c r="BH128" s="794" t="str">
        <f t="array" ref="BH128:BI128">{"",'S-10 Оформление сделок Выборка'!BI128}</f>
        <v/>
      </c>
      <c r="BI128" s="794"/>
      <c r="BJ128" s="792" t="str">
        <f t="array" ref="BJ128:BK128">{"",'S-10 Оформление сделок Выборка'!BK128}</f>
        <v/>
      </c>
      <c r="BK128" s="793"/>
      <c r="BL128" s="792" t="str">
        <f t="array" ref="BL128:BM128">{"",'S-10 Оформление сделок Выборка'!BM128}</f>
        <v/>
      </c>
      <c r="BM128" s="801"/>
      <c r="BN128" s="792" t="str">
        <f t="array" ref="BN128:BO128">{"",'S-10 Оформление сделок Выборка'!BO128}</f>
        <v/>
      </c>
      <c r="BO128" s="793"/>
      <c r="BP128" s="792" t="str">
        <f t="array" ref="BP128:BQ128">{"",'S-10 Оформление сделок Выборка'!BQ128}</f>
        <v/>
      </c>
      <c r="BQ128" s="802"/>
      <c r="BR128" s="792" t="str">
        <f t="array" ref="BR128:BS128">{"",'S-10 Оформление сделок Выборка'!BS128}</f>
        <v/>
      </c>
      <c r="BS128" s="794"/>
      <c r="BT128" s="800" t="str">
        <f t="array" ref="BT128:BU128">{"",'S-10 Оформление сделок Выборка'!BU128}</f>
        <v/>
      </c>
      <c r="BU128" s="794"/>
      <c r="BV128" s="800" t="str">
        <f t="array" ref="BV128:BW128">{"",'S-10 Оформление сделок Выборка'!BW128}</f>
        <v/>
      </c>
      <c r="BW128" s="803" t="s">
        <v>96</v>
      </c>
      <c r="BX128" s="804"/>
    </row>
    <row r="129">
      <c r="A129" s="779"/>
      <c r="B129" s="779"/>
      <c r="C129" s="780" t="str">
        <f>'5-1 Сбор КП Закупки'!C129</f>
        <v/>
      </c>
      <c r="D129" s="781"/>
      <c r="E129" s="780"/>
      <c r="F129" s="783"/>
      <c r="G129" s="783"/>
      <c r="H129" s="783"/>
      <c r="I129" s="783"/>
      <c r="J129" s="780"/>
      <c r="K129" s="786"/>
      <c r="L129" s="785"/>
      <c r="M129" s="786"/>
      <c r="N129" s="786"/>
      <c r="O129" s="780"/>
      <c r="P129" s="787"/>
      <c r="Q129" s="780"/>
      <c r="R129" s="780"/>
      <c r="S129" s="780"/>
      <c r="T129" s="780"/>
      <c r="U129" s="780"/>
      <c r="V129" s="780"/>
      <c r="W129" s="787"/>
      <c r="X129" s="780"/>
      <c r="Y129" s="780"/>
      <c r="Z129" s="780"/>
      <c r="AA129" s="780"/>
      <c r="AB129" s="788"/>
      <c r="AC129" s="781"/>
      <c r="AD129" s="780"/>
      <c r="AE129" s="789" t="str">
        <f t="array" ref="AE129:AF129">{"",'S-10 Оформление сделок Выборка'!AF129}</f>
        <v/>
      </c>
      <c r="AF129" s="790"/>
      <c r="AG129" s="781"/>
      <c r="AH129" s="781"/>
      <c r="AI129" s="785"/>
      <c r="AJ129" s="780"/>
      <c r="AK129" s="792" t="str">
        <f t="array" ref="AK129:AL129">{"",'S-10 Оформление сделок Выборка'!AL129}</f>
        <v/>
      </c>
      <c r="AL129" s="793"/>
      <c r="AM129" s="792" t="str">
        <f t="array" ref="AM129:AN129">{"",'S-10 Оформление сделок Выборка'!AN129}</f>
        <v/>
      </c>
      <c r="AN129" s="794"/>
      <c r="AO129" s="792" t="str">
        <f t="array" ref="AO129:AP129">{"",'S-10 Оформление сделок Выборка'!AP129}</f>
        <v/>
      </c>
      <c r="AP129" s="786"/>
      <c r="AQ129" s="786"/>
      <c r="AR129" s="779" t="str">
        <f t="array" ref="AR129:AS129">{"",'S-10 Оформление сделок Выборка'!AS129}</f>
        <v/>
      </c>
      <c r="AS129" s="795"/>
      <c r="AT129" s="779" t="str">
        <f t="array" ref="AT129:AU129">{"",'S-10 Оформление сделок Выборка'!AU129}</f>
        <v/>
      </c>
      <c r="AU129" s="805"/>
      <c r="AV129" s="779" t="str">
        <f t="array" ref="AV129:AW129">{"",'S-10 Оформление сделок Выборка'!AW129}</f>
        <v/>
      </c>
      <c r="AW129" s="797"/>
      <c r="AX129" s="786"/>
      <c r="AY129" s="786"/>
      <c r="AZ129" s="792" t="str">
        <f t="array" ref="AZ129:BA129">{"",'S-10 Оформление сделок Выборка'!BA129}</f>
        <v/>
      </c>
      <c r="BA129" s="798"/>
      <c r="BB129" s="792" t="str">
        <f t="array" ref="BB129:BC129">{"",'S-10 Оформление сделок Выборка'!BC129}</f>
        <v/>
      </c>
      <c r="BC129" s="799"/>
      <c r="BD129" s="792" t="str">
        <f t="array" ref="BD129:BE129">{"",'S-10 Оформление сделок Выборка'!BE129}</f>
        <v/>
      </c>
      <c r="BE129" s="793"/>
      <c r="BF129" s="800" t="str">
        <f t="array" ref="BF129:BG129">{"",'S-10 Оформление сделок Выборка'!BG129}</f>
        <v/>
      </c>
      <c r="BG129" s="794"/>
      <c r="BH129" s="794" t="str">
        <f t="array" ref="BH129:BI129">{"",'S-10 Оформление сделок Выборка'!BI129}</f>
        <v/>
      </c>
      <c r="BI129" s="794"/>
      <c r="BJ129" s="792" t="str">
        <f t="array" ref="BJ129:BK129">{"",'S-10 Оформление сделок Выборка'!BK129}</f>
        <v/>
      </c>
      <c r="BK129" s="793"/>
      <c r="BL129" s="792" t="str">
        <f t="array" ref="BL129:BM129">{"",'S-10 Оформление сделок Выборка'!BM129}</f>
        <v/>
      </c>
      <c r="BM129" s="801"/>
      <c r="BN129" s="792" t="str">
        <f t="array" ref="BN129:BO129">{"",'S-10 Оформление сделок Выборка'!BO129}</f>
        <v/>
      </c>
      <c r="BO129" s="793"/>
      <c r="BP129" s="792" t="str">
        <f t="array" ref="BP129:BQ129">{"",'S-10 Оформление сделок Выборка'!BQ129}</f>
        <v/>
      </c>
      <c r="BQ129" s="802"/>
      <c r="BR129" s="792" t="str">
        <f t="array" ref="BR129:BS129">{"",'S-10 Оформление сделок Выборка'!BS129}</f>
        <v/>
      </c>
      <c r="BS129" s="794"/>
      <c r="BT129" s="800" t="str">
        <f t="array" ref="BT129:BU129">{"",'S-10 Оформление сделок Выборка'!BU129}</f>
        <v/>
      </c>
      <c r="BU129" s="794"/>
      <c r="BV129" s="800" t="str">
        <f t="array" ref="BV129:BW129">{"",'S-10 Оформление сделок Выборка'!BW129}</f>
        <v/>
      </c>
      <c r="BW129" s="803" t="s">
        <v>96</v>
      </c>
      <c r="BX129" s="804"/>
    </row>
    <row r="130">
      <c r="A130" s="779"/>
      <c r="B130" s="779"/>
      <c r="C130" s="780" t="str">
        <f>'5-1 Сбор КП Закупки'!C130</f>
        <v/>
      </c>
      <c r="D130" s="781"/>
      <c r="E130" s="780"/>
      <c r="F130" s="783"/>
      <c r="G130" s="783"/>
      <c r="H130" s="783"/>
      <c r="I130" s="783"/>
      <c r="J130" s="780"/>
      <c r="K130" s="786"/>
      <c r="L130" s="785"/>
      <c r="M130" s="786"/>
      <c r="N130" s="786"/>
      <c r="O130" s="780"/>
      <c r="P130" s="787"/>
      <c r="Q130" s="780"/>
      <c r="R130" s="780"/>
      <c r="S130" s="780"/>
      <c r="T130" s="780"/>
      <c r="U130" s="780"/>
      <c r="V130" s="780"/>
      <c r="W130" s="787"/>
      <c r="X130" s="780"/>
      <c r="Y130" s="780"/>
      <c r="Z130" s="780"/>
      <c r="AA130" s="780"/>
      <c r="AB130" s="788"/>
      <c r="AC130" s="781"/>
      <c r="AD130" s="780"/>
      <c r="AE130" s="789" t="str">
        <f t="array" ref="AE130:AF130">{"",'S-10 Оформление сделок Выборка'!AF130}</f>
        <v/>
      </c>
      <c r="AF130" s="790"/>
      <c r="AG130" s="781"/>
      <c r="AH130" s="781"/>
      <c r="AI130" s="785"/>
      <c r="AJ130" s="780"/>
      <c r="AK130" s="792" t="str">
        <f t="array" ref="AK130:AL130">{"",'S-10 Оформление сделок Выборка'!AL130}</f>
        <v/>
      </c>
      <c r="AL130" s="793"/>
      <c r="AM130" s="792" t="str">
        <f t="array" ref="AM130:AN130">{"",'S-10 Оформление сделок Выборка'!AN130}</f>
        <v/>
      </c>
      <c r="AN130" s="794"/>
      <c r="AO130" s="792" t="str">
        <f t="array" ref="AO130:AP130">{"",'S-10 Оформление сделок Выборка'!AP130}</f>
        <v/>
      </c>
      <c r="AP130" s="786"/>
      <c r="AQ130" s="786"/>
      <c r="AR130" s="779" t="str">
        <f t="array" ref="AR130:AS130">{"",'S-10 Оформление сделок Выборка'!AS130}</f>
        <v/>
      </c>
      <c r="AS130" s="795"/>
      <c r="AT130" s="779" t="str">
        <f t="array" ref="AT130:AU130">{"",'S-10 Оформление сделок Выборка'!AU130}</f>
        <v/>
      </c>
      <c r="AU130" s="805"/>
      <c r="AV130" s="779" t="str">
        <f t="array" ref="AV130:AW130">{"",'S-10 Оформление сделок Выборка'!AW130}</f>
        <v/>
      </c>
      <c r="AW130" s="797"/>
      <c r="AX130" s="786"/>
      <c r="AY130" s="786"/>
      <c r="AZ130" s="792" t="str">
        <f t="array" ref="AZ130:BA130">{"",'S-10 Оформление сделок Выборка'!BA130}</f>
        <v/>
      </c>
      <c r="BA130" s="798"/>
      <c r="BB130" s="792" t="str">
        <f t="array" ref="BB130:BC130">{"",'S-10 Оформление сделок Выборка'!BC130}</f>
        <v/>
      </c>
      <c r="BC130" s="799"/>
      <c r="BD130" s="792" t="str">
        <f t="array" ref="BD130:BE130">{"",'S-10 Оформление сделок Выборка'!BE130}</f>
        <v/>
      </c>
      <c r="BE130" s="793"/>
      <c r="BF130" s="800" t="str">
        <f t="array" ref="BF130:BG130">{"",'S-10 Оформление сделок Выборка'!BG130}</f>
        <v/>
      </c>
      <c r="BG130" s="794"/>
      <c r="BH130" s="794" t="str">
        <f t="array" ref="BH130:BI130">{"",'S-10 Оформление сделок Выборка'!BI130}</f>
        <v/>
      </c>
      <c r="BI130" s="794"/>
      <c r="BJ130" s="792" t="str">
        <f t="array" ref="BJ130:BK130">{"",'S-10 Оформление сделок Выборка'!BK130}</f>
        <v/>
      </c>
      <c r="BK130" s="793"/>
      <c r="BL130" s="792" t="str">
        <f t="array" ref="BL130:BM130">{"",'S-10 Оформление сделок Выборка'!BM130}</f>
        <v/>
      </c>
      <c r="BM130" s="801"/>
      <c r="BN130" s="792" t="str">
        <f t="array" ref="BN130:BO130">{"",'S-10 Оформление сделок Выборка'!BO130}</f>
        <v/>
      </c>
      <c r="BO130" s="793"/>
      <c r="BP130" s="792" t="str">
        <f t="array" ref="BP130:BQ130">{"",'S-10 Оформление сделок Выборка'!BQ130}</f>
        <v/>
      </c>
      <c r="BQ130" s="802"/>
      <c r="BR130" s="792" t="str">
        <f t="array" ref="BR130:BS130">{"",'S-10 Оформление сделок Выборка'!BS130}</f>
        <v/>
      </c>
      <c r="BS130" s="794"/>
      <c r="BT130" s="800" t="str">
        <f t="array" ref="BT130:BU130">{"",'S-10 Оформление сделок Выборка'!BU130}</f>
        <v/>
      </c>
      <c r="BU130" s="794"/>
      <c r="BV130" s="800" t="str">
        <f t="array" ref="BV130:BW130">{"",'S-10 Оформление сделок Выборка'!BW130}</f>
        <v/>
      </c>
      <c r="BW130" s="803" t="s">
        <v>96</v>
      </c>
      <c r="BX130" s="804"/>
    </row>
    <row r="131">
      <c r="A131" s="779"/>
      <c r="B131" s="779"/>
      <c r="C131" s="780" t="str">
        <f>'5-1 Сбор КП Закупки'!C131</f>
        <v/>
      </c>
      <c r="D131" s="781"/>
      <c r="E131" s="780"/>
      <c r="F131" s="783"/>
      <c r="G131" s="783"/>
      <c r="H131" s="783"/>
      <c r="I131" s="783"/>
      <c r="J131" s="780"/>
      <c r="K131" s="786"/>
      <c r="L131" s="785"/>
      <c r="M131" s="786"/>
      <c r="N131" s="786"/>
      <c r="O131" s="780"/>
      <c r="P131" s="787"/>
      <c r="Q131" s="780"/>
      <c r="R131" s="780"/>
      <c r="S131" s="780"/>
      <c r="T131" s="780"/>
      <c r="U131" s="780"/>
      <c r="V131" s="780"/>
      <c r="W131" s="787"/>
      <c r="X131" s="780"/>
      <c r="Y131" s="780"/>
      <c r="Z131" s="780"/>
      <c r="AA131" s="780"/>
      <c r="AB131" s="788"/>
      <c r="AC131" s="781"/>
      <c r="AD131" s="780"/>
      <c r="AE131" s="789" t="str">
        <f t="array" ref="AE131:AF131">{"",'S-10 Оформление сделок Выборка'!AF131}</f>
        <v/>
      </c>
      <c r="AF131" s="790"/>
      <c r="AG131" s="781"/>
      <c r="AH131" s="781"/>
      <c r="AI131" s="785"/>
      <c r="AJ131" s="780"/>
      <c r="AK131" s="792" t="str">
        <f t="array" ref="AK131:AL131">{"",'S-10 Оформление сделок Выборка'!AL131}</f>
        <v/>
      </c>
      <c r="AL131" s="793"/>
      <c r="AM131" s="792" t="str">
        <f t="array" ref="AM131:AN131">{"",'S-10 Оформление сделок Выборка'!AN131}</f>
        <v/>
      </c>
      <c r="AN131" s="794"/>
      <c r="AO131" s="792" t="str">
        <f t="array" ref="AO131:AP131">{"",'S-10 Оформление сделок Выборка'!AP131}</f>
        <v/>
      </c>
      <c r="AP131" s="786"/>
      <c r="AQ131" s="786"/>
      <c r="AR131" s="779" t="str">
        <f t="array" ref="AR131:AS131">{"",'S-10 Оформление сделок Выборка'!AS131}</f>
        <v/>
      </c>
      <c r="AS131" s="795"/>
      <c r="AT131" s="779" t="str">
        <f t="array" ref="AT131:AU131">{"",'S-10 Оформление сделок Выборка'!AU131}</f>
        <v/>
      </c>
      <c r="AU131" s="805"/>
      <c r="AV131" s="779" t="str">
        <f t="array" ref="AV131:AW131">{"",'S-10 Оформление сделок Выборка'!AW131}</f>
        <v/>
      </c>
      <c r="AW131" s="797"/>
      <c r="AX131" s="786"/>
      <c r="AY131" s="786"/>
      <c r="AZ131" s="792" t="str">
        <f t="array" ref="AZ131:BA131">{"",'S-10 Оформление сделок Выборка'!BA131}</f>
        <v/>
      </c>
      <c r="BA131" s="798"/>
      <c r="BB131" s="792" t="str">
        <f t="array" ref="BB131:BC131">{"",'S-10 Оформление сделок Выборка'!BC131}</f>
        <v/>
      </c>
      <c r="BC131" s="799"/>
      <c r="BD131" s="792" t="str">
        <f t="array" ref="BD131:BE131">{"",'S-10 Оформление сделок Выборка'!BE131}</f>
        <v/>
      </c>
      <c r="BE131" s="793"/>
      <c r="BF131" s="800" t="str">
        <f t="array" ref="BF131:BG131">{"",'S-10 Оформление сделок Выборка'!BG131}</f>
        <v/>
      </c>
      <c r="BG131" s="794"/>
      <c r="BH131" s="794" t="str">
        <f t="array" ref="BH131:BI131">{"",'S-10 Оформление сделок Выборка'!BI131}</f>
        <v/>
      </c>
      <c r="BI131" s="794"/>
      <c r="BJ131" s="792" t="str">
        <f t="array" ref="BJ131:BK131">{"",'S-10 Оформление сделок Выборка'!BK131}</f>
        <v/>
      </c>
      <c r="BK131" s="793"/>
      <c r="BL131" s="792" t="str">
        <f t="array" ref="BL131:BM131">{"",'S-10 Оформление сделок Выборка'!BM131}</f>
        <v/>
      </c>
      <c r="BM131" s="801"/>
      <c r="BN131" s="792" t="str">
        <f t="array" ref="BN131:BO131">{"",'S-10 Оформление сделок Выборка'!BO131}</f>
        <v/>
      </c>
      <c r="BO131" s="793"/>
      <c r="BP131" s="792" t="str">
        <f t="array" ref="BP131:BQ131">{"",'S-10 Оформление сделок Выборка'!BQ131}</f>
        <v/>
      </c>
      <c r="BQ131" s="802"/>
      <c r="BR131" s="792" t="str">
        <f t="array" ref="BR131:BS131">{"",'S-10 Оформление сделок Выборка'!BS131}</f>
        <v/>
      </c>
      <c r="BS131" s="794"/>
      <c r="BT131" s="800" t="str">
        <f t="array" ref="BT131:BU131">{"",'S-10 Оформление сделок Выборка'!BU131}</f>
        <v/>
      </c>
      <c r="BU131" s="794"/>
      <c r="BV131" s="800" t="str">
        <f t="array" ref="BV131:BW131">{"",'S-10 Оформление сделок Выборка'!BW131}</f>
        <v/>
      </c>
      <c r="BW131" s="803" t="s">
        <v>96</v>
      </c>
      <c r="BX131" s="804"/>
    </row>
    <row r="132">
      <c r="A132" s="779"/>
      <c r="B132" s="779"/>
      <c r="C132" s="780" t="str">
        <f>'5-1 Сбор КП Закупки'!C132</f>
        <v/>
      </c>
      <c r="D132" s="781"/>
      <c r="E132" s="780"/>
      <c r="F132" s="783"/>
      <c r="G132" s="783"/>
      <c r="H132" s="783"/>
      <c r="I132" s="783"/>
      <c r="J132" s="780"/>
      <c r="K132" s="786"/>
      <c r="L132" s="785"/>
      <c r="M132" s="786"/>
      <c r="N132" s="786"/>
      <c r="O132" s="780"/>
      <c r="P132" s="787"/>
      <c r="Q132" s="780"/>
      <c r="R132" s="780"/>
      <c r="S132" s="780"/>
      <c r="T132" s="780"/>
      <c r="U132" s="780"/>
      <c r="V132" s="780"/>
      <c r="W132" s="787"/>
      <c r="X132" s="780"/>
      <c r="Y132" s="780"/>
      <c r="Z132" s="780"/>
      <c r="AA132" s="780"/>
      <c r="AB132" s="788"/>
      <c r="AC132" s="781"/>
      <c r="AD132" s="780"/>
      <c r="AE132" s="789" t="str">
        <f t="array" ref="AE132:AF132">{"",'S-10 Оформление сделок Выборка'!AF132}</f>
        <v/>
      </c>
      <c r="AF132" s="790"/>
      <c r="AG132" s="781"/>
      <c r="AH132" s="781"/>
      <c r="AI132" s="785"/>
      <c r="AJ132" s="780"/>
      <c r="AK132" s="792" t="str">
        <f t="array" ref="AK132:AL132">{"",'S-10 Оформление сделок Выборка'!AL132}</f>
        <v/>
      </c>
      <c r="AL132" s="793"/>
      <c r="AM132" s="792" t="str">
        <f t="array" ref="AM132:AN132">{"",'S-10 Оформление сделок Выборка'!AN132}</f>
        <v/>
      </c>
      <c r="AN132" s="794"/>
      <c r="AO132" s="792" t="str">
        <f t="array" ref="AO132:AP132">{"",'S-10 Оформление сделок Выборка'!AP132}</f>
        <v/>
      </c>
      <c r="AP132" s="786"/>
      <c r="AQ132" s="786"/>
      <c r="AR132" s="779" t="str">
        <f t="array" ref="AR132:AS132">{"",'S-10 Оформление сделок Выборка'!AS132}</f>
        <v/>
      </c>
      <c r="AS132" s="795"/>
      <c r="AT132" s="779" t="str">
        <f t="array" ref="AT132:AU132">{"",'S-10 Оформление сделок Выборка'!AU132}</f>
        <v/>
      </c>
      <c r="AU132" s="805"/>
      <c r="AV132" s="779" t="str">
        <f t="array" ref="AV132:AW132">{"",'S-10 Оформление сделок Выборка'!AW132}</f>
        <v/>
      </c>
      <c r="AW132" s="797"/>
      <c r="AX132" s="786"/>
      <c r="AY132" s="786"/>
      <c r="AZ132" s="792" t="str">
        <f t="array" ref="AZ132:BA132">{"",'S-10 Оформление сделок Выборка'!BA132}</f>
        <v/>
      </c>
      <c r="BA132" s="798"/>
      <c r="BB132" s="792" t="str">
        <f t="array" ref="BB132:BC132">{"",'S-10 Оформление сделок Выборка'!BC132}</f>
        <v/>
      </c>
      <c r="BC132" s="799"/>
      <c r="BD132" s="792" t="str">
        <f t="array" ref="BD132:BE132">{"",'S-10 Оформление сделок Выборка'!BE132}</f>
        <v/>
      </c>
      <c r="BE132" s="793"/>
      <c r="BF132" s="800" t="str">
        <f t="array" ref="BF132:BG132">{"",'S-10 Оформление сделок Выборка'!BG132}</f>
        <v/>
      </c>
      <c r="BG132" s="794"/>
      <c r="BH132" s="794" t="str">
        <f t="array" ref="BH132:BI132">{"",'S-10 Оформление сделок Выборка'!BI132}</f>
        <v/>
      </c>
      <c r="BI132" s="794"/>
      <c r="BJ132" s="792" t="str">
        <f t="array" ref="BJ132:BK132">{"",'S-10 Оформление сделок Выборка'!BK132}</f>
        <v/>
      </c>
      <c r="BK132" s="793"/>
      <c r="BL132" s="792" t="str">
        <f t="array" ref="BL132:BM132">{"",'S-10 Оформление сделок Выборка'!BM132}</f>
        <v/>
      </c>
      <c r="BM132" s="801"/>
      <c r="BN132" s="792" t="str">
        <f t="array" ref="BN132:BO132">{"",'S-10 Оформление сделок Выборка'!BO132}</f>
        <v/>
      </c>
      <c r="BO132" s="793"/>
      <c r="BP132" s="792" t="str">
        <f t="array" ref="BP132:BQ132">{"",'S-10 Оформление сделок Выборка'!BQ132}</f>
        <v/>
      </c>
      <c r="BQ132" s="802"/>
      <c r="BR132" s="792" t="str">
        <f t="array" ref="BR132:BS132">{"",'S-10 Оформление сделок Выборка'!BS132}</f>
        <v/>
      </c>
      <c r="BS132" s="794"/>
      <c r="BT132" s="800" t="str">
        <f t="array" ref="BT132:BU132">{"",'S-10 Оформление сделок Выборка'!BU132}</f>
        <v/>
      </c>
      <c r="BU132" s="794"/>
      <c r="BV132" s="800" t="str">
        <f t="array" ref="BV132:BW132">{"",'S-10 Оформление сделок Выборка'!BW132}</f>
        <v/>
      </c>
      <c r="BW132" s="803" t="s">
        <v>96</v>
      </c>
      <c r="BX132" s="804"/>
    </row>
    <row r="133">
      <c r="A133" s="779"/>
      <c r="B133" s="779"/>
      <c r="C133" s="780" t="str">
        <f>'5-1 Сбор КП Закупки'!C133</f>
        <v/>
      </c>
      <c r="D133" s="781"/>
      <c r="E133" s="780"/>
      <c r="F133" s="783"/>
      <c r="G133" s="783"/>
      <c r="H133" s="783"/>
      <c r="I133" s="783"/>
      <c r="J133" s="780"/>
      <c r="K133" s="786"/>
      <c r="L133" s="785"/>
      <c r="M133" s="786"/>
      <c r="N133" s="786"/>
      <c r="O133" s="780"/>
      <c r="P133" s="787"/>
      <c r="Q133" s="780"/>
      <c r="R133" s="780"/>
      <c r="S133" s="780"/>
      <c r="T133" s="780"/>
      <c r="U133" s="780"/>
      <c r="V133" s="780"/>
      <c r="W133" s="787"/>
      <c r="X133" s="780"/>
      <c r="Y133" s="780"/>
      <c r="Z133" s="780"/>
      <c r="AA133" s="780"/>
      <c r="AB133" s="788"/>
      <c r="AC133" s="781"/>
      <c r="AD133" s="780"/>
      <c r="AE133" s="789" t="str">
        <f t="array" ref="AE133:AF133">{"",'S-10 Оформление сделок Выборка'!AF133}</f>
        <v/>
      </c>
      <c r="AF133" s="790"/>
      <c r="AG133" s="781"/>
      <c r="AH133" s="781"/>
      <c r="AI133" s="785"/>
      <c r="AJ133" s="780"/>
      <c r="AK133" s="792" t="str">
        <f t="array" ref="AK133:AL133">{"",'S-10 Оформление сделок Выборка'!AL133}</f>
        <v/>
      </c>
      <c r="AL133" s="793"/>
      <c r="AM133" s="792" t="str">
        <f t="array" ref="AM133:AN133">{"",'S-10 Оформление сделок Выборка'!AN133}</f>
        <v/>
      </c>
      <c r="AN133" s="794"/>
      <c r="AO133" s="792" t="str">
        <f t="array" ref="AO133:AP133">{"",'S-10 Оформление сделок Выборка'!AP133}</f>
        <v/>
      </c>
      <c r="AP133" s="786"/>
      <c r="AQ133" s="786"/>
      <c r="AR133" s="779" t="str">
        <f t="array" ref="AR133:AS133">{"",'S-10 Оформление сделок Выборка'!AS133}</f>
        <v/>
      </c>
      <c r="AS133" s="795"/>
      <c r="AT133" s="779" t="str">
        <f t="array" ref="AT133:AU133">{"",'S-10 Оформление сделок Выборка'!AU133}</f>
        <v/>
      </c>
      <c r="AU133" s="805"/>
      <c r="AV133" s="779" t="str">
        <f t="array" ref="AV133:AW133">{"",'S-10 Оформление сделок Выборка'!AW133}</f>
        <v/>
      </c>
      <c r="AW133" s="797"/>
      <c r="AX133" s="786"/>
      <c r="AY133" s="786"/>
      <c r="AZ133" s="792" t="str">
        <f t="array" ref="AZ133:BA133">{"",'S-10 Оформление сделок Выборка'!BA133}</f>
        <v/>
      </c>
      <c r="BA133" s="798"/>
      <c r="BB133" s="792" t="str">
        <f t="array" ref="BB133:BC133">{"",'S-10 Оформление сделок Выборка'!BC133}</f>
        <v/>
      </c>
      <c r="BC133" s="799"/>
      <c r="BD133" s="792" t="str">
        <f t="array" ref="BD133:BE133">{"",'S-10 Оформление сделок Выборка'!BE133}</f>
        <v/>
      </c>
      <c r="BE133" s="793"/>
      <c r="BF133" s="800" t="str">
        <f t="array" ref="BF133:BG133">{"",'S-10 Оформление сделок Выборка'!BG133}</f>
        <v/>
      </c>
      <c r="BG133" s="794"/>
      <c r="BH133" s="794" t="str">
        <f t="array" ref="BH133:BI133">{"",'S-10 Оформление сделок Выборка'!BI133}</f>
        <v/>
      </c>
      <c r="BI133" s="794"/>
      <c r="BJ133" s="792" t="str">
        <f t="array" ref="BJ133:BK133">{"",'S-10 Оформление сделок Выборка'!BK133}</f>
        <v/>
      </c>
      <c r="BK133" s="793"/>
      <c r="BL133" s="792" t="str">
        <f t="array" ref="BL133:BM133">{"",'S-10 Оформление сделок Выборка'!BM133}</f>
        <v/>
      </c>
      <c r="BM133" s="801"/>
      <c r="BN133" s="792" t="str">
        <f t="array" ref="BN133:BO133">{"",'S-10 Оформление сделок Выборка'!BO133}</f>
        <v/>
      </c>
      <c r="BO133" s="793"/>
      <c r="BP133" s="792" t="str">
        <f t="array" ref="BP133:BQ133">{"",'S-10 Оформление сделок Выборка'!BQ133}</f>
        <v/>
      </c>
      <c r="BQ133" s="802"/>
      <c r="BR133" s="792" t="str">
        <f t="array" ref="BR133:BS133">{"",'S-10 Оформление сделок Выборка'!BS133}</f>
        <v/>
      </c>
      <c r="BS133" s="794"/>
      <c r="BT133" s="800" t="str">
        <f t="array" ref="BT133:BU133">{"",'S-10 Оформление сделок Выборка'!BU133}</f>
        <v/>
      </c>
      <c r="BU133" s="794"/>
      <c r="BV133" s="800" t="str">
        <f t="array" ref="BV133:BW133">{"",'S-10 Оформление сделок Выборка'!BW133}</f>
        <v/>
      </c>
      <c r="BW133" s="803" t="s">
        <v>96</v>
      </c>
      <c r="BX133" s="804"/>
    </row>
    <row r="134">
      <c r="A134" s="779"/>
      <c r="B134" s="779"/>
      <c r="C134" s="780" t="str">
        <f>'5-1 Сбор КП Закупки'!C134</f>
        <v/>
      </c>
      <c r="D134" s="781"/>
      <c r="E134" s="780"/>
      <c r="F134" s="783"/>
      <c r="G134" s="783"/>
      <c r="H134" s="783"/>
      <c r="I134" s="783"/>
      <c r="J134" s="780"/>
      <c r="K134" s="786"/>
      <c r="L134" s="785"/>
      <c r="M134" s="786"/>
      <c r="N134" s="786"/>
      <c r="O134" s="780"/>
      <c r="P134" s="787"/>
      <c r="Q134" s="780"/>
      <c r="R134" s="780"/>
      <c r="S134" s="780"/>
      <c r="T134" s="780"/>
      <c r="U134" s="780"/>
      <c r="V134" s="780"/>
      <c r="W134" s="787"/>
      <c r="X134" s="780"/>
      <c r="Y134" s="780"/>
      <c r="Z134" s="780"/>
      <c r="AA134" s="780"/>
      <c r="AB134" s="788"/>
      <c r="AC134" s="781"/>
      <c r="AD134" s="780"/>
      <c r="AE134" s="789" t="str">
        <f t="array" ref="AE134:AF134">{"",'S-10 Оформление сделок Выборка'!AF134}</f>
        <v/>
      </c>
      <c r="AF134" s="790"/>
      <c r="AG134" s="781"/>
      <c r="AH134" s="781"/>
      <c r="AI134" s="785"/>
      <c r="AJ134" s="780"/>
      <c r="AK134" s="792" t="str">
        <f t="array" ref="AK134:AL134">{"",'S-10 Оформление сделок Выборка'!AL134}</f>
        <v/>
      </c>
      <c r="AL134" s="793"/>
      <c r="AM134" s="792" t="str">
        <f t="array" ref="AM134:AN134">{"",'S-10 Оформление сделок Выборка'!AN134}</f>
        <v/>
      </c>
      <c r="AN134" s="794"/>
      <c r="AO134" s="792" t="str">
        <f t="array" ref="AO134:AP134">{"",'S-10 Оформление сделок Выборка'!AP134}</f>
        <v/>
      </c>
      <c r="AP134" s="786"/>
      <c r="AQ134" s="786"/>
      <c r="AR134" s="779" t="str">
        <f t="array" ref="AR134:AS134">{"",'S-10 Оформление сделок Выборка'!AS134}</f>
        <v/>
      </c>
      <c r="AS134" s="795"/>
      <c r="AT134" s="779" t="str">
        <f t="array" ref="AT134:AU134">{"",'S-10 Оформление сделок Выборка'!AU134}</f>
        <v/>
      </c>
      <c r="AU134" s="805"/>
      <c r="AV134" s="779" t="str">
        <f t="array" ref="AV134:AW134">{"",'S-10 Оформление сделок Выборка'!AW134}</f>
        <v/>
      </c>
      <c r="AW134" s="797"/>
      <c r="AX134" s="786"/>
      <c r="AY134" s="786"/>
      <c r="AZ134" s="792" t="str">
        <f t="array" ref="AZ134:BA134">{"",'S-10 Оформление сделок Выборка'!BA134}</f>
        <v/>
      </c>
      <c r="BA134" s="798"/>
      <c r="BB134" s="792" t="str">
        <f t="array" ref="BB134:BC134">{"",'S-10 Оформление сделок Выборка'!BC134}</f>
        <v/>
      </c>
      <c r="BC134" s="799"/>
      <c r="BD134" s="792" t="str">
        <f t="array" ref="BD134:BE134">{"",'S-10 Оформление сделок Выборка'!BE134}</f>
        <v/>
      </c>
      <c r="BE134" s="793"/>
      <c r="BF134" s="800" t="str">
        <f t="array" ref="BF134:BG134">{"",'S-10 Оформление сделок Выборка'!BG134}</f>
        <v/>
      </c>
      <c r="BG134" s="794"/>
      <c r="BH134" s="794" t="str">
        <f t="array" ref="BH134:BI134">{"",'S-10 Оформление сделок Выборка'!BI134}</f>
        <v/>
      </c>
      <c r="BI134" s="794"/>
      <c r="BJ134" s="792" t="str">
        <f t="array" ref="BJ134:BK134">{"",'S-10 Оформление сделок Выборка'!BK134}</f>
        <v/>
      </c>
      <c r="BK134" s="793"/>
      <c r="BL134" s="792" t="str">
        <f t="array" ref="BL134:BM134">{"",'S-10 Оформление сделок Выборка'!BM134}</f>
        <v/>
      </c>
      <c r="BM134" s="801"/>
      <c r="BN134" s="792" t="str">
        <f t="array" ref="BN134:BO134">{"",'S-10 Оформление сделок Выборка'!BO134}</f>
        <v/>
      </c>
      <c r="BO134" s="793"/>
      <c r="BP134" s="792" t="str">
        <f t="array" ref="BP134:BQ134">{"",'S-10 Оформление сделок Выборка'!BQ134}</f>
        <v/>
      </c>
      <c r="BQ134" s="802"/>
      <c r="BR134" s="792" t="str">
        <f t="array" ref="BR134:BS134">{"",'S-10 Оформление сделок Выборка'!BS134}</f>
        <v/>
      </c>
      <c r="BS134" s="794"/>
      <c r="BT134" s="800" t="str">
        <f t="array" ref="BT134:BU134">{"",'S-10 Оформление сделок Выборка'!BU134}</f>
        <v/>
      </c>
      <c r="BU134" s="794"/>
      <c r="BV134" s="800" t="str">
        <f t="array" ref="BV134:BW134">{"",'S-10 Оформление сделок Выборка'!BW134}</f>
        <v/>
      </c>
      <c r="BW134" s="803" t="s">
        <v>96</v>
      </c>
      <c r="BX134" s="804"/>
    </row>
    <row r="135">
      <c r="A135" s="779"/>
      <c r="B135" s="779"/>
      <c r="C135" s="780" t="str">
        <f>'5-1 Сбор КП Закупки'!C135</f>
        <v/>
      </c>
      <c r="D135" s="781"/>
      <c r="E135" s="780"/>
      <c r="F135" s="783"/>
      <c r="G135" s="783"/>
      <c r="H135" s="783"/>
      <c r="I135" s="783"/>
      <c r="J135" s="780"/>
      <c r="K135" s="786"/>
      <c r="L135" s="785"/>
      <c r="M135" s="786"/>
      <c r="N135" s="786"/>
      <c r="O135" s="780"/>
      <c r="P135" s="787"/>
      <c r="Q135" s="780"/>
      <c r="R135" s="780"/>
      <c r="S135" s="780"/>
      <c r="T135" s="780"/>
      <c r="U135" s="780"/>
      <c r="V135" s="780"/>
      <c r="W135" s="787"/>
      <c r="X135" s="780"/>
      <c r="Y135" s="780"/>
      <c r="Z135" s="780"/>
      <c r="AA135" s="780"/>
      <c r="AB135" s="788"/>
      <c r="AC135" s="781"/>
      <c r="AD135" s="780"/>
      <c r="AE135" s="789" t="str">
        <f t="array" ref="AE135:AF135">{"",'S-10 Оформление сделок Выборка'!AF135}</f>
        <v/>
      </c>
      <c r="AF135" s="790"/>
      <c r="AG135" s="781"/>
      <c r="AH135" s="781"/>
      <c r="AI135" s="785"/>
      <c r="AJ135" s="780"/>
      <c r="AK135" s="792" t="str">
        <f t="array" ref="AK135:AL135">{"",'S-10 Оформление сделок Выборка'!AL135}</f>
        <v/>
      </c>
      <c r="AL135" s="793"/>
      <c r="AM135" s="792" t="str">
        <f t="array" ref="AM135:AN135">{"",'S-10 Оформление сделок Выборка'!AN135}</f>
        <v/>
      </c>
      <c r="AN135" s="794"/>
      <c r="AO135" s="792" t="str">
        <f t="array" ref="AO135:AP135">{"",'S-10 Оформление сделок Выборка'!AP135}</f>
        <v/>
      </c>
      <c r="AP135" s="786"/>
      <c r="AQ135" s="786"/>
      <c r="AR135" s="779" t="str">
        <f t="array" ref="AR135:AS135">{"",'S-10 Оформление сделок Выборка'!AS135}</f>
        <v/>
      </c>
      <c r="AS135" s="795"/>
      <c r="AT135" s="779" t="str">
        <f t="array" ref="AT135:AU135">{"",'S-10 Оформление сделок Выборка'!AU135}</f>
        <v/>
      </c>
      <c r="AU135" s="805"/>
      <c r="AV135" s="779" t="str">
        <f t="array" ref="AV135:AW135">{"",'S-10 Оформление сделок Выборка'!AW135}</f>
        <v/>
      </c>
      <c r="AW135" s="797"/>
      <c r="AX135" s="786"/>
      <c r="AY135" s="786"/>
      <c r="AZ135" s="792" t="str">
        <f t="array" ref="AZ135:BA135">{"",'S-10 Оформление сделок Выборка'!BA135}</f>
        <v/>
      </c>
      <c r="BA135" s="798"/>
      <c r="BB135" s="792" t="str">
        <f t="array" ref="BB135:BC135">{"",'S-10 Оформление сделок Выборка'!BC135}</f>
        <v/>
      </c>
      <c r="BC135" s="799"/>
      <c r="BD135" s="792" t="str">
        <f t="array" ref="BD135:BE135">{"",'S-10 Оформление сделок Выборка'!BE135}</f>
        <v/>
      </c>
      <c r="BE135" s="793"/>
      <c r="BF135" s="800" t="str">
        <f t="array" ref="BF135:BG135">{"",'S-10 Оформление сделок Выборка'!BG135}</f>
        <v/>
      </c>
      <c r="BG135" s="794"/>
      <c r="BH135" s="794" t="str">
        <f t="array" ref="BH135:BI135">{"",'S-10 Оформление сделок Выборка'!BI135}</f>
        <v/>
      </c>
      <c r="BI135" s="794"/>
      <c r="BJ135" s="792" t="str">
        <f t="array" ref="BJ135:BK135">{"",'S-10 Оформление сделок Выборка'!BK135}</f>
        <v/>
      </c>
      <c r="BK135" s="793"/>
      <c r="BL135" s="792" t="str">
        <f t="array" ref="BL135:BM135">{"",'S-10 Оформление сделок Выборка'!BM135}</f>
        <v/>
      </c>
      <c r="BM135" s="801"/>
      <c r="BN135" s="792" t="str">
        <f t="array" ref="BN135:BO135">{"",'S-10 Оформление сделок Выборка'!BO135}</f>
        <v/>
      </c>
      <c r="BO135" s="793"/>
      <c r="BP135" s="792" t="str">
        <f t="array" ref="BP135:BQ135">{"",'S-10 Оформление сделок Выборка'!BQ135}</f>
        <v/>
      </c>
      <c r="BQ135" s="802"/>
      <c r="BR135" s="792" t="str">
        <f t="array" ref="BR135:BS135">{"",'S-10 Оформление сделок Выборка'!BS135}</f>
        <v/>
      </c>
      <c r="BS135" s="794"/>
      <c r="BT135" s="800" t="str">
        <f t="array" ref="BT135:BU135">{"",'S-10 Оформление сделок Выборка'!BU135}</f>
        <v/>
      </c>
      <c r="BU135" s="794"/>
      <c r="BV135" s="800" t="str">
        <f t="array" ref="BV135:BW135">{"",'S-10 Оформление сделок Выборка'!BW135}</f>
        <v/>
      </c>
      <c r="BW135" s="803" t="s">
        <v>96</v>
      </c>
      <c r="BX135" s="804"/>
    </row>
    <row r="136">
      <c r="A136" s="779"/>
      <c r="B136" s="779"/>
      <c r="C136" s="780" t="str">
        <f>'5-1 Сбор КП Закупки'!C136</f>
        <v/>
      </c>
      <c r="D136" s="781"/>
      <c r="E136" s="780"/>
      <c r="F136" s="783"/>
      <c r="G136" s="783"/>
      <c r="H136" s="783"/>
      <c r="I136" s="783"/>
      <c r="J136" s="780"/>
      <c r="K136" s="786"/>
      <c r="L136" s="785"/>
      <c r="M136" s="786"/>
      <c r="N136" s="786"/>
      <c r="O136" s="780"/>
      <c r="P136" s="787"/>
      <c r="Q136" s="780"/>
      <c r="R136" s="780"/>
      <c r="S136" s="780"/>
      <c r="T136" s="780"/>
      <c r="U136" s="780"/>
      <c r="V136" s="780"/>
      <c r="W136" s="787"/>
      <c r="X136" s="780"/>
      <c r="Y136" s="780"/>
      <c r="Z136" s="780"/>
      <c r="AA136" s="780"/>
      <c r="AB136" s="788"/>
      <c r="AC136" s="781"/>
      <c r="AD136" s="780"/>
      <c r="AE136" s="789" t="str">
        <f t="array" ref="AE136:AF136">{"",'S-10 Оформление сделок Выборка'!AF136}</f>
        <v/>
      </c>
      <c r="AF136" s="790"/>
      <c r="AG136" s="781"/>
      <c r="AH136" s="781"/>
      <c r="AI136" s="785"/>
      <c r="AJ136" s="780"/>
      <c r="AK136" s="792" t="str">
        <f t="array" ref="AK136:AL136">{"",'S-10 Оформление сделок Выборка'!AL136}</f>
        <v/>
      </c>
      <c r="AL136" s="793"/>
      <c r="AM136" s="792" t="str">
        <f t="array" ref="AM136:AN136">{"",'S-10 Оформление сделок Выборка'!AN136}</f>
        <v/>
      </c>
      <c r="AN136" s="794"/>
      <c r="AO136" s="792" t="str">
        <f t="array" ref="AO136:AP136">{"",'S-10 Оформление сделок Выборка'!AP136}</f>
        <v/>
      </c>
      <c r="AP136" s="786"/>
      <c r="AQ136" s="786"/>
      <c r="AR136" s="779" t="str">
        <f t="array" ref="AR136:AS136">{"",'S-10 Оформление сделок Выборка'!AS136}</f>
        <v/>
      </c>
      <c r="AS136" s="795"/>
      <c r="AT136" s="779" t="str">
        <f t="array" ref="AT136:AU136">{"",'S-10 Оформление сделок Выборка'!AU136}</f>
        <v/>
      </c>
      <c r="AU136" s="805"/>
      <c r="AV136" s="779" t="str">
        <f t="array" ref="AV136:AW136">{"",'S-10 Оформление сделок Выборка'!AW136}</f>
        <v/>
      </c>
      <c r="AW136" s="797"/>
      <c r="AX136" s="786"/>
      <c r="AY136" s="786"/>
      <c r="AZ136" s="792" t="str">
        <f t="array" ref="AZ136:BA136">{"",'S-10 Оформление сделок Выборка'!BA136}</f>
        <v/>
      </c>
      <c r="BA136" s="798"/>
      <c r="BB136" s="792" t="str">
        <f t="array" ref="BB136:BC136">{"",'S-10 Оформление сделок Выборка'!BC136}</f>
        <v/>
      </c>
      <c r="BC136" s="799"/>
      <c r="BD136" s="792" t="str">
        <f t="array" ref="BD136:BE136">{"",'S-10 Оформление сделок Выборка'!BE136}</f>
        <v/>
      </c>
      <c r="BE136" s="793"/>
      <c r="BF136" s="800" t="str">
        <f t="array" ref="BF136:BG136">{"",'S-10 Оформление сделок Выборка'!BG136}</f>
        <v/>
      </c>
      <c r="BG136" s="794"/>
      <c r="BH136" s="794" t="str">
        <f t="array" ref="BH136:BI136">{"",'S-10 Оформление сделок Выборка'!BI136}</f>
        <v/>
      </c>
      <c r="BI136" s="794"/>
      <c r="BJ136" s="792" t="str">
        <f t="array" ref="BJ136:BK136">{"",'S-10 Оформление сделок Выборка'!BK136}</f>
        <v/>
      </c>
      <c r="BK136" s="793"/>
      <c r="BL136" s="792" t="str">
        <f t="array" ref="BL136:BM136">{"",'S-10 Оформление сделок Выборка'!BM136}</f>
        <v/>
      </c>
      <c r="BM136" s="801"/>
      <c r="BN136" s="792" t="str">
        <f t="array" ref="BN136:BO136">{"",'S-10 Оформление сделок Выборка'!BO136}</f>
        <v/>
      </c>
      <c r="BO136" s="793"/>
      <c r="BP136" s="792" t="str">
        <f t="array" ref="BP136:BQ136">{"",'S-10 Оформление сделок Выборка'!BQ136}</f>
        <v/>
      </c>
      <c r="BQ136" s="802"/>
      <c r="BR136" s="792" t="str">
        <f t="array" ref="BR136:BS136">{"",'S-10 Оформление сделок Выборка'!BS136}</f>
        <v/>
      </c>
      <c r="BS136" s="794"/>
      <c r="BT136" s="800" t="str">
        <f t="array" ref="BT136:BU136">{"",'S-10 Оформление сделок Выборка'!BU136}</f>
        <v/>
      </c>
      <c r="BU136" s="794"/>
      <c r="BV136" s="800" t="str">
        <f t="array" ref="BV136:BW136">{"",'S-10 Оформление сделок Выборка'!BW136}</f>
        <v/>
      </c>
      <c r="BW136" s="803" t="s">
        <v>96</v>
      </c>
      <c r="BX136" s="804"/>
    </row>
    <row r="137">
      <c r="A137" s="779"/>
      <c r="B137" s="779"/>
      <c r="C137" s="780" t="str">
        <f>'5-1 Сбор КП Закупки'!C137</f>
        <v/>
      </c>
      <c r="D137" s="781"/>
      <c r="E137" s="780"/>
      <c r="F137" s="783"/>
      <c r="G137" s="783"/>
      <c r="H137" s="783"/>
      <c r="I137" s="783"/>
      <c r="J137" s="780"/>
      <c r="K137" s="786"/>
      <c r="L137" s="785"/>
      <c r="M137" s="786"/>
      <c r="N137" s="786"/>
      <c r="O137" s="780"/>
      <c r="P137" s="787"/>
      <c r="Q137" s="780"/>
      <c r="R137" s="780"/>
      <c r="S137" s="780"/>
      <c r="T137" s="780"/>
      <c r="U137" s="780"/>
      <c r="V137" s="780"/>
      <c r="W137" s="787"/>
      <c r="X137" s="780"/>
      <c r="Y137" s="780"/>
      <c r="Z137" s="780"/>
      <c r="AA137" s="780"/>
      <c r="AB137" s="788"/>
      <c r="AC137" s="781"/>
      <c r="AD137" s="780"/>
      <c r="AE137" s="789" t="str">
        <f t="array" ref="AE137:AF137">{"",'S-10 Оформление сделок Выборка'!AF137}</f>
        <v/>
      </c>
      <c r="AF137" s="790"/>
      <c r="AG137" s="781"/>
      <c r="AH137" s="781"/>
      <c r="AI137" s="785"/>
      <c r="AJ137" s="780"/>
      <c r="AK137" s="792" t="str">
        <f t="array" ref="AK137:AL137">{"",'S-10 Оформление сделок Выборка'!AL137}</f>
        <v/>
      </c>
      <c r="AL137" s="793"/>
      <c r="AM137" s="792" t="str">
        <f t="array" ref="AM137:AN137">{"",'S-10 Оформление сделок Выборка'!AN137}</f>
        <v/>
      </c>
      <c r="AN137" s="794"/>
      <c r="AO137" s="792" t="str">
        <f t="array" ref="AO137:AP137">{"",'S-10 Оформление сделок Выборка'!AP137}</f>
        <v/>
      </c>
      <c r="AP137" s="786"/>
      <c r="AQ137" s="786"/>
      <c r="AR137" s="779" t="str">
        <f t="array" ref="AR137:AS137">{"",'S-10 Оформление сделок Выборка'!AS137}</f>
        <v/>
      </c>
      <c r="AS137" s="795"/>
      <c r="AT137" s="779" t="str">
        <f t="array" ref="AT137:AU137">{"",'S-10 Оформление сделок Выборка'!AU137}</f>
        <v/>
      </c>
      <c r="AU137" s="805"/>
      <c r="AV137" s="779" t="str">
        <f t="array" ref="AV137:AW137">{"",'S-10 Оформление сделок Выборка'!AW137}</f>
        <v/>
      </c>
      <c r="AW137" s="797"/>
      <c r="AX137" s="786"/>
      <c r="AY137" s="786"/>
      <c r="AZ137" s="792" t="str">
        <f t="array" ref="AZ137:BA137">{"",'S-10 Оформление сделок Выборка'!BA137}</f>
        <v/>
      </c>
      <c r="BA137" s="798"/>
      <c r="BB137" s="792" t="str">
        <f t="array" ref="BB137:BC137">{"",'S-10 Оформление сделок Выборка'!BC137}</f>
        <v/>
      </c>
      <c r="BC137" s="799"/>
      <c r="BD137" s="792" t="str">
        <f t="array" ref="BD137:BE137">{"",'S-10 Оформление сделок Выборка'!BE137}</f>
        <v/>
      </c>
      <c r="BE137" s="793"/>
      <c r="BF137" s="800" t="str">
        <f t="array" ref="BF137:BG137">{"",'S-10 Оформление сделок Выборка'!BG137}</f>
        <v/>
      </c>
      <c r="BG137" s="794"/>
      <c r="BH137" s="794" t="str">
        <f t="array" ref="BH137:BI137">{"",'S-10 Оформление сделок Выборка'!BI137}</f>
        <v/>
      </c>
      <c r="BI137" s="794"/>
      <c r="BJ137" s="792" t="str">
        <f t="array" ref="BJ137:BK137">{"",'S-10 Оформление сделок Выборка'!BK137}</f>
        <v/>
      </c>
      <c r="BK137" s="793"/>
      <c r="BL137" s="792" t="str">
        <f t="array" ref="BL137:BM137">{"",'S-10 Оформление сделок Выборка'!BM137}</f>
        <v/>
      </c>
      <c r="BM137" s="801"/>
      <c r="BN137" s="792" t="str">
        <f t="array" ref="BN137:BO137">{"",'S-10 Оформление сделок Выборка'!BO137}</f>
        <v/>
      </c>
      <c r="BO137" s="793"/>
      <c r="BP137" s="792" t="str">
        <f t="array" ref="BP137:BQ137">{"",'S-10 Оформление сделок Выборка'!BQ137}</f>
        <v/>
      </c>
      <c r="BQ137" s="802"/>
      <c r="BR137" s="792" t="str">
        <f t="array" ref="BR137:BS137">{"",'S-10 Оформление сделок Выборка'!BS137}</f>
        <v/>
      </c>
      <c r="BS137" s="794"/>
      <c r="BT137" s="800" t="str">
        <f t="array" ref="BT137:BU137">{"",'S-10 Оформление сделок Выборка'!BU137}</f>
        <v/>
      </c>
      <c r="BU137" s="794"/>
      <c r="BV137" s="800" t="str">
        <f t="array" ref="BV137:BW137">{"",'S-10 Оформление сделок Выборка'!BW137}</f>
        <v/>
      </c>
      <c r="BW137" s="803" t="s">
        <v>96</v>
      </c>
      <c r="BX137" s="804"/>
    </row>
    <row r="138">
      <c r="A138" s="779"/>
      <c r="B138" s="779"/>
      <c r="C138" s="780" t="str">
        <f>'5-1 Сбор КП Закупки'!C138</f>
        <v/>
      </c>
      <c r="D138" s="781"/>
      <c r="E138" s="780"/>
      <c r="F138" s="783"/>
      <c r="G138" s="783"/>
      <c r="H138" s="783"/>
      <c r="I138" s="783"/>
      <c r="J138" s="780"/>
      <c r="K138" s="786"/>
      <c r="L138" s="785"/>
      <c r="M138" s="786"/>
      <c r="N138" s="786"/>
      <c r="O138" s="780"/>
      <c r="P138" s="787"/>
      <c r="Q138" s="780"/>
      <c r="R138" s="780"/>
      <c r="S138" s="780"/>
      <c r="T138" s="780"/>
      <c r="U138" s="780"/>
      <c r="V138" s="780"/>
      <c r="W138" s="787"/>
      <c r="X138" s="780"/>
      <c r="Y138" s="780"/>
      <c r="Z138" s="780"/>
      <c r="AA138" s="780"/>
      <c r="AB138" s="788"/>
      <c r="AC138" s="781"/>
      <c r="AD138" s="780"/>
      <c r="AE138" s="789" t="str">
        <f t="array" ref="AE138:AF138">{"",'S-10 Оформление сделок Выборка'!AF138}</f>
        <v/>
      </c>
      <c r="AF138" s="790"/>
      <c r="AG138" s="781"/>
      <c r="AH138" s="781"/>
      <c r="AI138" s="785"/>
      <c r="AJ138" s="780"/>
      <c r="AK138" s="792" t="str">
        <f t="array" ref="AK138:AL138">{"",'S-10 Оформление сделок Выборка'!AL138}</f>
        <v/>
      </c>
      <c r="AL138" s="793"/>
      <c r="AM138" s="792" t="str">
        <f t="array" ref="AM138:AN138">{"",'S-10 Оформление сделок Выборка'!AN138}</f>
        <v/>
      </c>
      <c r="AN138" s="794"/>
      <c r="AO138" s="792" t="str">
        <f t="array" ref="AO138:AP138">{"",'S-10 Оформление сделок Выборка'!AP138}</f>
        <v/>
      </c>
      <c r="AP138" s="786"/>
      <c r="AQ138" s="786"/>
      <c r="AR138" s="779" t="str">
        <f t="array" ref="AR138:AS138">{"",'S-10 Оформление сделок Выборка'!AS138}</f>
        <v/>
      </c>
      <c r="AS138" s="795"/>
      <c r="AT138" s="779" t="str">
        <f t="array" ref="AT138:AU138">{"",'S-10 Оформление сделок Выборка'!AU138}</f>
        <v/>
      </c>
      <c r="AU138" s="805"/>
      <c r="AV138" s="779" t="str">
        <f t="array" ref="AV138:AW138">{"",'S-10 Оформление сделок Выборка'!AW138}</f>
        <v/>
      </c>
      <c r="AW138" s="797"/>
      <c r="AX138" s="786"/>
      <c r="AY138" s="786"/>
      <c r="AZ138" s="792" t="str">
        <f t="array" ref="AZ138:BA138">{"",'S-10 Оформление сделок Выборка'!BA138}</f>
        <v/>
      </c>
      <c r="BA138" s="798"/>
      <c r="BB138" s="792" t="str">
        <f t="array" ref="BB138:BC138">{"",'S-10 Оформление сделок Выборка'!BC138}</f>
        <v/>
      </c>
      <c r="BC138" s="799"/>
      <c r="BD138" s="792" t="str">
        <f t="array" ref="BD138:BE138">{"",'S-10 Оформление сделок Выборка'!BE138}</f>
        <v/>
      </c>
      <c r="BE138" s="793"/>
      <c r="BF138" s="800" t="str">
        <f t="array" ref="BF138:BG138">{"",'S-10 Оформление сделок Выборка'!BG138}</f>
        <v/>
      </c>
      <c r="BG138" s="794"/>
      <c r="BH138" s="794" t="str">
        <f t="array" ref="BH138:BI138">{"",'S-10 Оформление сделок Выборка'!BI138}</f>
        <v/>
      </c>
      <c r="BI138" s="794"/>
      <c r="BJ138" s="792" t="str">
        <f t="array" ref="BJ138:BK138">{"",'S-10 Оформление сделок Выборка'!BK138}</f>
        <v/>
      </c>
      <c r="BK138" s="793"/>
      <c r="BL138" s="792" t="str">
        <f t="array" ref="BL138:BM138">{"",'S-10 Оформление сделок Выборка'!BM138}</f>
        <v/>
      </c>
      <c r="BM138" s="801"/>
      <c r="BN138" s="792" t="str">
        <f t="array" ref="BN138:BO138">{"",'S-10 Оформление сделок Выборка'!BO138}</f>
        <v/>
      </c>
      <c r="BO138" s="793"/>
      <c r="BP138" s="792" t="str">
        <f t="array" ref="BP138:BQ138">{"",'S-10 Оформление сделок Выборка'!BQ138}</f>
        <v/>
      </c>
      <c r="BQ138" s="802"/>
      <c r="BR138" s="792" t="str">
        <f t="array" ref="BR138:BS138">{"",'S-10 Оформление сделок Выборка'!BS138}</f>
        <v/>
      </c>
      <c r="BS138" s="794"/>
      <c r="BT138" s="800" t="str">
        <f t="array" ref="BT138:BU138">{"",'S-10 Оформление сделок Выборка'!BU138}</f>
        <v/>
      </c>
      <c r="BU138" s="794"/>
      <c r="BV138" s="800" t="str">
        <f t="array" ref="BV138:BW138">{"",'S-10 Оформление сделок Выборка'!BW138}</f>
        <v/>
      </c>
      <c r="BW138" s="803" t="s">
        <v>96</v>
      </c>
      <c r="BX138" s="804"/>
    </row>
    <row r="139">
      <c r="A139" s="779"/>
      <c r="B139" s="779"/>
      <c r="C139" s="780" t="str">
        <f>'5-1 Сбор КП Закупки'!C139</f>
        <v/>
      </c>
      <c r="D139" s="781"/>
      <c r="E139" s="780"/>
      <c r="F139" s="783"/>
      <c r="G139" s="783"/>
      <c r="H139" s="783"/>
      <c r="I139" s="783"/>
      <c r="J139" s="780"/>
      <c r="K139" s="786"/>
      <c r="L139" s="785"/>
      <c r="M139" s="786"/>
      <c r="N139" s="786"/>
      <c r="O139" s="780"/>
      <c r="P139" s="787"/>
      <c r="Q139" s="780"/>
      <c r="R139" s="780"/>
      <c r="S139" s="780"/>
      <c r="T139" s="780"/>
      <c r="U139" s="780"/>
      <c r="V139" s="780"/>
      <c r="W139" s="787"/>
      <c r="X139" s="780"/>
      <c r="Y139" s="780"/>
      <c r="Z139" s="780"/>
      <c r="AA139" s="780"/>
      <c r="AB139" s="788"/>
      <c r="AC139" s="781"/>
      <c r="AD139" s="780"/>
      <c r="AE139" s="789" t="str">
        <f t="array" ref="AE139:AF139">{"",'S-10 Оформление сделок Выборка'!AF139}</f>
        <v/>
      </c>
      <c r="AF139" s="790"/>
      <c r="AG139" s="781"/>
      <c r="AH139" s="781"/>
      <c r="AI139" s="785"/>
      <c r="AJ139" s="780"/>
      <c r="AK139" s="792" t="str">
        <f t="array" ref="AK139:AL139">{"",'S-10 Оформление сделок Выборка'!AL139}</f>
        <v/>
      </c>
      <c r="AL139" s="793"/>
      <c r="AM139" s="792" t="str">
        <f t="array" ref="AM139:AN139">{"",'S-10 Оформление сделок Выборка'!AN139}</f>
        <v/>
      </c>
      <c r="AN139" s="794"/>
      <c r="AO139" s="792" t="str">
        <f t="array" ref="AO139:AP139">{"",'S-10 Оформление сделок Выборка'!AP139}</f>
        <v/>
      </c>
      <c r="AP139" s="786"/>
      <c r="AQ139" s="786"/>
      <c r="AR139" s="779" t="str">
        <f t="array" ref="AR139:AS139">{"",'S-10 Оформление сделок Выборка'!AS139}</f>
        <v/>
      </c>
      <c r="AS139" s="795"/>
      <c r="AT139" s="779" t="str">
        <f t="array" ref="AT139:AU139">{"",'S-10 Оформление сделок Выборка'!AU139}</f>
        <v/>
      </c>
      <c r="AU139" s="805"/>
      <c r="AV139" s="779" t="str">
        <f t="array" ref="AV139:AW139">{"",'S-10 Оформление сделок Выборка'!AW139}</f>
        <v/>
      </c>
      <c r="AW139" s="797"/>
      <c r="AX139" s="786"/>
      <c r="AY139" s="786"/>
      <c r="AZ139" s="792" t="str">
        <f t="array" ref="AZ139:BA139">{"",'S-10 Оформление сделок Выборка'!BA139}</f>
        <v/>
      </c>
      <c r="BA139" s="798"/>
      <c r="BB139" s="792" t="str">
        <f t="array" ref="BB139:BC139">{"",'S-10 Оформление сделок Выборка'!BC139}</f>
        <v/>
      </c>
      <c r="BC139" s="799"/>
      <c r="BD139" s="792" t="str">
        <f t="array" ref="BD139:BE139">{"",'S-10 Оформление сделок Выборка'!BE139}</f>
        <v/>
      </c>
      <c r="BE139" s="793"/>
      <c r="BF139" s="800" t="str">
        <f t="array" ref="BF139:BG139">{"",'S-10 Оформление сделок Выборка'!BG139}</f>
        <v/>
      </c>
      <c r="BG139" s="794"/>
      <c r="BH139" s="794" t="str">
        <f t="array" ref="BH139:BI139">{"",'S-10 Оформление сделок Выборка'!BI139}</f>
        <v/>
      </c>
      <c r="BI139" s="794"/>
      <c r="BJ139" s="792" t="str">
        <f t="array" ref="BJ139:BK139">{"",'S-10 Оформление сделок Выборка'!BK139}</f>
        <v/>
      </c>
      <c r="BK139" s="793"/>
      <c r="BL139" s="792" t="str">
        <f t="array" ref="BL139:BM139">{"",'S-10 Оформление сделок Выборка'!BM139}</f>
        <v/>
      </c>
      <c r="BM139" s="801"/>
      <c r="BN139" s="792" t="str">
        <f t="array" ref="BN139:BO139">{"",'S-10 Оформление сделок Выборка'!BO139}</f>
        <v/>
      </c>
      <c r="BO139" s="793"/>
      <c r="BP139" s="792" t="str">
        <f t="array" ref="BP139:BQ139">{"",'S-10 Оформление сделок Выборка'!BQ139}</f>
        <v/>
      </c>
      <c r="BQ139" s="802"/>
      <c r="BR139" s="792" t="str">
        <f t="array" ref="BR139:BS139">{"",'S-10 Оформление сделок Выборка'!BS139}</f>
        <v/>
      </c>
      <c r="BS139" s="794"/>
      <c r="BT139" s="800" t="str">
        <f t="array" ref="BT139:BU139">{"",'S-10 Оформление сделок Выборка'!BU139}</f>
        <v/>
      </c>
      <c r="BU139" s="794"/>
      <c r="BV139" s="800" t="str">
        <f t="array" ref="BV139:BW139">{"",'S-10 Оформление сделок Выборка'!BW139}</f>
        <v/>
      </c>
      <c r="BW139" s="803" t="s">
        <v>96</v>
      </c>
      <c r="BX139" s="804"/>
    </row>
    <row r="140">
      <c r="A140" s="779"/>
      <c r="B140" s="779"/>
      <c r="C140" s="780" t="str">
        <f>'5-1 Сбор КП Закупки'!C140</f>
        <v/>
      </c>
      <c r="D140" s="781"/>
      <c r="E140" s="780"/>
      <c r="F140" s="783"/>
      <c r="G140" s="783"/>
      <c r="H140" s="783"/>
      <c r="I140" s="783"/>
      <c r="J140" s="780"/>
      <c r="K140" s="786"/>
      <c r="L140" s="785"/>
      <c r="M140" s="786"/>
      <c r="N140" s="786"/>
      <c r="O140" s="780"/>
      <c r="P140" s="787"/>
      <c r="Q140" s="780"/>
      <c r="R140" s="780"/>
      <c r="S140" s="780"/>
      <c r="T140" s="780"/>
      <c r="U140" s="780"/>
      <c r="V140" s="780"/>
      <c r="W140" s="787"/>
      <c r="X140" s="780"/>
      <c r="Y140" s="780"/>
      <c r="Z140" s="780"/>
      <c r="AA140" s="780"/>
      <c r="AB140" s="788"/>
      <c r="AC140" s="781"/>
      <c r="AD140" s="780"/>
      <c r="AE140" s="789" t="str">
        <f t="array" ref="AE140:AF140">{"",'S-10 Оформление сделок Выборка'!AF140}</f>
        <v/>
      </c>
      <c r="AF140" s="790"/>
      <c r="AG140" s="781"/>
      <c r="AH140" s="781"/>
      <c r="AI140" s="785"/>
      <c r="AJ140" s="780"/>
      <c r="AK140" s="792" t="str">
        <f t="array" ref="AK140:AL140">{"",'S-10 Оформление сделок Выборка'!AL140}</f>
        <v/>
      </c>
      <c r="AL140" s="793"/>
      <c r="AM140" s="792" t="str">
        <f t="array" ref="AM140:AN140">{"",'S-10 Оформление сделок Выборка'!AN140}</f>
        <v/>
      </c>
      <c r="AN140" s="794"/>
      <c r="AO140" s="792" t="str">
        <f t="array" ref="AO140:AP140">{"",'S-10 Оформление сделок Выборка'!AP140}</f>
        <v/>
      </c>
      <c r="AP140" s="786"/>
      <c r="AQ140" s="786"/>
      <c r="AR140" s="779" t="str">
        <f t="array" ref="AR140:AS140">{"",'S-10 Оформление сделок Выборка'!AS140}</f>
        <v/>
      </c>
      <c r="AS140" s="795"/>
      <c r="AT140" s="779" t="str">
        <f t="array" ref="AT140:AU140">{"",'S-10 Оформление сделок Выборка'!AU140}</f>
        <v/>
      </c>
      <c r="AU140" s="805"/>
      <c r="AV140" s="779" t="str">
        <f t="array" ref="AV140:AW140">{"",'S-10 Оформление сделок Выборка'!AW140}</f>
        <v/>
      </c>
      <c r="AW140" s="797"/>
      <c r="AX140" s="786"/>
      <c r="AY140" s="786"/>
      <c r="AZ140" s="792" t="str">
        <f t="array" ref="AZ140:BA140">{"",'S-10 Оформление сделок Выборка'!BA140}</f>
        <v/>
      </c>
      <c r="BA140" s="798"/>
      <c r="BB140" s="792" t="str">
        <f t="array" ref="BB140:BC140">{"",'S-10 Оформление сделок Выборка'!BC140}</f>
        <v/>
      </c>
      <c r="BC140" s="799"/>
      <c r="BD140" s="792" t="str">
        <f t="array" ref="BD140:BE140">{"",'S-10 Оформление сделок Выборка'!BE140}</f>
        <v/>
      </c>
      <c r="BE140" s="793"/>
      <c r="BF140" s="800" t="str">
        <f t="array" ref="BF140:BG140">{"",'S-10 Оформление сделок Выборка'!BG140}</f>
        <v/>
      </c>
      <c r="BG140" s="794"/>
      <c r="BH140" s="794" t="str">
        <f t="array" ref="BH140:BI140">{"",'S-10 Оформление сделок Выборка'!BI140}</f>
        <v/>
      </c>
      <c r="BI140" s="794"/>
      <c r="BJ140" s="792" t="str">
        <f t="array" ref="BJ140:BK140">{"",'S-10 Оформление сделок Выборка'!BK140}</f>
        <v/>
      </c>
      <c r="BK140" s="793"/>
      <c r="BL140" s="792" t="str">
        <f t="array" ref="BL140:BM140">{"",'S-10 Оформление сделок Выборка'!BM140}</f>
        <v/>
      </c>
      <c r="BM140" s="801"/>
      <c r="BN140" s="792" t="str">
        <f t="array" ref="BN140:BO140">{"",'S-10 Оформление сделок Выборка'!BO140}</f>
        <v/>
      </c>
      <c r="BO140" s="793"/>
      <c r="BP140" s="792" t="str">
        <f t="array" ref="BP140:BQ140">{"",'S-10 Оформление сделок Выборка'!BQ140}</f>
        <v/>
      </c>
      <c r="BQ140" s="802"/>
      <c r="BR140" s="792" t="str">
        <f t="array" ref="BR140:BS140">{"",'S-10 Оформление сделок Выборка'!BS140}</f>
        <v/>
      </c>
      <c r="BS140" s="794"/>
      <c r="BT140" s="800" t="str">
        <f t="array" ref="BT140:BU140">{"",'S-10 Оформление сделок Выборка'!BU140}</f>
        <v/>
      </c>
      <c r="BU140" s="794"/>
      <c r="BV140" s="800" t="str">
        <f t="array" ref="BV140:BW140">{"",'S-10 Оформление сделок Выборка'!BW140}</f>
        <v/>
      </c>
      <c r="BW140" s="803" t="s">
        <v>96</v>
      </c>
      <c r="BX140" s="804"/>
    </row>
    <row r="141">
      <c r="A141" s="779"/>
      <c r="B141" s="779"/>
      <c r="C141" s="780" t="str">
        <f>'5-1 Сбор КП Закупки'!C141</f>
        <v/>
      </c>
      <c r="D141" s="781"/>
      <c r="E141" s="780"/>
      <c r="F141" s="783"/>
      <c r="G141" s="783"/>
      <c r="H141" s="783"/>
      <c r="I141" s="783"/>
      <c r="J141" s="780"/>
      <c r="K141" s="786"/>
      <c r="L141" s="785"/>
      <c r="M141" s="786"/>
      <c r="N141" s="786"/>
      <c r="O141" s="780"/>
      <c r="P141" s="787"/>
      <c r="Q141" s="780"/>
      <c r="R141" s="780"/>
      <c r="S141" s="780"/>
      <c r="T141" s="780"/>
      <c r="U141" s="780"/>
      <c r="V141" s="780"/>
      <c r="W141" s="787"/>
      <c r="X141" s="780"/>
      <c r="Y141" s="780"/>
      <c r="Z141" s="780"/>
      <c r="AA141" s="780"/>
      <c r="AB141" s="788"/>
      <c r="AC141" s="781"/>
      <c r="AD141" s="780"/>
      <c r="AE141" s="789" t="str">
        <f t="array" ref="AE141:AF141">{"",'S-10 Оформление сделок Выборка'!AF141}</f>
        <v/>
      </c>
      <c r="AF141" s="790"/>
      <c r="AG141" s="781"/>
      <c r="AH141" s="781"/>
      <c r="AI141" s="785"/>
      <c r="AJ141" s="780"/>
      <c r="AK141" s="792" t="str">
        <f t="array" ref="AK141:AL141">{"",'S-10 Оформление сделок Выборка'!AL141}</f>
        <v/>
      </c>
      <c r="AL141" s="793"/>
      <c r="AM141" s="792" t="str">
        <f t="array" ref="AM141:AN141">{"",'S-10 Оформление сделок Выборка'!AN141}</f>
        <v/>
      </c>
      <c r="AN141" s="794"/>
      <c r="AO141" s="792" t="str">
        <f t="array" ref="AO141:AP141">{"",'S-10 Оформление сделок Выборка'!AP141}</f>
        <v/>
      </c>
      <c r="AP141" s="786"/>
      <c r="AQ141" s="786"/>
      <c r="AR141" s="779" t="str">
        <f t="array" ref="AR141:AS141">{"",'S-10 Оформление сделок Выборка'!AS141}</f>
        <v/>
      </c>
      <c r="AS141" s="795"/>
      <c r="AT141" s="779" t="str">
        <f t="array" ref="AT141:AU141">{"",'S-10 Оформление сделок Выборка'!AU141}</f>
        <v/>
      </c>
      <c r="AU141" s="805"/>
      <c r="AV141" s="779" t="str">
        <f t="array" ref="AV141:AW141">{"",'S-10 Оформление сделок Выборка'!AW141}</f>
        <v/>
      </c>
      <c r="AW141" s="797"/>
      <c r="AX141" s="786"/>
      <c r="AY141" s="786"/>
      <c r="AZ141" s="792" t="str">
        <f t="array" ref="AZ141:BA141">{"",'S-10 Оформление сделок Выборка'!BA141}</f>
        <v/>
      </c>
      <c r="BA141" s="798"/>
      <c r="BB141" s="792" t="str">
        <f t="array" ref="BB141:BC141">{"",'S-10 Оформление сделок Выборка'!BC141}</f>
        <v/>
      </c>
      <c r="BC141" s="799"/>
      <c r="BD141" s="792" t="str">
        <f t="array" ref="BD141:BE141">{"",'S-10 Оформление сделок Выборка'!BE141}</f>
        <v/>
      </c>
      <c r="BE141" s="793"/>
      <c r="BF141" s="800" t="str">
        <f t="array" ref="BF141:BG141">{"",'S-10 Оформление сделок Выборка'!BG141}</f>
        <v/>
      </c>
      <c r="BG141" s="794"/>
      <c r="BH141" s="794" t="str">
        <f t="array" ref="BH141:BI141">{"",'S-10 Оформление сделок Выборка'!BI141}</f>
        <v/>
      </c>
      <c r="BI141" s="794"/>
      <c r="BJ141" s="792" t="str">
        <f t="array" ref="BJ141:BK141">{"",'S-10 Оформление сделок Выборка'!BK141}</f>
        <v/>
      </c>
      <c r="BK141" s="793"/>
      <c r="BL141" s="792" t="str">
        <f t="array" ref="BL141:BM141">{"",'S-10 Оформление сделок Выборка'!BM141}</f>
        <v/>
      </c>
      <c r="BM141" s="801"/>
      <c r="BN141" s="792" t="str">
        <f t="array" ref="BN141:BO141">{"",'S-10 Оформление сделок Выборка'!BO141}</f>
        <v/>
      </c>
      <c r="BO141" s="793"/>
      <c r="BP141" s="792" t="str">
        <f t="array" ref="BP141:BQ141">{"",'S-10 Оформление сделок Выборка'!BQ141}</f>
        <v/>
      </c>
      <c r="BQ141" s="802"/>
      <c r="BR141" s="792" t="str">
        <f t="array" ref="BR141:BS141">{"",'S-10 Оформление сделок Выборка'!BS141}</f>
        <v/>
      </c>
      <c r="BS141" s="794"/>
      <c r="BT141" s="800" t="str">
        <f t="array" ref="BT141:BU141">{"",'S-10 Оформление сделок Выборка'!BU141}</f>
        <v/>
      </c>
      <c r="BU141" s="794"/>
      <c r="BV141" s="800" t="str">
        <f t="array" ref="BV141:BW141">{"",'S-10 Оформление сделок Выборка'!BW141}</f>
        <v/>
      </c>
      <c r="BW141" s="803" t="s">
        <v>96</v>
      </c>
      <c r="BX141" s="804"/>
    </row>
    <row r="142">
      <c r="A142" s="779"/>
      <c r="B142" s="779"/>
      <c r="C142" s="780" t="str">
        <f>'5-1 Сбор КП Закупки'!C142</f>
        <v/>
      </c>
      <c r="D142" s="781"/>
      <c r="E142" s="780"/>
      <c r="F142" s="783"/>
      <c r="G142" s="783"/>
      <c r="H142" s="783"/>
      <c r="I142" s="783"/>
      <c r="J142" s="780"/>
      <c r="K142" s="786"/>
      <c r="L142" s="785"/>
      <c r="M142" s="786"/>
      <c r="N142" s="786"/>
      <c r="O142" s="780"/>
      <c r="P142" s="787"/>
      <c r="Q142" s="780"/>
      <c r="R142" s="780"/>
      <c r="S142" s="780"/>
      <c r="T142" s="780"/>
      <c r="U142" s="780"/>
      <c r="V142" s="780"/>
      <c r="W142" s="787"/>
      <c r="X142" s="780"/>
      <c r="Y142" s="780"/>
      <c r="Z142" s="780"/>
      <c r="AA142" s="780"/>
      <c r="AB142" s="788"/>
      <c r="AC142" s="781"/>
      <c r="AD142" s="780"/>
      <c r="AE142" s="789" t="str">
        <f t="array" ref="AE142:AF142">{"",'S-10 Оформление сделок Выборка'!AF142}</f>
        <v/>
      </c>
      <c r="AF142" s="790"/>
      <c r="AG142" s="781"/>
      <c r="AH142" s="781"/>
      <c r="AI142" s="785"/>
      <c r="AJ142" s="780"/>
      <c r="AK142" s="792" t="str">
        <f t="array" ref="AK142:AL142">{"",'S-10 Оформление сделок Выборка'!AL142}</f>
        <v/>
      </c>
      <c r="AL142" s="793"/>
      <c r="AM142" s="792" t="str">
        <f t="array" ref="AM142:AN142">{"",'S-10 Оформление сделок Выборка'!AN142}</f>
        <v/>
      </c>
      <c r="AN142" s="794"/>
      <c r="AO142" s="792" t="str">
        <f t="array" ref="AO142:AP142">{"",'S-10 Оформление сделок Выборка'!AP142}</f>
        <v/>
      </c>
      <c r="AP142" s="786"/>
      <c r="AQ142" s="786"/>
      <c r="AR142" s="779" t="str">
        <f t="array" ref="AR142:AS142">{"",'S-10 Оформление сделок Выборка'!AS142}</f>
        <v/>
      </c>
      <c r="AS142" s="795"/>
      <c r="AT142" s="779" t="str">
        <f t="array" ref="AT142:AU142">{"",'S-10 Оформление сделок Выборка'!AU142}</f>
        <v/>
      </c>
      <c r="AU142" s="805"/>
      <c r="AV142" s="779" t="str">
        <f t="array" ref="AV142:AW142">{"",'S-10 Оформление сделок Выборка'!AW142}</f>
        <v/>
      </c>
      <c r="AW142" s="797"/>
      <c r="AX142" s="786"/>
      <c r="AY142" s="786"/>
      <c r="AZ142" s="792" t="str">
        <f t="array" ref="AZ142:BA142">{"",'S-10 Оформление сделок Выборка'!BA142}</f>
        <v/>
      </c>
      <c r="BA142" s="798"/>
      <c r="BB142" s="792" t="str">
        <f t="array" ref="BB142:BC142">{"",'S-10 Оформление сделок Выборка'!BC142}</f>
        <v/>
      </c>
      <c r="BC142" s="799"/>
      <c r="BD142" s="792" t="str">
        <f t="array" ref="BD142:BE142">{"",'S-10 Оформление сделок Выборка'!BE142}</f>
        <v/>
      </c>
      <c r="BE142" s="793"/>
      <c r="BF142" s="800" t="str">
        <f t="array" ref="BF142:BG142">{"",'S-10 Оформление сделок Выборка'!BG142}</f>
        <v/>
      </c>
      <c r="BG142" s="794"/>
      <c r="BH142" s="794" t="str">
        <f t="array" ref="BH142:BI142">{"",'S-10 Оформление сделок Выборка'!BI142}</f>
        <v/>
      </c>
      <c r="BI142" s="794"/>
      <c r="BJ142" s="792" t="str">
        <f t="array" ref="BJ142:BK142">{"",'S-10 Оформление сделок Выборка'!BK142}</f>
        <v/>
      </c>
      <c r="BK142" s="793"/>
      <c r="BL142" s="792" t="str">
        <f t="array" ref="BL142:BM142">{"",'S-10 Оформление сделок Выборка'!BM142}</f>
        <v/>
      </c>
      <c r="BM142" s="801"/>
      <c r="BN142" s="792" t="str">
        <f t="array" ref="BN142:BO142">{"",'S-10 Оформление сделок Выборка'!BO142}</f>
        <v/>
      </c>
      <c r="BO142" s="793"/>
      <c r="BP142" s="792" t="str">
        <f t="array" ref="BP142:BQ142">{"",'S-10 Оформление сделок Выборка'!BQ142}</f>
        <v/>
      </c>
      <c r="BQ142" s="802"/>
      <c r="BR142" s="792" t="str">
        <f t="array" ref="BR142:BS142">{"",'S-10 Оформление сделок Выборка'!BS142}</f>
        <v/>
      </c>
      <c r="BS142" s="794"/>
      <c r="BT142" s="800" t="str">
        <f t="array" ref="BT142:BU142">{"",'S-10 Оформление сделок Выборка'!BU142}</f>
        <v/>
      </c>
      <c r="BU142" s="794"/>
      <c r="BV142" s="800" t="str">
        <f t="array" ref="BV142:BW142">{"",'S-10 Оформление сделок Выборка'!BW142}</f>
        <v/>
      </c>
      <c r="BW142" s="803" t="s">
        <v>96</v>
      </c>
      <c r="BX142" s="804"/>
    </row>
    <row r="143">
      <c r="A143" s="779"/>
      <c r="B143" s="779"/>
      <c r="C143" s="780" t="str">
        <f>'5-1 Сбор КП Закупки'!C143</f>
        <v/>
      </c>
      <c r="D143" s="781"/>
      <c r="E143" s="780"/>
      <c r="F143" s="783"/>
      <c r="G143" s="783"/>
      <c r="H143" s="783"/>
      <c r="I143" s="783"/>
      <c r="J143" s="780"/>
      <c r="K143" s="786"/>
      <c r="L143" s="785"/>
      <c r="M143" s="786"/>
      <c r="N143" s="786"/>
      <c r="O143" s="780"/>
      <c r="P143" s="787"/>
      <c r="Q143" s="780"/>
      <c r="R143" s="780"/>
      <c r="S143" s="780"/>
      <c r="T143" s="780"/>
      <c r="U143" s="780"/>
      <c r="V143" s="780"/>
      <c r="W143" s="787"/>
      <c r="X143" s="780"/>
      <c r="Y143" s="780"/>
      <c r="Z143" s="780"/>
      <c r="AA143" s="780"/>
      <c r="AB143" s="788"/>
      <c r="AC143" s="781"/>
      <c r="AD143" s="780"/>
      <c r="AE143" s="789" t="str">
        <f t="array" ref="AE143:AF143">{"",'S-10 Оформление сделок Выборка'!AF143}</f>
        <v/>
      </c>
      <c r="AF143" s="790"/>
      <c r="AG143" s="781"/>
      <c r="AH143" s="781"/>
      <c r="AI143" s="785"/>
      <c r="AJ143" s="780"/>
      <c r="AK143" s="792" t="str">
        <f t="array" ref="AK143:AL143">{"",'S-10 Оформление сделок Выборка'!AL143}</f>
        <v/>
      </c>
      <c r="AL143" s="793"/>
      <c r="AM143" s="792" t="str">
        <f t="array" ref="AM143:AN143">{"",'S-10 Оформление сделок Выборка'!AN143}</f>
        <v/>
      </c>
      <c r="AN143" s="794"/>
      <c r="AO143" s="792" t="str">
        <f t="array" ref="AO143:AP143">{"",'S-10 Оформление сделок Выборка'!AP143}</f>
        <v/>
      </c>
      <c r="AP143" s="786"/>
      <c r="AQ143" s="786"/>
      <c r="AR143" s="779" t="str">
        <f t="array" ref="AR143:AS143">{"",'S-10 Оформление сделок Выборка'!AS143}</f>
        <v/>
      </c>
      <c r="AS143" s="795"/>
      <c r="AT143" s="779" t="str">
        <f t="array" ref="AT143:AU143">{"",'S-10 Оформление сделок Выборка'!AU143}</f>
        <v/>
      </c>
      <c r="AU143" s="805"/>
      <c r="AV143" s="779" t="str">
        <f t="array" ref="AV143:AW143">{"",'S-10 Оформление сделок Выборка'!AW143}</f>
        <v/>
      </c>
      <c r="AW143" s="797"/>
      <c r="AX143" s="786"/>
      <c r="AY143" s="786"/>
      <c r="AZ143" s="792" t="str">
        <f t="array" ref="AZ143:BA143">{"",'S-10 Оформление сделок Выборка'!BA143}</f>
        <v/>
      </c>
      <c r="BA143" s="798"/>
      <c r="BB143" s="792" t="str">
        <f t="array" ref="BB143:BC143">{"",'S-10 Оформление сделок Выборка'!BC143}</f>
        <v/>
      </c>
      <c r="BC143" s="799"/>
      <c r="BD143" s="792" t="str">
        <f t="array" ref="BD143:BE143">{"",'S-10 Оформление сделок Выборка'!BE143}</f>
        <v/>
      </c>
      <c r="BE143" s="793"/>
      <c r="BF143" s="800" t="str">
        <f t="array" ref="BF143:BG143">{"",'S-10 Оформление сделок Выборка'!BG143}</f>
        <v/>
      </c>
      <c r="BG143" s="794"/>
      <c r="BH143" s="794" t="str">
        <f t="array" ref="BH143:BI143">{"",'S-10 Оформление сделок Выборка'!BI143}</f>
        <v/>
      </c>
      <c r="BI143" s="794"/>
      <c r="BJ143" s="792" t="str">
        <f t="array" ref="BJ143:BK143">{"",'S-10 Оформление сделок Выборка'!BK143}</f>
        <v/>
      </c>
      <c r="BK143" s="793"/>
      <c r="BL143" s="792" t="str">
        <f t="array" ref="BL143:BM143">{"",'S-10 Оформление сделок Выборка'!BM143}</f>
        <v/>
      </c>
      <c r="BM143" s="801"/>
      <c r="BN143" s="792" t="str">
        <f t="array" ref="BN143:BO143">{"",'S-10 Оформление сделок Выборка'!BO143}</f>
        <v/>
      </c>
      <c r="BO143" s="793"/>
      <c r="BP143" s="792" t="str">
        <f t="array" ref="BP143:BQ143">{"",'S-10 Оформление сделок Выборка'!BQ143}</f>
        <v/>
      </c>
      <c r="BQ143" s="802"/>
      <c r="BR143" s="792" t="str">
        <f t="array" ref="BR143:BS143">{"",'S-10 Оформление сделок Выборка'!BS143}</f>
        <v/>
      </c>
      <c r="BS143" s="794"/>
      <c r="BT143" s="800" t="str">
        <f t="array" ref="BT143:BU143">{"",'S-10 Оформление сделок Выборка'!BU143}</f>
        <v/>
      </c>
      <c r="BU143" s="794"/>
      <c r="BV143" s="800" t="str">
        <f t="array" ref="BV143:BW143">{"",'S-10 Оформление сделок Выборка'!BW143}</f>
        <v/>
      </c>
      <c r="BW143" s="803" t="s">
        <v>96</v>
      </c>
      <c r="BX143" s="804"/>
    </row>
    <row r="144">
      <c r="A144" s="779"/>
      <c r="B144" s="779"/>
      <c r="C144" s="780" t="str">
        <f>'5-1 Сбор КП Закупки'!C144</f>
        <v/>
      </c>
      <c r="D144" s="781"/>
      <c r="E144" s="780"/>
      <c r="F144" s="783"/>
      <c r="G144" s="783"/>
      <c r="H144" s="783"/>
      <c r="I144" s="783"/>
      <c r="J144" s="780"/>
      <c r="K144" s="786"/>
      <c r="L144" s="785"/>
      <c r="M144" s="786"/>
      <c r="N144" s="786"/>
      <c r="O144" s="780"/>
      <c r="P144" s="787"/>
      <c r="Q144" s="780"/>
      <c r="R144" s="780"/>
      <c r="S144" s="780"/>
      <c r="T144" s="780"/>
      <c r="U144" s="780"/>
      <c r="V144" s="780"/>
      <c r="W144" s="787"/>
      <c r="X144" s="780"/>
      <c r="Y144" s="780"/>
      <c r="Z144" s="780"/>
      <c r="AA144" s="780"/>
      <c r="AB144" s="788"/>
      <c r="AC144" s="781"/>
      <c r="AD144" s="780"/>
      <c r="AE144" s="789" t="str">
        <f t="array" ref="AE144:AF144">{"",'S-10 Оформление сделок Выборка'!AF144}</f>
        <v/>
      </c>
      <c r="AF144" s="790"/>
      <c r="AG144" s="781"/>
      <c r="AH144" s="781"/>
      <c r="AI144" s="785"/>
      <c r="AJ144" s="780"/>
      <c r="AK144" s="792" t="str">
        <f t="array" ref="AK144:AL144">{"",'S-10 Оформление сделок Выборка'!AL144}</f>
        <v/>
      </c>
      <c r="AL144" s="793"/>
      <c r="AM144" s="792" t="str">
        <f t="array" ref="AM144:AN144">{"",'S-10 Оформление сделок Выборка'!AN144}</f>
        <v/>
      </c>
      <c r="AN144" s="794"/>
      <c r="AO144" s="792" t="str">
        <f t="array" ref="AO144:AP144">{"",'S-10 Оформление сделок Выборка'!AP144}</f>
        <v/>
      </c>
      <c r="AP144" s="786"/>
      <c r="AQ144" s="786"/>
      <c r="AR144" s="779" t="str">
        <f t="array" ref="AR144:AS144">{"",'S-10 Оформление сделок Выборка'!AS144}</f>
        <v/>
      </c>
      <c r="AS144" s="795"/>
      <c r="AT144" s="779" t="str">
        <f t="array" ref="AT144:AU144">{"",'S-10 Оформление сделок Выборка'!AU144}</f>
        <v/>
      </c>
      <c r="AU144" s="805"/>
      <c r="AV144" s="779" t="str">
        <f t="array" ref="AV144:AW144">{"",'S-10 Оформление сделок Выборка'!AW144}</f>
        <v/>
      </c>
      <c r="AW144" s="797"/>
      <c r="AX144" s="786"/>
      <c r="AY144" s="786"/>
      <c r="AZ144" s="792" t="str">
        <f t="array" ref="AZ144:BA144">{"",'S-10 Оформление сделок Выборка'!BA144}</f>
        <v/>
      </c>
      <c r="BA144" s="798"/>
      <c r="BB144" s="792" t="str">
        <f t="array" ref="BB144:BC144">{"",'S-10 Оформление сделок Выборка'!BC144}</f>
        <v/>
      </c>
      <c r="BC144" s="799"/>
      <c r="BD144" s="792" t="str">
        <f t="array" ref="BD144:BE144">{"",'S-10 Оформление сделок Выборка'!BE144}</f>
        <v/>
      </c>
      <c r="BE144" s="793"/>
      <c r="BF144" s="800" t="str">
        <f t="array" ref="BF144:BG144">{"",'S-10 Оформление сделок Выборка'!BG144}</f>
        <v/>
      </c>
      <c r="BG144" s="794"/>
      <c r="BH144" s="794" t="str">
        <f t="array" ref="BH144:BI144">{"",'S-10 Оформление сделок Выборка'!BI144}</f>
        <v/>
      </c>
      <c r="BI144" s="794"/>
      <c r="BJ144" s="792" t="str">
        <f t="array" ref="BJ144:BK144">{"",'S-10 Оформление сделок Выборка'!BK144}</f>
        <v/>
      </c>
      <c r="BK144" s="793"/>
      <c r="BL144" s="792" t="str">
        <f t="array" ref="BL144:BM144">{"",'S-10 Оформление сделок Выборка'!BM144}</f>
        <v/>
      </c>
      <c r="BM144" s="801"/>
      <c r="BN144" s="792" t="str">
        <f t="array" ref="BN144:BO144">{"",'S-10 Оформление сделок Выборка'!BO144}</f>
        <v/>
      </c>
      <c r="BO144" s="793"/>
      <c r="BP144" s="792" t="str">
        <f t="array" ref="BP144:BQ144">{"",'S-10 Оформление сделок Выборка'!BQ144}</f>
        <v/>
      </c>
      <c r="BQ144" s="802"/>
      <c r="BR144" s="792" t="str">
        <f t="array" ref="BR144:BS144">{"",'S-10 Оформление сделок Выборка'!BS144}</f>
        <v/>
      </c>
      <c r="BS144" s="794"/>
      <c r="BT144" s="800" t="str">
        <f t="array" ref="BT144:BU144">{"",'S-10 Оформление сделок Выборка'!BU144}</f>
        <v/>
      </c>
      <c r="BU144" s="794"/>
      <c r="BV144" s="800" t="str">
        <f t="array" ref="BV144:BW144">{"",'S-10 Оформление сделок Выборка'!BW144}</f>
        <v/>
      </c>
      <c r="BW144" s="803" t="s">
        <v>96</v>
      </c>
      <c r="BX144" s="804"/>
    </row>
    <row r="145">
      <c r="A145" s="779"/>
      <c r="B145" s="779"/>
      <c r="C145" s="780" t="str">
        <f>'5-1 Сбор КП Закупки'!C145</f>
        <v/>
      </c>
      <c r="D145" s="781"/>
      <c r="E145" s="780"/>
      <c r="F145" s="783"/>
      <c r="G145" s="783"/>
      <c r="H145" s="783"/>
      <c r="I145" s="783"/>
      <c r="J145" s="780"/>
      <c r="K145" s="786"/>
      <c r="L145" s="785"/>
      <c r="M145" s="786"/>
      <c r="N145" s="786"/>
      <c r="O145" s="780"/>
      <c r="P145" s="787"/>
      <c r="Q145" s="780"/>
      <c r="R145" s="780"/>
      <c r="S145" s="780"/>
      <c r="T145" s="780"/>
      <c r="U145" s="780"/>
      <c r="V145" s="780"/>
      <c r="W145" s="787"/>
      <c r="X145" s="780"/>
      <c r="Y145" s="780"/>
      <c r="Z145" s="780"/>
      <c r="AA145" s="780"/>
      <c r="AB145" s="788"/>
      <c r="AC145" s="781"/>
      <c r="AD145" s="780"/>
      <c r="AE145" s="789" t="str">
        <f t="array" ref="AE145:AF145">{"",'S-10 Оформление сделок Выборка'!AF145}</f>
        <v/>
      </c>
      <c r="AF145" s="790"/>
      <c r="AG145" s="781"/>
      <c r="AH145" s="781"/>
      <c r="AI145" s="785"/>
      <c r="AJ145" s="780"/>
      <c r="AK145" s="792" t="str">
        <f t="array" ref="AK145:AL145">{"",'S-10 Оформление сделок Выборка'!AL145}</f>
        <v/>
      </c>
      <c r="AL145" s="793"/>
      <c r="AM145" s="792" t="str">
        <f t="array" ref="AM145:AN145">{"",'S-10 Оформление сделок Выборка'!AN145}</f>
        <v/>
      </c>
      <c r="AN145" s="794"/>
      <c r="AO145" s="792" t="str">
        <f t="array" ref="AO145:AP145">{"",'S-10 Оформление сделок Выборка'!AP145}</f>
        <v/>
      </c>
      <c r="AP145" s="786"/>
      <c r="AQ145" s="786"/>
      <c r="AR145" s="779" t="str">
        <f t="array" ref="AR145:AS145">{"",'S-10 Оформление сделок Выборка'!AS145}</f>
        <v/>
      </c>
      <c r="AS145" s="795"/>
      <c r="AT145" s="779" t="str">
        <f t="array" ref="AT145:AU145">{"",'S-10 Оформление сделок Выборка'!AU145}</f>
        <v/>
      </c>
      <c r="AU145" s="805"/>
      <c r="AV145" s="779" t="str">
        <f t="array" ref="AV145:AW145">{"",'S-10 Оформление сделок Выборка'!AW145}</f>
        <v/>
      </c>
      <c r="AW145" s="797"/>
      <c r="AX145" s="786"/>
      <c r="AY145" s="786"/>
      <c r="AZ145" s="792" t="str">
        <f t="array" ref="AZ145:BA145">{"",'S-10 Оформление сделок Выборка'!BA145}</f>
        <v/>
      </c>
      <c r="BA145" s="798"/>
      <c r="BB145" s="792" t="str">
        <f t="array" ref="BB145:BC145">{"",'S-10 Оформление сделок Выборка'!BC145}</f>
        <v/>
      </c>
      <c r="BC145" s="799"/>
      <c r="BD145" s="792" t="str">
        <f t="array" ref="BD145:BE145">{"",'S-10 Оформление сделок Выборка'!BE145}</f>
        <v/>
      </c>
      <c r="BE145" s="793"/>
      <c r="BF145" s="800" t="str">
        <f t="array" ref="BF145:BG145">{"",'S-10 Оформление сделок Выборка'!BG145}</f>
        <v/>
      </c>
      <c r="BG145" s="794"/>
      <c r="BH145" s="794" t="str">
        <f t="array" ref="BH145:BI145">{"",'S-10 Оформление сделок Выборка'!BI145}</f>
        <v/>
      </c>
      <c r="BI145" s="794"/>
      <c r="BJ145" s="792" t="str">
        <f t="array" ref="BJ145:BK145">{"",'S-10 Оформление сделок Выборка'!BK145}</f>
        <v/>
      </c>
      <c r="BK145" s="793"/>
      <c r="BL145" s="792" t="str">
        <f t="array" ref="BL145:BM145">{"",'S-10 Оформление сделок Выборка'!BM145}</f>
        <v/>
      </c>
      <c r="BM145" s="801"/>
      <c r="BN145" s="792" t="str">
        <f t="array" ref="BN145:BO145">{"",'S-10 Оформление сделок Выборка'!BO145}</f>
        <v/>
      </c>
      <c r="BO145" s="793"/>
      <c r="BP145" s="792" t="str">
        <f t="array" ref="BP145:BQ145">{"",'S-10 Оформление сделок Выборка'!BQ145}</f>
        <v/>
      </c>
      <c r="BQ145" s="802"/>
      <c r="BR145" s="792" t="str">
        <f t="array" ref="BR145:BS145">{"",'S-10 Оформление сделок Выборка'!BS145}</f>
        <v/>
      </c>
      <c r="BS145" s="794"/>
      <c r="BT145" s="800" t="str">
        <f t="array" ref="BT145:BU145">{"",'S-10 Оформление сделок Выборка'!BU145}</f>
        <v/>
      </c>
      <c r="BU145" s="794"/>
      <c r="BV145" s="800" t="str">
        <f t="array" ref="BV145:BW145">{"",'S-10 Оформление сделок Выборка'!BW145}</f>
        <v/>
      </c>
      <c r="BW145" s="803" t="s">
        <v>96</v>
      </c>
      <c r="BX145" s="804"/>
    </row>
    <row r="146">
      <c r="A146" s="779"/>
      <c r="B146" s="779"/>
      <c r="C146" s="780" t="str">
        <f>'5-1 Сбор КП Закупки'!C146</f>
        <v/>
      </c>
      <c r="D146" s="781"/>
      <c r="E146" s="780"/>
      <c r="F146" s="783"/>
      <c r="G146" s="783"/>
      <c r="H146" s="783"/>
      <c r="I146" s="783"/>
      <c r="J146" s="780"/>
      <c r="K146" s="786"/>
      <c r="L146" s="785"/>
      <c r="M146" s="786"/>
      <c r="N146" s="786"/>
      <c r="O146" s="780"/>
      <c r="P146" s="787"/>
      <c r="Q146" s="780"/>
      <c r="R146" s="780"/>
      <c r="S146" s="780"/>
      <c r="T146" s="780"/>
      <c r="U146" s="780"/>
      <c r="V146" s="780"/>
      <c r="W146" s="787"/>
      <c r="X146" s="780"/>
      <c r="Y146" s="780"/>
      <c r="Z146" s="780"/>
      <c r="AA146" s="780"/>
      <c r="AB146" s="788"/>
      <c r="AC146" s="781"/>
      <c r="AD146" s="780"/>
      <c r="AE146" s="789" t="str">
        <f t="array" ref="AE146:AF146">{"",'S-10 Оформление сделок Выборка'!AF146}</f>
        <v/>
      </c>
      <c r="AF146" s="790"/>
      <c r="AG146" s="781"/>
      <c r="AH146" s="781"/>
      <c r="AI146" s="785"/>
      <c r="AJ146" s="780"/>
      <c r="AK146" s="792" t="str">
        <f t="array" ref="AK146:AL146">{"",'S-10 Оформление сделок Выборка'!AL146}</f>
        <v/>
      </c>
      <c r="AL146" s="793"/>
      <c r="AM146" s="792" t="str">
        <f t="array" ref="AM146:AN146">{"",'S-10 Оформление сделок Выборка'!AN146}</f>
        <v/>
      </c>
      <c r="AN146" s="794"/>
      <c r="AO146" s="792" t="str">
        <f t="array" ref="AO146:AP146">{"",'S-10 Оформление сделок Выборка'!AP146}</f>
        <v/>
      </c>
      <c r="AP146" s="786"/>
      <c r="AQ146" s="786"/>
      <c r="AR146" s="779" t="str">
        <f t="array" ref="AR146:AS146">{"",'S-10 Оформление сделок Выборка'!AS146}</f>
        <v/>
      </c>
      <c r="AS146" s="795"/>
      <c r="AT146" s="779" t="str">
        <f t="array" ref="AT146:AU146">{"",'S-10 Оформление сделок Выборка'!AU146}</f>
        <v/>
      </c>
      <c r="AU146" s="805"/>
      <c r="AV146" s="779" t="str">
        <f t="array" ref="AV146:AW146">{"",'S-10 Оформление сделок Выборка'!AW146}</f>
        <v/>
      </c>
      <c r="AW146" s="797"/>
      <c r="AX146" s="786"/>
      <c r="AY146" s="786"/>
      <c r="AZ146" s="792" t="str">
        <f t="array" ref="AZ146:BA146">{"",'S-10 Оформление сделок Выборка'!BA146}</f>
        <v/>
      </c>
      <c r="BA146" s="798"/>
      <c r="BB146" s="792" t="str">
        <f t="array" ref="BB146:BC146">{"",'S-10 Оформление сделок Выборка'!BC146}</f>
        <v/>
      </c>
      <c r="BC146" s="799"/>
      <c r="BD146" s="792" t="str">
        <f t="array" ref="BD146:BE146">{"",'S-10 Оформление сделок Выборка'!BE146}</f>
        <v/>
      </c>
      <c r="BE146" s="793"/>
      <c r="BF146" s="800" t="str">
        <f t="array" ref="BF146:BG146">{"",'S-10 Оформление сделок Выборка'!BG146}</f>
        <v/>
      </c>
      <c r="BG146" s="794"/>
      <c r="BH146" s="794" t="str">
        <f t="array" ref="BH146:BI146">{"",'S-10 Оформление сделок Выборка'!BI146}</f>
        <v/>
      </c>
      <c r="BI146" s="794"/>
      <c r="BJ146" s="792" t="str">
        <f t="array" ref="BJ146:BK146">{"",'S-10 Оформление сделок Выборка'!BK146}</f>
        <v/>
      </c>
      <c r="BK146" s="793"/>
      <c r="BL146" s="792" t="str">
        <f t="array" ref="BL146:BM146">{"",'S-10 Оформление сделок Выборка'!BM146}</f>
        <v/>
      </c>
      <c r="BM146" s="801"/>
      <c r="BN146" s="792" t="str">
        <f t="array" ref="BN146:BO146">{"",'S-10 Оформление сделок Выборка'!BO146}</f>
        <v/>
      </c>
      <c r="BO146" s="793"/>
      <c r="BP146" s="792" t="str">
        <f t="array" ref="BP146:BQ146">{"",'S-10 Оформление сделок Выборка'!BQ146}</f>
        <v/>
      </c>
      <c r="BQ146" s="802"/>
      <c r="BR146" s="792" t="str">
        <f t="array" ref="BR146:BS146">{"",'S-10 Оформление сделок Выборка'!BS146}</f>
        <v/>
      </c>
      <c r="BS146" s="794"/>
      <c r="BT146" s="800" t="str">
        <f t="array" ref="BT146:BU146">{"",'S-10 Оформление сделок Выборка'!BU146}</f>
        <v/>
      </c>
      <c r="BU146" s="794"/>
      <c r="BV146" s="800" t="str">
        <f t="array" ref="BV146:BW146">{"",'S-10 Оформление сделок Выборка'!BW146}</f>
        <v/>
      </c>
      <c r="BW146" s="803" t="s">
        <v>96</v>
      </c>
      <c r="BX146" s="804"/>
    </row>
    <row r="147">
      <c r="A147" s="779"/>
      <c r="B147" s="779"/>
      <c r="C147" s="780" t="str">
        <f>'5-1 Сбор КП Закупки'!C147</f>
        <v/>
      </c>
      <c r="D147" s="781"/>
      <c r="E147" s="780"/>
      <c r="F147" s="783"/>
      <c r="G147" s="783"/>
      <c r="H147" s="783"/>
      <c r="I147" s="783"/>
      <c r="J147" s="780"/>
      <c r="K147" s="786"/>
      <c r="L147" s="785"/>
      <c r="M147" s="786"/>
      <c r="N147" s="786"/>
      <c r="O147" s="780"/>
      <c r="P147" s="787"/>
      <c r="Q147" s="780"/>
      <c r="R147" s="780"/>
      <c r="S147" s="780"/>
      <c r="T147" s="780"/>
      <c r="U147" s="780"/>
      <c r="V147" s="780"/>
      <c r="W147" s="787"/>
      <c r="X147" s="780"/>
      <c r="Y147" s="780"/>
      <c r="Z147" s="780"/>
      <c r="AA147" s="780"/>
      <c r="AB147" s="788"/>
      <c r="AC147" s="781"/>
      <c r="AD147" s="780"/>
      <c r="AE147" s="789" t="str">
        <f t="array" ref="AE147:AF147">{"",'S-10 Оформление сделок Выборка'!AF147}</f>
        <v/>
      </c>
      <c r="AF147" s="790"/>
      <c r="AG147" s="781"/>
      <c r="AH147" s="781"/>
      <c r="AI147" s="785"/>
      <c r="AJ147" s="780"/>
      <c r="AK147" s="792" t="str">
        <f t="array" ref="AK147:AL147">{"",'S-10 Оформление сделок Выборка'!AL147}</f>
        <v/>
      </c>
      <c r="AL147" s="793"/>
      <c r="AM147" s="792" t="str">
        <f t="array" ref="AM147:AN147">{"",'S-10 Оформление сделок Выборка'!AN147}</f>
        <v/>
      </c>
      <c r="AN147" s="794"/>
      <c r="AO147" s="792" t="str">
        <f t="array" ref="AO147:AP147">{"",'S-10 Оформление сделок Выборка'!AP147}</f>
        <v/>
      </c>
      <c r="AP147" s="786"/>
      <c r="AQ147" s="786"/>
      <c r="AR147" s="779" t="str">
        <f t="array" ref="AR147:AS147">{"",'S-10 Оформление сделок Выборка'!AS147}</f>
        <v/>
      </c>
      <c r="AS147" s="795"/>
      <c r="AT147" s="779" t="str">
        <f t="array" ref="AT147:AU147">{"",'S-10 Оформление сделок Выборка'!AU147}</f>
        <v/>
      </c>
      <c r="AU147" s="805"/>
      <c r="AV147" s="779" t="str">
        <f t="array" ref="AV147:AW147">{"",'S-10 Оформление сделок Выборка'!AW147}</f>
        <v/>
      </c>
      <c r="AW147" s="797"/>
      <c r="AX147" s="786"/>
      <c r="AY147" s="786"/>
      <c r="AZ147" s="792" t="str">
        <f t="array" ref="AZ147:BA147">{"",'S-10 Оформление сделок Выборка'!BA147}</f>
        <v/>
      </c>
      <c r="BA147" s="798"/>
      <c r="BB147" s="792" t="str">
        <f t="array" ref="BB147:BC147">{"",'S-10 Оформление сделок Выборка'!BC147}</f>
        <v/>
      </c>
      <c r="BC147" s="799"/>
      <c r="BD147" s="792" t="str">
        <f t="array" ref="BD147:BE147">{"",'S-10 Оформление сделок Выборка'!BE147}</f>
        <v/>
      </c>
      <c r="BE147" s="793"/>
      <c r="BF147" s="800" t="str">
        <f t="array" ref="BF147:BG147">{"",'S-10 Оформление сделок Выборка'!BG147}</f>
        <v/>
      </c>
      <c r="BG147" s="794"/>
      <c r="BH147" s="794" t="str">
        <f t="array" ref="BH147:BI147">{"",'S-10 Оформление сделок Выборка'!BI147}</f>
        <v/>
      </c>
      <c r="BI147" s="794"/>
      <c r="BJ147" s="792" t="str">
        <f t="array" ref="BJ147:BK147">{"",'S-10 Оформление сделок Выборка'!BK147}</f>
        <v/>
      </c>
      <c r="BK147" s="793"/>
      <c r="BL147" s="792" t="str">
        <f t="array" ref="BL147:BM147">{"",'S-10 Оформление сделок Выборка'!BM147}</f>
        <v/>
      </c>
      <c r="BM147" s="801"/>
      <c r="BN147" s="792" t="str">
        <f t="array" ref="BN147:BO147">{"",'S-10 Оформление сделок Выборка'!BO147}</f>
        <v/>
      </c>
      <c r="BO147" s="793"/>
      <c r="BP147" s="792" t="str">
        <f t="array" ref="BP147:BQ147">{"",'S-10 Оформление сделок Выборка'!BQ147}</f>
        <v/>
      </c>
      <c r="BQ147" s="802"/>
      <c r="BR147" s="792" t="str">
        <f t="array" ref="BR147:BS147">{"",'S-10 Оформление сделок Выборка'!BS147}</f>
        <v/>
      </c>
      <c r="BS147" s="794"/>
      <c r="BT147" s="800" t="str">
        <f t="array" ref="BT147:BU147">{"",'S-10 Оформление сделок Выборка'!BU147}</f>
        <v/>
      </c>
      <c r="BU147" s="794"/>
      <c r="BV147" s="800" t="str">
        <f t="array" ref="BV147:BW147">{"",'S-10 Оформление сделок Выборка'!BW147}</f>
        <v/>
      </c>
      <c r="BW147" s="803" t="s">
        <v>96</v>
      </c>
      <c r="BX147" s="804"/>
    </row>
    <row r="148">
      <c r="A148" s="779"/>
      <c r="B148" s="779"/>
      <c r="C148" s="780" t="str">
        <f>'5-1 Сбор КП Закупки'!C148</f>
        <v/>
      </c>
      <c r="D148" s="781"/>
      <c r="E148" s="780"/>
      <c r="F148" s="783"/>
      <c r="G148" s="783"/>
      <c r="H148" s="783"/>
      <c r="I148" s="783"/>
      <c r="J148" s="780"/>
      <c r="K148" s="786"/>
      <c r="L148" s="785"/>
      <c r="M148" s="786"/>
      <c r="N148" s="786"/>
      <c r="O148" s="780"/>
      <c r="P148" s="787"/>
      <c r="Q148" s="780"/>
      <c r="R148" s="780"/>
      <c r="S148" s="780"/>
      <c r="T148" s="780"/>
      <c r="U148" s="780"/>
      <c r="V148" s="780"/>
      <c r="W148" s="787"/>
      <c r="X148" s="780"/>
      <c r="Y148" s="780"/>
      <c r="Z148" s="780"/>
      <c r="AA148" s="780"/>
      <c r="AB148" s="788"/>
      <c r="AC148" s="781"/>
      <c r="AD148" s="780"/>
      <c r="AE148" s="789" t="str">
        <f t="array" ref="AE148:AF148">{"",'S-10 Оформление сделок Выборка'!AF148}</f>
        <v/>
      </c>
      <c r="AF148" s="790"/>
      <c r="AG148" s="781"/>
      <c r="AH148" s="781"/>
      <c r="AI148" s="785"/>
      <c r="AJ148" s="780"/>
      <c r="AK148" s="792" t="str">
        <f t="array" ref="AK148:AL148">{"",'S-10 Оформление сделок Выборка'!AL148}</f>
        <v/>
      </c>
      <c r="AL148" s="793"/>
      <c r="AM148" s="792" t="str">
        <f t="array" ref="AM148:AN148">{"",'S-10 Оформление сделок Выборка'!AN148}</f>
        <v/>
      </c>
      <c r="AN148" s="794"/>
      <c r="AO148" s="792" t="str">
        <f t="array" ref="AO148:AP148">{"",'S-10 Оформление сделок Выборка'!AP148}</f>
        <v/>
      </c>
      <c r="AP148" s="786"/>
      <c r="AQ148" s="786"/>
      <c r="AR148" s="779" t="str">
        <f t="array" ref="AR148:AS148">{"",'S-10 Оформление сделок Выборка'!AS148}</f>
        <v/>
      </c>
      <c r="AS148" s="795"/>
      <c r="AT148" s="779" t="str">
        <f t="array" ref="AT148:AU148">{"",'S-10 Оформление сделок Выборка'!AU148}</f>
        <v/>
      </c>
      <c r="AU148" s="805"/>
      <c r="AV148" s="779" t="str">
        <f t="array" ref="AV148:AW148">{"",'S-10 Оформление сделок Выборка'!AW148}</f>
        <v/>
      </c>
      <c r="AW148" s="797"/>
      <c r="AX148" s="786"/>
      <c r="AY148" s="786"/>
      <c r="AZ148" s="792" t="str">
        <f t="array" ref="AZ148:BA148">{"",'S-10 Оформление сделок Выборка'!BA148}</f>
        <v/>
      </c>
      <c r="BA148" s="798"/>
      <c r="BB148" s="792" t="str">
        <f t="array" ref="BB148:BC148">{"",'S-10 Оформление сделок Выборка'!BC148}</f>
        <v/>
      </c>
      <c r="BC148" s="799"/>
      <c r="BD148" s="792" t="str">
        <f t="array" ref="BD148:BE148">{"",'S-10 Оформление сделок Выборка'!BE148}</f>
        <v/>
      </c>
      <c r="BE148" s="793"/>
      <c r="BF148" s="800" t="str">
        <f t="array" ref="BF148:BG148">{"",'S-10 Оформление сделок Выборка'!BG148}</f>
        <v/>
      </c>
      <c r="BG148" s="794"/>
      <c r="BH148" s="794" t="str">
        <f t="array" ref="BH148:BI148">{"",'S-10 Оформление сделок Выборка'!BI148}</f>
        <v/>
      </c>
      <c r="BI148" s="794"/>
      <c r="BJ148" s="792" t="str">
        <f t="array" ref="BJ148:BK148">{"",'S-10 Оформление сделок Выборка'!BK148}</f>
        <v/>
      </c>
      <c r="BK148" s="793"/>
      <c r="BL148" s="792" t="str">
        <f t="array" ref="BL148:BM148">{"",'S-10 Оформление сделок Выборка'!BM148}</f>
        <v/>
      </c>
      <c r="BM148" s="801"/>
      <c r="BN148" s="792" t="str">
        <f t="array" ref="BN148:BO148">{"",'S-10 Оформление сделок Выборка'!BO148}</f>
        <v/>
      </c>
      <c r="BO148" s="793"/>
      <c r="BP148" s="792" t="str">
        <f t="array" ref="BP148:BQ148">{"",'S-10 Оформление сделок Выборка'!BQ148}</f>
        <v/>
      </c>
      <c r="BQ148" s="802"/>
      <c r="BR148" s="792" t="str">
        <f t="array" ref="BR148:BS148">{"",'S-10 Оформление сделок Выборка'!BS148}</f>
        <v/>
      </c>
      <c r="BS148" s="794"/>
      <c r="BT148" s="800" t="str">
        <f t="array" ref="BT148:BU148">{"",'S-10 Оформление сделок Выборка'!BU148}</f>
        <v/>
      </c>
      <c r="BU148" s="794"/>
      <c r="BV148" s="800" t="str">
        <f t="array" ref="BV148:BW148">{"",'S-10 Оформление сделок Выборка'!BW148}</f>
        <v/>
      </c>
      <c r="BW148" s="803" t="s">
        <v>96</v>
      </c>
      <c r="BX148" s="804"/>
    </row>
    <row r="149">
      <c r="A149" s="779"/>
      <c r="B149" s="779"/>
      <c r="C149" s="780" t="str">
        <f>'5-1 Сбор КП Закупки'!C149</f>
        <v/>
      </c>
      <c r="D149" s="781"/>
      <c r="E149" s="780"/>
      <c r="F149" s="783"/>
      <c r="G149" s="783"/>
      <c r="H149" s="783"/>
      <c r="I149" s="783"/>
      <c r="J149" s="780"/>
      <c r="K149" s="786"/>
      <c r="L149" s="785"/>
      <c r="M149" s="786"/>
      <c r="N149" s="786"/>
      <c r="O149" s="780"/>
      <c r="P149" s="787"/>
      <c r="Q149" s="780"/>
      <c r="R149" s="780"/>
      <c r="S149" s="780"/>
      <c r="T149" s="780"/>
      <c r="U149" s="780"/>
      <c r="V149" s="780"/>
      <c r="W149" s="787"/>
      <c r="X149" s="780"/>
      <c r="Y149" s="780"/>
      <c r="Z149" s="780"/>
      <c r="AA149" s="780"/>
      <c r="AB149" s="788"/>
      <c r="AC149" s="781"/>
      <c r="AD149" s="780"/>
      <c r="AE149" s="789" t="str">
        <f t="array" ref="AE149:AF149">{"",'S-10 Оформление сделок Выборка'!AF149}</f>
        <v/>
      </c>
      <c r="AF149" s="790"/>
      <c r="AG149" s="781"/>
      <c r="AH149" s="781"/>
      <c r="AI149" s="785"/>
      <c r="AJ149" s="780"/>
      <c r="AK149" s="792" t="str">
        <f t="array" ref="AK149:AL149">{"",'S-10 Оформление сделок Выборка'!AL149}</f>
        <v/>
      </c>
      <c r="AL149" s="793"/>
      <c r="AM149" s="792" t="str">
        <f t="array" ref="AM149:AN149">{"",'S-10 Оформление сделок Выборка'!AN149}</f>
        <v/>
      </c>
      <c r="AN149" s="794"/>
      <c r="AO149" s="792" t="str">
        <f t="array" ref="AO149:AP149">{"",'S-10 Оформление сделок Выборка'!AP149}</f>
        <v/>
      </c>
      <c r="AP149" s="786"/>
      <c r="AQ149" s="786"/>
      <c r="AR149" s="779" t="str">
        <f t="array" ref="AR149:AS149">{"",'S-10 Оформление сделок Выборка'!AS149}</f>
        <v/>
      </c>
      <c r="AS149" s="795"/>
      <c r="AT149" s="779" t="str">
        <f t="array" ref="AT149:AU149">{"",'S-10 Оформление сделок Выборка'!AU149}</f>
        <v/>
      </c>
      <c r="AU149" s="805"/>
      <c r="AV149" s="779" t="str">
        <f t="array" ref="AV149:AW149">{"",'S-10 Оформление сделок Выборка'!AW149}</f>
        <v/>
      </c>
      <c r="AW149" s="797"/>
      <c r="AX149" s="786"/>
      <c r="AY149" s="786"/>
      <c r="AZ149" s="792" t="str">
        <f t="array" ref="AZ149:BA149">{"",'S-10 Оформление сделок Выборка'!BA149}</f>
        <v/>
      </c>
      <c r="BA149" s="798"/>
      <c r="BB149" s="792" t="str">
        <f t="array" ref="BB149:BC149">{"",'S-10 Оформление сделок Выборка'!BC149}</f>
        <v/>
      </c>
      <c r="BC149" s="799"/>
      <c r="BD149" s="792" t="str">
        <f t="array" ref="BD149:BE149">{"",'S-10 Оформление сделок Выборка'!BE149}</f>
        <v/>
      </c>
      <c r="BE149" s="793"/>
      <c r="BF149" s="800" t="str">
        <f t="array" ref="BF149:BG149">{"",'S-10 Оформление сделок Выборка'!BG149}</f>
        <v/>
      </c>
      <c r="BG149" s="794"/>
      <c r="BH149" s="794" t="str">
        <f t="array" ref="BH149:BI149">{"",'S-10 Оформление сделок Выборка'!BI149}</f>
        <v/>
      </c>
      <c r="BI149" s="794"/>
      <c r="BJ149" s="792" t="str">
        <f t="array" ref="BJ149:BK149">{"",'S-10 Оформление сделок Выборка'!BK149}</f>
        <v/>
      </c>
      <c r="BK149" s="793"/>
      <c r="BL149" s="792" t="str">
        <f t="array" ref="BL149:BM149">{"",'S-10 Оформление сделок Выборка'!BM149}</f>
        <v/>
      </c>
      <c r="BM149" s="801"/>
      <c r="BN149" s="792" t="str">
        <f t="array" ref="BN149:BO149">{"",'S-10 Оформление сделок Выборка'!BO149}</f>
        <v/>
      </c>
      <c r="BO149" s="793"/>
      <c r="BP149" s="792" t="str">
        <f t="array" ref="BP149:BQ149">{"",'S-10 Оформление сделок Выборка'!BQ149}</f>
        <v/>
      </c>
      <c r="BQ149" s="802"/>
      <c r="BR149" s="792" t="str">
        <f t="array" ref="BR149:BS149">{"",'S-10 Оформление сделок Выборка'!BS149}</f>
        <v/>
      </c>
      <c r="BS149" s="794"/>
      <c r="BT149" s="800" t="str">
        <f t="array" ref="BT149:BU149">{"",'S-10 Оформление сделок Выборка'!BU149}</f>
        <v/>
      </c>
      <c r="BU149" s="794"/>
      <c r="BV149" s="800" t="str">
        <f t="array" ref="BV149:BW149">{"",'S-10 Оформление сделок Выборка'!BW149}</f>
        <v/>
      </c>
      <c r="BW149" s="803" t="s">
        <v>96</v>
      </c>
      <c r="BX149" s="804"/>
    </row>
    <row r="150">
      <c r="A150" s="779"/>
      <c r="B150" s="779"/>
      <c r="C150" s="780" t="str">
        <f>'5-1 Сбор КП Закупки'!C150</f>
        <v/>
      </c>
      <c r="D150" s="781"/>
      <c r="E150" s="780"/>
      <c r="F150" s="783"/>
      <c r="G150" s="783"/>
      <c r="H150" s="783"/>
      <c r="I150" s="783"/>
      <c r="J150" s="780"/>
      <c r="K150" s="786"/>
      <c r="L150" s="785"/>
      <c r="M150" s="786"/>
      <c r="N150" s="786"/>
      <c r="O150" s="780"/>
      <c r="P150" s="787"/>
      <c r="Q150" s="780"/>
      <c r="R150" s="780"/>
      <c r="S150" s="780"/>
      <c r="T150" s="780"/>
      <c r="U150" s="780"/>
      <c r="V150" s="780"/>
      <c r="W150" s="787"/>
      <c r="X150" s="780"/>
      <c r="Y150" s="780"/>
      <c r="Z150" s="780"/>
      <c r="AA150" s="780"/>
      <c r="AB150" s="788"/>
      <c r="AC150" s="781"/>
      <c r="AD150" s="780"/>
      <c r="AE150" s="789" t="str">
        <f t="array" ref="AE150:AF150">{"",'S-10 Оформление сделок Выборка'!AF150}</f>
        <v/>
      </c>
      <c r="AF150" s="790"/>
      <c r="AG150" s="781"/>
      <c r="AH150" s="781"/>
      <c r="AI150" s="785"/>
      <c r="AJ150" s="780"/>
      <c r="AK150" s="792" t="str">
        <f t="array" ref="AK150:AL150">{"",'S-10 Оформление сделок Выборка'!AL150}</f>
        <v/>
      </c>
      <c r="AL150" s="793"/>
      <c r="AM150" s="792" t="str">
        <f t="array" ref="AM150:AN150">{"",'S-10 Оформление сделок Выборка'!AN150}</f>
        <v/>
      </c>
      <c r="AN150" s="794"/>
      <c r="AO150" s="792" t="str">
        <f t="array" ref="AO150:AP150">{"",'S-10 Оформление сделок Выборка'!AP150}</f>
        <v/>
      </c>
      <c r="AP150" s="786"/>
      <c r="AQ150" s="786"/>
      <c r="AR150" s="779" t="str">
        <f t="array" ref="AR150:AS150">{"",'S-10 Оформление сделок Выборка'!AS150}</f>
        <v/>
      </c>
      <c r="AS150" s="795"/>
      <c r="AT150" s="779" t="str">
        <f t="array" ref="AT150:AU150">{"",'S-10 Оформление сделок Выборка'!AU150}</f>
        <v/>
      </c>
      <c r="AU150" s="805"/>
      <c r="AV150" s="779" t="str">
        <f t="array" ref="AV150:AW150">{"",'S-10 Оформление сделок Выборка'!AW150}</f>
        <v/>
      </c>
      <c r="AW150" s="797"/>
      <c r="AX150" s="786"/>
      <c r="AY150" s="786"/>
      <c r="AZ150" s="792" t="str">
        <f t="array" ref="AZ150:BA150">{"",'S-10 Оформление сделок Выборка'!BA150}</f>
        <v/>
      </c>
      <c r="BA150" s="798"/>
      <c r="BB150" s="792" t="str">
        <f t="array" ref="BB150:BC150">{"",'S-10 Оформление сделок Выборка'!BC150}</f>
        <v/>
      </c>
      <c r="BC150" s="799"/>
      <c r="BD150" s="792" t="str">
        <f t="array" ref="BD150:BE150">{"",'S-10 Оформление сделок Выборка'!BE150}</f>
        <v/>
      </c>
      <c r="BE150" s="793"/>
      <c r="BF150" s="800" t="str">
        <f t="array" ref="BF150:BG150">{"",'S-10 Оформление сделок Выборка'!BG150}</f>
        <v/>
      </c>
      <c r="BG150" s="794"/>
      <c r="BH150" s="794" t="str">
        <f t="array" ref="BH150:BI150">{"",'S-10 Оформление сделок Выборка'!BI150}</f>
        <v/>
      </c>
      <c r="BI150" s="794"/>
      <c r="BJ150" s="792" t="str">
        <f t="array" ref="BJ150:BK150">{"",'S-10 Оформление сделок Выборка'!BK150}</f>
        <v/>
      </c>
      <c r="BK150" s="793"/>
      <c r="BL150" s="792" t="str">
        <f t="array" ref="BL150:BM150">{"",'S-10 Оформление сделок Выборка'!BM150}</f>
        <v/>
      </c>
      <c r="BM150" s="801"/>
      <c r="BN150" s="792" t="str">
        <f t="array" ref="BN150:BO150">{"",'S-10 Оформление сделок Выборка'!BO150}</f>
        <v/>
      </c>
      <c r="BO150" s="793"/>
      <c r="BP150" s="792" t="str">
        <f t="array" ref="BP150:BQ150">{"",'S-10 Оформление сделок Выборка'!BQ150}</f>
        <v/>
      </c>
      <c r="BQ150" s="802"/>
      <c r="BR150" s="792" t="str">
        <f t="array" ref="BR150:BS150">{"",'S-10 Оформление сделок Выборка'!BS150}</f>
        <v/>
      </c>
      <c r="BS150" s="794"/>
      <c r="BT150" s="800" t="str">
        <f t="array" ref="BT150:BU150">{"",'S-10 Оформление сделок Выборка'!BU150}</f>
        <v/>
      </c>
      <c r="BU150" s="794"/>
      <c r="BV150" s="800" t="str">
        <f t="array" ref="BV150:BW150">{"",'S-10 Оформление сделок Выборка'!BW150}</f>
        <v/>
      </c>
      <c r="BW150" s="803" t="s">
        <v>96</v>
      </c>
      <c r="BX150" s="804"/>
    </row>
    <row r="151">
      <c r="A151" s="779"/>
      <c r="B151" s="779"/>
      <c r="C151" s="780" t="str">
        <f>'5-1 Сбор КП Закупки'!C151</f>
        <v/>
      </c>
      <c r="D151" s="781"/>
      <c r="E151" s="780"/>
      <c r="F151" s="783"/>
      <c r="G151" s="783"/>
      <c r="H151" s="783"/>
      <c r="I151" s="783"/>
      <c r="J151" s="780"/>
      <c r="K151" s="786"/>
      <c r="L151" s="785"/>
      <c r="M151" s="786"/>
      <c r="N151" s="786"/>
      <c r="O151" s="780"/>
      <c r="P151" s="787"/>
      <c r="Q151" s="780"/>
      <c r="R151" s="780"/>
      <c r="S151" s="780"/>
      <c r="T151" s="780"/>
      <c r="U151" s="780"/>
      <c r="V151" s="780"/>
      <c r="W151" s="787"/>
      <c r="X151" s="780"/>
      <c r="Y151" s="780"/>
      <c r="Z151" s="780"/>
      <c r="AA151" s="780"/>
      <c r="AB151" s="788"/>
      <c r="AC151" s="781"/>
      <c r="AD151" s="780"/>
      <c r="AE151" s="789" t="str">
        <f t="array" ref="AE151:AF151">{"",'S-10 Оформление сделок Выборка'!AF151}</f>
        <v/>
      </c>
      <c r="AF151" s="790"/>
      <c r="AG151" s="781"/>
      <c r="AH151" s="781"/>
      <c r="AI151" s="785"/>
      <c r="AJ151" s="780"/>
      <c r="AK151" s="792" t="str">
        <f t="array" ref="AK151:AL151">{"",'S-10 Оформление сделок Выборка'!AL151}</f>
        <v/>
      </c>
      <c r="AL151" s="793"/>
      <c r="AM151" s="792" t="str">
        <f t="array" ref="AM151:AN151">{"",'S-10 Оформление сделок Выборка'!AN151}</f>
        <v/>
      </c>
      <c r="AN151" s="794"/>
      <c r="AO151" s="792" t="str">
        <f t="array" ref="AO151:AP151">{"",'S-10 Оформление сделок Выборка'!AP151}</f>
        <v/>
      </c>
      <c r="AP151" s="786"/>
      <c r="AQ151" s="786"/>
      <c r="AR151" s="779" t="str">
        <f t="array" ref="AR151:AS151">{"",'S-10 Оформление сделок Выборка'!AS151}</f>
        <v/>
      </c>
      <c r="AS151" s="795"/>
      <c r="AT151" s="779" t="str">
        <f t="array" ref="AT151:AU151">{"",'S-10 Оформление сделок Выборка'!AU151}</f>
        <v/>
      </c>
      <c r="AU151" s="805"/>
      <c r="AV151" s="779" t="str">
        <f t="array" ref="AV151:AW151">{"",'S-10 Оформление сделок Выборка'!AW151}</f>
        <v/>
      </c>
      <c r="AW151" s="797"/>
      <c r="AX151" s="786"/>
      <c r="AY151" s="786"/>
      <c r="AZ151" s="792" t="str">
        <f t="array" ref="AZ151:BA151">{"",'S-10 Оформление сделок Выборка'!BA151}</f>
        <v/>
      </c>
      <c r="BA151" s="798"/>
      <c r="BB151" s="792" t="str">
        <f t="array" ref="BB151:BC151">{"",'S-10 Оформление сделок Выборка'!BC151}</f>
        <v/>
      </c>
      <c r="BC151" s="799"/>
      <c r="BD151" s="792" t="str">
        <f t="array" ref="BD151:BE151">{"",'S-10 Оформление сделок Выборка'!BE151}</f>
        <v/>
      </c>
      <c r="BE151" s="793"/>
      <c r="BF151" s="800" t="str">
        <f t="array" ref="BF151:BG151">{"",'S-10 Оформление сделок Выборка'!BG151}</f>
        <v/>
      </c>
      <c r="BG151" s="794"/>
      <c r="BH151" s="794" t="str">
        <f t="array" ref="BH151:BI151">{"",'S-10 Оформление сделок Выборка'!BI151}</f>
        <v/>
      </c>
      <c r="BI151" s="794"/>
      <c r="BJ151" s="792" t="str">
        <f t="array" ref="BJ151:BK151">{"",'S-10 Оформление сделок Выборка'!BK151}</f>
        <v/>
      </c>
      <c r="BK151" s="793"/>
      <c r="BL151" s="792" t="str">
        <f t="array" ref="BL151:BM151">{"",'S-10 Оформление сделок Выборка'!BM151}</f>
        <v/>
      </c>
      <c r="BM151" s="801"/>
      <c r="BN151" s="792" t="str">
        <f t="array" ref="BN151:BO151">{"",'S-10 Оформление сделок Выборка'!BO151}</f>
        <v/>
      </c>
      <c r="BO151" s="793"/>
      <c r="BP151" s="792" t="str">
        <f t="array" ref="BP151:BQ151">{"",'S-10 Оформление сделок Выборка'!BQ151}</f>
        <v/>
      </c>
      <c r="BQ151" s="802"/>
      <c r="BR151" s="792" t="str">
        <f t="array" ref="BR151:BS151">{"",'S-10 Оформление сделок Выборка'!BS151}</f>
        <v/>
      </c>
      <c r="BS151" s="794"/>
      <c r="BT151" s="800" t="str">
        <f t="array" ref="BT151:BU151">{"",'S-10 Оформление сделок Выборка'!BU151}</f>
        <v/>
      </c>
      <c r="BU151" s="794"/>
      <c r="BV151" s="800" t="str">
        <f t="array" ref="BV151:BW151">{"",'S-10 Оформление сделок Выборка'!BW151}</f>
        <v/>
      </c>
      <c r="BW151" s="803" t="s">
        <v>96</v>
      </c>
      <c r="BX151" s="804"/>
    </row>
    <row r="152">
      <c r="A152" s="779"/>
      <c r="B152" s="779"/>
      <c r="C152" s="780" t="str">
        <f>'5-1 Сбор КП Закупки'!C152</f>
        <v/>
      </c>
      <c r="D152" s="781"/>
      <c r="E152" s="780"/>
      <c r="F152" s="783"/>
      <c r="G152" s="783"/>
      <c r="H152" s="783"/>
      <c r="I152" s="783"/>
      <c r="J152" s="780"/>
      <c r="K152" s="786"/>
      <c r="L152" s="785"/>
      <c r="M152" s="786"/>
      <c r="N152" s="786"/>
      <c r="O152" s="780"/>
      <c r="P152" s="787"/>
      <c r="Q152" s="780"/>
      <c r="R152" s="780"/>
      <c r="S152" s="780"/>
      <c r="T152" s="780"/>
      <c r="U152" s="780"/>
      <c r="V152" s="780"/>
      <c r="W152" s="787"/>
      <c r="X152" s="780"/>
      <c r="Y152" s="780"/>
      <c r="Z152" s="780"/>
      <c r="AA152" s="780"/>
      <c r="AB152" s="788"/>
      <c r="AC152" s="781"/>
      <c r="AD152" s="780"/>
      <c r="AE152" s="789" t="str">
        <f t="array" ref="AE152:AF152">{"",'S-10 Оформление сделок Выборка'!AF152}</f>
        <v/>
      </c>
      <c r="AF152" s="790"/>
      <c r="AG152" s="781"/>
      <c r="AH152" s="781"/>
      <c r="AI152" s="785"/>
      <c r="AJ152" s="780"/>
      <c r="AK152" s="792" t="str">
        <f t="array" ref="AK152:AL152">{"",'S-10 Оформление сделок Выборка'!AL152}</f>
        <v/>
      </c>
      <c r="AL152" s="793"/>
      <c r="AM152" s="792" t="str">
        <f t="array" ref="AM152:AN152">{"",'S-10 Оформление сделок Выборка'!AN152}</f>
        <v/>
      </c>
      <c r="AN152" s="794"/>
      <c r="AO152" s="792" t="str">
        <f t="array" ref="AO152:AP152">{"",'S-10 Оформление сделок Выборка'!AP152}</f>
        <v/>
      </c>
      <c r="AP152" s="786"/>
      <c r="AQ152" s="786"/>
      <c r="AR152" s="779" t="str">
        <f t="array" ref="AR152:AS152">{"",'S-10 Оформление сделок Выборка'!AS152}</f>
        <v/>
      </c>
      <c r="AS152" s="795"/>
      <c r="AT152" s="779" t="str">
        <f t="array" ref="AT152:AU152">{"",'S-10 Оформление сделок Выборка'!AU152}</f>
        <v/>
      </c>
      <c r="AU152" s="805"/>
      <c r="AV152" s="779" t="str">
        <f t="array" ref="AV152:AW152">{"",'S-10 Оформление сделок Выборка'!AW152}</f>
        <v/>
      </c>
      <c r="AW152" s="797"/>
      <c r="AX152" s="786"/>
      <c r="AY152" s="786"/>
      <c r="AZ152" s="792" t="str">
        <f t="array" ref="AZ152:BA152">{"",'S-10 Оформление сделок Выборка'!BA152}</f>
        <v/>
      </c>
      <c r="BA152" s="798"/>
      <c r="BB152" s="792" t="str">
        <f t="array" ref="BB152:BC152">{"",'S-10 Оформление сделок Выборка'!BC152}</f>
        <v/>
      </c>
      <c r="BC152" s="799"/>
      <c r="BD152" s="792" t="str">
        <f t="array" ref="BD152:BE152">{"",'S-10 Оформление сделок Выборка'!BE152}</f>
        <v/>
      </c>
      <c r="BE152" s="793"/>
      <c r="BF152" s="800" t="str">
        <f t="array" ref="BF152:BG152">{"",'S-10 Оформление сделок Выборка'!BG152}</f>
        <v/>
      </c>
      <c r="BG152" s="794"/>
      <c r="BH152" s="794" t="str">
        <f t="array" ref="BH152:BI152">{"",'S-10 Оформление сделок Выборка'!BI152}</f>
        <v/>
      </c>
      <c r="BI152" s="794"/>
      <c r="BJ152" s="792" t="str">
        <f t="array" ref="BJ152:BK152">{"",'S-10 Оформление сделок Выборка'!BK152}</f>
        <v/>
      </c>
      <c r="BK152" s="793"/>
      <c r="BL152" s="792" t="str">
        <f t="array" ref="BL152:BM152">{"",'S-10 Оформление сделок Выборка'!BM152}</f>
        <v/>
      </c>
      <c r="BM152" s="801"/>
      <c r="BN152" s="792" t="str">
        <f t="array" ref="BN152:BO152">{"",'S-10 Оформление сделок Выборка'!BO152}</f>
        <v/>
      </c>
      <c r="BO152" s="793"/>
      <c r="BP152" s="792" t="str">
        <f t="array" ref="BP152:BQ152">{"",'S-10 Оформление сделок Выборка'!BQ152}</f>
        <v/>
      </c>
      <c r="BQ152" s="802"/>
      <c r="BR152" s="792" t="str">
        <f t="array" ref="BR152:BS152">{"",'S-10 Оформление сделок Выборка'!BS152}</f>
        <v/>
      </c>
      <c r="BS152" s="794"/>
      <c r="BT152" s="800" t="str">
        <f t="array" ref="BT152:BU152">{"",'S-10 Оформление сделок Выборка'!BU152}</f>
        <v/>
      </c>
      <c r="BU152" s="794"/>
      <c r="BV152" s="800" t="str">
        <f t="array" ref="BV152:BW152">{"",'S-10 Оформление сделок Выборка'!BW152}</f>
        <v/>
      </c>
      <c r="BW152" s="803" t="s">
        <v>96</v>
      </c>
      <c r="BX152" s="804"/>
    </row>
    <row r="153">
      <c r="A153" s="779"/>
      <c r="B153" s="779"/>
      <c r="C153" s="780" t="str">
        <f>'5-1 Сбор КП Закупки'!C153</f>
        <v/>
      </c>
      <c r="D153" s="781"/>
      <c r="E153" s="780"/>
      <c r="F153" s="783"/>
      <c r="G153" s="783"/>
      <c r="H153" s="783"/>
      <c r="I153" s="783"/>
      <c r="J153" s="780"/>
      <c r="K153" s="786"/>
      <c r="L153" s="785"/>
      <c r="M153" s="786"/>
      <c r="N153" s="786"/>
      <c r="O153" s="780"/>
      <c r="P153" s="787"/>
      <c r="Q153" s="780"/>
      <c r="R153" s="780"/>
      <c r="S153" s="780"/>
      <c r="T153" s="780"/>
      <c r="U153" s="780"/>
      <c r="V153" s="780"/>
      <c r="W153" s="787"/>
      <c r="X153" s="780"/>
      <c r="Y153" s="780"/>
      <c r="Z153" s="780"/>
      <c r="AA153" s="780"/>
      <c r="AB153" s="788"/>
      <c r="AC153" s="781"/>
      <c r="AD153" s="780"/>
      <c r="AE153" s="789" t="str">
        <f t="array" ref="AE153:AF153">{"",'S-10 Оформление сделок Выборка'!AF153}</f>
        <v/>
      </c>
      <c r="AF153" s="790"/>
      <c r="AG153" s="781"/>
      <c r="AH153" s="781"/>
      <c r="AI153" s="785"/>
      <c r="AJ153" s="780"/>
      <c r="AK153" s="792" t="str">
        <f t="array" ref="AK153:AL153">{"",'S-10 Оформление сделок Выборка'!AL153}</f>
        <v/>
      </c>
      <c r="AL153" s="793"/>
      <c r="AM153" s="792" t="str">
        <f t="array" ref="AM153:AN153">{"",'S-10 Оформление сделок Выборка'!AN153}</f>
        <v/>
      </c>
      <c r="AN153" s="794"/>
      <c r="AO153" s="792" t="str">
        <f t="array" ref="AO153:AP153">{"",'S-10 Оформление сделок Выборка'!AP153}</f>
        <v/>
      </c>
      <c r="AP153" s="786"/>
      <c r="AQ153" s="786"/>
      <c r="AR153" s="779" t="str">
        <f t="array" ref="AR153:AS153">{"",'S-10 Оформление сделок Выборка'!AS153}</f>
        <v/>
      </c>
      <c r="AS153" s="795"/>
      <c r="AT153" s="779" t="str">
        <f t="array" ref="AT153:AU153">{"",'S-10 Оформление сделок Выборка'!AU153}</f>
        <v/>
      </c>
      <c r="AU153" s="805"/>
      <c r="AV153" s="779" t="str">
        <f t="array" ref="AV153:AW153">{"",'S-10 Оформление сделок Выборка'!AW153}</f>
        <v/>
      </c>
      <c r="AW153" s="797"/>
      <c r="AX153" s="786"/>
      <c r="AY153" s="786"/>
      <c r="AZ153" s="792" t="str">
        <f t="array" ref="AZ153:BA153">{"",'S-10 Оформление сделок Выборка'!BA153}</f>
        <v/>
      </c>
      <c r="BA153" s="798"/>
      <c r="BB153" s="792" t="str">
        <f t="array" ref="BB153:BC153">{"",'S-10 Оформление сделок Выборка'!BC153}</f>
        <v/>
      </c>
      <c r="BC153" s="799"/>
      <c r="BD153" s="792" t="str">
        <f t="array" ref="BD153:BE153">{"",'S-10 Оформление сделок Выборка'!BE153}</f>
        <v/>
      </c>
      <c r="BE153" s="793"/>
      <c r="BF153" s="800" t="str">
        <f t="array" ref="BF153:BG153">{"",'S-10 Оформление сделок Выборка'!BG153}</f>
        <v/>
      </c>
      <c r="BG153" s="794"/>
      <c r="BH153" s="794" t="str">
        <f t="array" ref="BH153:BI153">{"",'S-10 Оформление сделок Выборка'!BI153}</f>
        <v/>
      </c>
      <c r="BI153" s="794"/>
      <c r="BJ153" s="792" t="str">
        <f t="array" ref="BJ153:BK153">{"",'S-10 Оформление сделок Выборка'!BK153}</f>
        <v/>
      </c>
      <c r="BK153" s="793"/>
      <c r="BL153" s="792" t="str">
        <f t="array" ref="BL153:BM153">{"",'S-10 Оформление сделок Выборка'!BM153}</f>
        <v/>
      </c>
      <c r="BM153" s="801"/>
      <c r="BN153" s="792" t="str">
        <f t="array" ref="BN153:BO153">{"",'S-10 Оформление сделок Выборка'!BO153}</f>
        <v/>
      </c>
      <c r="BO153" s="793"/>
      <c r="BP153" s="792" t="str">
        <f t="array" ref="BP153:BQ153">{"",'S-10 Оформление сделок Выборка'!BQ153}</f>
        <v/>
      </c>
      <c r="BQ153" s="802"/>
      <c r="BR153" s="792" t="str">
        <f t="array" ref="BR153:BS153">{"",'S-10 Оформление сделок Выборка'!BS153}</f>
        <v/>
      </c>
      <c r="BS153" s="794"/>
      <c r="BT153" s="800" t="str">
        <f t="array" ref="BT153:BU153">{"",'S-10 Оформление сделок Выборка'!BU153}</f>
        <v/>
      </c>
      <c r="BU153" s="794"/>
      <c r="BV153" s="800" t="str">
        <f t="array" ref="BV153:BW153">{"",'S-10 Оформление сделок Выборка'!BW153}</f>
        <v/>
      </c>
      <c r="BW153" s="803" t="s">
        <v>96</v>
      </c>
      <c r="BX153" s="804"/>
    </row>
    <row r="154">
      <c r="A154" s="779"/>
      <c r="B154" s="779"/>
      <c r="C154" s="780" t="str">
        <f>'5-1 Сбор КП Закупки'!C154</f>
        <v/>
      </c>
      <c r="D154" s="781"/>
      <c r="E154" s="780"/>
      <c r="F154" s="783"/>
      <c r="G154" s="783"/>
      <c r="H154" s="783"/>
      <c r="I154" s="783"/>
      <c r="J154" s="780"/>
      <c r="K154" s="786"/>
      <c r="L154" s="785"/>
      <c r="M154" s="786"/>
      <c r="N154" s="786"/>
      <c r="O154" s="780"/>
      <c r="P154" s="787"/>
      <c r="Q154" s="780"/>
      <c r="R154" s="780"/>
      <c r="S154" s="780"/>
      <c r="T154" s="780"/>
      <c r="U154" s="780"/>
      <c r="V154" s="780"/>
      <c r="W154" s="787"/>
      <c r="X154" s="780"/>
      <c r="Y154" s="780"/>
      <c r="Z154" s="780"/>
      <c r="AA154" s="780"/>
      <c r="AB154" s="788"/>
      <c r="AC154" s="781"/>
      <c r="AD154" s="780"/>
      <c r="AE154" s="789" t="str">
        <f t="array" ref="AE154:AF154">{"",'S-10 Оформление сделок Выборка'!AF154}</f>
        <v/>
      </c>
      <c r="AF154" s="790"/>
      <c r="AG154" s="781"/>
      <c r="AH154" s="781"/>
      <c r="AI154" s="785"/>
      <c r="AJ154" s="780"/>
      <c r="AK154" s="792" t="str">
        <f t="array" ref="AK154:AL154">{"",'S-10 Оформление сделок Выборка'!AL154}</f>
        <v/>
      </c>
      <c r="AL154" s="793"/>
      <c r="AM154" s="792" t="str">
        <f t="array" ref="AM154:AN154">{"",'S-10 Оформление сделок Выборка'!AN154}</f>
        <v/>
      </c>
      <c r="AN154" s="794"/>
      <c r="AO154" s="792" t="str">
        <f t="array" ref="AO154:AP154">{"",'S-10 Оформление сделок Выборка'!AP154}</f>
        <v/>
      </c>
      <c r="AP154" s="786"/>
      <c r="AQ154" s="786"/>
      <c r="AR154" s="779" t="str">
        <f t="array" ref="AR154:AS154">{"",'S-10 Оформление сделок Выборка'!AS154}</f>
        <v/>
      </c>
      <c r="AS154" s="795"/>
      <c r="AT154" s="779" t="str">
        <f t="array" ref="AT154:AU154">{"",'S-10 Оформление сделок Выборка'!AU154}</f>
        <v/>
      </c>
      <c r="AU154" s="805"/>
      <c r="AV154" s="779" t="str">
        <f t="array" ref="AV154:AW154">{"",'S-10 Оформление сделок Выборка'!AW154}</f>
        <v/>
      </c>
      <c r="AW154" s="797"/>
      <c r="AX154" s="786"/>
      <c r="AY154" s="786"/>
      <c r="AZ154" s="792" t="str">
        <f t="array" ref="AZ154:BA154">{"",'S-10 Оформление сделок Выборка'!BA154}</f>
        <v/>
      </c>
      <c r="BA154" s="798"/>
      <c r="BB154" s="792" t="str">
        <f t="array" ref="BB154:BC154">{"",'S-10 Оформление сделок Выборка'!BC154}</f>
        <v/>
      </c>
      <c r="BC154" s="799"/>
      <c r="BD154" s="792" t="str">
        <f t="array" ref="BD154:BE154">{"",'S-10 Оформление сделок Выборка'!BE154}</f>
        <v/>
      </c>
      <c r="BE154" s="793"/>
      <c r="BF154" s="800" t="str">
        <f t="array" ref="BF154:BG154">{"",'S-10 Оформление сделок Выборка'!BG154}</f>
        <v/>
      </c>
      <c r="BG154" s="794"/>
      <c r="BH154" s="794" t="str">
        <f t="array" ref="BH154:BI154">{"",'S-10 Оформление сделок Выборка'!BI154}</f>
        <v/>
      </c>
      <c r="BI154" s="794"/>
      <c r="BJ154" s="792" t="str">
        <f t="array" ref="BJ154:BK154">{"",'S-10 Оформление сделок Выборка'!BK154}</f>
        <v/>
      </c>
      <c r="BK154" s="793"/>
      <c r="BL154" s="792" t="str">
        <f t="array" ref="BL154:BM154">{"",'S-10 Оформление сделок Выборка'!BM154}</f>
        <v/>
      </c>
      <c r="BM154" s="801"/>
      <c r="BN154" s="792" t="str">
        <f t="array" ref="BN154:BO154">{"",'S-10 Оформление сделок Выборка'!BO154}</f>
        <v/>
      </c>
      <c r="BO154" s="793"/>
      <c r="BP154" s="792" t="str">
        <f t="array" ref="BP154:BQ154">{"",'S-10 Оформление сделок Выборка'!BQ154}</f>
        <v/>
      </c>
      <c r="BQ154" s="802"/>
      <c r="BR154" s="792" t="str">
        <f t="array" ref="BR154:BS154">{"",'S-10 Оформление сделок Выборка'!BS154}</f>
        <v/>
      </c>
      <c r="BS154" s="794"/>
      <c r="BT154" s="800" t="str">
        <f t="array" ref="BT154:BU154">{"",'S-10 Оформление сделок Выборка'!BU154}</f>
        <v/>
      </c>
      <c r="BU154" s="794"/>
      <c r="BV154" s="800" t="str">
        <f t="array" ref="BV154:BW154">{"",'S-10 Оформление сделок Выборка'!BW154}</f>
        <v/>
      </c>
      <c r="BW154" s="803" t="s">
        <v>96</v>
      </c>
      <c r="BX154" s="804"/>
    </row>
    <row r="155">
      <c r="A155" s="779"/>
      <c r="B155" s="779"/>
      <c r="C155" s="780" t="str">
        <f>'5-1 Сбор КП Закупки'!C155</f>
        <v/>
      </c>
      <c r="D155" s="781"/>
      <c r="E155" s="780"/>
      <c r="F155" s="783"/>
      <c r="G155" s="783"/>
      <c r="H155" s="783"/>
      <c r="I155" s="783"/>
      <c r="J155" s="780"/>
      <c r="K155" s="786"/>
      <c r="L155" s="785"/>
      <c r="M155" s="786"/>
      <c r="N155" s="786"/>
      <c r="O155" s="780"/>
      <c r="P155" s="787"/>
      <c r="Q155" s="780"/>
      <c r="R155" s="780"/>
      <c r="S155" s="780"/>
      <c r="T155" s="780"/>
      <c r="U155" s="780"/>
      <c r="V155" s="780"/>
      <c r="W155" s="787"/>
      <c r="X155" s="780"/>
      <c r="Y155" s="780"/>
      <c r="Z155" s="780"/>
      <c r="AA155" s="780"/>
      <c r="AB155" s="788"/>
      <c r="AC155" s="781"/>
      <c r="AD155" s="780"/>
      <c r="AE155" s="789" t="str">
        <f t="array" ref="AE155:AF155">{"",'S-10 Оформление сделок Выборка'!AF155}</f>
        <v/>
      </c>
      <c r="AF155" s="790"/>
      <c r="AG155" s="781"/>
      <c r="AH155" s="781"/>
      <c r="AI155" s="785"/>
      <c r="AJ155" s="780"/>
      <c r="AK155" s="792" t="str">
        <f t="array" ref="AK155:AL155">{"",'S-10 Оформление сделок Выборка'!AL155}</f>
        <v/>
      </c>
      <c r="AL155" s="793"/>
      <c r="AM155" s="792" t="str">
        <f t="array" ref="AM155:AN155">{"",'S-10 Оформление сделок Выборка'!AN155}</f>
        <v/>
      </c>
      <c r="AN155" s="794"/>
      <c r="AO155" s="792" t="str">
        <f t="array" ref="AO155:AP155">{"",'S-10 Оформление сделок Выборка'!AP155}</f>
        <v/>
      </c>
      <c r="AP155" s="786"/>
      <c r="AQ155" s="786"/>
      <c r="AR155" s="779" t="str">
        <f t="array" ref="AR155:AS155">{"",'S-10 Оформление сделок Выборка'!AS155}</f>
        <v/>
      </c>
      <c r="AS155" s="795"/>
      <c r="AT155" s="779" t="str">
        <f t="array" ref="AT155:AU155">{"",'S-10 Оформление сделок Выборка'!AU155}</f>
        <v/>
      </c>
      <c r="AU155" s="805"/>
      <c r="AV155" s="779" t="str">
        <f t="array" ref="AV155:AW155">{"",'S-10 Оформление сделок Выборка'!AW155}</f>
        <v/>
      </c>
      <c r="AW155" s="797"/>
      <c r="AX155" s="786"/>
      <c r="AY155" s="786"/>
      <c r="AZ155" s="792" t="str">
        <f t="array" ref="AZ155:BA155">{"",'S-10 Оформление сделок Выборка'!BA155}</f>
        <v/>
      </c>
      <c r="BA155" s="798"/>
      <c r="BB155" s="792" t="str">
        <f t="array" ref="BB155:BC155">{"",'S-10 Оформление сделок Выборка'!BC155}</f>
        <v/>
      </c>
      <c r="BC155" s="799"/>
      <c r="BD155" s="792" t="str">
        <f t="array" ref="BD155:BE155">{"",'S-10 Оформление сделок Выборка'!BE155}</f>
        <v/>
      </c>
      <c r="BE155" s="793"/>
      <c r="BF155" s="800" t="str">
        <f t="array" ref="BF155:BG155">{"",'S-10 Оформление сделок Выборка'!BG155}</f>
        <v/>
      </c>
      <c r="BG155" s="794"/>
      <c r="BH155" s="794" t="str">
        <f t="array" ref="BH155:BI155">{"",'S-10 Оформление сделок Выборка'!BI155}</f>
        <v/>
      </c>
      <c r="BI155" s="794"/>
      <c r="BJ155" s="792" t="str">
        <f t="array" ref="BJ155:BK155">{"",'S-10 Оформление сделок Выборка'!BK155}</f>
        <v/>
      </c>
      <c r="BK155" s="793"/>
      <c r="BL155" s="792" t="str">
        <f t="array" ref="BL155:BM155">{"",'S-10 Оформление сделок Выборка'!BM155}</f>
        <v/>
      </c>
      <c r="BM155" s="801"/>
      <c r="BN155" s="792" t="str">
        <f t="array" ref="BN155:BO155">{"",'S-10 Оформление сделок Выборка'!BO155}</f>
        <v/>
      </c>
      <c r="BO155" s="793"/>
      <c r="BP155" s="792" t="str">
        <f t="array" ref="BP155:BQ155">{"",'S-10 Оформление сделок Выборка'!BQ155}</f>
        <v/>
      </c>
      <c r="BQ155" s="802"/>
      <c r="BR155" s="792" t="str">
        <f t="array" ref="BR155:BS155">{"",'S-10 Оформление сделок Выборка'!BS155}</f>
        <v/>
      </c>
      <c r="BS155" s="794"/>
      <c r="BT155" s="800" t="str">
        <f t="array" ref="BT155:BU155">{"",'S-10 Оформление сделок Выборка'!BU155}</f>
        <v/>
      </c>
      <c r="BU155" s="794"/>
      <c r="BV155" s="800" t="str">
        <f t="array" ref="BV155:BW155">{"",'S-10 Оформление сделок Выборка'!BW155}</f>
        <v/>
      </c>
      <c r="BW155" s="803" t="s">
        <v>96</v>
      </c>
      <c r="BX155" s="804"/>
    </row>
    <row r="156">
      <c r="A156" s="779"/>
      <c r="B156" s="779"/>
      <c r="C156" s="780" t="str">
        <f>'5-1 Сбор КП Закупки'!C156</f>
        <v/>
      </c>
      <c r="D156" s="781"/>
      <c r="E156" s="780"/>
      <c r="F156" s="783"/>
      <c r="G156" s="783"/>
      <c r="H156" s="783"/>
      <c r="I156" s="783"/>
      <c r="J156" s="780"/>
      <c r="K156" s="786"/>
      <c r="L156" s="785"/>
      <c r="M156" s="786"/>
      <c r="N156" s="786"/>
      <c r="O156" s="780"/>
      <c r="P156" s="787"/>
      <c r="Q156" s="780"/>
      <c r="R156" s="780"/>
      <c r="S156" s="780"/>
      <c r="T156" s="780"/>
      <c r="U156" s="780"/>
      <c r="V156" s="780"/>
      <c r="W156" s="787"/>
      <c r="X156" s="780"/>
      <c r="Y156" s="780"/>
      <c r="Z156" s="780"/>
      <c r="AA156" s="780"/>
      <c r="AB156" s="788"/>
      <c r="AC156" s="781"/>
      <c r="AD156" s="780"/>
      <c r="AE156" s="789" t="str">
        <f t="array" ref="AE156:AF156">{"",'S-10 Оформление сделок Выборка'!AF156}</f>
        <v/>
      </c>
      <c r="AF156" s="790"/>
      <c r="AG156" s="781"/>
      <c r="AH156" s="781"/>
      <c r="AI156" s="785"/>
      <c r="AJ156" s="780"/>
      <c r="AK156" s="792" t="str">
        <f t="array" ref="AK156:AL156">{"",'S-10 Оформление сделок Выборка'!AL156}</f>
        <v/>
      </c>
      <c r="AL156" s="793"/>
      <c r="AM156" s="792" t="str">
        <f t="array" ref="AM156:AN156">{"",'S-10 Оформление сделок Выборка'!AN156}</f>
        <v/>
      </c>
      <c r="AN156" s="794"/>
      <c r="AO156" s="792" t="str">
        <f t="array" ref="AO156:AP156">{"",'S-10 Оформление сделок Выборка'!AP156}</f>
        <v/>
      </c>
      <c r="AP156" s="786"/>
      <c r="AQ156" s="786"/>
      <c r="AR156" s="779" t="str">
        <f t="array" ref="AR156:AS156">{"",'S-10 Оформление сделок Выборка'!AS156}</f>
        <v/>
      </c>
      <c r="AS156" s="795"/>
      <c r="AT156" s="779" t="str">
        <f t="array" ref="AT156:AU156">{"",'S-10 Оформление сделок Выборка'!AU156}</f>
        <v/>
      </c>
      <c r="AU156" s="805"/>
      <c r="AV156" s="779" t="str">
        <f t="array" ref="AV156:AW156">{"",'S-10 Оформление сделок Выборка'!AW156}</f>
        <v/>
      </c>
      <c r="AW156" s="797"/>
      <c r="AX156" s="786"/>
      <c r="AY156" s="786"/>
      <c r="AZ156" s="792" t="str">
        <f t="array" ref="AZ156:BA156">{"",'S-10 Оформление сделок Выборка'!BA156}</f>
        <v/>
      </c>
      <c r="BA156" s="798"/>
      <c r="BB156" s="792" t="str">
        <f t="array" ref="BB156:BC156">{"",'S-10 Оформление сделок Выборка'!BC156}</f>
        <v/>
      </c>
      <c r="BC156" s="799"/>
      <c r="BD156" s="792" t="str">
        <f t="array" ref="BD156:BE156">{"",'S-10 Оформление сделок Выборка'!BE156}</f>
        <v/>
      </c>
      <c r="BE156" s="793"/>
      <c r="BF156" s="800" t="str">
        <f t="array" ref="BF156:BG156">{"",'S-10 Оформление сделок Выборка'!BG156}</f>
        <v/>
      </c>
      <c r="BG156" s="794"/>
      <c r="BH156" s="794" t="str">
        <f t="array" ref="BH156:BI156">{"",'S-10 Оформление сделок Выборка'!BI156}</f>
        <v/>
      </c>
      <c r="BI156" s="794"/>
      <c r="BJ156" s="792" t="str">
        <f t="array" ref="BJ156:BK156">{"",'S-10 Оформление сделок Выборка'!BK156}</f>
        <v/>
      </c>
      <c r="BK156" s="793"/>
      <c r="BL156" s="792" t="str">
        <f t="array" ref="BL156:BM156">{"",'S-10 Оформление сделок Выборка'!BM156}</f>
        <v/>
      </c>
      <c r="BM156" s="801"/>
      <c r="BN156" s="792" t="str">
        <f t="array" ref="BN156:BO156">{"",'S-10 Оформление сделок Выборка'!BO156}</f>
        <v/>
      </c>
      <c r="BO156" s="793"/>
      <c r="BP156" s="792" t="str">
        <f t="array" ref="BP156:BQ156">{"",'S-10 Оформление сделок Выборка'!BQ156}</f>
        <v/>
      </c>
      <c r="BQ156" s="802"/>
      <c r="BR156" s="792" t="str">
        <f t="array" ref="BR156:BS156">{"",'S-10 Оформление сделок Выборка'!BS156}</f>
        <v/>
      </c>
      <c r="BS156" s="794"/>
      <c r="BT156" s="800" t="str">
        <f t="array" ref="BT156:BU156">{"",'S-10 Оформление сделок Выборка'!BU156}</f>
        <v/>
      </c>
      <c r="BU156" s="794"/>
      <c r="BV156" s="800" t="str">
        <f t="array" ref="BV156:BW156">{"",'S-10 Оформление сделок Выборка'!BW156}</f>
        <v/>
      </c>
      <c r="BW156" s="803" t="s">
        <v>96</v>
      </c>
      <c r="BX156" s="804"/>
    </row>
    <row r="157">
      <c r="A157" s="779"/>
      <c r="B157" s="779"/>
      <c r="C157" s="780" t="str">
        <f>'5-1 Сбор КП Закупки'!C157</f>
        <v/>
      </c>
      <c r="D157" s="781"/>
      <c r="E157" s="780"/>
      <c r="F157" s="783"/>
      <c r="G157" s="783"/>
      <c r="H157" s="783"/>
      <c r="I157" s="783"/>
      <c r="J157" s="780"/>
      <c r="K157" s="786"/>
      <c r="L157" s="785"/>
      <c r="M157" s="786"/>
      <c r="N157" s="786"/>
      <c r="O157" s="780"/>
      <c r="P157" s="787"/>
      <c r="Q157" s="780"/>
      <c r="R157" s="780"/>
      <c r="S157" s="780"/>
      <c r="T157" s="780"/>
      <c r="U157" s="780"/>
      <c r="V157" s="780"/>
      <c r="W157" s="787"/>
      <c r="X157" s="780"/>
      <c r="Y157" s="780"/>
      <c r="Z157" s="780"/>
      <c r="AA157" s="780"/>
      <c r="AB157" s="788"/>
      <c r="AC157" s="781"/>
      <c r="AD157" s="780"/>
      <c r="AE157" s="789" t="str">
        <f t="array" ref="AE157:AF157">{"",'S-10 Оформление сделок Выборка'!AF157}</f>
        <v/>
      </c>
      <c r="AF157" s="790"/>
      <c r="AG157" s="781"/>
      <c r="AH157" s="781"/>
      <c r="AI157" s="785"/>
      <c r="AJ157" s="780"/>
      <c r="AK157" s="792" t="str">
        <f t="array" ref="AK157:AL157">{"",'S-10 Оформление сделок Выборка'!AL157}</f>
        <v/>
      </c>
      <c r="AL157" s="793"/>
      <c r="AM157" s="792" t="str">
        <f t="array" ref="AM157:AN157">{"",'S-10 Оформление сделок Выборка'!AN157}</f>
        <v/>
      </c>
      <c r="AN157" s="794"/>
      <c r="AO157" s="792" t="str">
        <f t="array" ref="AO157:AP157">{"",'S-10 Оформление сделок Выборка'!AP157}</f>
        <v/>
      </c>
      <c r="AP157" s="786"/>
      <c r="AQ157" s="786"/>
      <c r="AR157" s="779" t="str">
        <f t="array" ref="AR157:AS157">{"",'S-10 Оформление сделок Выборка'!AS157}</f>
        <v/>
      </c>
      <c r="AS157" s="795"/>
      <c r="AT157" s="779" t="str">
        <f t="array" ref="AT157:AU157">{"",'S-10 Оформление сделок Выборка'!AU157}</f>
        <v/>
      </c>
      <c r="AU157" s="805"/>
      <c r="AV157" s="779" t="str">
        <f t="array" ref="AV157:AW157">{"",'S-10 Оформление сделок Выборка'!AW157}</f>
        <v/>
      </c>
      <c r="AW157" s="797"/>
      <c r="AX157" s="786"/>
      <c r="AY157" s="786"/>
      <c r="AZ157" s="792" t="str">
        <f t="array" ref="AZ157:BA157">{"",'S-10 Оформление сделок Выборка'!BA157}</f>
        <v/>
      </c>
      <c r="BA157" s="798"/>
      <c r="BB157" s="792" t="str">
        <f t="array" ref="BB157:BC157">{"",'S-10 Оформление сделок Выборка'!BC157}</f>
        <v/>
      </c>
      <c r="BC157" s="799"/>
      <c r="BD157" s="792" t="str">
        <f t="array" ref="BD157:BE157">{"",'S-10 Оформление сделок Выборка'!BE157}</f>
        <v/>
      </c>
      <c r="BE157" s="793"/>
      <c r="BF157" s="800" t="str">
        <f t="array" ref="BF157:BG157">{"",'S-10 Оформление сделок Выборка'!BG157}</f>
        <v/>
      </c>
      <c r="BG157" s="794"/>
      <c r="BH157" s="794" t="str">
        <f t="array" ref="BH157:BI157">{"",'S-10 Оформление сделок Выборка'!BI157}</f>
        <v/>
      </c>
      <c r="BI157" s="794"/>
      <c r="BJ157" s="792" t="str">
        <f t="array" ref="BJ157:BK157">{"",'S-10 Оформление сделок Выборка'!BK157}</f>
        <v/>
      </c>
      <c r="BK157" s="793"/>
      <c r="BL157" s="792" t="str">
        <f t="array" ref="BL157:BM157">{"",'S-10 Оформление сделок Выборка'!BM157}</f>
        <v/>
      </c>
      <c r="BM157" s="801"/>
      <c r="BN157" s="792" t="str">
        <f t="array" ref="BN157:BO157">{"",'S-10 Оформление сделок Выборка'!BO157}</f>
        <v/>
      </c>
      <c r="BO157" s="793"/>
      <c r="BP157" s="792" t="str">
        <f t="array" ref="BP157:BQ157">{"",'S-10 Оформление сделок Выборка'!BQ157}</f>
        <v/>
      </c>
      <c r="BQ157" s="802"/>
      <c r="BR157" s="792" t="str">
        <f t="array" ref="BR157:BS157">{"",'S-10 Оформление сделок Выборка'!BS157}</f>
        <v/>
      </c>
      <c r="BS157" s="794"/>
      <c r="BT157" s="800" t="str">
        <f t="array" ref="BT157:BU157">{"",'S-10 Оформление сделок Выборка'!BU157}</f>
        <v/>
      </c>
      <c r="BU157" s="794"/>
      <c r="BV157" s="800" t="str">
        <f t="array" ref="BV157:BW157">{"",'S-10 Оформление сделок Выборка'!BW157}</f>
        <v/>
      </c>
      <c r="BW157" s="803" t="s">
        <v>96</v>
      </c>
      <c r="BX157" s="804"/>
    </row>
    <row r="158">
      <c r="A158" s="779"/>
      <c r="B158" s="779"/>
      <c r="C158" s="780" t="str">
        <f>'5-1 Сбор КП Закупки'!C158</f>
        <v/>
      </c>
      <c r="D158" s="781"/>
      <c r="E158" s="780"/>
      <c r="F158" s="783"/>
      <c r="G158" s="783"/>
      <c r="H158" s="783"/>
      <c r="I158" s="783"/>
      <c r="J158" s="780"/>
      <c r="K158" s="786"/>
      <c r="L158" s="785"/>
      <c r="M158" s="786"/>
      <c r="N158" s="786"/>
      <c r="O158" s="780"/>
      <c r="P158" s="787"/>
      <c r="Q158" s="780"/>
      <c r="R158" s="780"/>
      <c r="S158" s="780"/>
      <c r="T158" s="780"/>
      <c r="U158" s="780"/>
      <c r="V158" s="780"/>
      <c r="W158" s="787"/>
      <c r="X158" s="780"/>
      <c r="Y158" s="780"/>
      <c r="Z158" s="780"/>
      <c r="AA158" s="780"/>
      <c r="AB158" s="788"/>
      <c r="AC158" s="781"/>
      <c r="AD158" s="780"/>
      <c r="AE158" s="789" t="str">
        <f t="array" ref="AE158:AF158">{"",'S-10 Оформление сделок Выборка'!AF158}</f>
        <v/>
      </c>
      <c r="AF158" s="790"/>
      <c r="AG158" s="781"/>
      <c r="AH158" s="781"/>
      <c r="AI158" s="785"/>
      <c r="AJ158" s="780"/>
      <c r="AK158" s="792" t="str">
        <f t="array" ref="AK158:AL158">{"",'S-10 Оформление сделок Выборка'!AL158}</f>
        <v/>
      </c>
      <c r="AL158" s="793"/>
      <c r="AM158" s="792" t="str">
        <f t="array" ref="AM158:AN158">{"",'S-10 Оформление сделок Выборка'!AN158}</f>
        <v/>
      </c>
      <c r="AN158" s="794"/>
      <c r="AO158" s="792" t="str">
        <f t="array" ref="AO158:AP158">{"",'S-10 Оформление сделок Выборка'!AP158}</f>
        <v/>
      </c>
      <c r="AP158" s="786"/>
      <c r="AQ158" s="786"/>
      <c r="AR158" s="779" t="str">
        <f t="array" ref="AR158:AS158">{"",'S-10 Оформление сделок Выборка'!AS158}</f>
        <v/>
      </c>
      <c r="AS158" s="795"/>
      <c r="AT158" s="779" t="str">
        <f t="array" ref="AT158:AU158">{"",'S-10 Оформление сделок Выборка'!AU158}</f>
        <v/>
      </c>
      <c r="AU158" s="805"/>
      <c r="AV158" s="779" t="str">
        <f t="array" ref="AV158:AW158">{"",'S-10 Оформление сделок Выборка'!AW158}</f>
        <v/>
      </c>
      <c r="AW158" s="797"/>
      <c r="AX158" s="786"/>
      <c r="AY158" s="786"/>
      <c r="AZ158" s="792" t="str">
        <f t="array" ref="AZ158:BA158">{"",'S-10 Оформление сделок Выборка'!BA158}</f>
        <v/>
      </c>
      <c r="BA158" s="798"/>
      <c r="BB158" s="792" t="str">
        <f t="array" ref="BB158:BC158">{"",'S-10 Оформление сделок Выборка'!BC158}</f>
        <v/>
      </c>
      <c r="BC158" s="799"/>
      <c r="BD158" s="792" t="str">
        <f t="array" ref="BD158:BE158">{"",'S-10 Оформление сделок Выборка'!BE158}</f>
        <v/>
      </c>
      <c r="BE158" s="793"/>
      <c r="BF158" s="800" t="str">
        <f t="array" ref="BF158:BG158">{"",'S-10 Оформление сделок Выборка'!BG158}</f>
        <v/>
      </c>
      <c r="BG158" s="794"/>
      <c r="BH158" s="794" t="str">
        <f t="array" ref="BH158:BI158">{"",'S-10 Оформление сделок Выборка'!BI158}</f>
        <v/>
      </c>
      <c r="BI158" s="794"/>
      <c r="BJ158" s="792" t="str">
        <f t="array" ref="BJ158:BK158">{"",'S-10 Оформление сделок Выборка'!BK158}</f>
        <v/>
      </c>
      <c r="BK158" s="793"/>
      <c r="BL158" s="792" t="str">
        <f t="array" ref="BL158:BM158">{"",'S-10 Оформление сделок Выборка'!BM158}</f>
        <v/>
      </c>
      <c r="BM158" s="801"/>
      <c r="BN158" s="792" t="str">
        <f t="array" ref="BN158:BO158">{"",'S-10 Оформление сделок Выборка'!BO158}</f>
        <v/>
      </c>
      <c r="BO158" s="793"/>
      <c r="BP158" s="792" t="str">
        <f t="array" ref="BP158:BQ158">{"",'S-10 Оформление сделок Выборка'!BQ158}</f>
        <v/>
      </c>
      <c r="BQ158" s="802"/>
      <c r="BR158" s="792" t="str">
        <f t="array" ref="BR158:BS158">{"",'S-10 Оформление сделок Выборка'!BS158}</f>
        <v/>
      </c>
      <c r="BS158" s="794"/>
      <c r="BT158" s="800" t="str">
        <f t="array" ref="BT158:BU158">{"",'S-10 Оформление сделок Выборка'!BU158}</f>
        <v/>
      </c>
      <c r="BU158" s="794"/>
      <c r="BV158" s="800" t="str">
        <f t="array" ref="BV158:BW158">{"",'S-10 Оформление сделок Выборка'!BW158}</f>
        <v/>
      </c>
      <c r="BW158" s="803" t="s">
        <v>96</v>
      </c>
      <c r="BX158" s="804"/>
    </row>
    <row r="159">
      <c r="A159" s="779"/>
      <c r="B159" s="779"/>
      <c r="C159" s="780" t="str">
        <f>'5-1 Сбор КП Закупки'!C159</f>
        <v/>
      </c>
      <c r="D159" s="781"/>
      <c r="E159" s="780"/>
      <c r="F159" s="783"/>
      <c r="G159" s="783"/>
      <c r="H159" s="783"/>
      <c r="I159" s="783"/>
      <c r="J159" s="780"/>
      <c r="K159" s="786"/>
      <c r="L159" s="785"/>
      <c r="M159" s="786"/>
      <c r="N159" s="786"/>
      <c r="O159" s="780"/>
      <c r="P159" s="787"/>
      <c r="Q159" s="780"/>
      <c r="R159" s="780"/>
      <c r="S159" s="780"/>
      <c r="T159" s="780"/>
      <c r="U159" s="780"/>
      <c r="V159" s="780"/>
      <c r="W159" s="787"/>
      <c r="X159" s="780"/>
      <c r="Y159" s="780"/>
      <c r="Z159" s="780"/>
      <c r="AA159" s="780"/>
      <c r="AB159" s="788"/>
      <c r="AC159" s="781"/>
      <c r="AD159" s="780"/>
      <c r="AE159" s="789" t="str">
        <f t="array" ref="AE159:AF159">{"",'S-10 Оформление сделок Выборка'!AF159}</f>
        <v/>
      </c>
      <c r="AF159" s="790"/>
      <c r="AG159" s="781"/>
      <c r="AH159" s="781"/>
      <c r="AI159" s="785"/>
      <c r="AJ159" s="780"/>
      <c r="AK159" s="792" t="str">
        <f t="array" ref="AK159:AL159">{"",'S-10 Оформление сделок Выборка'!AL159}</f>
        <v/>
      </c>
      <c r="AL159" s="793"/>
      <c r="AM159" s="792" t="str">
        <f t="array" ref="AM159:AN159">{"",'S-10 Оформление сделок Выборка'!AN159}</f>
        <v/>
      </c>
      <c r="AN159" s="794"/>
      <c r="AO159" s="792" t="str">
        <f t="array" ref="AO159:AP159">{"",'S-10 Оформление сделок Выборка'!AP159}</f>
        <v/>
      </c>
      <c r="AP159" s="786"/>
      <c r="AQ159" s="786"/>
      <c r="AR159" s="779" t="str">
        <f t="array" ref="AR159:AS159">{"",'S-10 Оформление сделок Выборка'!AS159}</f>
        <v/>
      </c>
      <c r="AS159" s="795"/>
      <c r="AT159" s="779" t="str">
        <f t="array" ref="AT159:AU159">{"",'S-10 Оформление сделок Выборка'!AU159}</f>
        <v/>
      </c>
      <c r="AU159" s="805"/>
      <c r="AV159" s="779" t="str">
        <f t="array" ref="AV159:AW159">{"",'S-10 Оформление сделок Выборка'!AW159}</f>
        <v/>
      </c>
      <c r="AW159" s="797"/>
      <c r="AX159" s="786"/>
      <c r="AY159" s="786"/>
      <c r="AZ159" s="792" t="str">
        <f t="array" ref="AZ159:BA159">{"",'S-10 Оформление сделок Выборка'!BA159}</f>
        <v/>
      </c>
      <c r="BA159" s="798"/>
      <c r="BB159" s="792" t="str">
        <f t="array" ref="BB159:BC159">{"",'S-10 Оформление сделок Выборка'!BC159}</f>
        <v/>
      </c>
      <c r="BC159" s="799"/>
      <c r="BD159" s="792" t="str">
        <f t="array" ref="BD159:BE159">{"",'S-10 Оформление сделок Выборка'!BE159}</f>
        <v/>
      </c>
      <c r="BE159" s="793"/>
      <c r="BF159" s="800" t="str">
        <f t="array" ref="BF159:BG159">{"",'S-10 Оформление сделок Выборка'!BG159}</f>
        <v/>
      </c>
      <c r="BG159" s="794"/>
      <c r="BH159" s="794" t="str">
        <f t="array" ref="BH159:BI159">{"",'S-10 Оформление сделок Выборка'!BI159}</f>
        <v/>
      </c>
      <c r="BI159" s="794"/>
      <c r="BJ159" s="792" t="str">
        <f t="array" ref="BJ159:BK159">{"",'S-10 Оформление сделок Выборка'!BK159}</f>
        <v/>
      </c>
      <c r="BK159" s="793"/>
      <c r="BL159" s="792" t="str">
        <f t="array" ref="BL159:BM159">{"",'S-10 Оформление сделок Выборка'!BM159}</f>
        <v/>
      </c>
      <c r="BM159" s="801"/>
      <c r="BN159" s="792" t="str">
        <f t="array" ref="BN159:BO159">{"",'S-10 Оформление сделок Выборка'!BO159}</f>
        <v/>
      </c>
      <c r="BO159" s="793"/>
      <c r="BP159" s="792" t="str">
        <f t="array" ref="BP159:BQ159">{"",'S-10 Оформление сделок Выборка'!BQ159}</f>
        <v/>
      </c>
      <c r="BQ159" s="802"/>
      <c r="BR159" s="792" t="str">
        <f t="array" ref="BR159:BS159">{"",'S-10 Оформление сделок Выборка'!BS159}</f>
        <v/>
      </c>
      <c r="BS159" s="794"/>
      <c r="BT159" s="800" t="str">
        <f t="array" ref="BT159:BU159">{"",'S-10 Оформление сделок Выборка'!BU159}</f>
        <v/>
      </c>
      <c r="BU159" s="794"/>
      <c r="BV159" s="800" t="str">
        <f t="array" ref="BV159:BW159">{"",'S-10 Оформление сделок Выборка'!BW159}</f>
        <v/>
      </c>
      <c r="BW159" s="803" t="s">
        <v>96</v>
      </c>
      <c r="BX159" s="804"/>
    </row>
    <row r="160">
      <c r="A160" s="779"/>
      <c r="B160" s="779"/>
      <c r="C160" s="780" t="str">
        <f>'5-1 Сбор КП Закупки'!C160</f>
        <v/>
      </c>
      <c r="D160" s="781"/>
      <c r="E160" s="780"/>
      <c r="F160" s="783"/>
      <c r="G160" s="783"/>
      <c r="H160" s="783"/>
      <c r="I160" s="783"/>
      <c r="J160" s="780"/>
      <c r="K160" s="786"/>
      <c r="L160" s="785"/>
      <c r="M160" s="786"/>
      <c r="N160" s="786"/>
      <c r="O160" s="780"/>
      <c r="P160" s="787"/>
      <c r="Q160" s="780"/>
      <c r="R160" s="780"/>
      <c r="S160" s="780"/>
      <c r="T160" s="780"/>
      <c r="U160" s="780"/>
      <c r="V160" s="780"/>
      <c r="W160" s="787"/>
      <c r="X160" s="780"/>
      <c r="Y160" s="780"/>
      <c r="Z160" s="780"/>
      <c r="AA160" s="780"/>
      <c r="AB160" s="788"/>
      <c r="AC160" s="781"/>
      <c r="AD160" s="780"/>
      <c r="AE160" s="789" t="str">
        <f t="array" ref="AE160:AF160">{"",'S-10 Оформление сделок Выборка'!AF160}</f>
        <v/>
      </c>
      <c r="AF160" s="790"/>
      <c r="AG160" s="781"/>
      <c r="AH160" s="781"/>
      <c r="AI160" s="785"/>
      <c r="AJ160" s="780"/>
      <c r="AK160" s="792" t="str">
        <f t="array" ref="AK160:AL160">{"",'S-10 Оформление сделок Выборка'!AL160}</f>
        <v/>
      </c>
      <c r="AL160" s="793"/>
      <c r="AM160" s="792" t="str">
        <f t="array" ref="AM160:AN160">{"",'S-10 Оформление сделок Выборка'!AN160}</f>
        <v/>
      </c>
      <c r="AN160" s="794"/>
      <c r="AO160" s="792" t="str">
        <f t="array" ref="AO160:AP160">{"",'S-10 Оформление сделок Выборка'!AP160}</f>
        <v/>
      </c>
      <c r="AP160" s="786"/>
      <c r="AQ160" s="786"/>
      <c r="AR160" s="779" t="str">
        <f t="array" ref="AR160:AS160">{"",'S-10 Оформление сделок Выборка'!AS160}</f>
        <v/>
      </c>
      <c r="AS160" s="795"/>
      <c r="AT160" s="779" t="str">
        <f t="array" ref="AT160:AU160">{"",'S-10 Оформление сделок Выборка'!AU160}</f>
        <v/>
      </c>
      <c r="AU160" s="805"/>
      <c r="AV160" s="779" t="str">
        <f t="array" ref="AV160:AW160">{"",'S-10 Оформление сделок Выборка'!AW160}</f>
        <v/>
      </c>
      <c r="AW160" s="797"/>
      <c r="AX160" s="786"/>
      <c r="AY160" s="786"/>
      <c r="AZ160" s="792" t="str">
        <f t="array" ref="AZ160:BA160">{"",'S-10 Оформление сделок Выборка'!BA160}</f>
        <v/>
      </c>
      <c r="BA160" s="798"/>
      <c r="BB160" s="792" t="str">
        <f t="array" ref="BB160:BC160">{"",'S-10 Оформление сделок Выборка'!BC160}</f>
        <v/>
      </c>
      <c r="BC160" s="799"/>
      <c r="BD160" s="792" t="str">
        <f t="array" ref="BD160:BE160">{"",'S-10 Оформление сделок Выборка'!BE160}</f>
        <v/>
      </c>
      <c r="BE160" s="793"/>
      <c r="BF160" s="800" t="str">
        <f t="array" ref="BF160:BG160">{"",'S-10 Оформление сделок Выборка'!BG160}</f>
        <v/>
      </c>
      <c r="BG160" s="794"/>
      <c r="BH160" s="794" t="str">
        <f t="array" ref="BH160:BI160">{"",'S-10 Оформление сделок Выборка'!BI160}</f>
        <v/>
      </c>
      <c r="BI160" s="794"/>
      <c r="BJ160" s="792" t="str">
        <f t="array" ref="BJ160:BK160">{"",'S-10 Оформление сделок Выборка'!BK160}</f>
        <v/>
      </c>
      <c r="BK160" s="793"/>
      <c r="BL160" s="792" t="str">
        <f t="array" ref="BL160:BM160">{"",'S-10 Оформление сделок Выборка'!BM160}</f>
        <v/>
      </c>
      <c r="BM160" s="801"/>
      <c r="BN160" s="792" t="str">
        <f t="array" ref="BN160:BO160">{"",'S-10 Оформление сделок Выборка'!BO160}</f>
        <v/>
      </c>
      <c r="BO160" s="793"/>
      <c r="BP160" s="792" t="str">
        <f t="array" ref="BP160:BQ160">{"",'S-10 Оформление сделок Выборка'!BQ160}</f>
        <v/>
      </c>
      <c r="BQ160" s="802"/>
      <c r="BR160" s="792" t="str">
        <f t="array" ref="BR160:BS160">{"",'S-10 Оформление сделок Выборка'!BS160}</f>
        <v/>
      </c>
      <c r="BS160" s="794"/>
      <c r="BT160" s="800" t="str">
        <f t="array" ref="BT160:BU160">{"",'S-10 Оформление сделок Выборка'!BU160}</f>
        <v/>
      </c>
      <c r="BU160" s="794"/>
      <c r="BV160" s="800" t="str">
        <f t="array" ref="BV160:BW160">{"",'S-10 Оформление сделок Выборка'!BW160}</f>
        <v/>
      </c>
      <c r="BW160" s="803" t="s">
        <v>96</v>
      </c>
      <c r="BX160" s="804"/>
    </row>
    <row r="161">
      <c r="A161" s="779"/>
      <c r="B161" s="779"/>
      <c r="C161" s="780" t="str">
        <f>'5-1 Сбор КП Закупки'!C161</f>
        <v/>
      </c>
      <c r="D161" s="781"/>
      <c r="E161" s="780"/>
      <c r="F161" s="783"/>
      <c r="G161" s="783"/>
      <c r="H161" s="783"/>
      <c r="I161" s="783"/>
      <c r="J161" s="780"/>
      <c r="K161" s="786"/>
      <c r="L161" s="785"/>
      <c r="M161" s="786"/>
      <c r="N161" s="786"/>
      <c r="O161" s="780"/>
      <c r="P161" s="787"/>
      <c r="Q161" s="780"/>
      <c r="R161" s="780"/>
      <c r="S161" s="780"/>
      <c r="T161" s="780"/>
      <c r="U161" s="780"/>
      <c r="V161" s="780"/>
      <c r="W161" s="787"/>
      <c r="X161" s="780"/>
      <c r="Y161" s="780"/>
      <c r="Z161" s="780"/>
      <c r="AA161" s="780"/>
      <c r="AB161" s="788"/>
      <c r="AC161" s="781"/>
      <c r="AD161" s="780"/>
      <c r="AE161" s="789" t="str">
        <f t="array" ref="AE161:AF161">{"",'S-10 Оформление сделок Выборка'!AF161}</f>
        <v/>
      </c>
      <c r="AF161" s="790"/>
      <c r="AG161" s="781"/>
      <c r="AH161" s="781"/>
      <c r="AI161" s="785"/>
      <c r="AJ161" s="780"/>
      <c r="AK161" s="792" t="str">
        <f t="array" ref="AK161:AL161">{"",'S-10 Оформление сделок Выборка'!AL161}</f>
        <v/>
      </c>
      <c r="AL161" s="793"/>
      <c r="AM161" s="792" t="str">
        <f t="array" ref="AM161:AN161">{"",'S-10 Оформление сделок Выборка'!AN161}</f>
        <v/>
      </c>
      <c r="AN161" s="794"/>
      <c r="AO161" s="792" t="str">
        <f t="array" ref="AO161:AP161">{"",'S-10 Оформление сделок Выборка'!AP161}</f>
        <v/>
      </c>
      <c r="AP161" s="786"/>
      <c r="AQ161" s="786"/>
      <c r="AR161" s="779" t="str">
        <f t="array" ref="AR161:AS161">{"",'S-10 Оформление сделок Выборка'!AS161}</f>
        <v/>
      </c>
      <c r="AS161" s="795"/>
      <c r="AT161" s="779" t="str">
        <f t="array" ref="AT161:AU161">{"",'S-10 Оформление сделок Выборка'!AU161}</f>
        <v/>
      </c>
      <c r="AU161" s="805"/>
      <c r="AV161" s="779" t="str">
        <f t="array" ref="AV161:AW161">{"",'S-10 Оформление сделок Выборка'!AW161}</f>
        <v/>
      </c>
      <c r="AW161" s="797"/>
      <c r="AX161" s="786"/>
      <c r="AY161" s="786"/>
      <c r="AZ161" s="792" t="str">
        <f t="array" ref="AZ161:BA161">{"",'S-10 Оформление сделок Выборка'!BA161}</f>
        <v/>
      </c>
      <c r="BA161" s="798"/>
      <c r="BB161" s="792" t="str">
        <f t="array" ref="BB161:BC161">{"",'S-10 Оформление сделок Выборка'!BC161}</f>
        <v/>
      </c>
      <c r="BC161" s="799"/>
      <c r="BD161" s="792" t="str">
        <f t="array" ref="BD161:BE161">{"",'S-10 Оформление сделок Выборка'!BE161}</f>
        <v/>
      </c>
      <c r="BE161" s="793"/>
      <c r="BF161" s="800" t="str">
        <f t="array" ref="BF161:BG161">{"",'S-10 Оформление сделок Выборка'!BG161}</f>
        <v/>
      </c>
      <c r="BG161" s="794"/>
      <c r="BH161" s="794" t="str">
        <f t="array" ref="BH161:BI161">{"",'S-10 Оформление сделок Выборка'!BI161}</f>
        <v/>
      </c>
      <c r="BI161" s="794"/>
      <c r="BJ161" s="792" t="str">
        <f t="array" ref="BJ161:BK161">{"",'S-10 Оформление сделок Выборка'!BK161}</f>
        <v/>
      </c>
      <c r="BK161" s="793"/>
      <c r="BL161" s="792" t="str">
        <f t="array" ref="BL161:BM161">{"",'S-10 Оформление сделок Выборка'!BM161}</f>
        <v/>
      </c>
      <c r="BM161" s="801"/>
      <c r="BN161" s="792" t="str">
        <f t="array" ref="BN161:BO161">{"",'S-10 Оформление сделок Выборка'!BO161}</f>
        <v/>
      </c>
      <c r="BO161" s="793"/>
      <c r="BP161" s="792" t="str">
        <f t="array" ref="BP161:BQ161">{"",'S-10 Оформление сделок Выборка'!BQ161}</f>
        <v/>
      </c>
      <c r="BQ161" s="802"/>
      <c r="BR161" s="792" t="str">
        <f t="array" ref="BR161:BS161">{"",'S-10 Оформление сделок Выборка'!BS161}</f>
        <v/>
      </c>
      <c r="BS161" s="794"/>
      <c r="BT161" s="800" t="str">
        <f t="array" ref="BT161:BU161">{"",'S-10 Оформление сделок Выборка'!BU161}</f>
        <v/>
      </c>
      <c r="BU161" s="794"/>
      <c r="BV161" s="800" t="str">
        <f t="array" ref="BV161:BW161">{"",'S-10 Оформление сделок Выборка'!BW161}</f>
        <v/>
      </c>
      <c r="BW161" s="803" t="s">
        <v>96</v>
      </c>
      <c r="BX161" s="804"/>
    </row>
    <row r="162">
      <c r="A162" s="779"/>
      <c r="B162" s="779"/>
      <c r="C162" s="780" t="str">
        <f>'5-1 Сбор КП Закупки'!C162</f>
        <v/>
      </c>
      <c r="D162" s="781"/>
      <c r="E162" s="780"/>
      <c r="F162" s="783"/>
      <c r="G162" s="783"/>
      <c r="H162" s="783"/>
      <c r="I162" s="783"/>
      <c r="J162" s="780"/>
      <c r="K162" s="786"/>
      <c r="L162" s="785"/>
      <c r="M162" s="786"/>
      <c r="N162" s="786"/>
      <c r="O162" s="780"/>
      <c r="P162" s="787"/>
      <c r="Q162" s="780"/>
      <c r="R162" s="780"/>
      <c r="S162" s="780"/>
      <c r="T162" s="780"/>
      <c r="U162" s="780"/>
      <c r="V162" s="780"/>
      <c r="W162" s="787"/>
      <c r="X162" s="780"/>
      <c r="Y162" s="780"/>
      <c r="Z162" s="780"/>
      <c r="AA162" s="780"/>
      <c r="AB162" s="788"/>
      <c r="AC162" s="781"/>
      <c r="AD162" s="780"/>
      <c r="AE162" s="789" t="str">
        <f t="array" ref="AE162:AF162">{"",'S-10 Оформление сделок Выборка'!AF162}</f>
        <v/>
      </c>
      <c r="AF162" s="790"/>
      <c r="AG162" s="781"/>
      <c r="AH162" s="781"/>
      <c r="AI162" s="785"/>
      <c r="AJ162" s="780"/>
      <c r="AK162" s="792" t="str">
        <f t="array" ref="AK162:AL162">{"",'S-10 Оформление сделок Выборка'!AL162}</f>
        <v/>
      </c>
      <c r="AL162" s="793"/>
      <c r="AM162" s="792" t="str">
        <f t="array" ref="AM162:AN162">{"",'S-10 Оформление сделок Выборка'!AN162}</f>
        <v/>
      </c>
      <c r="AN162" s="794"/>
      <c r="AO162" s="792" t="str">
        <f t="array" ref="AO162:AP162">{"",'S-10 Оформление сделок Выборка'!AP162}</f>
        <v/>
      </c>
      <c r="AP162" s="786"/>
      <c r="AQ162" s="786"/>
      <c r="AR162" s="779" t="str">
        <f t="array" ref="AR162:AS162">{"",'S-10 Оформление сделок Выборка'!AS162}</f>
        <v/>
      </c>
      <c r="AS162" s="795"/>
      <c r="AT162" s="779" t="str">
        <f t="array" ref="AT162:AU162">{"",'S-10 Оформление сделок Выборка'!AU162}</f>
        <v/>
      </c>
      <c r="AU162" s="805"/>
      <c r="AV162" s="779" t="str">
        <f t="array" ref="AV162:AW162">{"",'S-10 Оформление сделок Выборка'!AW162}</f>
        <v/>
      </c>
      <c r="AW162" s="797"/>
      <c r="AX162" s="786"/>
      <c r="AY162" s="786"/>
      <c r="AZ162" s="792" t="str">
        <f t="array" ref="AZ162:BA162">{"",'S-10 Оформление сделок Выборка'!BA162}</f>
        <v/>
      </c>
      <c r="BA162" s="798"/>
      <c r="BB162" s="792" t="str">
        <f t="array" ref="BB162:BC162">{"",'S-10 Оформление сделок Выборка'!BC162}</f>
        <v/>
      </c>
      <c r="BC162" s="799"/>
      <c r="BD162" s="792" t="str">
        <f t="array" ref="BD162:BE162">{"",'S-10 Оформление сделок Выборка'!BE162}</f>
        <v/>
      </c>
      <c r="BE162" s="793"/>
      <c r="BF162" s="800" t="str">
        <f t="array" ref="BF162:BG162">{"",'S-10 Оформление сделок Выборка'!BG162}</f>
        <v/>
      </c>
      <c r="BG162" s="794"/>
      <c r="BH162" s="794" t="str">
        <f t="array" ref="BH162:BI162">{"",'S-10 Оформление сделок Выборка'!BI162}</f>
        <v/>
      </c>
      <c r="BI162" s="794"/>
      <c r="BJ162" s="792" t="str">
        <f t="array" ref="BJ162:BK162">{"",'S-10 Оформление сделок Выборка'!BK162}</f>
        <v/>
      </c>
      <c r="BK162" s="793"/>
      <c r="BL162" s="792" t="str">
        <f t="array" ref="BL162:BM162">{"",'S-10 Оформление сделок Выборка'!BM162}</f>
        <v/>
      </c>
      <c r="BM162" s="801"/>
      <c r="BN162" s="792" t="str">
        <f t="array" ref="BN162:BO162">{"",'S-10 Оформление сделок Выборка'!BO162}</f>
        <v/>
      </c>
      <c r="BO162" s="793"/>
      <c r="BP162" s="792" t="str">
        <f t="array" ref="BP162:BQ162">{"",'S-10 Оформление сделок Выборка'!BQ162}</f>
        <v/>
      </c>
      <c r="BQ162" s="802"/>
      <c r="BR162" s="792" t="str">
        <f t="array" ref="BR162:BS162">{"",'S-10 Оформление сделок Выборка'!BS162}</f>
        <v/>
      </c>
      <c r="BS162" s="794"/>
      <c r="BT162" s="800" t="str">
        <f t="array" ref="BT162:BU162">{"",'S-10 Оформление сделок Выборка'!BU162}</f>
        <v/>
      </c>
      <c r="BU162" s="794"/>
      <c r="BV162" s="800" t="str">
        <f t="array" ref="BV162:BW162">{"",'S-10 Оформление сделок Выборка'!BW162}</f>
        <v/>
      </c>
      <c r="BW162" s="803" t="s">
        <v>96</v>
      </c>
      <c r="BX162" s="804"/>
    </row>
    <row r="163">
      <c r="A163" s="779"/>
      <c r="B163" s="779"/>
      <c r="C163" s="780" t="str">
        <f>'5-1 Сбор КП Закупки'!C163</f>
        <v/>
      </c>
      <c r="D163" s="781"/>
      <c r="E163" s="780"/>
      <c r="F163" s="783"/>
      <c r="G163" s="783"/>
      <c r="H163" s="783"/>
      <c r="I163" s="783"/>
      <c r="J163" s="780"/>
      <c r="K163" s="786"/>
      <c r="L163" s="785"/>
      <c r="M163" s="786"/>
      <c r="N163" s="786"/>
      <c r="O163" s="780"/>
      <c r="P163" s="787"/>
      <c r="Q163" s="780"/>
      <c r="R163" s="780"/>
      <c r="S163" s="780"/>
      <c r="T163" s="780"/>
      <c r="U163" s="780"/>
      <c r="V163" s="780"/>
      <c r="W163" s="787"/>
      <c r="X163" s="780"/>
      <c r="Y163" s="780"/>
      <c r="Z163" s="780"/>
      <c r="AA163" s="780"/>
      <c r="AB163" s="788"/>
      <c r="AC163" s="781"/>
      <c r="AD163" s="780"/>
      <c r="AE163" s="789" t="str">
        <f t="array" ref="AE163:AF163">{"",'S-10 Оформление сделок Выборка'!AF163}</f>
        <v/>
      </c>
      <c r="AF163" s="790"/>
      <c r="AG163" s="781"/>
      <c r="AH163" s="781"/>
      <c r="AI163" s="785"/>
      <c r="AJ163" s="780"/>
      <c r="AK163" s="792" t="str">
        <f t="array" ref="AK163:AL163">{"",'S-10 Оформление сделок Выборка'!AL163}</f>
        <v/>
      </c>
      <c r="AL163" s="793"/>
      <c r="AM163" s="792" t="str">
        <f t="array" ref="AM163:AN163">{"",'S-10 Оформление сделок Выборка'!AN163}</f>
        <v/>
      </c>
      <c r="AN163" s="794"/>
      <c r="AO163" s="792" t="str">
        <f t="array" ref="AO163:AP163">{"",'S-10 Оформление сделок Выборка'!AP163}</f>
        <v/>
      </c>
      <c r="AP163" s="786"/>
      <c r="AQ163" s="786"/>
      <c r="AR163" s="779" t="str">
        <f t="array" ref="AR163:AS163">{"",'S-10 Оформление сделок Выборка'!AS163}</f>
        <v/>
      </c>
      <c r="AS163" s="795"/>
      <c r="AT163" s="779" t="str">
        <f t="array" ref="AT163:AU163">{"",'S-10 Оформление сделок Выборка'!AU163}</f>
        <v/>
      </c>
      <c r="AU163" s="805"/>
      <c r="AV163" s="779" t="str">
        <f t="array" ref="AV163:AW163">{"",'S-10 Оформление сделок Выборка'!AW163}</f>
        <v/>
      </c>
      <c r="AW163" s="797"/>
      <c r="AX163" s="786"/>
      <c r="AY163" s="786"/>
      <c r="AZ163" s="792" t="str">
        <f t="array" ref="AZ163:BA163">{"",'S-10 Оформление сделок Выборка'!BA163}</f>
        <v/>
      </c>
      <c r="BA163" s="798"/>
      <c r="BB163" s="792" t="str">
        <f t="array" ref="BB163:BC163">{"",'S-10 Оформление сделок Выборка'!BC163}</f>
        <v/>
      </c>
      <c r="BC163" s="799"/>
      <c r="BD163" s="792" t="str">
        <f t="array" ref="BD163:BE163">{"",'S-10 Оформление сделок Выборка'!BE163}</f>
        <v/>
      </c>
      <c r="BE163" s="793"/>
      <c r="BF163" s="800" t="str">
        <f t="array" ref="BF163:BG163">{"",'S-10 Оформление сделок Выборка'!BG163}</f>
        <v/>
      </c>
      <c r="BG163" s="794"/>
      <c r="BH163" s="794" t="str">
        <f t="array" ref="BH163:BI163">{"",'S-10 Оформление сделок Выборка'!BI163}</f>
        <v/>
      </c>
      <c r="BI163" s="794"/>
      <c r="BJ163" s="792" t="str">
        <f t="array" ref="BJ163:BK163">{"",'S-10 Оформление сделок Выборка'!BK163}</f>
        <v/>
      </c>
      <c r="BK163" s="793"/>
      <c r="BL163" s="792" t="str">
        <f t="array" ref="BL163:BM163">{"",'S-10 Оформление сделок Выборка'!BM163}</f>
        <v/>
      </c>
      <c r="BM163" s="801"/>
      <c r="BN163" s="792" t="str">
        <f t="array" ref="BN163:BO163">{"",'S-10 Оформление сделок Выборка'!BO163}</f>
        <v/>
      </c>
      <c r="BO163" s="793"/>
      <c r="BP163" s="792" t="str">
        <f t="array" ref="BP163:BQ163">{"",'S-10 Оформление сделок Выборка'!BQ163}</f>
        <v/>
      </c>
      <c r="BQ163" s="802"/>
      <c r="BR163" s="792" t="str">
        <f t="array" ref="BR163:BS163">{"",'S-10 Оформление сделок Выборка'!BS163}</f>
        <v/>
      </c>
      <c r="BS163" s="794"/>
      <c r="BT163" s="800" t="str">
        <f t="array" ref="BT163:BU163">{"",'S-10 Оформление сделок Выборка'!BU163}</f>
        <v/>
      </c>
      <c r="BU163" s="794"/>
      <c r="BV163" s="800" t="str">
        <f t="array" ref="BV163:BW163">{"",'S-10 Оформление сделок Выборка'!BW163}</f>
        <v/>
      </c>
      <c r="BW163" s="803" t="s">
        <v>96</v>
      </c>
      <c r="BX163" s="804"/>
    </row>
    <row r="164">
      <c r="A164" s="779"/>
      <c r="B164" s="779"/>
      <c r="C164" s="780" t="str">
        <f>'5-1 Сбор КП Закупки'!C164</f>
        <v/>
      </c>
      <c r="D164" s="781"/>
      <c r="E164" s="780"/>
      <c r="F164" s="783"/>
      <c r="G164" s="783"/>
      <c r="H164" s="783"/>
      <c r="I164" s="783"/>
      <c r="J164" s="780"/>
      <c r="K164" s="786"/>
      <c r="L164" s="785"/>
      <c r="M164" s="786"/>
      <c r="N164" s="786"/>
      <c r="O164" s="780"/>
      <c r="P164" s="787"/>
      <c r="Q164" s="780"/>
      <c r="R164" s="780"/>
      <c r="S164" s="780"/>
      <c r="T164" s="780"/>
      <c r="U164" s="780"/>
      <c r="V164" s="780"/>
      <c r="W164" s="787"/>
      <c r="X164" s="780"/>
      <c r="Y164" s="780"/>
      <c r="Z164" s="780"/>
      <c r="AA164" s="780"/>
      <c r="AB164" s="788"/>
      <c r="AC164" s="781"/>
      <c r="AD164" s="780"/>
      <c r="AE164" s="789" t="str">
        <f t="array" ref="AE164:AF164">{"",'S-10 Оформление сделок Выборка'!AF164}</f>
        <v/>
      </c>
      <c r="AF164" s="790"/>
      <c r="AG164" s="781"/>
      <c r="AH164" s="781"/>
      <c r="AI164" s="785"/>
      <c r="AJ164" s="780"/>
      <c r="AK164" s="792" t="str">
        <f t="array" ref="AK164:AL164">{"",'S-10 Оформление сделок Выборка'!AL164}</f>
        <v/>
      </c>
      <c r="AL164" s="793"/>
      <c r="AM164" s="792" t="str">
        <f t="array" ref="AM164:AN164">{"",'S-10 Оформление сделок Выборка'!AN164}</f>
        <v/>
      </c>
      <c r="AN164" s="794"/>
      <c r="AO164" s="792" t="str">
        <f t="array" ref="AO164:AP164">{"",'S-10 Оформление сделок Выборка'!AP164}</f>
        <v/>
      </c>
      <c r="AP164" s="786"/>
      <c r="AQ164" s="786"/>
      <c r="AR164" s="779" t="str">
        <f t="array" ref="AR164:AS164">{"",'S-10 Оформление сделок Выборка'!AS164}</f>
        <v/>
      </c>
      <c r="AS164" s="795"/>
      <c r="AT164" s="779" t="str">
        <f t="array" ref="AT164:AU164">{"",'S-10 Оформление сделок Выборка'!AU164}</f>
        <v/>
      </c>
      <c r="AU164" s="805"/>
      <c r="AV164" s="779" t="str">
        <f t="array" ref="AV164:AW164">{"",'S-10 Оформление сделок Выборка'!AW164}</f>
        <v/>
      </c>
      <c r="AW164" s="797"/>
      <c r="AX164" s="786"/>
      <c r="AY164" s="786"/>
      <c r="AZ164" s="792" t="str">
        <f t="array" ref="AZ164:BA164">{"",'S-10 Оформление сделок Выборка'!BA164}</f>
        <v/>
      </c>
      <c r="BA164" s="798"/>
      <c r="BB164" s="792" t="str">
        <f t="array" ref="BB164:BC164">{"",'S-10 Оформление сделок Выборка'!BC164}</f>
        <v/>
      </c>
      <c r="BC164" s="799"/>
      <c r="BD164" s="792" t="str">
        <f t="array" ref="BD164:BE164">{"",'S-10 Оформление сделок Выборка'!BE164}</f>
        <v/>
      </c>
      <c r="BE164" s="793"/>
      <c r="BF164" s="800" t="str">
        <f t="array" ref="BF164:BG164">{"",'S-10 Оформление сделок Выборка'!BG164}</f>
        <v/>
      </c>
      <c r="BG164" s="794"/>
      <c r="BH164" s="794" t="str">
        <f t="array" ref="BH164:BI164">{"",'S-10 Оформление сделок Выборка'!BI164}</f>
        <v/>
      </c>
      <c r="BI164" s="794"/>
      <c r="BJ164" s="792" t="str">
        <f t="array" ref="BJ164:BK164">{"",'S-10 Оформление сделок Выборка'!BK164}</f>
        <v/>
      </c>
      <c r="BK164" s="793"/>
      <c r="BL164" s="792" t="str">
        <f t="array" ref="BL164:BM164">{"",'S-10 Оформление сделок Выборка'!BM164}</f>
        <v/>
      </c>
      <c r="BM164" s="801"/>
      <c r="BN164" s="792" t="str">
        <f t="array" ref="BN164:BO164">{"",'S-10 Оформление сделок Выборка'!BO164}</f>
        <v/>
      </c>
      <c r="BO164" s="793"/>
      <c r="BP164" s="792" t="str">
        <f t="array" ref="BP164:BQ164">{"",'S-10 Оформление сделок Выборка'!BQ164}</f>
        <v/>
      </c>
      <c r="BQ164" s="802"/>
      <c r="BR164" s="792" t="str">
        <f t="array" ref="BR164:BS164">{"",'S-10 Оформление сделок Выборка'!BS164}</f>
        <v/>
      </c>
      <c r="BS164" s="794"/>
      <c r="BT164" s="800" t="str">
        <f t="array" ref="BT164:BU164">{"",'S-10 Оформление сделок Выборка'!BU164}</f>
        <v/>
      </c>
      <c r="BU164" s="794"/>
      <c r="BV164" s="800" t="str">
        <f t="array" ref="BV164:BW164">{"",'S-10 Оформление сделок Выборка'!BW164}</f>
        <v/>
      </c>
      <c r="BW164" s="803" t="s">
        <v>96</v>
      </c>
      <c r="BX164" s="804"/>
    </row>
    <row r="165">
      <c r="A165" s="779"/>
      <c r="B165" s="779"/>
      <c r="C165" s="780" t="str">
        <f>'5-1 Сбор КП Закупки'!C165</f>
        <v/>
      </c>
      <c r="D165" s="781"/>
      <c r="E165" s="780"/>
      <c r="F165" s="783"/>
      <c r="G165" s="783"/>
      <c r="H165" s="783"/>
      <c r="I165" s="783"/>
      <c r="J165" s="780"/>
      <c r="K165" s="786"/>
      <c r="L165" s="785"/>
      <c r="M165" s="786"/>
      <c r="N165" s="786"/>
      <c r="O165" s="780"/>
      <c r="P165" s="787"/>
      <c r="Q165" s="780"/>
      <c r="R165" s="780"/>
      <c r="S165" s="780"/>
      <c r="T165" s="780"/>
      <c r="U165" s="780"/>
      <c r="V165" s="780"/>
      <c r="W165" s="787"/>
      <c r="X165" s="780"/>
      <c r="Y165" s="780"/>
      <c r="Z165" s="780"/>
      <c r="AA165" s="780"/>
      <c r="AB165" s="788"/>
      <c r="AC165" s="781"/>
      <c r="AD165" s="780"/>
      <c r="AE165" s="789" t="str">
        <f t="array" ref="AE165:AF165">{"",'S-10 Оформление сделок Выборка'!AF165}</f>
        <v/>
      </c>
      <c r="AF165" s="790"/>
      <c r="AG165" s="781"/>
      <c r="AH165" s="781"/>
      <c r="AI165" s="785"/>
      <c r="AJ165" s="780"/>
      <c r="AK165" s="792" t="str">
        <f t="array" ref="AK165:AL165">{"",'S-10 Оформление сделок Выборка'!AL165}</f>
        <v/>
      </c>
      <c r="AL165" s="793"/>
      <c r="AM165" s="792" t="str">
        <f t="array" ref="AM165:AN165">{"",'S-10 Оформление сделок Выборка'!AN165}</f>
        <v/>
      </c>
      <c r="AN165" s="794"/>
      <c r="AO165" s="792" t="str">
        <f t="array" ref="AO165:AP165">{"",'S-10 Оформление сделок Выборка'!AP165}</f>
        <v/>
      </c>
      <c r="AP165" s="786"/>
      <c r="AQ165" s="786"/>
      <c r="AR165" s="779" t="str">
        <f t="array" ref="AR165:AS165">{"",'S-10 Оформление сделок Выборка'!AS165}</f>
        <v/>
      </c>
      <c r="AS165" s="795"/>
      <c r="AT165" s="779" t="str">
        <f t="array" ref="AT165:AU165">{"",'S-10 Оформление сделок Выборка'!AU165}</f>
        <v/>
      </c>
      <c r="AU165" s="805"/>
      <c r="AV165" s="779" t="str">
        <f t="array" ref="AV165:AW165">{"",'S-10 Оформление сделок Выборка'!AW165}</f>
        <v/>
      </c>
      <c r="AW165" s="797"/>
      <c r="AX165" s="786"/>
      <c r="AY165" s="786"/>
      <c r="AZ165" s="792" t="str">
        <f t="array" ref="AZ165:BA165">{"",'S-10 Оформление сделок Выборка'!BA165}</f>
        <v/>
      </c>
      <c r="BA165" s="798"/>
      <c r="BB165" s="792" t="str">
        <f t="array" ref="BB165:BC165">{"",'S-10 Оформление сделок Выборка'!BC165}</f>
        <v/>
      </c>
      <c r="BC165" s="799"/>
      <c r="BD165" s="792" t="str">
        <f t="array" ref="BD165:BE165">{"",'S-10 Оформление сделок Выборка'!BE165}</f>
        <v/>
      </c>
      <c r="BE165" s="793"/>
      <c r="BF165" s="800" t="str">
        <f t="array" ref="BF165:BG165">{"",'S-10 Оформление сделок Выборка'!BG165}</f>
        <v/>
      </c>
      <c r="BG165" s="794"/>
      <c r="BH165" s="794" t="str">
        <f t="array" ref="BH165:BI165">{"",'S-10 Оформление сделок Выборка'!BI165}</f>
        <v/>
      </c>
      <c r="BI165" s="794"/>
      <c r="BJ165" s="792" t="str">
        <f t="array" ref="BJ165:BK165">{"",'S-10 Оформление сделок Выборка'!BK165}</f>
        <v/>
      </c>
      <c r="BK165" s="793"/>
      <c r="BL165" s="792" t="str">
        <f t="array" ref="BL165:BM165">{"",'S-10 Оформление сделок Выборка'!BM165}</f>
        <v/>
      </c>
      <c r="BM165" s="801"/>
      <c r="BN165" s="792" t="str">
        <f t="array" ref="BN165:BO165">{"",'S-10 Оформление сделок Выборка'!BO165}</f>
        <v/>
      </c>
      <c r="BO165" s="793"/>
      <c r="BP165" s="792" t="str">
        <f t="array" ref="BP165:BQ165">{"",'S-10 Оформление сделок Выборка'!BQ165}</f>
        <v/>
      </c>
      <c r="BQ165" s="802"/>
      <c r="BR165" s="792" t="str">
        <f t="array" ref="BR165:BS165">{"",'S-10 Оформление сделок Выборка'!BS165}</f>
        <v/>
      </c>
      <c r="BS165" s="794"/>
      <c r="BT165" s="800" t="str">
        <f t="array" ref="BT165:BU165">{"",'S-10 Оформление сделок Выборка'!BU165}</f>
        <v/>
      </c>
      <c r="BU165" s="794"/>
      <c r="BV165" s="800" t="str">
        <f t="array" ref="BV165:BW165">{"",'S-10 Оформление сделок Выборка'!BW165}</f>
        <v/>
      </c>
      <c r="BW165" s="803" t="s">
        <v>96</v>
      </c>
      <c r="BX165" s="804"/>
    </row>
    <row r="166">
      <c r="A166" s="779"/>
      <c r="B166" s="779"/>
      <c r="C166" s="780" t="str">
        <f>'5-1 Сбор КП Закупки'!C166</f>
        <v/>
      </c>
      <c r="D166" s="781"/>
      <c r="E166" s="780"/>
      <c r="F166" s="783"/>
      <c r="G166" s="783"/>
      <c r="H166" s="783"/>
      <c r="I166" s="783"/>
      <c r="J166" s="780"/>
      <c r="K166" s="786"/>
      <c r="L166" s="785"/>
      <c r="M166" s="786"/>
      <c r="N166" s="786"/>
      <c r="O166" s="780"/>
      <c r="P166" s="787"/>
      <c r="Q166" s="780"/>
      <c r="R166" s="780"/>
      <c r="S166" s="780"/>
      <c r="T166" s="780"/>
      <c r="U166" s="780"/>
      <c r="V166" s="780"/>
      <c r="W166" s="787"/>
      <c r="X166" s="780"/>
      <c r="Y166" s="780"/>
      <c r="Z166" s="780"/>
      <c r="AA166" s="780"/>
      <c r="AB166" s="788"/>
      <c r="AC166" s="781"/>
      <c r="AD166" s="780"/>
      <c r="AE166" s="789" t="str">
        <f t="array" ref="AE166:AF166">{"",'S-10 Оформление сделок Выборка'!AF166}</f>
        <v/>
      </c>
      <c r="AF166" s="790"/>
      <c r="AG166" s="781"/>
      <c r="AH166" s="781"/>
      <c r="AI166" s="785"/>
      <c r="AJ166" s="780"/>
      <c r="AK166" s="792" t="str">
        <f t="array" ref="AK166:AL166">{"",'S-10 Оформление сделок Выборка'!AL166}</f>
        <v/>
      </c>
      <c r="AL166" s="793"/>
      <c r="AM166" s="792" t="str">
        <f t="array" ref="AM166:AN166">{"",'S-10 Оформление сделок Выборка'!AN166}</f>
        <v/>
      </c>
      <c r="AN166" s="794"/>
      <c r="AO166" s="792" t="str">
        <f t="array" ref="AO166:AP166">{"",'S-10 Оформление сделок Выборка'!AP166}</f>
        <v/>
      </c>
      <c r="AP166" s="786"/>
      <c r="AQ166" s="786"/>
      <c r="AR166" s="779" t="str">
        <f t="array" ref="AR166:AS166">{"",'S-10 Оформление сделок Выборка'!AS166}</f>
        <v/>
      </c>
      <c r="AS166" s="795"/>
      <c r="AT166" s="779" t="str">
        <f t="array" ref="AT166:AU166">{"",'S-10 Оформление сделок Выборка'!AU166}</f>
        <v/>
      </c>
      <c r="AU166" s="805"/>
      <c r="AV166" s="779" t="str">
        <f t="array" ref="AV166:AW166">{"",'S-10 Оформление сделок Выборка'!AW166}</f>
        <v/>
      </c>
      <c r="AW166" s="797"/>
      <c r="AX166" s="786"/>
      <c r="AY166" s="786"/>
      <c r="AZ166" s="792" t="str">
        <f t="array" ref="AZ166:BA166">{"",'S-10 Оформление сделок Выборка'!BA166}</f>
        <v/>
      </c>
      <c r="BA166" s="798"/>
      <c r="BB166" s="792" t="str">
        <f t="array" ref="BB166:BC166">{"",'S-10 Оформление сделок Выборка'!BC166}</f>
        <v/>
      </c>
      <c r="BC166" s="799"/>
      <c r="BD166" s="792" t="str">
        <f t="array" ref="BD166:BE166">{"",'S-10 Оформление сделок Выборка'!BE166}</f>
        <v/>
      </c>
      <c r="BE166" s="793"/>
      <c r="BF166" s="800" t="str">
        <f t="array" ref="BF166:BG166">{"",'S-10 Оформление сделок Выборка'!BG166}</f>
        <v/>
      </c>
      <c r="BG166" s="794"/>
      <c r="BH166" s="794" t="str">
        <f t="array" ref="BH166:BI166">{"",'S-10 Оформление сделок Выборка'!BI166}</f>
        <v/>
      </c>
      <c r="BI166" s="794"/>
      <c r="BJ166" s="792" t="str">
        <f t="array" ref="BJ166:BK166">{"",'S-10 Оформление сделок Выборка'!BK166}</f>
        <v/>
      </c>
      <c r="BK166" s="793"/>
      <c r="BL166" s="792" t="str">
        <f t="array" ref="BL166:BM166">{"",'S-10 Оформление сделок Выборка'!BM166}</f>
        <v/>
      </c>
      <c r="BM166" s="801"/>
      <c r="BN166" s="792" t="str">
        <f t="array" ref="BN166:BO166">{"",'S-10 Оформление сделок Выборка'!BO166}</f>
        <v/>
      </c>
      <c r="BO166" s="793"/>
      <c r="BP166" s="792" t="str">
        <f t="array" ref="BP166:BQ166">{"",'S-10 Оформление сделок Выборка'!BQ166}</f>
        <v/>
      </c>
      <c r="BQ166" s="802"/>
      <c r="BR166" s="792" t="str">
        <f t="array" ref="BR166:BS166">{"",'S-10 Оформление сделок Выборка'!BS166}</f>
        <v/>
      </c>
      <c r="BS166" s="794"/>
      <c r="BT166" s="800" t="str">
        <f t="array" ref="BT166:BU166">{"",'S-10 Оформление сделок Выборка'!BU166}</f>
        <v/>
      </c>
      <c r="BU166" s="794"/>
      <c r="BV166" s="800" t="str">
        <f t="array" ref="BV166:BW166">{"",'S-10 Оформление сделок Выборка'!BW166}</f>
        <v/>
      </c>
      <c r="BW166" s="803" t="s">
        <v>96</v>
      </c>
      <c r="BX166" s="804"/>
    </row>
    <row r="167">
      <c r="A167" s="779"/>
      <c r="B167" s="779"/>
      <c r="C167" s="780" t="str">
        <f>'5-1 Сбор КП Закупки'!C167</f>
        <v/>
      </c>
      <c r="D167" s="781"/>
      <c r="E167" s="780"/>
      <c r="F167" s="783"/>
      <c r="G167" s="783"/>
      <c r="H167" s="783"/>
      <c r="I167" s="783"/>
      <c r="J167" s="780"/>
      <c r="K167" s="786"/>
      <c r="L167" s="785"/>
      <c r="M167" s="786"/>
      <c r="N167" s="786"/>
      <c r="O167" s="780"/>
      <c r="P167" s="787"/>
      <c r="Q167" s="780"/>
      <c r="R167" s="780"/>
      <c r="S167" s="780"/>
      <c r="T167" s="780"/>
      <c r="U167" s="780"/>
      <c r="V167" s="780"/>
      <c r="W167" s="787"/>
      <c r="X167" s="780"/>
      <c r="Y167" s="780"/>
      <c r="Z167" s="780"/>
      <c r="AA167" s="780"/>
      <c r="AB167" s="788"/>
      <c r="AC167" s="781"/>
      <c r="AD167" s="780"/>
      <c r="AE167" s="789" t="str">
        <f t="array" ref="AE167:AF167">{"",'S-10 Оформление сделок Выборка'!AF167}</f>
        <v/>
      </c>
      <c r="AF167" s="790"/>
      <c r="AG167" s="781"/>
      <c r="AH167" s="781"/>
      <c r="AI167" s="785"/>
      <c r="AJ167" s="780"/>
      <c r="AK167" s="792" t="str">
        <f t="array" ref="AK167:AL167">{"",'S-10 Оформление сделок Выборка'!AL167}</f>
        <v/>
      </c>
      <c r="AL167" s="793"/>
      <c r="AM167" s="792" t="str">
        <f t="array" ref="AM167:AN167">{"",'S-10 Оформление сделок Выборка'!AN167}</f>
        <v/>
      </c>
      <c r="AN167" s="794"/>
      <c r="AO167" s="792" t="str">
        <f t="array" ref="AO167:AP167">{"",'S-10 Оформление сделок Выборка'!AP167}</f>
        <v/>
      </c>
      <c r="AP167" s="786"/>
      <c r="AQ167" s="786"/>
      <c r="AR167" s="779" t="str">
        <f t="array" ref="AR167:AS167">{"",'S-10 Оформление сделок Выборка'!AS167}</f>
        <v/>
      </c>
      <c r="AS167" s="795"/>
      <c r="AT167" s="779" t="str">
        <f t="array" ref="AT167:AU167">{"",'S-10 Оформление сделок Выборка'!AU167}</f>
        <v/>
      </c>
      <c r="AU167" s="805"/>
      <c r="AV167" s="779" t="str">
        <f t="array" ref="AV167:AW167">{"",'S-10 Оформление сделок Выборка'!AW167}</f>
        <v/>
      </c>
      <c r="AW167" s="797"/>
      <c r="AX167" s="786"/>
      <c r="AY167" s="786"/>
      <c r="AZ167" s="792" t="str">
        <f t="array" ref="AZ167:BA167">{"",'S-10 Оформление сделок Выборка'!BA167}</f>
        <v/>
      </c>
      <c r="BA167" s="798"/>
      <c r="BB167" s="792" t="str">
        <f t="array" ref="BB167:BC167">{"",'S-10 Оформление сделок Выборка'!BC167}</f>
        <v/>
      </c>
      <c r="BC167" s="799"/>
      <c r="BD167" s="792" t="str">
        <f t="array" ref="BD167:BE167">{"",'S-10 Оформление сделок Выборка'!BE167}</f>
        <v/>
      </c>
      <c r="BE167" s="793"/>
      <c r="BF167" s="800" t="str">
        <f t="array" ref="BF167:BG167">{"",'S-10 Оформление сделок Выборка'!BG167}</f>
        <v/>
      </c>
      <c r="BG167" s="794"/>
      <c r="BH167" s="794" t="str">
        <f t="array" ref="BH167:BI167">{"",'S-10 Оформление сделок Выборка'!BI167}</f>
        <v/>
      </c>
      <c r="BI167" s="794"/>
      <c r="BJ167" s="792" t="str">
        <f t="array" ref="BJ167:BK167">{"",'S-10 Оформление сделок Выборка'!BK167}</f>
        <v/>
      </c>
      <c r="BK167" s="793"/>
      <c r="BL167" s="792" t="str">
        <f t="array" ref="BL167:BM167">{"",'S-10 Оформление сделок Выборка'!BM167}</f>
        <v/>
      </c>
      <c r="BM167" s="801"/>
      <c r="BN167" s="792" t="str">
        <f t="array" ref="BN167:BO167">{"",'S-10 Оформление сделок Выборка'!BO167}</f>
        <v/>
      </c>
      <c r="BO167" s="793"/>
      <c r="BP167" s="792" t="str">
        <f t="array" ref="BP167:BQ167">{"",'S-10 Оформление сделок Выборка'!BQ167}</f>
        <v/>
      </c>
      <c r="BQ167" s="802"/>
      <c r="BR167" s="792" t="str">
        <f t="array" ref="BR167:BS167">{"",'S-10 Оформление сделок Выборка'!BS167}</f>
        <v/>
      </c>
      <c r="BS167" s="794"/>
      <c r="BT167" s="800" t="str">
        <f t="array" ref="BT167:BU167">{"",'S-10 Оформление сделок Выборка'!BU167}</f>
        <v/>
      </c>
      <c r="BU167" s="794"/>
      <c r="BV167" s="800" t="str">
        <f t="array" ref="BV167:BW167">{"",'S-10 Оформление сделок Выборка'!BW167}</f>
        <v/>
      </c>
      <c r="BW167" s="803" t="s">
        <v>96</v>
      </c>
      <c r="BX167" s="804"/>
    </row>
    <row r="168">
      <c r="A168" s="779"/>
      <c r="B168" s="779"/>
      <c r="C168" s="780" t="str">
        <f>'5-1 Сбор КП Закупки'!C168</f>
        <v/>
      </c>
      <c r="D168" s="781"/>
      <c r="E168" s="780"/>
      <c r="F168" s="783"/>
      <c r="G168" s="783"/>
      <c r="H168" s="783"/>
      <c r="I168" s="783"/>
      <c r="J168" s="780"/>
      <c r="K168" s="786"/>
      <c r="L168" s="785"/>
      <c r="M168" s="786"/>
      <c r="N168" s="786"/>
      <c r="O168" s="780"/>
      <c r="P168" s="787"/>
      <c r="Q168" s="780"/>
      <c r="R168" s="780"/>
      <c r="S168" s="780"/>
      <c r="T168" s="780"/>
      <c r="U168" s="780"/>
      <c r="V168" s="780"/>
      <c r="W168" s="787"/>
      <c r="X168" s="780"/>
      <c r="Y168" s="780"/>
      <c r="Z168" s="780"/>
      <c r="AA168" s="780"/>
      <c r="AB168" s="788"/>
      <c r="AC168" s="781"/>
      <c r="AD168" s="780"/>
      <c r="AE168" s="789" t="str">
        <f t="array" ref="AE168:AF168">{"",'S-10 Оформление сделок Выборка'!AF168}</f>
        <v/>
      </c>
      <c r="AF168" s="790"/>
      <c r="AG168" s="781"/>
      <c r="AH168" s="781"/>
      <c r="AI168" s="785"/>
      <c r="AJ168" s="780"/>
      <c r="AK168" s="792" t="str">
        <f t="array" ref="AK168:AL168">{"",'S-10 Оформление сделок Выборка'!AL168}</f>
        <v/>
      </c>
      <c r="AL168" s="793"/>
      <c r="AM168" s="792" t="str">
        <f t="array" ref="AM168:AN168">{"",'S-10 Оформление сделок Выборка'!AN168}</f>
        <v/>
      </c>
      <c r="AN168" s="794"/>
      <c r="AO168" s="792" t="str">
        <f t="array" ref="AO168:AP168">{"",'S-10 Оформление сделок Выборка'!AP168}</f>
        <v/>
      </c>
      <c r="AP168" s="786"/>
      <c r="AQ168" s="786"/>
      <c r="AR168" s="779" t="str">
        <f t="array" ref="AR168:AS168">{"",'S-10 Оформление сделок Выборка'!AS168}</f>
        <v/>
      </c>
      <c r="AS168" s="795"/>
      <c r="AT168" s="779" t="str">
        <f t="array" ref="AT168:AU168">{"",'S-10 Оформление сделок Выборка'!AU168}</f>
        <v/>
      </c>
      <c r="AU168" s="805"/>
      <c r="AV168" s="779" t="str">
        <f t="array" ref="AV168:AW168">{"",'S-10 Оформление сделок Выборка'!AW168}</f>
        <v/>
      </c>
      <c r="AW168" s="797"/>
      <c r="AX168" s="786"/>
      <c r="AY168" s="786"/>
      <c r="AZ168" s="792" t="str">
        <f t="array" ref="AZ168:BA168">{"",'S-10 Оформление сделок Выборка'!BA168}</f>
        <v/>
      </c>
      <c r="BA168" s="798"/>
      <c r="BB168" s="792" t="str">
        <f t="array" ref="BB168:BC168">{"",'S-10 Оформление сделок Выборка'!BC168}</f>
        <v/>
      </c>
      <c r="BC168" s="799"/>
      <c r="BD168" s="792" t="str">
        <f t="array" ref="BD168:BE168">{"",'S-10 Оформление сделок Выборка'!BE168}</f>
        <v/>
      </c>
      <c r="BE168" s="793"/>
      <c r="BF168" s="800" t="str">
        <f t="array" ref="BF168:BG168">{"",'S-10 Оформление сделок Выборка'!BG168}</f>
        <v/>
      </c>
      <c r="BG168" s="794"/>
      <c r="BH168" s="794" t="str">
        <f t="array" ref="BH168:BI168">{"",'S-10 Оформление сделок Выборка'!BI168}</f>
        <v/>
      </c>
      <c r="BI168" s="794"/>
      <c r="BJ168" s="792" t="str">
        <f t="array" ref="BJ168:BK168">{"",'S-10 Оформление сделок Выборка'!BK168}</f>
        <v/>
      </c>
      <c r="BK168" s="793"/>
      <c r="BL168" s="792" t="str">
        <f t="array" ref="BL168:BM168">{"",'S-10 Оформление сделок Выборка'!BM168}</f>
        <v/>
      </c>
      <c r="BM168" s="801"/>
      <c r="BN168" s="792" t="str">
        <f t="array" ref="BN168:BO168">{"",'S-10 Оформление сделок Выборка'!BO168}</f>
        <v/>
      </c>
      <c r="BO168" s="793"/>
      <c r="BP168" s="792" t="str">
        <f t="array" ref="BP168:BQ168">{"",'S-10 Оформление сделок Выборка'!BQ168}</f>
        <v/>
      </c>
      <c r="BQ168" s="802"/>
      <c r="BR168" s="792" t="str">
        <f t="array" ref="BR168:BS168">{"",'S-10 Оформление сделок Выборка'!BS168}</f>
        <v/>
      </c>
      <c r="BS168" s="794"/>
      <c r="BT168" s="800" t="str">
        <f t="array" ref="BT168:BU168">{"",'S-10 Оформление сделок Выборка'!BU168}</f>
        <v/>
      </c>
      <c r="BU168" s="794"/>
      <c r="BV168" s="800" t="str">
        <f t="array" ref="BV168:BW168">{"",'S-10 Оформление сделок Выборка'!BW168}</f>
        <v/>
      </c>
      <c r="BW168" s="803" t="s">
        <v>96</v>
      </c>
      <c r="BX168" s="804"/>
    </row>
    <row r="169">
      <c r="A169" s="779"/>
      <c r="B169" s="779"/>
      <c r="C169" s="780" t="str">
        <f>'5-1 Сбор КП Закупки'!C169</f>
        <v/>
      </c>
      <c r="D169" s="781"/>
      <c r="E169" s="780"/>
      <c r="F169" s="783"/>
      <c r="G169" s="783"/>
      <c r="H169" s="783"/>
      <c r="I169" s="783"/>
      <c r="J169" s="780"/>
      <c r="K169" s="786"/>
      <c r="L169" s="785"/>
      <c r="M169" s="786"/>
      <c r="N169" s="786"/>
      <c r="O169" s="780"/>
      <c r="P169" s="787"/>
      <c r="Q169" s="780"/>
      <c r="R169" s="780"/>
      <c r="S169" s="780"/>
      <c r="T169" s="780"/>
      <c r="U169" s="780"/>
      <c r="V169" s="780"/>
      <c r="W169" s="787"/>
      <c r="X169" s="780"/>
      <c r="Y169" s="780"/>
      <c r="Z169" s="780"/>
      <c r="AA169" s="780"/>
      <c r="AB169" s="788"/>
      <c r="AC169" s="781"/>
      <c r="AD169" s="780"/>
      <c r="AE169" s="789" t="str">
        <f t="array" ref="AE169:AF169">{"",'S-10 Оформление сделок Выборка'!AF169}</f>
        <v/>
      </c>
      <c r="AF169" s="790"/>
      <c r="AG169" s="781"/>
      <c r="AH169" s="781"/>
      <c r="AI169" s="785"/>
      <c r="AJ169" s="780"/>
      <c r="AK169" s="792" t="str">
        <f t="array" ref="AK169:AL169">{"",'S-10 Оформление сделок Выборка'!AL169}</f>
        <v/>
      </c>
      <c r="AL169" s="793"/>
      <c r="AM169" s="792" t="str">
        <f t="array" ref="AM169:AN169">{"",'S-10 Оформление сделок Выборка'!AN169}</f>
        <v/>
      </c>
      <c r="AN169" s="794"/>
      <c r="AO169" s="792" t="str">
        <f t="array" ref="AO169:AP169">{"",'S-10 Оформление сделок Выборка'!AP169}</f>
        <v/>
      </c>
      <c r="AP169" s="786"/>
      <c r="AQ169" s="786"/>
      <c r="AR169" s="779" t="str">
        <f t="array" ref="AR169:AS169">{"",'S-10 Оформление сделок Выборка'!AS169}</f>
        <v/>
      </c>
      <c r="AS169" s="795"/>
      <c r="AT169" s="779" t="str">
        <f t="array" ref="AT169:AU169">{"",'S-10 Оформление сделок Выборка'!AU169}</f>
        <v/>
      </c>
      <c r="AU169" s="805"/>
      <c r="AV169" s="779" t="str">
        <f t="array" ref="AV169:AW169">{"",'S-10 Оформление сделок Выборка'!AW169}</f>
        <v/>
      </c>
      <c r="AW169" s="797"/>
      <c r="AX169" s="786"/>
      <c r="AY169" s="786"/>
      <c r="AZ169" s="792" t="str">
        <f t="array" ref="AZ169:BA169">{"",'S-10 Оформление сделок Выборка'!BA169}</f>
        <v/>
      </c>
      <c r="BA169" s="798"/>
      <c r="BB169" s="792" t="str">
        <f t="array" ref="BB169:BC169">{"",'S-10 Оформление сделок Выборка'!BC169}</f>
        <v/>
      </c>
      <c r="BC169" s="799"/>
      <c r="BD169" s="792" t="str">
        <f t="array" ref="BD169:BE169">{"",'S-10 Оформление сделок Выборка'!BE169}</f>
        <v/>
      </c>
      <c r="BE169" s="793"/>
      <c r="BF169" s="800" t="str">
        <f t="array" ref="BF169:BG169">{"",'S-10 Оформление сделок Выборка'!BG169}</f>
        <v/>
      </c>
      <c r="BG169" s="794"/>
      <c r="BH169" s="794" t="str">
        <f t="array" ref="BH169:BI169">{"",'S-10 Оформление сделок Выборка'!BI169}</f>
        <v/>
      </c>
      <c r="BI169" s="794"/>
      <c r="BJ169" s="792" t="str">
        <f t="array" ref="BJ169:BK169">{"",'S-10 Оформление сделок Выборка'!BK169}</f>
        <v/>
      </c>
      <c r="BK169" s="793"/>
      <c r="BL169" s="792" t="str">
        <f t="array" ref="BL169:BM169">{"",'S-10 Оформление сделок Выборка'!BM169}</f>
        <v/>
      </c>
      <c r="BM169" s="801"/>
      <c r="BN169" s="792" t="str">
        <f t="array" ref="BN169:BO169">{"",'S-10 Оформление сделок Выборка'!BO169}</f>
        <v/>
      </c>
      <c r="BO169" s="793"/>
      <c r="BP169" s="792" t="str">
        <f t="array" ref="BP169:BQ169">{"",'S-10 Оформление сделок Выборка'!BQ169}</f>
        <v/>
      </c>
      <c r="BQ169" s="802"/>
      <c r="BR169" s="792" t="str">
        <f t="array" ref="BR169:BS169">{"",'S-10 Оформление сделок Выборка'!BS169}</f>
        <v/>
      </c>
      <c r="BS169" s="794"/>
      <c r="BT169" s="800" t="str">
        <f t="array" ref="BT169:BU169">{"",'S-10 Оформление сделок Выборка'!BU169}</f>
        <v/>
      </c>
      <c r="BU169" s="794"/>
      <c r="BV169" s="800" t="str">
        <f t="array" ref="BV169:BW169">{"",'S-10 Оформление сделок Выборка'!BW169}</f>
        <v/>
      </c>
      <c r="BW169" s="803" t="s">
        <v>96</v>
      </c>
      <c r="BX169" s="804"/>
    </row>
    <row r="170">
      <c r="A170" s="779"/>
      <c r="B170" s="779"/>
      <c r="C170" s="780" t="str">
        <f>'5-1 Сбор КП Закупки'!C170</f>
        <v/>
      </c>
      <c r="D170" s="781"/>
      <c r="E170" s="780"/>
      <c r="F170" s="783"/>
      <c r="G170" s="783"/>
      <c r="H170" s="783"/>
      <c r="I170" s="783"/>
      <c r="J170" s="780"/>
      <c r="K170" s="786"/>
      <c r="L170" s="785"/>
      <c r="M170" s="786"/>
      <c r="N170" s="786"/>
      <c r="O170" s="780"/>
      <c r="P170" s="787"/>
      <c r="Q170" s="780"/>
      <c r="R170" s="780"/>
      <c r="S170" s="780"/>
      <c r="T170" s="780"/>
      <c r="U170" s="780"/>
      <c r="V170" s="780"/>
      <c r="W170" s="787"/>
      <c r="X170" s="780"/>
      <c r="Y170" s="780"/>
      <c r="Z170" s="780"/>
      <c r="AA170" s="780"/>
      <c r="AB170" s="788"/>
      <c r="AC170" s="781"/>
      <c r="AD170" s="780"/>
      <c r="AE170" s="789" t="str">
        <f t="array" ref="AE170:AF170">{"",'S-10 Оформление сделок Выборка'!AF170}</f>
        <v/>
      </c>
      <c r="AF170" s="790"/>
      <c r="AG170" s="781"/>
      <c r="AH170" s="781"/>
      <c r="AI170" s="785"/>
      <c r="AJ170" s="780"/>
      <c r="AK170" s="792" t="str">
        <f t="array" ref="AK170:AL170">{"",'S-10 Оформление сделок Выборка'!AL170}</f>
        <v/>
      </c>
      <c r="AL170" s="793"/>
      <c r="AM170" s="792" t="str">
        <f t="array" ref="AM170:AN170">{"",'S-10 Оформление сделок Выборка'!AN170}</f>
        <v/>
      </c>
      <c r="AN170" s="794"/>
      <c r="AO170" s="792" t="str">
        <f t="array" ref="AO170:AP170">{"",'S-10 Оформление сделок Выборка'!AP170}</f>
        <v/>
      </c>
      <c r="AP170" s="786"/>
      <c r="AQ170" s="786"/>
      <c r="AR170" s="779" t="str">
        <f t="array" ref="AR170:AS170">{"",'S-10 Оформление сделок Выборка'!AS170}</f>
        <v/>
      </c>
      <c r="AS170" s="795"/>
      <c r="AT170" s="779" t="str">
        <f t="array" ref="AT170:AU170">{"",'S-10 Оформление сделок Выборка'!AU170}</f>
        <v/>
      </c>
      <c r="AU170" s="805"/>
      <c r="AV170" s="779" t="str">
        <f t="array" ref="AV170:AW170">{"",'S-10 Оформление сделок Выборка'!AW170}</f>
        <v/>
      </c>
      <c r="AW170" s="797"/>
      <c r="AX170" s="786"/>
      <c r="AY170" s="786"/>
      <c r="AZ170" s="792" t="str">
        <f t="array" ref="AZ170:BA170">{"",'S-10 Оформление сделок Выборка'!BA170}</f>
        <v/>
      </c>
      <c r="BA170" s="798"/>
      <c r="BB170" s="792" t="str">
        <f t="array" ref="BB170:BC170">{"",'S-10 Оформление сделок Выборка'!BC170}</f>
        <v/>
      </c>
      <c r="BC170" s="799"/>
      <c r="BD170" s="792" t="str">
        <f t="array" ref="BD170:BE170">{"",'S-10 Оформление сделок Выборка'!BE170}</f>
        <v/>
      </c>
      <c r="BE170" s="793"/>
      <c r="BF170" s="800" t="str">
        <f t="array" ref="BF170:BG170">{"",'S-10 Оформление сделок Выборка'!BG170}</f>
        <v/>
      </c>
      <c r="BG170" s="794"/>
      <c r="BH170" s="794" t="str">
        <f t="array" ref="BH170:BI170">{"",'S-10 Оформление сделок Выборка'!BI170}</f>
        <v/>
      </c>
      <c r="BI170" s="794"/>
      <c r="BJ170" s="792" t="str">
        <f t="array" ref="BJ170:BK170">{"",'S-10 Оформление сделок Выборка'!BK170}</f>
        <v/>
      </c>
      <c r="BK170" s="793"/>
      <c r="BL170" s="792" t="str">
        <f t="array" ref="BL170:BM170">{"",'S-10 Оформление сделок Выборка'!BM170}</f>
        <v/>
      </c>
      <c r="BM170" s="801"/>
      <c r="BN170" s="792" t="str">
        <f t="array" ref="BN170:BO170">{"",'S-10 Оформление сделок Выборка'!BO170}</f>
        <v/>
      </c>
      <c r="BO170" s="793"/>
      <c r="BP170" s="792" t="str">
        <f t="array" ref="BP170:BQ170">{"",'S-10 Оформление сделок Выборка'!BQ170}</f>
        <v/>
      </c>
      <c r="BQ170" s="802"/>
      <c r="BR170" s="792" t="str">
        <f t="array" ref="BR170:BS170">{"",'S-10 Оформление сделок Выборка'!BS170}</f>
        <v/>
      </c>
      <c r="BS170" s="794"/>
      <c r="BT170" s="800" t="str">
        <f t="array" ref="BT170:BU170">{"",'S-10 Оформление сделок Выборка'!BU170}</f>
        <v/>
      </c>
      <c r="BU170" s="794"/>
      <c r="BV170" s="800" t="str">
        <f t="array" ref="BV170:BW170">{"",'S-10 Оформление сделок Выборка'!BW170}</f>
        <v/>
      </c>
      <c r="BW170" s="803" t="s">
        <v>96</v>
      </c>
      <c r="BX170" s="804"/>
    </row>
    <row r="171">
      <c r="A171" s="779"/>
      <c r="B171" s="779"/>
      <c r="C171" s="780" t="str">
        <f>'5-1 Сбор КП Закупки'!C171</f>
        <v/>
      </c>
      <c r="D171" s="781"/>
      <c r="E171" s="780"/>
      <c r="F171" s="783"/>
      <c r="G171" s="783"/>
      <c r="H171" s="783"/>
      <c r="I171" s="783"/>
      <c r="J171" s="780"/>
      <c r="K171" s="786"/>
      <c r="L171" s="785"/>
      <c r="M171" s="786"/>
      <c r="N171" s="786"/>
      <c r="O171" s="780"/>
      <c r="P171" s="787"/>
      <c r="Q171" s="780"/>
      <c r="R171" s="780"/>
      <c r="S171" s="780"/>
      <c r="T171" s="780"/>
      <c r="U171" s="780"/>
      <c r="V171" s="780"/>
      <c r="W171" s="787"/>
      <c r="X171" s="780"/>
      <c r="Y171" s="780"/>
      <c r="Z171" s="780"/>
      <c r="AA171" s="780"/>
      <c r="AB171" s="788"/>
      <c r="AC171" s="781"/>
      <c r="AD171" s="780"/>
      <c r="AE171" s="789" t="str">
        <f t="array" ref="AE171:AF171">{"",'S-10 Оформление сделок Выборка'!AF171}</f>
        <v/>
      </c>
      <c r="AF171" s="790"/>
      <c r="AG171" s="781"/>
      <c r="AH171" s="781"/>
      <c r="AI171" s="785"/>
      <c r="AJ171" s="780"/>
      <c r="AK171" s="792" t="str">
        <f t="array" ref="AK171:AL171">{"",'S-10 Оформление сделок Выборка'!AL171}</f>
        <v/>
      </c>
      <c r="AL171" s="793"/>
      <c r="AM171" s="792" t="str">
        <f t="array" ref="AM171:AN171">{"",'S-10 Оформление сделок Выборка'!AN171}</f>
        <v/>
      </c>
      <c r="AN171" s="794"/>
      <c r="AO171" s="792" t="str">
        <f t="array" ref="AO171:AP171">{"",'S-10 Оформление сделок Выборка'!AP171}</f>
        <v/>
      </c>
      <c r="AP171" s="786"/>
      <c r="AQ171" s="786"/>
      <c r="AR171" s="779" t="str">
        <f t="array" ref="AR171:AS171">{"",'S-10 Оформление сделок Выборка'!AS171}</f>
        <v/>
      </c>
      <c r="AS171" s="795"/>
      <c r="AT171" s="779" t="str">
        <f t="array" ref="AT171:AU171">{"",'S-10 Оформление сделок Выборка'!AU171}</f>
        <v/>
      </c>
      <c r="AU171" s="805"/>
      <c r="AV171" s="779" t="str">
        <f t="array" ref="AV171:AW171">{"",'S-10 Оформление сделок Выборка'!AW171}</f>
        <v/>
      </c>
      <c r="AW171" s="797"/>
      <c r="AX171" s="786"/>
      <c r="AY171" s="786"/>
      <c r="AZ171" s="792" t="str">
        <f t="array" ref="AZ171:BA171">{"",'S-10 Оформление сделок Выборка'!BA171}</f>
        <v/>
      </c>
      <c r="BA171" s="798"/>
      <c r="BB171" s="792" t="str">
        <f t="array" ref="BB171:BC171">{"",'S-10 Оформление сделок Выборка'!BC171}</f>
        <v/>
      </c>
      <c r="BC171" s="799"/>
      <c r="BD171" s="792" t="str">
        <f t="array" ref="BD171:BE171">{"",'S-10 Оформление сделок Выборка'!BE171}</f>
        <v/>
      </c>
      <c r="BE171" s="793"/>
      <c r="BF171" s="800" t="str">
        <f t="array" ref="BF171:BG171">{"",'S-10 Оформление сделок Выборка'!BG171}</f>
        <v/>
      </c>
      <c r="BG171" s="794"/>
      <c r="BH171" s="794" t="str">
        <f t="array" ref="BH171:BI171">{"",'S-10 Оформление сделок Выборка'!BI171}</f>
        <v/>
      </c>
      <c r="BI171" s="794"/>
      <c r="BJ171" s="792" t="str">
        <f t="array" ref="BJ171:BK171">{"",'S-10 Оформление сделок Выборка'!BK171}</f>
        <v/>
      </c>
      <c r="BK171" s="793"/>
      <c r="BL171" s="792" t="str">
        <f t="array" ref="BL171:BM171">{"",'S-10 Оформление сделок Выборка'!BM171}</f>
        <v/>
      </c>
      <c r="BM171" s="801"/>
      <c r="BN171" s="792" t="str">
        <f t="array" ref="BN171:BO171">{"",'S-10 Оформление сделок Выборка'!BO171}</f>
        <v/>
      </c>
      <c r="BO171" s="793"/>
      <c r="BP171" s="792" t="str">
        <f t="array" ref="BP171:BQ171">{"",'S-10 Оформление сделок Выборка'!BQ171}</f>
        <v/>
      </c>
      <c r="BQ171" s="802"/>
      <c r="BR171" s="792" t="str">
        <f t="array" ref="BR171:BS171">{"",'S-10 Оформление сделок Выборка'!BS171}</f>
        <v/>
      </c>
      <c r="BS171" s="794"/>
      <c r="BT171" s="800" t="str">
        <f t="array" ref="BT171:BU171">{"",'S-10 Оформление сделок Выборка'!BU171}</f>
        <v/>
      </c>
      <c r="BU171" s="794"/>
      <c r="BV171" s="800" t="str">
        <f t="array" ref="BV171:BW171">{"",'S-10 Оформление сделок Выборка'!BW171}</f>
        <v/>
      </c>
      <c r="BW171" s="803" t="s">
        <v>96</v>
      </c>
      <c r="BX171" s="804"/>
    </row>
    <row r="172">
      <c r="A172" s="779"/>
      <c r="B172" s="779"/>
      <c r="C172" s="780" t="str">
        <f>'5-1 Сбор КП Закупки'!C172</f>
        <v/>
      </c>
      <c r="D172" s="781"/>
      <c r="E172" s="780"/>
      <c r="F172" s="783"/>
      <c r="G172" s="783"/>
      <c r="H172" s="783"/>
      <c r="I172" s="783"/>
      <c r="J172" s="780"/>
      <c r="K172" s="786"/>
      <c r="L172" s="785"/>
      <c r="M172" s="786"/>
      <c r="N172" s="786"/>
      <c r="O172" s="780"/>
      <c r="P172" s="787"/>
      <c r="Q172" s="780"/>
      <c r="R172" s="780"/>
      <c r="S172" s="780"/>
      <c r="T172" s="780"/>
      <c r="U172" s="780"/>
      <c r="V172" s="780"/>
      <c r="W172" s="787"/>
      <c r="X172" s="780"/>
      <c r="Y172" s="780"/>
      <c r="Z172" s="780"/>
      <c r="AA172" s="780"/>
      <c r="AB172" s="788"/>
      <c r="AC172" s="781"/>
      <c r="AD172" s="780"/>
      <c r="AE172" s="789" t="str">
        <f t="array" ref="AE172:AF172">{"",'S-10 Оформление сделок Выборка'!AF172}</f>
        <v/>
      </c>
      <c r="AF172" s="790"/>
      <c r="AG172" s="781"/>
      <c r="AH172" s="781"/>
      <c r="AI172" s="785"/>
      <c r="AJ172" s="780"/>
      <c r="AK172" s="792" t="str">
        <f t="array" ref="AK172:AL172">{"",'S-10 Оформление сделок Выборка'!AL172}</f>
        <v/>
      </c>
      <c r="AL172" s="793"/>
      <c r="AM172" s="792" t="str">
        <f t="array" ref="AM172:AN172">{"",'S-10 Оформление сделок Выборка'!AN172}</f>
        <v/>
      </c>
      <c r="AN172" s="794"/>
      <c r="AO172" s="792" t="str">
        <f t="array" ref="AO172:AP172">{"",'S-10 Оформление сделок Выборка'!AP172}</f>
        <v/>
      </c>
      <c r="AP172" s="786"/>
      <c r="AQ172" s="786"/>
      <c r="AR172" s="779" t="str">
        <f t="array" ref="AR172:AS172">{"",'S-10 Оформление сделок Выборка'!AS172}</f>
        <v/>
      </c>
      <c r="AS172" s="795"/>
      <c r="AT172" s="779" t="str">
        <f t="array" ref="AT172:AU172">{"",'S-10 Оформление сделок Выборка'!AU172}</f>
        <v/>
      </c>
      <c r="AU172" s="805"/>
      <c r="AV172" s="779" t="str">
        <f t="array" ref="AV172:AW172">{"",'S-10 Оформление сделок Выборка'!AW172}</f>
        <v/>
      </c>
      <c r="AW172" s="797"/>
      <c r="AX172" s="786"/>
      <c r="AY172" s="786"/>
      <c r="AZ172" s="792" t="str">
        <f t="array" ref="AZ172:BA172">{"",'S-10 Оформление сделок Выборка'!BA172}</f>
        <v/>
      </c>
      <c r="BA172" s="798"/>
      <c r="BB172" s="792" t="str">
        <f t="array" ref="BB172:BC172">{"",'S-10 Оформление сделок Выборка'!BC172}</f>
        <v/>
      </c>
      <c r="BC172" s="799"/>
      <c r="BD172" s="792" t="str">
        <f t="array" ref="BD172:BE172">{"",'S-10 Оформление сделок Выборка'!BE172}</f>
        <v/>
      </c>
      <c r="BE172" s="793"/>
      <c r="BF172" s="800" t="str">
        <f t="array" ref="BF172:BG172">{"",'S-10 Оформление сделок Выборка'!BG172}</f>
        <v/>
      </c>
      <c r="BG172" s="794"/>
      <c r="BH172" s="794" t="str">
        <f t="array" ref="BH172:BI172">{"",'S-10 Оформление сделок Выборка'!BI172}</f>
        <v/>
      </c>
      <c r="BI172" s="794"/>
      <c r="BJ172" s="792" t="str">
        <f t="array" ref="BJ172:BK172">{"",'S-10 Оформление сделок Выборка'!BK172}</f>
        <v/>
      </c>
      <c r="BK172" s="793"/>
      <c r="BL172" s="792" t="str">
        <f t="array" ref="BL172:BM172">{"",'S-10 Оформление сделок Выборка'!BM172}</f>
        <v/>
      </c>
      <c r="BM172" s="801"/>
      <c r="BN172" s="792" t="str">
        <f t="array" ref="BN172:BO172">{"",'S-10 Оформление сделок Выборка'!BO172}</f>
        <v/>
      </c>
      <c r="BO172" s="793"/>
      <c r="BP172" s="792" t="str">
        <f t="array" ref="BP172:BQ172">{"",'S-10 Оформление сделок Выборка'!BQ172}</f>
        <v/>
      </c>
      <c r="BQ172" s="802"/>
      <c r="BR172" s="792" t="str">
        <f t="array" ref="BR172:BS172">{"",'S-10 Оформление сделок Выборка'!BS172}</f>
        <v/>
      </c>
      <c r="BS172" s="794"/>
      <c r="BT172" s="800" t="str">
        <f t="array" ref="BT172:BU172">{"",'S-10 Оформление сделок Выборка'!BU172}</f>
        <v/>
      </c>
      <c r="BU172" s="794"/>
      <c r="BV172" s="800" t="str">
        <f t="array" ref="BV172:BW172">{"",'S-10 Оформление сделок Выборка'!BW172}</f>
        <v/>
      </c>
      <c r="BW172" s="803" t="s">
        <v>96</v>
      </c>
      <c r="BX172" s="804"/>
    </row>
    <row r="173">
      <c r="A173" s="779"/>
      <c r="B173" s="779"/>
      <c r="C173" s="780" t="str">
        <f>'5-1 Сбор КП Закупки'!C173</f>
        <v/>
      </c>
      <c r="D173" s="781"/>
      <c r="E173" s="780"/>
      <c r="F173" s="783"/>
      <c r="G173" s="783"/>
      <c r="H173" s="783"/>
      <c r="I173" s="783"/>
      <c r="J173" s="780"/>
      <c r="K173" s="786"/>
      <c r="L173" s="785"/>
      <c r="M173" s="786"/>
      <c r="N173" s="786"/>
      <c r="O173" s="780"/>
      <c r="P173" s="787"/>
      <c r="Q173" s="780"/>
      <c r="R173" s="780"/>
      <c r="S173" s="780"/>
      <c r="T173" s="780"/>
      <c r="U173" s="780"/>
      <c r="V173" s="780"/>
      <c r="W173" s="787"/>
      <c r="X173" s="780"/>
      <c r="Y173" s="780"/>
      <c r="Z173" s="780"/>
      <c r="AA173" s="780"/>
      <c r="AB173" s="788"/>
      <c r="AC173" s="781"/>
      <c r="AD173" s="780"/>
      <c r="AE173" s="789" t="str">
        <f t="array" ref="AE173:AF173">{"",'S-10 Оформление сделок Выборка'!AF173}</f>
        <v/>
      </c>
      <c r="AF173" s="790"/>
      <c r="AG173" s="781"/>
      <c r="AH173" s="781"/>
      <c r="AI173" s="785"/>
      <c r="AJ173" s="780"/>
      <c r="AK173" s="792" t="str">
        <f t="array" ref="AK173:AL173">{"",'S-10 Оформление сделок Выборка'!AL173}</f>
        <v/>
      </c>
      <c r="AL173" s="793"/>
      <c r="AM173" s="792" t="str">
        <f t="array" ref="AM173:AN173">{"",'S-10 Оформление сделок Выборка'!AN173}</f>
        <v/>
      </c>
      <c r="AN173" s="794"/>
      <c r="AO173" s="792" t="str">
        <f t="array" ref="AO173:AP173">{"",'S-10 Оформление сделок Выборка'!AP173}</f>
        <v/>
      </c>
      <c r="AP173" s="786"/>
      <c r="AQ173" s="786"/>
      <c r="AR173" s="779" t="str">
        <f t="array" ref="AR173:AS173">{"",'S-10 Оформление сделок Выборка'!AS173}</f>
        <v/>
      </c>
      <c r="AS173" s="795"/>
      <c r="AT173" s="779" t="str">
        <f t="array" ref="AT173:AU173">{"",'S-10 Оформление сделок Выборка'!AU173}</f>
        <v/>
      </c>
      <c r="AU173" s="805"/>
      <c r="AV173" s="779" t="str">
        <f t="array" ref="AV173:AW173">{"",'S-10 Оформление сделок Выборка'!AW173}</f>
        <v/>
      </c>
      <c r="AW173" s="797"/>
      <c r="AX173" s="786"/>
      <c r="AY173" s="786"/>
      <c r="AZ173" s="792" t="str">
        <f t="array" ref="AZ173:BA173">{"",'S-10 Оформление сделок Выборка'!BA173}</f>
        <v/>
      </c>
      <c r="BA173" s="798"/>
      <c r="BB173" s="792" t="str">
        <f t="array" ref="BB173:BC173">{"",'S-10 Оформление сделок Выборка'!BC173}</f>
        <v/>
      </c>
      <c r="BC173" s="799"/>
      <c r="BD173" s="792" t="str">
        <f t="array" ref="BD173:BE173">{"",'S-10 Оформление сделок Выборка'!BE173}</f>
        <v/>
      </c>
      <c r="BE173" s="793"/>
      <c r="BF173" s="800" t="str">
        <f t="array" ref="BF173:BG173">{"",'S-10 Оформление сделок Выборка'!BG173}</f>
        <v/>
      </c>
      <c r="BG173" s="794"/>
      <c r="BH173" s="794" t="str">
        <f t="array" ref="BH173:BI173">{"",'S-10 Оформление сделок Выборка'!BI173}</f>
        <v/>
      </c>
      <c r="BI173" s="794"/>
      <c r="BJ173" s="792" t="str">
        <f t="array" ref="BJ173:BK173">{"",'S-10 Оформление сделок Выборка'!BK173}</f>
        <v/>
      </c>
      <c r="BK173" s="793"/>
      <c r="BL173" s="792" t="str">
        <f t="array" ref="BL173:BM173">{"",'S-10 Оформление сделок Выборка'!BM173}</f>
        <v/>
      </c>
      <c r="BM173" s="801"/>
      <c r="BN173" s="792" t="str">
        <f t="array" ref="BN173:BO173">{"",'S-10 Оформление сделок Выборка'!BO173}</f>
        <v/>
      </c>
      <c r="BO173" s="793"/>
      <c r="BP173" s="792" t="str">
        <f t="array" ref="BP173:BQ173">{"",'S-10 Оформление сделок Выборка'!BQ173}</f>
        <v/>
      </c>
      <c r="BQ173" s="802"/>
      <c r="BR173" s="792" t="str">
        <f t="array" ref="BR173:BS173">{"",'S-10 Оформление сделок Выборка'!BS173}</f>
        <v/>
      </c>
      <c r="BS173" s="794"/>
      <c r="BT173" s="800" t="str">
        <f t="array" ref="BT173:BU173">{"",'S-10 Оформление сделок Выборка'!BU173}</f>
        <v/>
      </c>
      <c r="BU173" s="794"/>
      <c r="BV173" s="800" t="str">
        <f t="array" ref="BV173:BW173">{"",'S-10 Оформление сделок Выборка'!BW173}</f>
        <v/>
      </c>
      <c r="BW173" s="803" t="s">
        <v>96</v>
      </c>
      <c r="BX173" s="804"/>
    </row>
    <row r="174">
      <c r="A174" s="779"/>
      <c r="B174" s="779"/>
      <c r="C174" s="780" t="str">
        <f>'5-1 Сбор КП Закупки'!C174</f>
        <v/>
      </c>
      <c r="D174" s="781"/>
      <c r="E174" s="780"/>
      <c r="F174" s="783"/>
      <c r="G174" s="783"/>
      <c r="H174" s="783"/>
      <c r="I174" s="783"/>
      <c r="J174" s="780"/>
      <c r="K174" s="786"/>
      <c r="L174" s="785"/>
      <c r="M174" s="786"/>
      <c r="N174" s="786"/>
      <c r="O174" s="780"/>
      <c r="P174" s="787"/>
      <c r="Q174" s="780"/>
      <c r="R174" s="780"/>
      <c r="S174" s="780"/>
      <c r="T174" s="780"/>
      <c r="U174" s="780"/>
      <c r="V174" s="780"/>
      <c r="W174" s="787"/>
      <c r="X174" s="780"/>
      <c r="Y174" s="780"/>
      <c r="Z174" s="780"/>
      <c r="AA174" s="780"/>
      <c r="AB174" s="788"/>
      <c r="AC174" s="781"/>
      <c r="AD174" s="780"/>
      <c r="AE174" s="789" t="str">
        <f t="array" ref="AE174:AF174">{"",'S-10 Оформление сделок Выборка'!AF174}</f>
        <v/>
      </c>
      <c r="AF174" s="790"/>
      <c r="AG174" s="781"/>
      <c r="AH174" s="781"/>
      <c r="AI174" s="785"/>
      <c r="AJ174" s="780"/>
      <c r="AK174" s="792" t="str">
        <f t="array" ref="AK174:AL174">{"",'S-10 Оформление сделок Выборка'!AL174}</f>
        <v/>
      </c>
      <c r="AL174" s="793"/>
      <c r="AM174" s="792" t="str">
        <f t="array" ref="AM174:AN174">{"",'S-10 Оформление сделок Выборка'!AN174}</f>
        <v/>
      </c>
      <c r="AN174" s="794"/>
      <c r="AO174" s="792" t="str">
        <f t="array" ref="AO174:AP174">{"",'S-10 Оформление сделок Выборка'!AP174}</f>
        <v/>
      </c>
      <c r="AP174" s="786"/>
      <c r="AQ174" s="786"/>
      <c r="AR174" s="779" t="str">
        <f t="array" ref="AR174:AS174">{"",'S-10 Оформление сделок Выборка'!AS174}</f>
        <v/>
      </c>
      <c r="AS174" s="795"/>
      <c r="AT174" s="779" t="str">
        <f t="array" ref="AT174:AU174">{"",'S-10 Оформление сделок Выборка'!AU174}</f>
        <v/>
      </c>
      <c r="AU174" s="805"/>
      <c r="AV174" s="779" t="str">
        <f t="array" ref="AV174:AW174">{"",'S-10 Оформление сделок Выборка'!AW174}</f>
        <v/>
      </c>
      <c r="AW174" s="797"/>
      <c r="AX174" s="786"/>
      <c r="AY174" s="786"/>
      <c r="AZ174" s="792" t="str">
        <f t="array" ref="AZ174:BA174">{"",'S-10 Оформление сделок Выборка'!BA174}</f>
        <v/>
      </c>
      <c r="BA174" s="798"/>
      <c r="BB174" s="792" t="str">
        <f t="array" ref="BB174:BC174">{"",'S-10 Оформление сделок Выборка'!BC174}</f>
        <v/>
      </c>
      <c r="BC174" s="799"/>
      <c r="BD174" s="792" t="str">
        <f t="array" ref="BD174:BE174">{"",'S-10 Оформление сделок Выборка'!BE174}</f>
        <v/>
      </c>
      <c r="BE174" s="793"/>
      <c r="BF174" s="800" t="str">
        <f t="array" ref="BF174:BG174">{"",'S-10 Оформление сделок Выборка'!BG174}</f>
        <v/>
      </c>
      <c r="BG174" s="794"/>
      <c r="BH174" s="794" t="str">
        <f t="array" ref="BH174:BI174">{"",'S-10 Оформление сделок Выборка'!BI174}</f>
        <v/>
      </c>
      <c r="BI174" s="794"/>
      <c r="BJ174" s="792" t="str">
        <f t="array" ref="BJ174:BK174">{"",'S-10 Оформление сделок Выборка'!BK174}</f>
        <v/>
      </c>
      <c r="BK174" s="793"/>
      <c r="BL174" s="792" t="str">
        <f t="array" ref="BL174:BM174">{"",'S-10 Оформление сделок Выборка'!BM174}</f>
        <v/>
      </c>
      <c r="BM174" s="801"/>
      <c r="BN174" s="792" t="str">
        <f t="array" ref="BN174:BO174">{"",'S-10 Оформление сделок Выборка'!BO174}</f>
        <v/>
      </c>
      <c r="BO174" s="793"/>
      <c r="BP174" s="792" t="str">
        <f t="array" ref="BP174:BQ174">{"",'S-10 Оформление сделок Выборка'!BQ174}</f>
        <v/>
      </c>
      <c r="BQ174" s="802"/>
      <c r="BR174" s="792" t="str">
        <f t="array" ref="BR174:BS174">{"",'S-10 Оформление сделок Выборка'!BS174}</f>
        <v/>
      </c>
      <c r="BS174" s="794"/>
      <c r="BT174" s="800" t="str">
        <f t="array" ref="BT174:BU174">{"",'S-10 Оформление сделок Выборка'!BU174}</f>
        <v/>
      </c>
      <c r="BU174" s="794"/>
      <c r="BV174" s="800" t="str">
        <f t="array" ref="BV174:BW174">{"",'S-10 Оформление сделок Выборка'!BW174}</f>
        <v/>
      </c>
      <c r="BW174" s="803" t="s">
        <v>96</v>
      </c>
      <c r="BX174" s="804"/>
    </row>
    <row r="175">
      <c r="A175" s="779"/>
      <c r="B175" s="779"/>
      <c r="C175" s="780" t="str">
        <f>'5-1 Сбор КП Закупки'!C175</f>
        <v/>
      </c>
      <c r="D175" s="781"/>
      <c r="E175" s="780"/>
      <c r="F175" s="783"/>
      <c r="G175" s="783"/>
      <c r="H175" s="783"/>
      <c r="I175" s="783"/>
      <c r="J175" s="780"/>
      <c r="K175" s="786"/>
      <c r="L175" s="785"/>
      <c r="M175" s="786"/>
      <c r="N175" s="786"/>
      <c r="O175" s="780"/>
      <c r="P175" s="787"/>
      <c r="Q175" s="780"/>
      <c r="R175" s="780"/>
      <c r="S175" s="780"/>
      <c r="T175" s="780"/>
      <c r="U175" s="780"/>
      <c r="V175" s="780"/>
      <c r="W175" s="787"/>
      <c r="X175" s="780"/>
      <c r="Y175" s="780"/>
      <c r="Z175" s="780"/>
      <c r="AA175" s="780"/>
      <c r="AB175" s="788"/>
      <c r="AC175" s="781"/>
      <c r="AD175" s="780"/>
      <c r="AE175" s="789" t="str">
        <f t="array" ref="AE175:AF175">{"",'S-10 Оформление сделок Выборка'!AF175}</f>
        <v/>
      </c>
      <c r="AF175" s="790"/>
      <c r="AG175" s="781"/>
      <c r="AH175" s="781"/>
      <c r="AI175" s="785"/>
      <c r="AJ175" s="780"/>
      <c r="AK175" s="792" t="str">
        <f t="array" ref="AK175:AL175">{"",'S-10 Оформление сделок Выборка'!AL175}</f>
        <v/>
      </c>
      <c r="AL175" s="793"/>
      <c r="AM175" s="792" t="str">
        <f t="array" ref="AM175:AN175">{"",'S-10 Оформление сделок Выборка'!AN175}</f>
        <v/>
      </c>
      <c r="AN175" s="794"/>
      <c r="AO175" s="792" t="str">
        <f t="array" ref="AO175:AP175">{"",'S-10 Оформление сделок Выборка'!AP175}</f>
        <v/>
      </c>
      <c r="AP175" s="786"/>
      <c r="AQ175" s="786"/>
      <c r="AR175" s="779" t="str">
        <f t="array" ref="AR175:AS175">{"",'S-10 Оформление сделок Выборка'!AS175}</f>
        <v/>
      </c>
      <c r="AS175" s="795"/>
      <c r="AT175" s="779" t="str">
        <f t="array" ref="AT175:AU175">{"",'S-10 Оформление сделок Выборка'!AU175}</f>
        <v/>
      </c>
      <c r="AU175" s="805"/>
      <c r="AV175" s="779" t="str">
        <f t="array" ref="AV175:AW175">{"",'S-10 Оформление сделок Выборка'!AW175}</f>
        <v/>
      </c>
      <c r="AW175" s="797"/>
      <c r="AX175" s="786"/>
      <c r="AY175" s="786"/>
      <c r="AZ175" s="792" t="str">
        <f t="array" ref="AZ175:BA175">{"",'S-10 Оформление сделок Выборка'!BA175}</f>
        <v/>
      </c>
      <c r="BA175" s="798"/>
      <c r="BB175" s="792" t="str">
        <f t="array" ref="BB175:BC175">{"",'S-10 Оформление сделок Выборка'!BC175}</f>
        <v/>
      </c>
      <c r="BC175" s="799"/>
      <c r="BD175" s="792" t="str">
        <f t="array" ref="BD175:BE175">{"",'S-10 Оформление сделок Выборка'!BE175}</f>
        <v/>
      </c>
      <c r="BE175" s="793"/>
      <c r="BF175" s="800" t="str">
        <f t="array" ref="BF175:BG175">{"",'S-10 Оформление сделок Выборка'!BG175}</f>
        <v/>
      </c>
      <c r="BG175" s="794"/>
      <c r="BH175" s="794" t="str">
        <f t="array" ref="BH175:BI175">{"",'S-10 Оформление сделок Выборка'!BI175}</f>
        <v/>
      </c>
      <c r="BI175" s="794"/>
      <c r="BJ175" s="792" t="str">
        <f t="array" ref="BJ175:BK175">{"",'S-10 Оформление сделок Выборка'!BK175}</f>
        <v/>
      </c>
      <c r="BK175" s="793"/>
      <c r="BL175" s="792" t="str">
        <f t="array" ref="BL175:BM175">{"",'S-10 Оформление сделок Выборка'!BM175}</f>
        <v/>
      </c>
      <c r="BM175" s="801"/>
      <c r="BN175" s="792" t="str">
        <f t="array" ref="BN175:BO175">{"",'S-10 Оформление сделок Выборка'!BO175}</f>
        <v/>
      </c>
      <c r="BO175" s="793"/>
      <c r="BP175" s="792" t="str">
        <f t="array" ref="BP175:BQ175">{"",'S-10 Оформление сделок Выборка'!BQ175}</f>
        <v/>
      </c>
      <c r="BQ175" s="802"/>
      <c r="BR175" s="792" t="str">
        <f t="array" ref="BR175:BS175">{"",'S-10 Оформление сделок Выборка'!BS175}</f>
        <v/>
      </c>
      <c r="BS175" s="794"/>
      <c r="BT175" s="800" t="str">
        <f t="array" ref="BT175:BU175">{"",'S-10 Оформление сделок Выборка'!BU175}</f>
        <v/>
      </c>
      <c r="BU175" s="794"/>
      <c r="BV175" s="800" t="str">
        <f t="array" ref="BV175:BW175">{"",'S-10 Оформление сделок Выборка'!BW175}</f>
        <v/>
      </c>
      <c r="BW175" s="803" t="s">
        <v>96</v>
      </c>
      <c r="BX175" s="804"/>
    </row>
    <row r="176">
      <c r="A176" s="779"/>
      <c r="B176" s="779"/>
      <c r="C176" s="780" t="str">
        <f>'5-1 Сбор КП Закупки'!C176</f>
        <v/>
      </c>
      <c r="D176" s="781"/>
      <c r="E176" s="780"/>
      <c r="F176" s="783"/>
      <c r="G176" s="783"/>
      <c r="H176" s="783"/>
      <c r="I176" s="783"/>
      <c r="J176" s="780"/>
      <c r="K176" s="786"/>
      <c r="L176" s="785"/>
      <c r="M176" s="786"/>
      <c r="N176" s="786"/>
      <c r="O176" s="780"/>
      <c r="P176" s="787"/>
      <c r="Q176" s="780"/>
      <c r="R176" s="780"/>
      <c r="S176" s="780"/>
      <c r="T176" s="780"/>
      <c r="U176" s="780"/>
      <c r="V176" s="780"/>
      <c r="W176" s="787"/>
      <c r="X176" s="780"/>
      <c r="Y176" s="780"/>
      <c r="Z176" s="780"/>
      <c r="AA176" s="780"/>
      <c r="AB176" s="788"/>
      <c r="AC176" s="781"/>
      <c r="AD176" s="780"/>
      <c r="AE176" s="789" t="str">
        <f t="array" ref="AE176:AF176">{"",'S-10 Оформление сделок Выборка'!AF176}</f>
        <v/>
      </c>
      <c r="AF176" s="790"/>
      <c r="AG176" s="781"/>
      <c r="AH176" s="781"/>
      <c r="AI176" s="785"/>
      <c r="AJ176" s="780"/>
      <c r="AK176" s="792" t="str">
        <f t="array" ref="AK176:AL176">{"",'S-10 Оформление сделок Выборка'!AL176}</f>
        <v/>
      </c>
      <c r="AL176" s="793"/>
      <c r="AM176" s="792" t="str">
        <f t="array" ref="AM176:AN176">{"",'S-10 Оформление сделок Выборка'!AN176}</f>
        <v/>
      </c>
      <c r="AN176" s="794"/>
      <c r="AO176" s="792" t="str">
        <f t="array" ref="AO176:AP176">{"",'S-10 Оформление сделок Выборка'!AP176}</f>
        <v/>
      </c>
      <c r="AP176" s="786"/>
      <c r="AQ176" s="786"/>
      <c r="AR176" s="779" t="str">
        <f t="array" ref="AR176:AS176">{"",'S-10 Оформление сделок Выборка'!AS176}</f>
        <v/>
      </c>
      <c r="AS176" s="795"/>
      <c r="AT176" s="779" t="str">
        <f t="array" ref="AT176:AU176">{"",'S-10 Оформление сделок Выборка'!AU176}</f>
        <v/>
      </c>
      <c r="AU176" s="805"/>
      <c r="AV176" s="779" t="str">
        <f t="array" ref="AV176:AW176">{"",'S-10 Оформление сделок Выборка'!AW176}</f>
        <v/>
      </c>
      <c r="AW176" s="797"/>
      <c r="AX176" s="786"/>
      <c r="AY176" s="786"/>
      <c r="AZ176" s="792" t="str">
        <f t="array" ref="AZ176:BA176">{"",'S-10 Оформление сделок Выборка'!BA176}</f>
        <v/>
      </c>
      <c r="BA176" s="798"/>
      <c r="BB176" s="792" t="str">
        <f t="array" ref="BB176:BC176">{"",'S-10 Оформление сделок Выборка'!BC176}</f>
        <v/>
      </c>
      <c r="BC176" s="799"/>
      <c r="BD176" s="792" t="str">
        <f t="array" ref="BD176:BE176">{"",'S-10 Оформление сделок Выборка'!BE176}</f>
        <v/>
      </c>
      <c r="BE176" s="793"/>
      <c r="BF176" s="800" t="str">
        <f t="array" ref="BF176:BG176">{"",'S-10 Оформление сделок Выборка'!BG176}</f>
        <v/>
      </c>
      <c r="BG176" s="794"/>
      <c r="BH176" s="794" t="str">
        <f t="array" ref="BH176:BI176">{"",'S-10 Оформление сделок Выборка'!BI176}</f>
        <v/>
      </c>
      <c r="BI176" s="794"/>
      <c r="BJ176" s="792" t="str">
        <f t="array" ref="BJ176:BK176">{"",'S-10 Оформление сделок Выборка'!BK176}</f>
        <v/>
      </c>
      <c r="BK176" s="793"/>
      <c r="BL176" s="792" t="str">
        <f t="array" ref="BL176:BM176">{"",'S-10 Оформление сделок Выборка'!BM176}</f>
        <v/>
      </c>
      <c r="BM176" s="801"/>
      <c r="BN176" s="792" t="str">
        <f t="array" ref="BN176:BO176">{"",'S-10 Оформление сделок Выборка'!BO176}</f>
        <v/>
      </c>
      <c r="BO176" s="793"/>
      <c r="BP176" s="792" t="str">
        <f t="array" ref="BP176:BQ176">{"",'S-10 Оформление сделок Выборка'!BQ176}</f>
        <v/>
      </c>
      <c r="BQ176" s="802"/>
      <c r="BR176" s="792" t="str">
        <f t="array" ref="BR176:BS176">{"",'S-10 Оформление сделок Выборка'!BS176}</f>
        <v/>
      </c>
      <c r="BS176" s="794"/>
      <c r="BT176" s="800" t="str">
        <f t="array" ref="BT176:BU176">{"",'S-10 Оформление сделок Выборка'!BU176}</f>
        <v/>
      </c>
      <c r="BU176" s="794"/>
      <c r="BV176" s="800" t="str">
        <f t="array" ref="BV176:BW176">{"",'S-10 Оформление сделок Выборка'!BW176}</f>
        <v/>
      </c>
      <c r="BW176" s="803" t="s">
        <v>96</v>
      </c>
      <c r="BX176" s="804"/>
    </row>
    <row r="177">
      <c r="A177" s="779"/>
      <c r="B177" s="779"/>
      <c r="C177" s="780" t="str">
        <f>'5-1 Сбор КП Закупки'!C177</f>
        <v/>
      </c>
      <c r="D177" s="781"/>
      <c r="E177" s="780"/>
      <c r="F177" s="783"/>
      <c r="G177" s="783"/>
      <c r="H177" s="783"/>
      <c r="I177" s="783"/>
      <c r="J177" s="780"/>
      <c r="K177" s="786"/>
      <c r="L177" s="785"/>
      <c r="M177" s="786"/>
      <c r="N177" s="786"/>
      <c r="O177" s="780"/>
      <c r="P177" s="787"/>
      <c r="Q177" s="780"/>
      <c r="R177" s="780"/>
      <c r="S177" s="780"/>
      <c r="T177" s="780"/>
      <c r="U177" s="780"/>
      <c r="V177" s="780"/>
      <c r="W177" s="787"/>
      <c r="X177" s="780"/>
      <c r="Y177" s="780"/>
      <c r="Z177" s="780"/>
      <c r="AA177" s="780"/>
      <c r="AB177" s="788"/>
      <c r="AC177" s="781"/>
      <c r="AD177" s="780"/>
      <c r="AE177" s="789" t="str">
        <f t="array" ref="AE177:AF177">{"",'S-10 Оформление сделок Выборка'!AF177}</f>
        <v/>
      </c>
      <c r="AF177" s="790"/>
      <c r="AG177" s="781"/>
      <c r="AH177" s="781"/>
      <c r="AI177" s="785"/>
      <c r="AJ177" s="780"/>
      <c r="AK177" s="792" t="str">
        <f t="array" ref="AK177:AL177">{"",'S-10 Оформление сделок Выборка'!AL177}</f>
        <v/>
      </c>
      <c r="AL177" s="793"/>
      <c r="AM177" s="792" t="str">
        <f t="array" ref="AM177:AN177">{"",'S-10 Оформление сделок Выборка'!AN177}</f>
        <v/>
      </c>
      <c r="AN177" s="794"/>
      <c r="AO177" s="792" t="str">
        <f t="array" ref="AO177:AP177">{"",'S-10 Оформление сделок Выборка'!AP177}</f>
        <v/>
      </c>
      <c r="AP177" s="786"/>
      <c r="AQ177" s="786"/>
      <c r="AR177" s="779" t="str">
        <f t="array" ref="AR177:AS177">{"",'S-10 Оформление сделок Выборка'!AS177}</f>
        <v/>
      </c>
      <c r="AS177" s="795"/>
      <c r="AT177" s="779" t="str">
        <f t="array" ref="AT177:AU177">{"",'S-10 Оформление сделок Выборка'!AU177}</f>
        <v/>
      </c>
      <c r="AU177" s="805"/>
      <c r="AV177" s="779" t="str">
        <f t="array" ref="AV177:AW177">{"",'S-10 Оформление сделок Выборка'!AW177}</f>
        <v/>
      </c>
      <c r="AW177" s="797"/>
      <c r="AX177" s="786"/>
      <c r="AY177" s="786"/>
      <c r="AZ177" s="792" t="str">
        <f t="array" ref="AZ177:BA177">{"",'S-10 Оформление сделок Выборка'!BA177}</f>
        <v/>
      </c>
      <c r="BA177" s="798"/>
      <c r="BB177" s="792" t="str">
        <f t="array" ref="BB177:BC177">{"",'S-10 Оформление сделок Выборка'!BC177}</f>
        <v/>
      </c>
      <c r="BC177" s="799"/>
      <c r="BD177" s="792" t="str">
        <f t="array" ref="BD177:BE177">{"",'S-10 Оформление сделок Выборка'!BE177}</f>
        <v/>
      </c>
      <c r="BE177" s="793"/>
      <c r="BF177" s="800" t="str">
        <f t="array" ref="BF177:BG177">{"",'S-10 Оформление сделок Выборка'!BG177}</f>
        <v/>
      </c>
      <c r="BG177" s="794"/>
      <c r="BH177" s="794" t="str">
        <f t="array" ref="BH177:BI177">{"",'S-10 Оформление сделок Выборка'!BI177}</f>
        <v/>
      </c>
      <c r="BI177" s="794"/>
      <c r="BJ177" s="792" t="str">
        <f t="array" ref="BJ177:BK177">{"",'S-10 Оформление сделок Выборка'!BK177}</f>
        <v/>
      </c>
      <c r="BK177" s="793"/>
      <c r="BL177" s="792" t="str">
        <f t="array" ref="BL177:BM177">{"",'S-10 Оформление сделок Выборка'!BM177}</f>
        <v/>
      </c>
      <c r="BM177" s="801"/>
      <c r="BN177" s="792" t="str">
        <f t="array" ref="BN177:BO177">{"",'S-10 Оформление сделок Выборка'!BO177}</f>
        <v/>
      </c>
      <c r="BO177" s="793"/>
      <c r="BP177" s="792" t="str">
        <f t="array" ref="BP177:BQ177">{"",'S-10 Оформление сделок Выборка'!BQ177}</f>
        <v/>
      </c>
      <c r="BQ177" s="802"/>
      <c r="BR177" s="792" t="str">
        <f t="array" ref="BR177:BS177">{"",'S-10 Оформление сделок Выборка'!BS177}</f>
        <v/>
      </c>
      <c r="BS177" s="794"/>
      <c r="BT177" s="800" t="str">
        <f t="array" ref="BT177:BU177">{"",'S-10 Оформление сделок Выборка'!BU177}</f>
        <v/>
      </c>
      <c r="BU177" s="794"/>
      <c r="BV177" s="800" t="str">
        <f t="array" ref="BV177:BW177">{"",'S-10 Оформление сделок Выборка'!BW177}</f>
        <v/>
      </c>
      <c r="BW177" s="803" t="s">
        <v>96</v>
      </c>
      <c r="BX177" s="804"/>
    </row>
    <row r="178">
      <c r="A178" s="779"/>
      <c r="B178" s="779"/>
      <c r="C178" s="780" t="str">
        <f>'5-1 Сбор КП Закупки'!C178</f>
        <v/>
      </c>
      <c r="D178" s="781"/>
      <c r="E178" s="780"/>
      <c r="F178" s="783"/>
      <c r="G178" s="783"/>
      <c r="H178" s="783"/>
      <c r="I178" s="783"/>
      <c r="J178" s="780"/>
      <c r="K178" s="786"/>
      <c r="L178" s="785"/>
      <c r="M178" s="786"/>
      <c r="N178" s="786"/>
      <c r="O178" s="780"/>
      <c r="P178" s="787"/>
      <c r="Q178" s="780"/>
      <c r="R178" s="780"/>
      <c r="S178" s="780"/>
      <c r="T178" s="780"/>
      <c r="U178" s="780"/>
      <c r="V178" s="780"/>
      <c r="W178" s="787"/>
      <c r="X178" s="780"/>
      <c r="Y178" s="780"/>
      <c r="Z178" s="780"/>
      <c r="AA178" s="780"/>
      <c r="AB178" s="788"/>
      <c r="AC178" s="781"/>
      <c r="AD178" s="780"/>
      <c r="AE178" s="789" t="str">
        <f t="array" ref="AE178:AF178">{"",'S-10 Оформление сделок Выборка'!AF178}</f>
        <v/>
      </c>
      <c r="AF178" s="790"/>
      <c r="AG178" s="781"/>
      <c r="AH178" s="781"/>
      <c r="AI178" s="785"/>
      <c r="AJ178" s="780"/>
      <c r="AK178" s="792" t="str">
        <f t="array" ref="AK178:AL178">{"",'S-10 Оформление сделок Выборка'!AL178}</f>
        <v/>
      </c>
      <c r="AL178" s="793"/>
      <c r="AM178" s="792" t="str">
        <f t="array" ref="AM178:AN178">{"",'S-10 Оформление сделок Выборка'!AN178}</f>
        <v/>
      </c>
      <c r="AN178" s="794"/>
      <c r="AO178" s="792" t="str">
        <f t="array" ref="AO178:AP178">{"",'S-10 Оформление сделок Выборка'!AP178}</f>
        <v/>
      </c>
      <c r="AP178" s="786"/>
      <c r="AQ178" s="786"/>
      <c r="AR178" s="779" t="str">
        <f t="array" ref="AR178:AS178">{"",'S-10 Оформление сделок Выборка'!AS178}</f>
        <v/>
      </c>
      <c r="AS178" s="795"/>
      <c r="AT178" s="779" t="str">
        <f t="array" ref="AT178:AU178">{"",'S-10 Оформление сделок Выборка'!AU178}</f>
        <v/>
      </c>
      <c r="AU178" s="805"/>
      <c r="AV178" s="779" t="str">
        <f t="array" ref="AV178:AW178">{"",'S-10 Оформление сделок Выборка'!AW178}</f>
        <v/>
      </c>
      <c r="AW178" s="797"/>
      <c r="AX178" s="786"/>
      <c r="AY178" s="786"/>
      <c r="AZ178" s="792" t="str">
        <f t="array" ref="AZ178:BA178">{"",'S-10 Оформление сделок Выборка'!BA178}</f>
        <v/>
      </c>
      <c r="BA178" s="798"/>
      <c r="BB178" s="792" t="str">
        <f t="array" ref="BB178:BC178">{"",'S-10 Оформление сделок Выборка'!BC178}</f>
        <v/>
      </c>
      <c r="BC178" s="799"/>
      <c r="BD178" s="792" t="str">
        <f t="array" ref="BD178:BE178">{"",'S-10 Оформление сделок Выборка'!BE178}</f>
        <v/>
      </c>
      <c r="BE178" s="793"/>
      <c r="BF178" s="800" t="str">
        <f t="array" ref="BF178:BG178">{"",'S-10 Оформление сделок Выборка'!BG178}</f>
        <v/>
      </c>
      <c r="BG178" s="794"/>
      <c r="BH178" s="794" t="str">
        <f t="array" ref="BH178:BI178">{"",'S-10 Оформление сделок Выборка'!BI178}</f>
        <v/>
      </c>
      <c r="BI178" s="794"/>
      <c r="BJ178" s="792" t="str">
        <f t="array" ref="BJ178:BK178">{"",'S-10 Оформление сделок Выборка'!BK178}</f>
        <v/>
      </c>
      <c r="BK178" s="793"/>
      <c r="BL178" s="792" t="str">
        <f t="array" ref="BL178:BM178">{"",'S-10 Оформление сделок Выборка'!BM178}</f>
        <v/>
      </c>
      <c r="BM178" s="801"/>
      <c r="BN178" s="792" t="str">
        <f t="array" ref="BN178:BO178">{"",'S-10 Оформление сделок Выборка'!BO178}</f>
        <v/>
      </c>
      <c r="BO178" s="793"/>
      <c r="BP178" s="792" t="str">
        <f t="array" ref="BP178:BQ178">{"",'S-10 Оформление сделок Выборка'!BQ178}</f>
        <v/>
      </c>
      <c r="BQ178" s="802"/>
      <c r="BR178" s="792" t="str">
        <f t="array" ref="BR178:BS178">{"",'S-10 Оформление сделок Выборка'!BS178}</f>
        <v/>
      </c>
      <c r="BS178" s="794"/>
      <c r="BT178" s="800" t="str">
        <f t="array" ref="BT178:BU178">{"",'S-10 Оформление сделок Выборка'!BU178}</f>
        <v/>
      </c>
      <c r="BU178" s="794"/>
      <c r="BV178" s="800" t="str">
        <f t="array" ref="BV178:BW178">{"",'S-10 Оформление сделок Выборка'!BW178}</f>
        <v/>
      </c>
      <c r="BW178" s="803" t="s">
        <v>96</v>
      </c>
      <c r="BX178" s="804"/>
    </row>
    <row r="179">
      <c r="A179" s="779"/>
      <c r="B179" s="779"/>
      <c r="C179" s="780" t="str">
        <f>'5-1 Сбор КП Закупки'!C179</f>
        <v/>
      </c>
      <c r="D179" s="781"/>
      <c r="E179" s="780"/>
      <c r="F179" s="783"/>
      <c r="G179" s="783"/>
      <c r="H179" s="783"/>
      <c r="I179" s="783"/>
      <c r="J179" s="780"/>
      <c r="K179" s="786"/>
      <c r="L179" s="785"/>
      <c r="M179" s="786"/>
      <c r="N179" s="786"/>
      <c r="O179" s="780"/>
      <c r="P179" s="787"/>
      <c r="Q179" s="780"/>
      <c r="R179" s="780"/>
      <c r="S179" s="780"/>
      <c r="T179" s="780"/>
      <c r="U179" s="780"/>
      <c r="V179" s="780"/>
      <c r="W179" s="787"/>
      <c r="X179" s="780"/>
      <c r="Y179" s="780"/>
      <c r="Z179" s="780"/>
      <c r="AA179" s="780"/>
      <c r="AB179" s="788"/>
      <c r="AC179" s="781"/>
      <c r="AD179" s="780"/>
      <c r="AE179" s="789" t="str">
        <f t="array" ref="AE179:AF179">{"",'S-10 Оформление сделок Выборка'!AF179}</f>
        <v/>
      </c>
      <c r="AF179" s="790"/>
      <c r="AG179" s="781"/>
      <c r="AH179" s="781"/>
      <c r="AI179" s="785"/>
      <c r="AJ179" s="780"/>
      <c r="AK179" s="792" t="str">
        <f t="array" ref="AK179:AL179">{"",'S-10 Оформление сделок Выборка'!AL179}</f>
        <v/>
      </c>
      <c r="AL179" s="793"/>
      <c r="AM179" s="792" t="str">
        <f t="array" ref="AM179:AN179">{"",'S-10 Оформление сделок Выборка'!AN179}</f>
        <v/>
      </c>
      <c r="AN179" s="794"/>
      <c r="AO179" s="792" t="str">
        <f t="array" ref="AO179:AP179">{"",'S-10 Оформление сделок Выборка'!AP179}</f>
        <v/>
      </c>
      <c r="AP179" s="786"/>
      <c r="AQ179" s="786"/>
      <c r="AR179" s="779" t="str">
        <f t="array" ref="AR179:AS179">{"",'S-10 Оформление сделок Выборка'!AS179}</f>
        <v/>
      </c>
      <c r="AS179" s="795"/>
      <c r="AT179" s="779" t="str">
        <f t="array" ref="AT179:AU179">{"",'S-10 Оформление сделок Выборка'!AU179}</f>
        <v/>
      </c>
      <c r="AU179" s="805"/>
      <c r="AV179" s="779" t="str">
        <f t="array" ref="AV179:AW179">{"",'S-10 Оформление сделок Выборка'!AW179}</f>
        <v/>
      </c>
      <c r="AW179" s="797"/>
      <c r="AX179" s="786"/>
      <c r="AY179" s="786"/>
      <c r="AZ179" s="792" t="str">
        <f t="array" ref="AZ179:BA179">{"",'S-10 Оформление сделок Выборка'!BA179}</f>
        <v/>
      </c>
      <c r="BA179" s="798"/>
      <c r="BB179" s="792" t="str">
        <f t="array" ref="BB179:BC179">{"",'S-10 Оформление сделок Выборка'!BC179}</f>
        <v/>
      </c>
      <c r="BC179" s="799"/>
      <c r="BD179" s="792" t="str">
        <f t="array" ref="BD179:BE179">{"",'S-10 Оформление сделок Выборка'!BE179}</f>
        <v/>
      </c>
      <c r="BE179" s="793"/>
      <c r="BF179" s="800" t="str">
        <f t="array" ref="BF179:BG179">{"",'S-10 Оформление сделок Выборка'!BG179}</f>
        <v/>
      </c>
      <c r="BG179" s="794"/>
      <c r="BH179" s="794" t="str">
        <f t="array" ref="BH179:BI179">{"",'S-10 Оформление сделок Выборка'!BI179}</f>
        <v/>
      </c>
      <c r="BI179" s="794"/>
      <c r="BJ179" s="792" t="str">
        <f t="array" ref="BJ179:BK179">{"",'S-10 Оформление сделок Выборка'!BK179}</f>
        <v/>
      </c>
      <c r="BK179" s="793"/>
      <c r="BL179" s="792" t="str">
        <f t="array" ref="BL179:BM179">{"",'S-10 Оформление сделок Выборка'!BM179}</f>
        <v/>
      </c>
      <c r="BM179" s="801"/>
      <c r="BN179" s="792" t="str">
        <f t="array" ref="BN179:BO179">{"",'S-10 Оформление сделок Выборка'!BO179}</f>
        <v/>
      </c>
      <c r="BO179" s="793"/>
      <c r="BP179" s="792" t="str">
        <f t="array" ref="BP179:BQ179">{"",'S-10 Оформление сделок Выборка'!BQ179}</f>
        <v/>
      </c>
      <c r="BQ179" s="802"/>
      <c r="BR179" s="792" t="str">
        <f t="array" ref="BR179:BS179">{"",'S-10 Оформление сделок Выборка'!BS179}</f>
        <v/>
      </c>
      <c r="BS179" s="794"/>
      <c r="BT179" s="800" t="str">
        <f t="array" ref="BT179:BU179">{"",'S-10 Оформление сделок Выборка'!BU179}</f>
        <v/>
      </c>
      <c r="BU179" s="794"/>
      <c r="BV179" s="800" t="str">
        <f t="array" ref="BV179:BW179">{"",'S-10 Оформление сделок Выборка'!BW179}</f>
        <v/>
      </c>
      <c r="BW179" s="803" t="s">
        <v>96</v>
      </c>
      <c r="BX179" s="804"/>
    </row>
    <row r="180">
      <c r="A180" s="779"/>
      <c r="B180" s="779"/>
      <c r="C180" s="780" t="str">
        <f>'5-1 Сбор КП Закупки'!C180</f>
        <v/>
      </c>
      <c r="D180" s="781"/>
      <c r="E180" s="780"/>
      <c r="F180" s="783"/>
      <c r="G180" s="783"/>
      <c r="H180" s="783"/>
      <c r="I180" s="783"/>
      <c r="J180" s="780"/>
      <c r="K180" s="786"/>
      <c r="L180" s="785"/>
      <c r="M180" s="786"/>
      <c r="N180" s="786"/>
      <c r="O180" s="780"/>
      <c r="P180" s="787"/>
      <c r="Q180" s="780"/>
      <c r="R180" s="780"/>
      <c r="S180" s="780"/>
      <c r="T180" s="780"/>
      <c r="U180" s="780"/>
      <c r="V180" s="780"/>
      <c r="W180" s="787"/>
      <c r="X180" s="780"/>
      <c r="Y180" s="780"/>
      <c r="Z180" s="780"/>
      <c r="AA180" s="780"/>
      <c r="AB180" s="788"/>
      <c r="AC180" s="781"/>
      <c r="AD180" s="780"/>
      <c r="AE180" s="789" t="str">
        <f t="array" ref="AE180:AF180">{"",'S-10 Оформление сделок Выборка'!AF180}</f>
        <v/>
      </c>
      <c r="AF180" s="790"/>
      <c r="AG180" s="781"/>
      <c r="AH180" s="781"/>
      <c r="AI180" s="785"/>
      <c r="AJ180" s="780"/>
      <c r="AK180" s="792" t="str">
        <f t="array" ref="AK180:AL180">{"",'S-10 Оформление сделок Выборка'!AL180}</f>
        <v/>
      </c>
      <c r="AL180" s="793"/>
      <c r="AM180" s="792" t="str">
        <f t="array" ref="AM180:AN180">{"",'S-10 Оформление сделок Выборка'!AN180}</f>
        <v/>
      </c>
      <c r="AN180" s="794"/>
      <c r="AO180" s="792" t="str">
        <f t="array" ref="AO180:AP180">{"",'S-10 Оформление сделок Выборка'!AP180}</f>
        <v/>
      </c>
      <c r="AP180" s="786"/>
      <c r="AQ180" s="786"/>
      <c r="AR180" s="779" t="str">
        <f t="array" ref="AR180:AS180">{"",'S-10 Оформление сделок Выборка'!AS180}</f>
        <v/>
      </c>
      <c r="AS180" s="795"/>
      <c r="AT180" s="779" t="str">
        <f t="array" ref="AT180:AU180">{"",'S-10 Оформление сделок Выборка'!AU180}</f>
        <v/>
      </c>
      <c r="AU180" s="805"/>
      <c r="AV180" s="779" t="str">
        <f t="array" ref="AV180:AW180">{"",'S-10 Оформление сделок Выборка'!AW180}</f>
        <v/>
      </c>
      <c r="AW180" s="797"/>
      <c r="AX180" s="786"/>
      <c r="AY180" s="786"/>
      <c r="AZ180" s="792" t="str">
        <f t="array" ref="AZ180:BA180">{"",'S-10 Оформление сделок Выборка'!BA180}</f>
        <v/>
      </c>
      <c r="BA180" s="798"/>
      <c r="BB180" s="792" t="str">
        <f t="array" ref="BB180:BC180">{"",'S-10 Оформление сделок Выборка'!BC180}</f>
        <v/>
      </c>
      <c r="BC180" s="799"/>
      <c r="BD180" s="792" t="str">
        <f t="array" ref="BD180:BE180">{"",'S-10 Оформление сделок Выборка'!BE180}</f>
        <v/>
      </c>
      <c r="BE180" s="793"/>
      <c r="BF180" s="800" t="str">
        <f t="array" ref="BF180:BG180">{"",'S-10 Оформление сделок Выборка'!BG180}</f>
        <v/>
      </c>
      <c r="BG180" s="794"/>
      <c r="BH180" s="794" t="str">
        <f t="array" ref="BH180:BI180">{"",'S-10 Оформление сделок Выборка'!BI180}</f>
        <v/>
      </c>
      <c r="BI180" s="794"/>
      <c r="BJ180" s="792" t="str">
        <f t="array" ref="BJ180:BK180">{"",'S-10 Оформление сделок Выборка'!BK180}</f>
        <v/>
      </c>
      <c r="BK180" s="793"/>
      <c r="BL180" s="792" t="str">
        <f t="array" ref="BL180:BM180">{"",'S-10 Оформление сделок Выборка'!BM180}</f>
        <v/>
      </c>
      <c r="BM180" s="801"/>
      <c r="BN180" s="792" t="str">
        <f t="array" ref="BN180:BO180">{"",'S-10 Оформление сделок Выборка'!BO180}</f>
        <v/>
      </c>
      <c r="BO180" s="793"/>
      <c r="BP180" s="792" t="str">
        <f t="array" ref="BP180:BQ180">{"",'S-10 Оформление сделок Выборка'!BQ180}</f>
        <v/>
      </c>
      <c r="BQ180" s="802"/>
      <c r="BR180" s="792" t="str">
        <f t="array" ref="BR180:BS180">{"",'S-10 Оформление сделок Выборка'!BS180}</f>
        <v/>
      </c>
      <c r="BS180" s="794"/>
      <c r="BT180" s="800" t="str">
        <f t="array" ref="BT180:BU180">{"",'S-10 Оформление сделок Выборка'!BU180}</f>
        <v/>
      </c>
      <c r="BU180" s="794"/>
      <c r="BV180" s="800" t="str">
        <f t="array" ref="BV180:BW180">{"",'S-10 Оформление сделок Выборка'!BW180}</f>
        <v/>
      </c>
      <c r="BW180" s="803" t="s">
        <v>96</v>
      </c>
      <c r="BX180" s="804"/>
    </row>
    <row r="181">
      <c r="A181" s="779"/>
      <c r="B181" s="779"/>
      <c r="C181" s="780" t="str">
        <f>'5-1 Сбор КП Закупки'!C181</f>
        <v/>
      </c>
      <c r="D181" s="781"/>
      <c r="E181" s="780"/>
      <c r="F181" s="783"/>
      <c r="G181" s="783"/>
      <c r="H181" s="783"/>
      <c r="I181" s="783"/>
      <c r="J181" s="780"/>
      <c r="K181" s="786"/>
      <c r="L181" s="785"/>
      <c r="M181" s="786"/>
      <c r="N181" s="786"/>
      <c r="O181" s="780"/>
      <c r="P181" s="787"/>
      <c r="Q181" s="780"/>
      <c r="R181" s="780"/>
      <c r="S181" s="780"/>
      <c r="T181" s="780"/>
      <c r="U181" s="780"/>
      <c r="V181" s="780"/>
      <c r="W181" s="787"/>
      <c r="X181" s="780"/>
      <c r="Y181" s="780"/>
      <c r="Z181" s="780"/>
      <c r="AA181" s="780"/>
      <c r="AB181" s="788"/>
      <c r="AC181" s="781"/>
      <c r="AD181" s="780"/>
      <c r="AE181" s="789" t="str">
        <f t="array" ref="AE181:AF181">{"",'S-10 Оформление сделок Выборка'!AF181}</f>
        <v/>
      </c>
      <c r="AF181" s="790"/>
      <c r="AG181" s="781"/>
      <c r="AH181" s="781"/>
      <c r="AI181" s="785"/>
      <c r="AJ181" s="780"/>
      <c r="AK181" s="792" t="str">
        <f t="array" ref="AK181:AL181">{"",'S-10 Оформление сделок Выборка'!AL181}</f>
        <v/>
      </c>
      <c r="AL181" s="793"/>
      <c r="AM181" s="792" t="str">
        <f t="array" ref="AM181:AN181">{"",'S-10 Оформление сделок Выборка'!AN181}</f>
        <v/>
      </c>
      <c r="AN181" s="794"/>
      <c r="AO181" s="792" t="str">
        <f t="array" ref="AO181:AP181">{"",'S-10 Оформление сделок Выборка'!AP181}</f>
        <v/>
      </c>
      <c r="AP181" s="786"/>
      <c r="AQ181" s="786"/>
      <c r="AR181" s="779" t="str">
        <f t="array" ref="AR181:AS181">{"",'S-10 Оформление сделок Выборка'!AS181}</f>
        <v/>
      </c>
      <c r="AS181" s="795"/>
      <c r="AT181" s="779" t="str">
        <f t="array" ref="AT181:AU181">{"",'S-10 Оформление сделок Выборка'!AU181}</f>
        <v/>
      </c>
      <c r="AU181" s="805"/>
      <c r="AV181" s="779" t="str">
        <f t="array" ref="AV181:AW181">{"",'S-10 Оформление сделок Выборка'!AW181}</f>
        <v/>
      </c>
      <c r="AW181" s="797"/>
      <c r="AX181" s="786"/>
      <c r="AY181" s="786"/>
      <c r="AZ181" s="792" t="str">
        <f t="array" ref="AZ181:BA181">{"",'S-10 Оформление сделок Выборка'!BA181}</f>
        <v/>
      </c>
      <c r="BA181" s="798"/>
      <c r="BB181" s="792" t="str">
        <f t="array" ref="BB181:BC181">{"",'S-10 Оформление сделок Выборка'!BC181}</f>
        <v/>
      </c>
      <c r="BC181" s="799"/>
      <c r="BD181" s="792" t="str">
        <f t="array" ref="BD181:BE181">{"",'S-10 Оформление сделок Выборка'!BE181}</f>
        <v/>
      </c>
      <c r="BE181" s="793"/>
      <c r="BF181" s="800" t="str">
        <f t="array" ref="BF181:BG181">{"",'S-10 Оформление сделок Выборка'!BG181}</f>
        <v/>
      </c>
      <c r="BG181" s="794"/>
      <c r="BH181" s="794" t="str">
        <f t="array" ref="BH181:BI181">{"",'S-10 Оформление сделок Выборка'!BI181}</f>
        <v/>
      </c>
      <c r="BI181" s="794"/>
      <c r="BJ181" s="792" t="str">
        <f t="array" ref="BJ181:BK181">{"",'S-10 Оформление сделок Выборка'!BK181}</f>
        <v/>
      </c>
      <c r="BK181" s="793"/>
      <c r="BL181" s="792" t="str">
        <f t="array" ref="BL181:BM181">{"",'S-10 Оформление сделок Выборка'!BM181}</f>
        <v/>
      </c>
      <c r="BM181" s="801"/>
      <c r="BN181" s="792" t="str">
        <f t="array" ref="BN181:BO181">{"",'S-10 Оформление сделок Выборка'!BO181}</f>
        <v/>
      </c>
      <c r="BO181" s="793"/>
      <c r="BP181" s="792" t="str">
        <f t="array" ref="BP181:BQ181">{"",'S-10 Оформление сделок Выборка'!BQ181}</f>
        <v/>
      </c>
      <c r="BQ181" s="802"/>
      <c r="BR181" s="792" t="str">
        <f t="array" ref="BR181:BS181">{"",'S-10 Оформление сделок Выборка'!BS181}</f>
        <v/>
      </c>
      <c r="BS181" s="794"/>
      <c r="BT181" s="800" t="str">
        <f t="array" ref="BT181:BU181">{"",'S-10 Оформление сделок Выборка'!BU181}</f>
        <v/>
      </c>
      <c r="BU181" s="794"/>
      <c r="BV181" s="800" t="str">
        <f t="array" ref="BV181:BW181">{"",'S-10 Оформление сделок Выборка'!BW181}</f>
        <v/>
      </c>
      <c r="BW181" s="803" t="s">
        <v>96</v>
      </c>
      <c r="BX181" s="804"/>
    </row>
    <row r="182">
      <c r="A182" s="779"/>
      <c r="B182" s="779"/>
      <c r="C182" s="780" t="str">
        <f>'5-1 Сбор КП Закупки'!C182</f>
        <v/>
      </c>
      <c r="D182" s="781"/>
      <c r="E182" s="780"/>
      <c r="F182" s="783"/>
      <c r="G182" s="783"/>
      <c r="H182" s="783"/>
      <c r="I182" s="783"/>
      <c r="J182" s="780"/>
      <c r="K182" s="786"/>
      <c r="L182" s="785"/>
      <c r="M182" s="786"/>
      <c r="N182" s="786"/>
      <c r="O182" s="780"/>
      <c r="P182" s="787"/>
      <c r="Q182" s="780"/>
      <c r="R182" s="780"/>
      <c r="S182" s="780"/>
      <c r="T182" s="780"/>
      <c r="U182" s="780"/>
      <c r="V182" s="780"/>
      <c r="W182" s="787"/>
      <c r="X182" s="780"/>
      <c r="Y182" s="780"/>
      <c r="Z182" s="780"/>
      <c r="AA182" s="780"/>
      <c r="AB182" s="788"/>
      <c r="AC182" s="781"/>
      <c r="AD182" s="780"/>
      <c r="AE182" s="789" t="str">
        <f t="array" ref="AE182:AF182">{"",'S-10 Оформление сделок Выборка'!AF182}</f>
        <v/>
      </c>
      <c r="AF182" s="790"/>
      <c r="AG182" s="781"/>
      <c r="AH182" s="781"/>
      <c r="AI182" s="785"/>
      <c r="AJ182" s="780"/>
      <c r="AK182" s="792" t="str">
        <f t="array" ref="AK182:AL182">{"",'S-10 Оформление сделок Выборка'!AL182}</f>
        <v/>
      </c>
      <c r="AL182" s="793"/>
      <c r="AM182" s="792" t="str">
        <f t="array" ref="AM182:AN182">{"",'S-10 Оформление сделок Выборка'!AN182}</f>
        <v/>
      </c>
      <c r="AN182" s="794"/>
      <c r="AO182" s="792" t="str">
        <f t="array" ref="AO182:AP182">{"",'S-10 Оформление сделок Выборка'!AP182}</f>
        <v/>
      </c>
      <c r="AP182" s="786"/>
      <c r="AQ182" s="786"/>
      <c r="AR182" s="779" t="str">
        <f t="array" ref="AR182:AS182">{"",'S-10 Оформление сделок Выборка'!AS182}</f>
        <v/>
      </c>
      <c r="AS182" s="795"/>
      <c r="AT182" s="779" t="str">
        <f t="array" ref="AT182:AU182">{"",'S-10 Оформление сделок Выборка'!AU182}</f>
        <v/>
      </c>
      <c r="AU182" s="805"/>
      <c r="AV182" s="779" t="str">
        <f t="array" ref="AV182:AW182">{"",'S-10 Оформление сделок Выборка'!AW182}</f>
        <v/>
      </c>
      <c r="AW182" s="797"/>
      <c r="AX182" s="786"/>
      <c r="AY182" s="786"/>
      <c r="AZ182" s="792" t="str">
        <f t="array" ref="AZ182:BA182">{"",'S-10 Оформление сделок Выборка'!BA182}</f>
        <v/>
      </c>
      <c r="BA182" s="798"/>
      <c r="BB182" s="792" t="str">
        <f t="array" ref="BB182:BC182">{"",'S-10 Оформление сделок Выборка'!BC182}</f>
        <v/>
      </c>
      <c r="BC182" s="799"/>
      <c r="BD182" s="792" t="str">
        <f t="array" ref="BD182:BE182">{"",'S-10 Оформление сделок Выборка'!BE182}</f>
        <v/>
      </c>
      <c r="BE182" s="793"/>
      <c r="BF182" s="800" t="str">
        <f t="array" ref="BF182:BG182">{"",'S-10 Оформление сделок Выборка'!BG182}</f>
        <v/>
      </c>
      <c r="BG182" s="794"/>
      <c r="BH182" s="794" t="str">
        <f t="array" ref="BH182:BI182">{"",'S-10 Оформление сделок Выборка'!BI182}</f>
        <v/>
      </c>
      <c r="BI182" s="794"/>
      <c r="BJ182" s="792" t="str">
        <f t="array" ref="BJ182:BK182">{"",'S-10 Оформление сделок Выборка'!BK182}</f>
        <v/>
      </c>
      <c r="BK182" s="793"/>
      <c r="BL182" s="792" t="str">
        <f t="array" ref="BL182:BM182">{"",'S-10 Оформление сделок Выборка'!BM182}</f>
        <v/>
      </c>
      <c r="BM182" s="801"/>
      <c r="BN182" s="792" t="str">
        <f t="array" ref="BN182:BO182">{"",'S-10 Оформление сделок Выборка'!BO182}</f>
        <v/>
      </c>
      <c r="BO182" s="793"/>
      <c r="BP182" s="792" t="str">
        <f t="array" ref="BP182:BQ182">{"",'S-10 Оформление сделок Выборка'!BQ182}</f>
        <v/>
      </c>
      <c r="BQ182" s="802"/>
      <c r="BR182" s="792" t="str">
        <f t="array" ref="BR182:BS182">{"",'S-10 Оформление сделок Выборка'!BS182}</f>
        <v/>
      </c>
      <c r="BS182" s="794"/>
      <c r="BT182" s="800" t="str">
        <f t="array" ref="BT182:BU182">{"",'S-10 Оформление сделок Выборка'!BU182}</f>
        <v/>
      </c>
      <c r="BU182" s="794"/>
      <c r="BV182" s="800" t="str">
        <f t="array" ref="BV182:BW182">{"",'S-10 Оформление сделок Выборка'!BW182}</f>
        <v/>
      </c>
      <c r="BW182" s="803" t="s">
        <v>96</v>
      </c>
      <c r="BX182" s="804"/>
    </row>
    <row r="183">
      <c r="A183" s="779"/>
      <c r="B183" s="779"/>
      <c r="C183" s="780" t="str">
        <f>'5-1 Сбор КП Закупки'!C183</f>
        <v/>
      </c>
      <c r="D183" s="781"/>
      <c r="E183" s="780"/>
      <c r="F183" s="783"/>
      <c r="G183" s="783"/>
      <c r="H183" s="783"/>
      <c r="I183" s="783"/>
      <c r="J183" s="780"/>
      <c r="K183" s="786"/>
      <c r="L183" s="785"/>
      <c r="M183" s="786"/>
      <c r="N183" s="786"/>
      <c r="O183" s="780"/>
      <c r="P183" s="787"/>
      <c r="Q183" s="780"/>
      <c r="R183" s="780"/>
      <c r="S183" s="780"/>
      <c r="T183" s="780"/>
      <c r="U183" s="780"/>
      <c r="V183" s="780"/>
      <c r="W183" s="787"/>
      <c r="X183" s="780"/>
      <c r="Y183" s="780"/>
      <c r="Z183" s="780"/>
      <c r="AA183" s="780"/>
      <c r="AB183" s="788"/>
      <c r="AC183" s="781"/>
      <c r="AD183" s="780"/>
      <c r="AE183" s="789" t="str">
        <f t="array" ref="AE183:AF183">{"",'S-10 Оформление сделок Выборка'!AF183}</f>
        <v/>
      </c>
      <c r="AF183" s="790"/>
      <c r="AG183" s="781"/>
      <c r="AH183" s="781"/>
      <c r="AI183" s="785"/>
      <c r="AJ183" s="780"/>
      <c r="AK183" s="792" t="str">
        <f t="array" ref="AK183:AL183">{"",'S-10 Оформление сделок Выборка'!AL183}</f>
        <v/>
      </c>
      <c r="AL183" s="793"/>
      <c r="AM183" s="792" t="str">
        <f t="array" ref="AM183:AN183">{"",'S-10 Оформление сделок Выборка'!AN183}</f>
        <v/>
      </c>
      <c r="AN183" s="794"/>
      <c r="AO183" s="792" t="str">
        <f t="array" ref="AO183:AP183">{"",'S-10 Оформление сделок Выборка'!AP183}</f>
        <v/>
      </c>
      <c r="AP183" s="786"/>
      <c r="AQ183" s="786"/>
      <c r="AR183" s="779" t="str">
        <f t="array" ref="AR183:AS183">{"",'S-10 Оформление сделок Выборка'!AS183}</f>
        <v/>
      </c>
      <c r="AS183" s="795"/>
      <c r="AT183" s="779" t="str">
        <f t="array" ref="AT183:AU183">{"",'S-10 Оформление сделок Выборка'!AU183}</f>
        <v/>
      </c>
      <c r="AU183" s="805"/>
      <c r="AV183" s="779" t="str">
        <f t="array" ref="AV183:AW183">{"",'S-10 Оформление сделок Выборка'!AW183}</f>
        <v/>
      </c>
      <c r="AW183" s="797"/>
      <c r="AX183" s="786"/>
      <c r="AY183" s="786"/>
      <c r="AZ183" s="792" t="str">
        <f t="array" ref="AZ183:BA183">{"",'S-10 Оформление сделок Выборка'!BA183}</f>
        <v/>
      </c>
      <c r="BA183" s="798"/>
      <c r="BB183" s="792" t="str">
        <f t="array" ref="BB183:BC183">{"",'S-10 Оформление сделок Выборка'!BC183}</f>
        <v/>
      </c>
      <c r="BC183" s="799"/>
      <c r="BD183" s="792" t="str">
        <f t="array" ref="BD183:BE183">{"",'S-10 Оформление сделок Выборка'!BE183}</f>
        <v/>
      </c>
      <c r="BE183" s="793"/>
      <c r="BF183" s="800" t="str">
        <f t="array" ref="BF183:BG183">{"",'S-10 Оформление сделок Выборка'!BG183}</f>
        <v/>
      </c>
      <c r="BG183" s="794"/>
      <c r="BH183" s="794" t="str">
        <f t="array" ref="BH183:BI183">{"",'S-10 Оформление сделок Выборка'!BI183}</f>
        <v/>
      </c>
      <c r="BI183" s="794"/>
      <c r="BJ183" s="792" t="str">
        <f t="array" ref="BJ183:BK183">{"",'S-10 Оформление сделок Выборка'!BK183}</f>
        <v/>
      </c>
      <c r="BK183" s="793"/>
      <c r="BL183" s="792" t="str">
        <f t="array" ref="BL183:BM183">{"",'S-10 Оформление сделок Выборка'!BM183}</f>
        <v/>
      </c>
      <c r="BM183" s="801"/>
      <c r="BN183" s="792" t="str">
        <f t="array" ref="BN183:BO183">{"",'S-10 Оформление сделок Выборка'!BO183}</f>
        <v/>
      </c>
      <c r="BO183" s="793"/>
      <c r="BP183" s="792" t="str">
        <f t="array" ref="BP183:BQ183">{"",'S-10 Оформление сделок Выборка'!BQ183}</f>
        <v/>
      </c>
      <c r="BQ183" s="802"/>
      <c r="BR183" s="792" t="str">
        <f t="array" ref="BR183:BS183">{"",'S-10 Оформление сделок Выборка'!BS183}</f>
        <v/>
      </c>
      <c r="BS183" s="794"/>
      <c r="BT183" s="800" t="str">
        <f t="array" ref="BT183:BU183">{"",'S-10 Оформление сделок Выборка'!BU183}</f>
        <v/>
      </c>
      <c r="BU183" s="794"/>
      <c r="BV183" s="800" t="str">
        <f t="array" ref="BV183:BW183">{"",'S-10 Оформление сделок Выборка'!BW183}</f>
        <v/>
      </c>
      <c r="BW183" s="803" t="s">
        <v>96</v>
      </c>
      <c r="BX183" s="804"/>
    </row>
    <row r="184">
      <c r="A184" s="779"/>
      <c r="B184" s="779"/>
      <c r="C184" s="780" t="str">
        <f>'5-1 Сбор КП Закупки'!C184</f>
        <v/>
      </c>
      <c r="D184" s="781"/>
      <c r="E184" s="780"/>
      <c r="F184" s="783"/>
      <c r="G184" s="783"/>
      <c r="H184" s="783"/>
      <c r="I184" s="783"/>
      <c r="J184" s="780"/>
      <c r="K184" s="786"/>
      <c r="L184" s="785"/>
      <c r="M184" s="786"/>
      <c r="N184" s="786"/>
      <c r="O184" s="780"/>
      <c r="P184" s="787"/>
      <c r="Q184" s="780"/>
      <c r="R184" s="780"/>
      <c r="S184" s="780"/>
      <c r="T184" s="780"/>
      <c r="U184" s="780"/>
      <c r="V184" s="780"/>
      <c r="W184" s="787"/>
      <c r="X184" s="780"/>
      <c r="Y184" s="780"/>
      <c r="Z184" s="780"/>
      <c r="AA184" s="780"/>
      <c r="AB184" s="788"/>
      <c r="AC184" s="781"/>
      <c r="AD184" s="780"/>
      <c r="AE184" s="789" t="str">
        <f t="array" ref="AE184:AF184">{"",'S-10 Оформление сделок Выборка'!AF184}</f>
        <v/>
      </c>
      <c r="AF184" s="790"/>
      <c r="AG184" s="781"/>
      <c r="AH184" s="781"/>
      <c r="AI184" s="785"/>
      <c r="AJ184" s="780"/>
      <c r="AK184" s="792" t="str">
        <f t="array" ref="AK184:AL184">{"",'S-10 Оформление сделок Выборка'!AL184}</f>
        <v/>
      </c>
      <c r="AL184" s="793"/>
      <c r="AM184" s="792" t="str">
        <f t="array" ref="AM184:AN184">{"",'S-10 Оформление сделок Выборка'!AN184}</f>
        <v/>
      </c>
      <c r="AN184" s="794"/>
      <c r="AO184" s="792" t="str">
        <f t="array" ref="AO184:AP184">{"",'S-10 Оформление сделок Выборка'!AP184}</f>
        <v/>
      </c>
      <c r="AP184" s="786"/>
      <c r="AQ184" s="786"/>
      <c r="AR184" s="779" t="str">
        <f t="array" ref="AR184:AS184">{"",'S-10 Оформление сделок Выборка'!AS184}</f>
        <v/>
      </c>
      <c r="AS184" s="795"/>
      <c r="AT184" s="779" t="str">
        <f t="array" ref="AT184:AU184">{"",'S-10 Оформление сделок Выборка'!AU184}</f>
        <v/>
      </c>
      <c r="AU184" s="805"/>
      <c r="AV184" s="779" t="str">
        <f t="array" ref="AV184:AW184">{"",'S-10 Оформление сделок Выборка'!AW184}</f>
        <v/>
      </c>
      <c r="AW184" s="797"/>
      <c r="AX184" s="786"/>
      <c r="AY184" s="786"/>
      <c r="AZ184" s="792" t="str">
        <f t="array" ref="AZ184:BA184">{"",'S-10 Оформление сделок Выборка'!BA184}</f>
        <v/>
      </c>
      <c r="BA184" s="798"/>
      <c r="BB184" s="792" t="str">
        <f t="array" ref="BB184:BC184">{"",'S-10 Оформление сделок Выборка'!BC184}</f>
        <v/>
      </c>
      <c r="BC184" s="799"/>
      <c r="BD184" s="792" t="str">
        <f t="array" ref="BD184:BE184">{"",'S-10 Оформление сделок Выборка'!BE184}</f>
        <v/>
      </c>
      <c r="BE184" s="793"/>
      <c r="BF184" s="800" t="str">
        <f t="array" ref="BF184:BG184">{"",'S-10 Оформление сделок Выборка'!BG184}</f>
        <v/>
      </c>
      <c r="BG184" s="794"/>
      <c r="BH184" s="794" t="str">
        <f t="array" ref="BH184:BI184">{"",'S-10 Оформление сделок Выборка'!BI184}</f>
        <v/>
      </c>
      <c r="BI184" s="794"/>
      <c r="BJ184" s="792" t="str">
        <f t="array" ref="BJ184:BK184">{"",'S-10 Оформление сделок Выборка'!BK184}</f>
        <v/>
      </c>
      <c r="BK184" s="793"/>
      <c r="BL184" s="792" t="str">
        <f t="array" ref="BL184:BM184">{"",'S-10 Оформление сделок Выборка'!BM184}</f>
        <v/>
      </c>
      <c r="BM184" s="801"/>
      <c r="BN184" s="792" t="str">
        <f t="array" ref="BN184:BO184">{"",'S-10 Оформление сделок Выборка'!BO184}</f>
        <v/>
      </c>
      <c r="BO184" s="793"/>
      <c r="BP184" s="792" t="str">
        <f t="array" ref="BP184:BQ184">{"",'S-10 Оформление сделок Выборка'!BQ184}</f>
        <v/>
      </c>
      <c r="BQ184" s="802"/>
      <c r="BR184" s="792" t="str">
        <f t="array" ref="BR184:BS184">{"",'S-10 Оформление сделок Выборка'!BS184}</f>
        <v/>
      </c>
      <c r="BS184" s="794"/>
      <c r="BT184" s="800" t="str">
        <f t="array" ref="BT184:BU184">{"",'S-10 Оформление сделок Выборка'!BU184}</f>
        <v/>
      </c>
      <c r="BU184" s="794"/>
      <c r="BV184" s="800" t="str">
        <f t="array" ref="BV184:BW184">{"",'S-10 Оформление сделок Выборка'!BW184}</f>
        <v/>
      </c>
      <c r="BW184" s="803" t="s">
        <v>96</v>
      </c>
      <c r="BX184" s="804"/>
    </row>
    <row r="185">
      <c r="A185" s="779"/>
      <c r="B185" s="779"/>
      <c r="C185" s="780" t="str">
        <f>'5-1 Сбор КП Закупки'!C185</f>
        <v/>
      </c>
      <c r="D185" s="781"/>
      <c r="E185" s="780"/>
      <c r="F185" s="783"/>
      <c r="G185" s="783"/>
      <c r="H185" s="783"/>
      <c r="I185" s="783"/>
      <c r="J185" s="780"/>
      <c r="K185" s="786"/>
      <c r="L185" s="785"/>
      <c r="M185" s="786"/>
      <c r="N185" s="786"/>
      <c r="O185" s="780"/>
      <c r="P185" s="787"/>
      <c r="Q185" s="780"/>
      <c r="R185" s="780"/>
      <c r="S185" s="780"/>
      <c r="T185" s="780"/>
      <c r="U185" s="780"/>
      <c r="V185" s="780"/>
      <c r="W185" s="787"/>
      <c r="X185" s="780"/>
      <c r="Y185" s="780"/>
      <c r="Z185" s="780"/>
      <c r="AA185" s="780"/>
      <c r="AB185" s="788"/>
      <c r="AC185" s="781"/>
      <c r="AD185" s="780"/>
      <c r="AE185" s="789" t="str">
        <f t="array" ref="AE185:AF185">{"",'S-10 Оформление сделок Выборка'!AF185}</f>
        <v/>
      </c>
      <c r="AF185" s="790"/>
      <c r="AG185" s="781"/>
      <c r="AH185" s="781"/>
      <c r="AI185" s="785"/>
      <c r="AJ185" s="780"/>
      <c r="AK185" s="792" t="str">
        <f t="array" ref="AK185:AL185">{"",'S-10 Оформление сделок Выборка'!AL185}</f>
        <v/>
      </c>
      <c r="AL185" s="793"/>
      <c r="AM185" s="792" t="str">
        <f t="array" ref="AM185:AN185">{"",'S-10 Оформление сделок Выборка'!AN185}</f>
        <v/>
      </c>
      <c r="AN185" s="794"/>
      <c r="AO185" s="792" t="str">
        <f t="array" ref="AO185:AP185">{"",'S-10 Оформление сделок Выборка'!AP185}</f>
        <v/>
      </c>
      <c r="AP185" s="786"/>
      <c r="AQ185" s="786"/>
      <c r="AR185" s="779" t="str">
        <f t="array" ref="AR185:AS185">{"",'S-10 Оформление сделок Выборка'!AS185}</f>
        <v/>
      </c>
      <c r="AS185" s="795"/>
      <c r="AT185" s="779" t="str">
        <f t="array" ref="AT185:AU185">{"",'S-10 Оформление сделок Выборка'!AU185}</f>
        <v/>
      </c>
      <c r="AU185" s="805"/>
      <c r="AV185" s="779" t="str">
        <f t="array" ref="AV185:AW185">{"",'S-10 Оформление сделок Выборка'!AW185}</f>
        <v/>
      </c>
      <c r="AW185" s="797"/>
      <c r="AX185" s="786"/>
      <c r="AY185" s="786"/>
      <c r="AZ185" s="792" t="str">
        <f t="array" ref="AZ185:BA185">{"",'S-10 Оформление сделок Выборка'!BA185}</f>
        <v/>
      </c>
      <c r="BA185" s="798"/>
      <c r="BB185" s="792" t="str">
        <f t="array" ref="BB185:BC185">{"",'S-10 Оформление сделок Выборка'!BC185}</f>
        <v/>
      </c>
      <c r="BC185" s="799"/>
      <c r="BD185" s="792" t="str">
        <f t="array" ref="BD185:BE185">{"",'S-10 Оформление сделок Выборка'!BE185}</f>
        <v/>
      </c>
      <c r="BE185" s="793"/>
      <c r="BF185" s="800" t="str">
        <f t="array" ref="BF185:BG185">{"",'S-10 Оформление сделок Выборка'!BG185}</f>
        <v/>
      </c>
      <c r="BG185" s="794"/>
      <c r="BH185" s="794" t="str">
        <f t="array" ref="BH185:BI185">{"",'S-10 Оформление сделок Выборка'!BI185}</f>
        <v/>
      </c>
      <c r="BI185" s="794"/>
      <c r="BJ185" s="792" t="str">
        <f t="array" ref="BJ185:BK185">{"",'S-10 Оформление сделок Выборка'!BK185}</f>
        <v/>
      </c>
      <c r="BK185" s="793"/>
      <c r="BL185" s="792" t="str">
        <f t="array" ref="BL185:BM185">{"",'S-10 Оформление сделок Выборка'!BM185}</f>
        <v/>
      </c>
      <c r="BM185" s="801"/>
      <c r="BN185" s="792" t="str">
        <f t="array" ref="BN185:BO185">{"",'S-10 Оформление сделок Выборка'!BO185}</f>
        <v/>
      </c>
      <c r="BO185" s="793"/>
      <c r="BP185" s="792" t="str">
        <f t="array" ref="BP185:BQ185">{"",'S-10 Оформление сделок Выборка'!BQ185}</f>
        <v/>
      </c>
      <c r="BQ185" s="802"/>
      <c r="BR185" s="792" t="str">
        <f t="array" ref="BR185:BS185">{"",'S-10 Оформление сделок Выборка'!BS185}</f>
        <v/>
      </c>
      <c r="BS185" s="794"/>
      <c r="BT185" s="800" t="str">
        <f t="array" ref="BT185:BU185">{"",'S-10 Оформление сделок Выборка'!BU185}</f>
        <v/>
      </c>
      <c r="BU185" s="794"/>
      <c r="BV185" s="800" t="str">
        <f t="array" ref="BV185:BW185">{"",'S-10 Оформление сделок Выборка'!BW185}</f>
        <v/>
      </c>
      <c r="BW185" s="803" t="s">
        <v>96</v>
      </c>
      <c r="BX185" s="804"/>
    </row>
    <row r="186">
      <c r="A186" s="779"/>
      <c r="B186" s="779"/>
      <c r="C186" s="780" t="str">
        <f>'5-1 Сбор КП Закупки'!C186</f>
        <v/>
      </c>
      <c r="D186" s="781"/>
      <c r="E186" s="780"/>
      <c r="F186" s="783"/>
      <c r="G186" s="783"/>
      <c r="H186" s="783"/>
      <c r="I186" s="783"/>
      <c r="J186" s="780"/>
      <c r="K186" s="786"/>
      <c r="L186" s="785"/>
      <c r="M186" s="786"/>
      <c r="N186" s="786"/>
      <c r="O186" s="780"/>
      <c r="P186" s="787"/>
      <c r="Q186" s="780"/>
      <c r="R186" s="780"/>
      <c r="S186" s="780"/>
      <c r="T186" s="780"/>
      <c r="U186" s="780"/>
      <c r="V186" s="780"/>
      <c r="W186" s="787"/>
      <c r="X186" s="780"/>
      <c r="Y186" s="780"/>
      <c r="Z186" s="780"/>
      <c r="AA186" s="780"/>
      <c r="AB186" s="788"/>
      <c r="AC186" s="781"/>
      <c r="AD186" s="780"/>
      <c r="AE186" s="789" t="str">
        <f t="array" ref="AE186:AF186">{"",'S-10 Оформление сделок Выборка'!AF186}</f>
        <v/>
      </c>
      <c r="AF186" s="790"/>
      <c r="AG186" s="781"/>
      <c r="AH186" s="781"/>
      <c r="AI186" s="785"/>
      <c r="AJ186" s="780"/>
      <c r="AK186" s="792" t="str">
        <f t="array" ref="AK186:AL186">{"",'S-10 Оформление сделок Выборка'!AL186}</f>
        <v/>
      </c>
      <c r="AL186" s="793"/>
      <c r="AM186" s="792" t="str">
        <f t="array" ref="AM186:AN186">{"",'S-10 Оформление сделок Выборка'!AN186}</f>
        <v/>
      </c>
      <c r="AN186" s="794"/>
      <c r="AO186" s="792" t="str">
        <f t="array" ref="AO186:AP186">{"",'S-10 Оформление сделок Выборка'!AP186}</f>
        <v/>
      </c>
      <c r="AP186" s="786"/>
      <c r="AQ186" s="786"/>
      <c r="AR186" s="779" t="str">
        <f t="array" ref="AR186:AS186">{"",'S-10 Оформление сделок Выборка'!AS186}</f>
        <v/>
      </c>
      <c r="AS186" s="795"/>
      <c r="AT186" s="779" t="str">
        <f t="array" ref="AT186:AU186">{"",'S-10 Оформление сделок Выборка'!AU186}</f>
        <v/>
      </c>
      <c r="AU186" s="805"/>
      <c r="AV186" s="779" t="str">
        <f t="array" ref="AV186:AW186">{"",'S-10 Оформление сделок Выборка'!AW186}</f>
        <v/>
      </c>
      <c r="AW186" s="797"/>
      <c r="AX186" s="786"/>
      <c r="AY186" s="786"/>
      <c r="AZ186" s="792" t="str">
        <f t="array" ref="AZ186:BA186">{"",'S-10 Оформление сделок Выборка'!BA186}</f>
        <v/>
      </c>
      <c r="BA186" s="798"/>
      <c r="BB186" s="792" t="str">
        <f t="array" ref="BB186:BC186">{"",'S-10 Оформление сделок Выборка'!BC186}</f>
        <v/>
      </c>
      <c r="BC186" s="799"/>
      <c r="BD186" s="792" t="str">
        <f t="array" ref="BD186:BE186">{"",'S-10 Оформление сделок Выборка'!BE186}</f>
        <v/>
      </c>
      <c r="BE186" s="793"/>
      <c r="BF186" s="800" t="str">
        <f t="array" ref="BF186:BG186">{"",'S-10 Оформление сделок Выборка'!BG186}</f>
        <v/>
      </c>
      <c r="BG186" s="794"/>
      <c r="BH186" s="794" t="str">
        <f t="array" ref="BH186:BI186">{"",'S-10 Оформление сделок Выборка'!BI186}</f>
        <v/>
      </c>
      <c r="BI186" s="794"/>
      <c r="BJ186" s="792" t="str">
        <f t="array" ref="BJ186:BK186">{"",'S-10 Оформление сделок Выборка'!BK186}</f>
        <v/>
      </c>
      <c r="BK186" s="793"/>
      <c r="BL186" s="792" t="str">
        <f t="array" ref="BL186:BM186">{"",'S-10 Оформление сделок Выборка'!BM186}</f>
        <v/>
      </c>
      <c r="BM186" s="801"/>
      <c r="BN186" s="792" t="str">
        <f t="array" ref="BN186:BO186">{"",'S-10 Оформление сделок Выборка'!BO186}</f>
        <v/>
      </c>
      <c r="BO186" s="793"/>
      <c r="BP186" s="792" t="str">
        <f t="array" ref="BP186:BQ186">{"",'S-10 Оформление сделок Выборка'!BQ186}</f>
        <v/>
      </c>
      <c r="BQ186" s="802"/>
      <c r="BR186" s="792" t="str">
        <f t="array" ref="BR186:BS186">{"",'S-10 Оформление сделок Выборка'!BS186}</f>
        <v/>
      </c>
      <c r="BS186" s="794"/>
      <c r="BT186" s="800" t="str">
        <f t="array" ref="BT186:BU186">{"",'S-10 Оформление сделок Выборка'!BU186}</f>
        <v/>
      </c>
      <c r="BU186" s="794"/>
      <c r="BV186" s="800" t="str">
        <f t="array" ref="BV186:BW186">{"",'S-10 Оформление сделок Выборка'!BW186}</f>
        <v/>
      </c>
      <c r="BW186" s="803" t="s">
        <v>96</v>
      </c>
      <c r="BX186" s="804"/>
    </row>
    <row r="187">
      <c r="A187" s="779"/>
      <c r="B187" s="779"/>
      <c r="C187" s="780" t="str">
        <f>'5-1 Сбор КП Закупки'!C187</f>
        <v/>
      </c>
      <c r="D187" s="781"/>
      <c r="E187" s="780"/>
      <c r="F187" s="783"/>
      <c r="G187" s="783"/>
      <c r="H187" s="783"/>
      <c r="I187" s="783"/>
      <c r="J187" s="780"/>
      <c r="K187" s="786"/>
      <c r="L187" s="785"/>
      <c r="M187" s="786"/>
      <c r="N187" s="786"/>
      <c r="O187" s="780"/>
      <c r="P187" s="787"/>
      <c r="Q187" s="780"/>
      <c r="R187" s="780"/>
      <c r="S187" s="780"/>
      <c r="T187" s="780"/>
      <c r="U187" s="780"/>
      <c r="V187" s="780"/>
      <c r="W187" s="787"/>
      <c r="X187" s="780"/>
      <c r="Y187" s="780"/>
      <c r="Z187" s="780"/>
      <c r="AA187" s="780"/>
      <c r="AB187" s="788"/>
      <c r="AC187" s="781"/>
      <c r="AD187" s="780"/>
      <c r="AE187" s="789" t="str">
        <f t="array" ref="AE187:AF187">{"",'S-10 Оформление сделок Выборка'!AF187}</f>
        <v/>
      </c>
      <c r="AF187" s="790"/>
      <c r="AG187" s="781"/>
      <c r="AH187" s="781"/>
      <c r="AI187" s="785"/>
      <c r="AJ187" s="780"/>
      <c r="AK187" s="792" t="str">
        <f t="array" ref="AK187:AL187">{"",'S-10 Оформление сделок Выборка'!AL187}</f>
        <v/>
      </c>
      <c r="AL187" s="793"/>
      <c r="AM187" s="792" t="str">
        <f t="array" ref="AM187:AN187">{"",'S-10 Оформление сделок Выборка'!AN187}</f>
        <v/>
      </c>
      <c r="AN187" s="794"/>
      <c r="AO187" s="792" t="str">
        <f t="array" ref="AO187:AP187">{"",'S-10 Оформление сделок Выборка'!AP187}</f>
        <v/>
      </c>
      <c r="AP187" s="786"/>
      <c r="AQ187" s="786"/>
      <c r="AR187" s="779" t="str">
        <f t="array" ref="AR187:AS187">{"",'S-10 Оформление сделок Выборка'!AS187}</f>
        <v/>
      </c>
      <c r="AS187" s="795"/>
      <c r="AT187" s="779" t="str">
        <f t="array" ref="AT187:AU187">{"",'S-10 Оформление сделок Выборка'!AU187}</f>
        <v/>
      </c>
      <c r="AU187" s="805"/>
      <c r="AV187" s="779" t="str">
        <f t="array" ref="AV187:AW187">{"",'S-10 Оформление сделок Выборка'!AW187}</f>
        <v/>
      </c>
      <c r="AW187" s="797"/>
      <c r="AX187" s="786"/>
      <c r="AY187" s="786"/>
      <c r="AZ187" s="792" t="str">
        <f t="array" ref="AZ187:BA187">{"",'S-10 Оформление сделок Выборка'!BA187}</f>
        <v/>
      </c>
      <c r="BA187" s="798"/>
      <c r="BB187" s="792" t="str">
        <f t="array" ref="BB187:BC187">{"",'S-10 Оформление сделок Выборка'!BC187}</f>
        <v/>
      </c>
      <c r="BC187" s="799"/>
      <c r="BD187" s="792" t="str">
        <f t="array" ref="BD187:BE187">{"",'S-10 Оформление сделок Выборка'!BE187}</f>
        <v/>
      </c>
      <c r="BE187" s="793"/>
      <c r="BF187" s="800" t="str">
        <f t="array" ref="BF187:BG187">{"",'S-10 Оформление сделок Выборка'!BG187}</f>
        <v/>
      </c>
      <c r="BG187" s="794"/>
      <c r="BH187" s="794" t="str">
        <f t="array" ref="BH187:BI187">{"",'S-10 Оформление сделок Выборка'!BI187}</f>
        <v/>
      </c>
      <c r="BI187" s="794"/>
      <c r="BJ187" s="792" t="str">
        <f t="array" ref="BJ187:BK187">{"",'S-10 Оформление сделок Выборка'!BK187}</f>
        <v/>
      </c>
      <c r="BK187" s="793"/>
      <c r="BL187" s="792" t="str">
        <f t="array" ref="BL187:BM187">{"",'S-10 Оформление сделок Выборка'!BM187}</f>
        <v/>
      </c>
      <c r="BM187" s="801"/>
      <c r="BN187" s="792" t="str">
        <f t="array" ref="BN187:BO187">{"",'S-10 Оформление сделок Выборка'!BO187}</f>
        <v/>
      </c>
      <c r="BO187" s="793"/>
      <c r="BP187" s="792" t="str">
        <f t="array" ref="BP187:BQ187">{"",'S-10 Оформление сделок Выборка'!BQ187}</f>
        <v/>
      </c>
      <c r="BQ187" s="802"/>
      <c r="BR187" s="792" t="str">
        <f t="array" ref="BR187:BS187">{"",'S-10 Оформление сделок Выборка'!BS187}</f>
        <v/>
      </c>
      <c r="BS187" s="794"/>
      <c r="BT187" s="800" t="str">
        <f t="array" ref="BT187:BU187">{"",'S-10 Оформление сделок Выборка'!BU187}</f>
        <v/>
      </c>
      <c r="BU187" s="794"/>
      <c r="BV187" s="800" t="str">
        <f t="array" ref="BV187:BW187">{"",'S-10 Оформление сделок Выборка'!BW187}</f>
        <v/>
      </c>
      <c r="BW187" s="803" t="s">
        <v>96</v>
      </c>
      <c r="BX187" s="804"/>
    </row>
    <row r="188">
      <c r="A188" s="779"/>
      <c r="B188" s="779"/>
      <c r="C188" s="780" t="str">
        <f>'5-1 Сбор КП Закупки'!C188</f>
        <v/>
      </c>
      <c r="D188" s="781"/>
      <c r="E188" s="780"/>
      <c r="F188" s="783"/>
      <c r="G188" s="783"/>
      <c r="H188" s="783"/>
      <c r="I188" s="783"/>
      <c r="J188" s="780"/>
      <c r="K188" s="786"/>
      <c r="L188" s="785"/>
      <c r="M188" s="786"/>
      <c r="N188" s="786"/>
      <c r="O188" s="780"/>
      <c r="P188" s="787"/>
      <c r="Q188" s="780"/>
      <c r="R188" s="780"/>
      <c r="S188" s="780"/>
      <c r="T188" s="780"/>
      <c r="U188" s="780"/>
      <c r="V188" s="780"/>
      <c r="W188" s="787"/>
      <c r="X188" s="780"/>
      <c r="Y188" s="780"/>
      <c r="Z188" s="780"/>
      <c r="AA188" s="780"/>
      <c r="AB188" s="788"/>
      <c r="AC188" s="781"/>
      <c r="AD188" s="780"/>
      <c r="AE188" s="789" t="str">
        <f t="array" ref="AE188:AF188">{"",'S-10 Оформление сделок Выборка'!AF188}</f>
        <v/>
      </c>
      <c r="AF188" s="790"/>
      <c r="AG188" s="781"/>
      <c r="AH188" s="781"/>
      <c r="AI188" s="785"/>
      <c r="AJ188" s="780"/>
      <c r="AK188" s="792" t="str">
        <f t="array" ref="AK188:AL188">{"",'S-10 Оформление сделок Выборка'!AL188}</f>
        <v/>
      </c>
      <c r="AL188" s="793"/>
      <c r="AM188" s="792" t="str">
        <f t="array" ref="AM188:AN188">{"",'S-10 Оформление сделок Выборка'!AN188}</f>
        <v/>
      </c>
      <c r="AN188" s="794"/>
      <c r="AO188" s="792" t="str">
        <f t="array" ref="AO188:AP188">{"",'S-10 Оформление сделок Выборка'!AP188}</f>
        <v/>
      </c>
      <c r="AP188" s="786"/>
      <c r="AQ188" s="786"/>
      <c r="AR188" s="779" t="str">
        <f t="array" ref="AR188:AS188">{"",'S-10 Оформление сделок Выборка'!AS188}</f>
        <v/>
      </c>
      <c r="AS188" s="795"/>
      <c r="AT188" s="779" t="str">
        <f t="array" ref="AT188:AU188">{"",'S-10 Оформление сделок Выборка'!AU188}</f>
        <v/>
      </c>
      <c r="AU188" s="805"/>
      <c r="AV188" s="779" t="str">
        <f t="array" ref="AV188:AW188">{"",'S-10 Оформление сделок Выборка'!AW188}</f>
        <v/>
      </c>
      <c r="AW188" s="797"/>
      <c r="AX188" s="786"/>
      <c r="AY188" s="786"/>
      <c r="AZ188" s="792" t="str">
        <f t="array" ref="AZ188:BA188">{"",'S-10 Оформление сделок Выборка'!BA188}</f>
        <v/>
      </c>
      <c r="BA188" s="798"/>
      <c r="BB188" s="792" t="str">
        <f t="array" ref="BB188:BC188">{"",'S-10 Оформление сделок Выборка'!BC188}</f>
        <v/>
      </c>
      <c r="BC188" s="799"/>
      <c r="BD188" s="792" t="str">
        <f t="array" ref="BD188:BE188">{"",'S-10 Оформление сделок Выборка'!BE188}</f>
        <v/>
      </c>
      <c r="BE188" s="793"/>
      <c r="BF188" s="800" t="str">
        <f t="array" ref="BF188:BG188">{"",'S-10 Оформление сделок Выборка'!BG188}</f>
        <v/>
      </c>
      <c r="BG188" s="794"/>
      <c r="BH188" s="794" t="str">
        <f t="array" ref="BH188:BI188">{"",'S-10 Оформление сделок Выборка'!BI188}</f>
        <v/>
      </c>
      <c r="BI188" s="794"/>
      <c r="BJ188" s="792" t="str">
        <f t="array" ref="BJ188:BK188">{"",'S-10 Оформление сделок Выборка'!BK188}</f>
        <v/>
      </c>
      <c r="BK188" s="793"/>
      <c r="BL188" s="792" t="str">
        <f t="array" ref="BL188:BM188">{"",'S-10 Оформление сделок Выборка'!BM188}</f>
        <v/>
      </c>
      <c r="BM188" s="801"/>
      <c r="BN188" s="792" t="str">
        <f t="array" ref="BN188:BO188">{"",'S-10 Оформление сделок Выборка'!BO188}</f>
        <v/>
      </c>
      <c r="BO188" s="793"/>
      <c r="BP188" s="792" t="str">
        <f t="array" ref="BP188:BQ188">{"",'S-10 Оформление сделок Выборка'!BQ188}</f>
        <v/>
      </c>
      <c r="BQ188" s="802"/>
      <c r="BR188" s="792" t="str">
        <f t="array" ref="BR188:BS188">{"",'S-10 Оформление сделок Выборка'!BS188}</f>
        <v/>
      </c>
      <c r="BS188" s="794"/>
      <c r="BT188" s="800" t="str">
        <f t="array" ref="BT188:BU188">{"",'S-10 Оформление сделок Выборка'!BU188}</f>
        <v/>
      </c>
      <c r="BU188" s="794"/>
      <c r="BV188" s="800" t="str">
        <f t="array" ref="BV188:BW188">{"",'S-10 Оформление сделок Выборка'!BW188}</f>
        <v/>
      </c>
      <c r="BW188" s="803" t="s">
        <v>96</v>
      </c>
      <c r="BX188" s="804"/>
    </row>
    <row r="189">
      <c r="A189" s="779"/>
      <c r="B189" s="779"/>
      <c r="C189" s="780" t="str">
        <f>'5-1 Сбор КП Закупки'!C189</f>
        <v/>
      </c>
      <c r="D189" s="781"/>
      <c r="E189" s="780"/>
      <c r="F189" s="783"/>
      <c r="G189" s="783"/>
      <c r="H189" s="783"/>
      <c r="I189" s="783"/>
      <c r="J189" s="780"/>
      <c r="K189" s="786"/>
      <c r="L189" s="785"/>
      <c r="M189" s="786"/>
      <c r="N189" s="786"/>
      <c r="O189" s="780"/>
      <c r="P189" s="787"/>
      <c r="Q189" s="780"/>
      <c r="R189" s="780"/>
      <c r="S189" s="780"/>
      <c r="T189" s="780"/>
      <c r="U189" s="780"/>
      <c r="V189" s="780"/>
      <c r="W189" s="787"/>
      <c r="X189" s="780"/>
      <c r="Y189" s="780"/>
      <c r="Z189" s="780"/>
      <c r="AA189" s="780"/>
      <c r="AB189" s="788"/>
      <c r="AC189" s="781"/>
      <c r="AD189" s="780"/>
      <c r="AE189" s="789" t="str">
        <f t="array" ref="AE189:AF189">{"",'S-10 Оформление сделок Выборка'!AF189}</f>
        <v/>
      </c>
      <c r="AF189" s="790"/>
      <c r="AG189" s="781"/>
      <c r="AH189" s="781"/>
      <c r="AI189" s="785"/>
      <c r="AJ189" s="780"/>
      <c r="AK189" s="792" t="str">
        <f t="array" ref="AK189:AL189">{"",'S-10 Оформление сделок Выборка'!AL189}</f>
        <v/>
      </c>
      <c r="AL189" s="793"/>
      <c r="AM189" s="792" t="str">
        <f t="array" ref="AM189:AN189">{"",'S-10 Оформление сделок Выборка'!AN189}</f>
        <v/>
      </c>
      <c r="AN189" s="794"/>
      <c r="AO189" s="792" t="str">
        <f t="array" ref="AO189:AP189">{"",'S-10 Оформление сделок Выборка'!AP189}</f>
        <v/>
      </c>
      <c r="AP189" s="786"/>
      <c r="AQ189" s="786"/>
      <c r="AR189" s="779" t="str">
        <f t="array" ref="AR189:AS189">{"",'S-10 Оформление сделок Выборка'!AS189}</f>
        <v/>
      </c>
      <c r="AS189" s="795"/>
      <c r="AT189" s="779" t="str">
        <f t="array" ref="AT189:AU189">{"",'S-10 Оформление сделок Выборка'!AU189}</f>
        <v/>
      </c>
      <c r="AU189" s="805"/>
      <c r="AV189" s="779" t="str">
        <f t="array" ref="AV189:AW189">{"",'S-10 Оформление сделок Выборка'!AW189}</f>
        <v/>
      </c>
      <c r="AW189" s="797"/>
      <c r="AX189" s="786"/>
      <c r="AY189" s="786"/>
      <c r="AZ189" s="792" t="str">
        <f t="array" ref="AZ189:BA189">{"",'S-10 Оформление сделок Выборка'!BA189}</f>
        <v/>
      </c>
      <c r="BA189" s="798"/>
      <c r="BB189" s="792" t="str">
        <f t="array" ref="BB189:BC189">{"",'S-10 Оформление сделок Выборка'!BC189}</f>
        <v/>
      </c>
      <c r="BC189" s="799"/>
      <c r="BD189" s="792" t="str">
        <f t="array" ref="BD189:BE189">{"",'S-10 Оформление сделок Выборка'!BE189}</f>
        <v/>
      </c>
      <c r="BE189" s="793"/>
      <c r="BF189" s="800" t="str">
        <f t="array" ref="BF189:BG189">{"",'S-10 Оформление сделок Выборка'!BG189}</f>
        <v/>
      </c>
      <c r="BG189" s="794"/>
      <c r="BH189" s="794" t="str">
        <f t="array" ref="BH189:BI189">{"",'S-10 Оформление сделок Выборка'!BI189}</f>
        <v/>
      </c>
      <c r="BI189" s="794"/>
      <c r="BJ189" s="792" t="str">
        <f t="array" ref="BJ189:BK189">{"",'S-10 Оформление сделок Выборка'!BK189}</f>
        <v/>
      </c>
      <c r="BK189" s="793"/>
      <c r="BL189" s="792" t="str">
        <f t="array" ref="BL189:BM189">{"",'S-10 Оформление сделок Выборка'!BM189}</f>
        <v/>
      </c>
      <c r="BM189" s="801"/>
      <c r="BN189" s="792" t="str">
        <f t="array" ref="BN189:BO189">{"",'S-10 Оформление сделок Выборка'!BO189}</f>
        <v/>
      </c>
      <c r="BO189" s="793"/>
      <c r="BP189" s="792" t="str">
        <f t="array" ref="BP189:BQ189">{"",'S-10 Оформление сделок Выборка'!BQ189}</f>
        <v/>
      </c>
      <c r="BQ189" s="802"/>
      <c r="BR189" s="792" t="str">
        <f t="array" ref="BR189:BS189">{"",'S-10 Оформление сделок Выборка'!BS189}</f>
        <v/>
      </c>
      <c r="BS189" s="794"/>
      <c r="BT189" s="800" t="str">
        <f t="array" ref="BT189:BU189">{"",'S-10 Оформление сделок Выборка'!BU189}</f>
        <v/>
      </c>
      <c r="BU189" s="794"/>
      <c r="BV189" s="800" t="str">
        <f t="array" ref="BV189:BW189">{"",'S-10 Оформление сделок Выборка'!BW189}</f>
        <v/>
      </c>
      <c r="BW189" s="803" t="s">
        <v>96</v>
      </c>
      <c r="BX189" s="804"/>
    </row>
    <row r="190">
      <c r="A190" s="779"/>
      <c r="B190" s="779"/>
      <c r="C190" s="780" t="str">
        <f>'5-1 Сбор КП Закупки'!C190</f>
        <v/>
      </c>
      <c r="D190" s="781"/>
      <c r="E190" s="780"/>
      <c r="F190" s="783"/>
      <c r="G190" s="783"/>
      <c r="H190" s="783"/>
      <c r="I190" s="783"/>
      <c r="J190" s="780"/>
      <c r="K190" s="786"/>
      <c r="L190" s="785"/>
      <c r="M190" s="786"/>
      <c r="N190" s="786"/>
      <c r="O190" s="780"/>
      <c r="P190" s="787"/>
      <c r="Q190" s="780"/>
      <c r="R190" s="780"/>
      <c r="S190" s="780"/>
      <c r="T190" s="780"/>
      <c r="U190" s="780"/>
      <c r="V190" s="780"/>
      <c r="W190" s="787"/>
      <c r="X190" s="780"/>
      <c r="Y190" s="780"/>
      <c r="Z190" s="780"/>
      <c r="AA190" s="780"/>
      <c r="AB190" s="788"/>
      <c r="AC190" s="781"/>
      <c r="AD190" s="780"/>
      <c r="AE190" s="789" t="str">
        <f t="array" ref="AE190:AF190">{"",'S-10 Оформление сделок Выборка'!AF190}</f>
        <v/>
      </c>
      <c r="AF190" s="790"/>
      <c r="AG190" s="781"/>
      <c r="AH190" s="781"/>
      <c r="AI190" s="785"/>
      <c r="AJ190" s="780"/>
      <c r="AK190" s="792" t="str">
        <f t="array" ref="AK190:AL190">{"",'S-10 Оформление сделок Выборка'!AL190}</f>
        <v/>
      </c>
      <c r="AL190" s="793"/>
      <c r="AM190" s="792" t="str">
        <f t="array" ref="AM190:AN190">{"",'S-10 Оформление сделок Выборка'!AN190}</f>
        <v/>
      </c>
      <c r="AN190" s="794"/>
      <c r="AO190" s="792" t="str">
        <f t="array" ref="AO190:AP190">{"",'S-10 Оформление сделок Выборка'!AP190}</f>
        <v/>
      </c>
      <c r="AP190" s="786"/>
      <c r="AQ190" s="786"/>
      <c r="AR190" s="779" t="str">
        <f t="array" ref="AR190:AS190">{"",'S-10 Оформление сделок Выборка'!AS190}</f>
        <v/>
      </c>
      <c r="AS190" s="795"/>
      <c r="AT190" s="779" t="str">
        <f t="array" ref="AT190:AU190">{"",'S-10 Оформление сделок Выборка'!AU190}</f>
        <v/>
      </c>
      <c r="AU190" s="805"/>
      <c r="AV190" s="779" t="str">
        <f t="array" ref="AV190:AW190">{"",'S-10 Оформление сделок Выборка'!AW190}</f>
        <v/>
      </c>
      <c r="AW190" s="797"/>
      <c r="AX190" s="786"/>
      <c r="AY190" s="786"/>
      <c r="AZ190" s="792" t="str">
        <f t="array" ref="AZ190:BA190">{"",'S-10 Оформление сделок Выборка'!BA190}</f>
        <v/>
      </c>
      <c r="BA190" s="798"/>
      <c r="BB190" s="792" t="str">
        <f t="array" ref="BB190:BC190">{"",'S-10 Оформление сделок Выборка'!BC190}</f>
        <v/>
      </c>
      <c r="BC190" s="799"/>
      <c r="BD190" s="792" t="str">
        <f t="array" ref="BD190:BE190">{"",'S-10 Оформление сделок Выборка'!BE190}</f>
        <v/>
      </c>
      <c r="BE190" s="793"/>
      <c r="BF190" s="800" t="str">
        <f t="array" ref="BF190:BG190">{"",'S-10 Оформление сделок Выборка'!BG190}</f>
        <v/>
      </c>
      <c r="BG190" s="794"/>
      <c r="BH190" s="794" t="str">
        <f t="array" ref="BH190:BI190">{"",'S-10 Оформление сделок Выборка'!BI190}</f>
        <v/>
      </c>
      <c r="BI190" s="794"/>
      <c r="BJ190" s="792" t="str">
        <f t="array" ref="BJ190:BK190">{"",'S-10 Оформление сделок Выборка'!BK190}</f>
        <v/>
      </c>
      <c r="BK190" s="793"/>
      <c r="BL190" s="792" t="str">
        <f t="array" ref="BL190:BM190">{"",'S-10 Оформление сделок Выборка'!BM190}</f>
        <v/>
      </c>
      <c r="BM190" s="801"/>
      <c r="BN190" s="792" t="str">
        <f t="array" ref="BN190:BO190">{"",'S-10 Оформление сделок Выборка'!BO190}</f>
        <v/>
      </c>
      <c r="BO190" s="793"/>
      <c r="BP190" s="792" t="str">
        <f t="array" ref="BP190:BQ190">{"",'S-10 Оформление сделок Выборка'!BQ190}</f>
        <v/>
      </c>
      <c r="BQ190" s="802"/>
      <c r="BR190" s="792" t="str">
        <f t="array" ref="BR190:BS190">{"",'S-10 Оформление сделок Выборка'!BS190}</f>
        <v/>
      </c>
      <c r="BS190" s="794"/>
      <c r="BT190" s="800" t="str">
        <f t="array" ref="BT190:BU190">{"",'S-10 Оформление сделок Выборка'!BU190}</f>
        <v/>
      </c>
      <c r="BU190" s="794"/>
      <c r="BV190" s="800" t="str">
        <f t="array" ref="BV190:BW190">{"",'S-10 Оформление сделок Выборка'!BW190}</f>
        <v/>
      </c>
      <c r="BW190" s="803" t="s">
        <v>96</v>
      </c>
      <c r="BX190" s="804"/>
    </row>
    <row r="191">
      <c r="A191" s="779"/>
      <c r="B191" s="779"/>
      <c r="C191" s="780" t="str">
        <f>'5-1 Сбор КП Закупки'!C191</f>
        <v/>
      </c>
      <c r="D191" s="781"/>
      <c r="E191" s="780"/>
      <c r="F191" s="783"/>
      <c r="G191" s="783"/>
      <c r="H191" s="783"/>
      <c r="I191" s="783"/>
      <c r="J191" s="780"/>
      <c r="K191" s="786"/>
      <c r="L191" s="785"/>
      <c r="M191" s="786"/>
      <c r="N191" s="786"/>
      <c r="O191" s="780"/>
      <c r="P191" s="787"/>
      <c r="Q191" s="780"/>
      <c r="R191" s="780"/>
      <c r="S191" s="780"/>
      <c r="T191" s="780"/>
      <c r="U191" s="780"/>
      <c r="V191" s="780"/>
      <c r="W191" s="787"/>
      <c r="X191" s="780"/>
      <c r="Y191" s="780"/>
      <c r="Z191" s="780"/>
      <c r="AA191" s="780"/>
      <c r="AB191" s="788"/>
      <c r="AC191" s="781"/>
      <c r="AD191" s="780"/>
      <c r="AE191" s="789" t="str">
        <f t="array" ref="AE191:AF191">{"",'S-10 Оформление сделок Выборка'!AF191}</f>
        <v/>
      </c>
      <c r="AF191" s="790"/>
      <c r="AG191" s="781"/>
      <c r="AH191" s="781"/>
      <c r="AI191" s="785"/>
      <c r="AJ191" s="780"/>
      <c r="AK191" s="792" t="str">
        <f t="array" ref="AK191:AL191">{"",'S-10 Оформление сделок Выборка'!AL191}</f>
        <v/>
      </c>
      <c r="AL191" s="793"/>
      <c r="AM191" s="792" t="str">
        <f t="array" ref="AM191:AN191">{"",'S-10 Оформление сделок Выборка'!AN191}</f>
        <v/>
      </c>
      <c r="AN191" s="794"/>
      <c r="AO191" s="792" t="str">
        <f t="array" ref="AO191:AP191">{"",'S-10 Оформление сделок Выборка'!AP191}</f>
        <v/>
      </c>
      <c r="AP191" s="786"/>
      <c r="AQ191" s="786"/>
      <c r="AR191" s="779" t="str">
        <f t="array" ref="AR191:AS191">{"",'S-10 Оформление сделок Выборка'!AS191}</f>
        <v/>
      </c>
      <c r="AS191" s="795"/>
      <c r="AT191" s="779" t="str">
        <f t="array" ref="AT191:AU191">{"",'S-10 Оформление сделок Выборка'!AU191}</f>
        <v/>
      </c>
      <c r="AU191" s="805"/>
      <c r="AV191" s="779" t="str">
        <f t="array" ref="AV191:AW191">{"",'S-10 Оформление сделок Выборка'!AW191}</f>
        <v/>
      </c>
      <c r="AW191" s="797"/>
      <c r="AX191" s="786"/>
      <c r="AY191" s="786"/>
      <c r="AZ191" s="792" t="str">
        <f t="array" ref="AZ191:BA191">{"",'S-10 Оформление сделок Выборка'!BA191}</f>
        <v/>
      </c>
      <c r="BA191" s="798"/>
      <c r="BB191" s="792" t="str">
        <f t="array" ref="BB191:BC191">{"",'S-10 Оформление сделок Выборка'!BC191}</f>
        <v/>
      </c>
      <c r="BC191" s="799"/>
      <c r="BD191" s="792" t="str">
        <f t="array" ref="BD191:BE191">{"",'S-10 Оформление сделок Выборка'!BE191}</f>
        <v/>
      </c>
      <c r="BE191" s="793"/>
      <c r="BF191" s="800" t="str">
        <f t="array" ref="BF191:BG191">{"",'S-10 Оформление сделок Выборка'!BG191}</f>
        <v/>
      </c>
      <c r="BG191" s="794"/>
      <c r="BH191" s="794" t="str">
        <f t="array" ref="BH191:BI191">{"",'S-10 Оформление сделок Выборка'!BI191}</f>
        <v/>
      </c>
      <c r="BI191" s="794"/>
      <c r="BJ191" s="792" t="str">
        <f t="array" ref="BJ191:BK191">{"",'S-10 Оформление сделок Выборка'!BK191}</f>
        <v/>
      </c>
      <c r="BK191" s="793"/>
      <c r="BL191" s="792" t="str">
        <f t="array" ref="BL191:BM191">{"",'S-10 Оформление сделок Выборка'!BM191}</f>
        <v/>
      </c>
      <c r="BM191" s="801"/>
      <c r="BN191" s="792" t="str">
        <f t="array" ref="BN191:BO191">{"",'S-10 Оформление сделок Выборка'!BO191}</f>
        <v/>
      </c>
      <c r="BO191" s="793"/>
      <c r="BP191" s="792" t="str">
        <f t="array" ref="BP191:BQ191">{"",'S-10 Оформление сделок Выборка'!BQ191}</f>
        <v/>
      </c>
      <c r="BQ191" s="802"/>
      <c r="BR191" s="792" t="str">
        <f t="array" ref="BR191:BS191">{"",'S-10 Оформление сделок Выборка'!BS191}</f>
        <v/>
      </c>
      <c r="BS191" s="794"/>
      <c r="BT191" s="800" t="str">
        <f t="array" ref="BT191:BU191">{"",'S-10 Оформление сделок Выборка'!BU191}</f>
        <v/>
      </c>
      <c r="BU191" s="794"/>
      <c r="BV191" s="800" t="str">
        <f t="array" ref="BV191:BW191">{"",'S-10 Оформление сделок Выборка'!BW191}</f>
        <v/>
      </c>
      <c r="BW191" s="803" t="s">
        <v>96</v>
      </c>
      <c r="BX191" s="804"/>
    </row>
    <row r="192">
      <c r="A192" s="779"/>
      <c r="B192" s="779"/>
      <c r="C192" s="780" t="str">
        <f>'5-1 Сбор КП Закупки'!C192</f>
        <v/>
      </c>
      <c r="D192" s="781"/>
      <c r="E192" s="780"/>
      <c r="F192" s="783"/>
      <c r="G192" s="783"/>
      <c r="H192" s="783"/>
      <c r="I192" s="783"/>
      <c r="J192" s="780"/>
      <c r="K192" s="786"/>
      <c r="L192" s="785"/>
      <c r="M192" s="786"/>
      <c r="N192" s="786"/>
      <c r="O192" s="780"/>
      <c r="P192" s="787"/>
      <c r="Q192" s="780"/>
      <c r="R192" s="780"/>
      <c r="S192" s="780"/>
      <c r="T192" s="780"/>
      <c r="U192" s="780"/>
      <c r="V192" s="780"/>
      <c r="W192" s="787"/>
      <c r="X192" s="780"/>
      <c r="Y192" s="780"/>
      <c r="Z192" s="780"/>
      <c r="AA192" s="780"/>
      <c r="AB192" s="788"/>
      <c r="AC192" s="781"/>
      <c r="AD192" s="780"/>
      <c r="AE192" s="789" t="str">
        <f t="array" ref="AE192:AF192">{"",'S-10 Оформление сделок Выборка'!AF192}</f>
        <v/>
      </c>
      <c r="AF192" s="790"/>
      <c r="AG192" s="781"/>
      <c r="AH192" s="781"/>
      <c r="AI192" s="785"/>
      <c r="AJ192" s="780"/>
      <c r="AK192" s="792" t="str">
        <f t="array" ref="AK192:AL192">{"",'S-10 Оформление сделок Выборка'!AL192}</f>
        <v/>
      </c>
      <c r="AL192" s="793"/>
      <c r="AM192" s="792" t="str">
        <f t="array" ref="AM192:AN192">{"",'S-10 Оформление сделок Выборка'!AN192}</f>
        <v/>
      </c>
      <c r="AN192" s="794"/>
      <c r="AO192" s="792" t="str">
        <f t="array" ref="AO192:AP192">{"",'S-10 Оформление сделок Выборка'!AP192}</f>
        <v/>
      </c>
      <c r="AP192" s="786"/>
      <c r="AQ192" s="786"/>
      <c r="AR192" s="779" t="str">
        <f t="array" ref="AR192:AS192">{"",'S-10 Оформление сделок Выборка'!AS192}</f>
        <v/>
      </c>
      <c r="AS192" s="795"/>
      <c r="AT192" s="779" t="str">
        <f t="array" ref="AT192:AU192">{"",'S-10 Оформление сделок Выборка'!AU192}</f>
        <v/>
      </c>
      <c r="AU192" s="805"/>
      <c r="AV192" s="779" t="str">
        <f t="array" ref="AV192:AW192">{"",'S-10 Оформление сделок Выборка'!AW192}</f>
        <v/>
      </c>
      <c r="AW192" s="797"/>
      <c r="AX192" s="786"/>
      <c r="AY192" s="786"/>
      <c r="AZ192" s="792" t="str">
        <f t="array" ref="AZ192:BA192">{"",'S-10 Оформление сделок Выборка'!BA192}</f>
        <v/>
      </c>
      <c r="BA192" s="798"/>
      <c r="BB192" s="792" t="str">
        <f t="array" ref="BB192:BC192">{"",'S-10 Оформление сделок Выборка'!BC192}</f>
        <v/>
      </c>
      <c r="BC192" s="799"/>
      <c r="BD192" s="792" t="str">
        <f t="array" ref="BD192:BE192">{"",'S-10 Оформление сделок Выборка'!BE192}</f>
        <v/>
      </c>
      <c r="BE192" s="793"/>
      <c r="BF192" s="800" t="str">
        <f t="array" ref="BF192:BG192">{"",'S-10 Оформление сделок Выборка'!BG192}</f>
        <v/>
      </c>
      <c r="BG192" s="794"/>
      <c r="BH192" s="794" t="str">
        <f t="array" ref="BH192:BI192">{"",'S-10 Оформление сделок Выборка'!BI192}</f>
        <v/>
      </c>
      <c r="BI192" s="794"/>
      <c r="BJ192" s="792" t="str">
        <f t="array" ref="BJ192:BK192">{"",'S-10 Оформление сделок Выборка'!BK192}</f>
        <v/>
      </c>
      <c r="BK192" s="793"/>
      <c r="BL192" s="792" t="str">
        <f t="array" ref="BL192:BM192">{"",'S-10 Оформление сделок Выборка'!BM192}</f>
        <v/>
      </c>
      <c r="BM192" s="801"/>
      <c r="BN192" s="792" t="str">
        <f t="array" ref="BN192:BO192">{"",'S-10 Оформление сделок Выборка'!BO192}</f>
        <v/>
      </c>
      <c r="BO192" s="793"/>
      <c r="BP192" s="792" t="str">
        <f t="array" ref="BP192:BQ192">{"",'S-10 Оформление сделок Выборка'!BQ192}</f>
        <v/>
      </c>
      <c r="BQ192" s="802"/>
      <c r="BR192" s="792" t="str">
        <f t="array" ref="BR192:BS192">{"",'S-10 Оформление сделок Выборка'!BS192}</f>
        <v/>
      </c>
      <c r="BS192" s="794"/>
      <c r="BT192" s="800" t="str">
        <f t="array" ref="BT192:BU192">{"",'S-10 Оформление сделок Выборка'!BU192}</f>
        <v/>
      </c>
      <c r="BU192" s="794"/>
      <c r="BV192" s="800" t="str">
        <f t="array" ref="BV192:BW192">{"",'S-10 Оформление сделок Выборка'!BW192}</f>
        <v/>
      </c>
      <c r="BW192" s="803" t="s">
        <v>96</v>
      </c>
      <c r="BX192" s="804"/>
    </row>
    <row r="193">
      <c r="A193" s="779"/>
      <c r="B193" s="779"/>
      <c r="C193" s="780" t="str">
        <f>'5-1 Сбор КП Закупки'!C193</f>
        <v/>
      </c>
      <c r="D193" s="781"/>
      <c r="E193" s="780"/>
      <c r="F193" s="783"/>
      <c r="G193" s="783"/>
      <c r="H193" s="783"/>
      <c r="I193" s="783"/>
      <c r="J193" s="780"/>
      <c r="K193" s="786"/>
      <c r="L193" s="785"/>
      <c r="M193" s="786"/>
      <c r="N193" s="786"/>
      <c r="O193" s="780"/>
      <c r="P193" s="787"/>
      <c r="Q193" s="780"/>
      <c r="R193" s="780"/>
      <c r="S193" s="780"/>
      <c r="T193" s="780"/>
      <c r="U193" s="780"/>
      <c r="V193" s="780"/>
      <c r="W193" s="787"/>
      <c r="X193" s="780"/>
      <c r="Y193" s="780"/>
      <c r="Z193" s="780"/>
      <c r="AA193" s="780"/>
      <c r="AB193" s="788"/>
      <c r="AC193" s="781"/>
      <c r="AD193" s="780"/>
      <c r="AE193" s="789" t="str">
        <f t="array" ref="AE193:AF193">{"",'S-10 Оформление сделок Выборка'!AF193}</f>
        <v/>
      </c>
      <c r="AF193" s="790"/>
      <c r="AG193" s="781"/>
      <c r="AH193" s="781"/>
      <c r="AI193" s="785"/>
      <c r="AJ193" s="780"/>
      <c r="AK193" s="792" t="str">
        <f t="array" ref="AK193:AL193">{"",'S-10 Оформление сделок Выборка'!AL193}</f>
        <v/>
      </c>
      <c r="AL193" s="793"/>
      <c r="AM193" s="792" t="str">
        <f t="array" ref="AM193:AN193">{"",'S-10 Оформление сделок Выборка'!AN193}</f>
        <v/>
      </c>
      <c r="AN193" s="794"/>
      <c r="AO193" s="792" t="str">
        <f t="array" ref="AO193:AP193">{"",'S-10 Оформление сделок Выборка'!AP193}</f>
        <v/>
      </c>
      <c r="AP193" s="786"/>
      <c r="AQ193" s="786"/>
      <c r="AR193" s="779" t="str">
        <f t="array" ref="AR193:AS193">{"",'S-10 Оформление сделок Выборка'!AS193}</f>
        <v/>
      </c>
      <c r="AS193" s="795"/>
      <c r="AT193" s="779" t="str">
        <f t="array" ref="AT193:AU193">{"",'S-10 Оформление сделок Выборка'!AU193}</f>
        <v/>
      </c>
      <c r="AU193" s="805"/>
      <c r="AV193" s="779" t="str">
        <f t="array" ref="AV193:AW193">{"",'S-10 Оформление сделок Выборка'!AW193}</f>
        <v/>
      </c>
      <c r="AW193" s="797"/>
      <c r="AX193" s="786"/>
      <c r="AY193" s="786"/>
      <c r="AZ193" s="792" t="str">
        <f t="array" ref="AZ193:BA193">{"",'S-10 Оформление сделок Выборка'!BA193}</f>
        <v/>
      </c>
      <c r="BA193" s="798"/>
      <c r="BB193" s="792" t="str">
        <f t="array" ref="BB193:BC193">{"",'S-10 Оформление сделок Выборка'!BC193}</f>
        <v/>
      </c>
      <c r="BC193" s="799"/>
      <c r="BD193" s="792" t="str">
        <f t="array" ref="BD193:BE193">{"",'S-10 Оформление сделок Выборка'!BE193}</f>
        <v/>
      </c>
      <c r="BE193" s="793"/>
      <c r="BF193" s="800" t="str">
        <f t="array" ref="BF193:BG193">{"",'S-10 Оформление сделок Выборка'!BG193}</f>
        <v/>
      </c>
      <c r="BG193" s="794"/>
      <c r="BH193" s="794" t="str">
        <f t="array" ref="BH193:BI193">{"",'S-10 Оформление сделок Выборка'!BI193}</f>
        <v/>
      </c>
      <c r="BI193" s="794"/>
      <c r="BJ193" s="792" t="str">
        <f t="array" ref="BJ193:BK193">{"",'S-10 Оформление сделок Выборка'!BK193}</f>
        <v/>
      </c>
      <c r="BK193" s="793"/>
      <c r="BL193" s="792" t="str">
        <f t="array" ref="BL193:BM193">{"",'S-10 Оформление сделок Выборка'!BM193}</f>
        <v/>
      </c>
      <c r="BM193" s="801"/>
      <c r="BN193" s="792" t="str">
        <f t="array" ref="BN193:BO193">{"",'S-10 Оформление сделок Выборка'!BO193}</f>
        <v/>
      </c>
      <c r="BO193" s="793"/>
      <c r="BP193" s="792" t="str">
        <f t="array" ref="BP193:BQ193">{"",'S-10 Оформление сделок Выборка'!BQ193}</f>
        <v/>
      </c>
      <c r="BQ193" s="802"/>
      <c r="BR193" s="792" t="str">
        <f t="array" ref="BR193:BS193">{"",'S-10 Оформление сделок Выборка'!BS193}</f>
        <v/>
      </c>
      <c r="BS193" s="794"/>
      <c r="BT193" s="800" t="str">
        <f t="array" ref="BT193:BU193">{"",'S-10 Оформление сделок Выборка'!BU193}</f>
        <v/>
      </c>
      <c r="BU193" s="794"/>
      <c r="BV193" s="800" t="str">
        <f t="array" ref="BV193:BW193">{"",'S-10 Оформление сделок Выборка'!BW193}</f>
        <v/>
      </c>
      <c r="BW193" s="803" t="s">
        <v>96</v>
      </c>
      <c r="BX193" s="804"/>
    </row>
    <row r="194">
      <c r="A194" s="779"/>
      <c r="B194" s="779"/>
      <c r="C194" s="780" t="str">
        <f>'5-1 Сбор КП Закупки'!C194</f>
        <v/>
      </c>
      <c r="D194" s="781"/>
      <c r="E194" s="780"/>
      <c r="F194" s="783"/>
      <c r="G194" s="783"/>
      <c r="H194" s="783"/>
      <c r="I194" s="783"/>
      <c r="J194" s="780"/>
      <c r="K194" s="786"/>
      <c r="L194" s="785"/>
      <c r="M194" s="786"/>
      <c r="N194" s="786"/>
      <c r="O194" s="780"/>
      <c r="P194" s="787"/>
      <c r="Q194" s="780"/>
      <c r="R194" s="780"/>
      <c r="S194" s="780"/>
      <c r="T194" s="780"/>
      <c r="U194" s="780"/>
      <c r="V194" s="780"/>
      <c r="W194" s="787"/>
      <c r="X194" s="780"/>
      <c r="Y194" s="780"/>
      <c r="Z194" s="780"/>
      <c r="AA194" s="780"/>
      <c r="AB194" s="788"/>
      <c r="AC194" s="781"/>
      <c r="AD194" s="780"/>
      <c r="AE194" s="789" t="str">
        <f t="array" ref="AE194:AF194">{"",'S-10 Оформление сделок Выборка'!AF194}</f>
        <v/>
      </c>
      <c r="AF194" s="790"/>
      <c r="AG194" s="781"/>
      <c r="AH194" s="781"/>
      <c r="AI194" s="785"/>
      <c r="AJ194" s="780"/>
      <c r="AK194" s="792" t="str">
        <f t="array" ref="AK194:AL194">{"",'S-10 Оформление сделок Выборка'!AL194}</f>
        <v/>
      </c>
      <c r="AL194" s="793"/>
      <c r="AM194" s="792" t="str">
        <f t="array" ref="AM194:AN194">{"",'S-10 Оформление сделок Выборка'!AN194}</f>
        <v/>
      </c>
      <c r="AN194" s="794"/>
      <c r="AO194" s="792" t="str">
        <f t="array" ref="AO194:AP194">{"",'S-10 Оформление сделок Выборка'!AP194}</f>
        <v/>
      </c>
      <c r="AP194" s="786"/>
      <c r="AQ194" s="786"/>
      <c r="AR194" s="779" t="str">
        <f t="array" ref="AR194:AS194">{"",'S-10 Оформление сделок Выборка'!AS194}</f>
        <v/>
      </c>
      <c r="AS194" s="795"/>
      <c r="AT194" s="779" t="str">
        <f t="array" ref="AT194:AU194">{"",'S-10 Оформление сделок Выборка'!AU194}</f>
        <v/>
      </c>
      <c r="AU194" s="805"/>
      <c r="AV194" s="779" t="str">
        <f t="array" ref="AV194:AW194">{"",'S-10 Оформление сделок Выборка'!AW194}</f>
        <v/>
      </c>
      <c r="AW194" s="797"/>
      <c r="AX194" s="786"/>
      <c r="AY194" s="786"/>
      <c r="AZ194" s="792" t="str">
        <f t="array" ref="AZ194:BA194">{"",'S-10 Оформление сделок Выборка'!BA194}</f>
        <v/>
      </c>
      <c r="BA194" s="798"/>
      <c r="BB194" s="792" t="str">
        <f t="array" ref="BB194:BC194">{"",'S-10 Оформление сделок Выборка'!BC194}</f>
        <v/>
      </c>
      <c r="BC194" s="799"/>
      <c r="BD194" s="792" t="str">
        <f t="array" ref="BD194:BE194">{"",'S-10 Оформление сделок Выборка'!BE194}</f>
        <v/>
      </c>
      <c r="BE194" s="793"/>
      <c r="BF194" s="800" t="str">
        <f t="array" ref="BF194:BG194">{"",'S-10 Оформление сделок Выборка'!BG194}</f>
        <v/>
      </c>
      <c r="BG194" s="794"/>
      <c r="BH194" s="794" t="str">
        <f t="array" ref="BH194:BI194">{"",'S-10 Оформление сделок Выборка'!BI194}</f>
        <v/>
      </c>
      <c r="BI194" s="794"/>
      <c r="BJ194" s="792" t="str">
        <f t="array" ref="BJ194:BK194">{"",'S-10 Оформление сделок Выборка'!BK194}</f>
        <v/>
      </c>
      <c r="BK194" s="793"/>
      <c r="BL194" s="792" t="str">
        <f t="array" ref="BL194:BM194">{"",'S-10 Оформление сделок Выборка'!BM194}</f>
        <v/>
      </c>
      <c r="BM194" s="801"/>
      <c r="BN194" s="792" t="str">
        <f t="array" ref="BN194:BO194">{"",'S-10 Оформление сделок Выборка'!BO194}</f>
        <v/>
      </c>
      <c r="BO194" s="793"/>
      <c r="BP194" s="792" t="str">
        <f t="array" ref="BP194:BQ194">{"",'S-10 Оформление сделок Выборка'!BQ194}</f>
        <v/>
      </c>
      <c r="BQ194" s="802"/>
      <c r="BR194" s="792" t="str">
        <f t="array" ref="BR194:BS194">{"",'S-10 Оформление сделок Выборка'!BS194}</f>
        <v/>
      </c>
      <c r="BS194" s="794"/>
      <c r="BT194" s="800" t="str">
        <f t="array" ref="BT194:BU194">{"",'S-10 Оформление сделок Выборка'!BU194}</f>
        <v/>
      </c>
      <c r="BU194" s="794"/>
      <c r="BV194" s="800" t="str">
        <f t="array" ref="BV194:BW194">{"",'S-10 Оформление сделок Выборка'!BW194}</f>
        <v/>
      </c>
      <c r="BW194" s="803" t="s">
        <v>96</v>
      </c>
      <c r="BX194" s="804"/>
    </row>
    <row r="195">
      <c r="A195" s="779"/>
      <c r="B195" s="779"/>
      <c r="C195" s="780" t="str">
        <f>'5-1 Сбор КП Закупки'!C195</f>
        <v/>
      </c>
      <c r="D195" s="781"/>
      <c r="E195" s="780"/>
      <c r="F195" s="783"/>
      <c r="G195" s="783"/>
      <c r="H195" s="783"/>
      <c r="I195" s="783"/>
      <c r="J195" s="780"/>
      <c r="K195" s="786"/>
      <c r="L195" s="785"/>
      <c r="M195" s="786"/>
      <c r="N195" s="786"/>
      <c r="O195" s="780"/>
      <c r="P195" s="787"/>
      <c r="Q195" s="780"/>
      <c r="R195" s="780"/>
      <c r="S195" s="780"/>
      <c r="T195" s="780"/>
      <c r="U195" s="780"/>
      <c r="V195" s="780"/>
      <c r="W195" s="787"/>
      <c r="X195" s="780"/>
      <c r="Y195" s="780"/>
      <c r="Z195" s="780"/>
      <c r="AA195" s="780"/>
      <c r="AB195" s="788"/>
      <c r="AC195" s="781"/>
      <c r="AD195" s="780"/>
      <c r="AE195" s="789" t="str">
        <f t="array" ref="AE195:AF195">{"",'S-10 Оформление сделок Выборка'!AF195}</f>
        <v/>
      </c>
      <c r="AF195" s="790"/>
      <c r="AG195" s="781"/>
      <c r="AH195" s="781"/>
      <c r="AI195" s="785"/>
      <c r="AJ195" s="780"/>
      <c r="AK195" s="792" t="str">
        <f t="array" ref="AK195:AL195">{"",'S-10 Оформление сделок Выборка'!AL195}</f>
        <v/>
      </c>
      <c r="AL195" s="793"/>
      <c r="AM195" s="792" t="str">
        <f t="array" ref="AM195:AN195">{"",'S-10 Оформление сделок Выборка'!AN195}</f>
        <v/>
      </c>
      <c r="AN195" s="794"/>
      <c r="AO195" s="792" t="str">
        <f t="array" ref="AO195:AP195">{"",'S-10 Оформление сделок Выборка'!AP195}</f>
        <v/>
      </c>
      <c r="AP195" s="786"/>
      <c r="AQ195" s="786"/>
      <c r="AR195" s="779" t="str">
        <f t="array" ref="AR195:AS195">{"",'S-10 Оформление сделок Выборка'!AS195}</f>
        <v/>
      </c>
      <c r="AS195" s="795"/>
      <c r="AT195" s="779" t="str">
        <f t="array" ref="AT195:AU195">{"",'S-10 Оформление сделок Выборка'!AU195}</f>
        <v/>
      </c>
      <c r="AU195" s="805"/>
      <c r="AV195" s="779" t="str">
        <f t="array" ref="AV195:AW195">{"",'S-10 Оформление сделок Выборка'!AW195}</f>
        <v/>
      </c>
      <c r="AW195" s="797"/>
      <c r="AX195" s="786"/>
      <c r="AY195" s="786"/>
      <c r="AZ195" s="792" t="str">
        <f t="array" ref="AZ195:BA195">{"",'S-10 Оформление сделок Выборка'!BA195}</f>
        <v/>
      </c>
      <c r="BA195" s="798"/>
      <c r="BB195" s="792" t="str">
        <f t="array" ref="BB195:BC195">{"",'S-10 Оформление сделок Выборка'!BC195}</f>
        <v/>
      </c>
      <c r="BC195" s="799"/>
      <c r="BD195" s="792" t="str">
        <f t="array" ref="BD195:BE195">{"",'S-10 Оформление сделок Выборка'!BE195}</f>
        <v/>
      </c>
      <c r="BE195" s="793"/>
      <c r="BF195" s="800" t="str">
        <f t="array" ref="BF195:BG195">{"",'S-10 Оформление сделок Выборка'!BG195}</f>
        <v/>
      </c>
      <c r="BG195" s="794"/>
      <c r="BH195" s="794" t="str">
        <f t="array" ref="BH195:BI195">{"",'S-10 Оформление сделок Выборка'!BI195}</f>
        <v/>
      </c>
      <c r="BI195" s="794"/>
      <c r="BJ195" s="792" t="str">
        <f t="array" ref="BJ195:BK195">{"",'S-10 Оформление сделок Выборка'!BK195}</f>
        <v/>
      </c>
      <c r="BK195" s="793"/>
      <c r="BL195" s="792" t="str">
        <f t="array" ref="BL195:BM195">{"",'S-10 Оформление сделок Выборка'!BM195}</f>
        <v/>
      </c>
      <c r="BM195" s="801"/>
      <c r="BN195" s="792" t="str">
        <f t="array" ref="BN195:BO195">{"",'S-10 Оформление сделок Выборка'!BO195}</f>
        <v/>
      </c>
      <c r="BO195" s="793"/>
      <c r="BP195" s="792" t="str">
        <f t="array" ref="BP195:BQ195">{"",'S-10 Оформление сделок Выборка'!BQ195}</f>
        <v/>
      </c>
      <c r="BQ195" s="802"/>
      <c r="BR195" s="792" t="str">
        <f t="array" ref="BR195:BS195">{"",'S-10 Оформление сделок Выборка'!BS195}</f>
        <v/>
      </c>
      <c r="BS195" s="794"/>
      <c r="BT195" s="800" t="str">
        <f t="array" ref="BT195:BU195">{"",'S-10 Оформление сделок Выборка'!BU195}</f>
        <v/>
      </c>
      <c r="BU195" s="794"/>
      <c r="BV195" s="800" t="str">
        <f t="array" ref="BV195:BW195">{"",'S-10 Оформление сделок Выборка'!BW195}</f>
        <v/>
      </c>
      <c r="BW195" s="803" t="s">
        <v>96</v>
      </c>
      <c r="BX195" s="804"/>
    </row>
    <row r="196">
      <c r="A196" s="779"/>
      <c r="B196" s="779"/>
      <c r="C196" s="780" t="str">
        <f>'5-1 Сбор КП Закупки'!C196</f>
        <v/>
      </c>
      <c r="D196" s="781"/>
      <c r="E196" s="780"/>
      <c r="F196" s="783"/>
      <c r="G196" s="783"/>
      <c r="H196" s="783"/>
      <c r="I196" s="783"/>
      <c r="J196" s="780"/>
      <c r="K196" s="786"/>
      <c r="L196" s="785"/>
      <c r="M196" s="786"/>
      <c r="N196" s="786"/>
      <c r="O196" s="780"/>
      <c r="P196" s="787"/>
      <c r="Q196" s="780"/>
      <c r="R196" s="780"/>
      <c r="S196" s="780"/>
      <c r="T196" s="780"/>
      <c r="U196" s="780"/>
      <c r="V196" s="780"/>
      <c r="W196" s="787"/>
      <c r="X196" s="780"/>
      <c r="Y196" s="780"/>
      <c r="Z196" s="780"/>
      <c r="AA196" s="780"/>
      <c r="AB196" s="788"/>
      <c r="AC196" s="781"/>
      <c r="AD196" s="780"/>
      <c r="AE196" s="789" t="str">
        <f t="array" ref="AE196:AF196">{"",'S-10 Оформление сделок Выборка'!AF196}</f>
        <v/>
      </c>
      <c r="AF196" s="790"/>
      <c r="AG196" s="781"/>
      <c r="AH196" s="781"/>
      <c r="AI196" s="785"/>
      <c r="AJ196" s="780"/>
      <c r="AK196" s="792" t="str">
        <f t="array" ref="AK196:AL196">{"",'S-10 Оформление сделок Выборка'!AL196}</f>
        <v/>
      </c>
      <c r="AL196" s="793"/>
      <c r="AM196" s="792" t="str">
        <f t="array" ref="AM196:AN196">{"",'S-10 Оформление сделок Выборка'!AN196}</f>
        <v/>
      </c>
      <c r="AN196" s="794"/>
      <c r="AO196" s="792" t="str">
        <f t="array" ref="AO196:AP196">{"",'S-10 Оформление сделок Выборка'!AP196}</f>
        <v/>
      </c>
      <c r="AP196" s="786"/>
      <c r="AQ196" s="786"/>
      <c r="AR196" s="779" t="str">
        <f t="array" ref="AR196:AS196">{"",'S-10 Оформление сделок Выборка'!AS196}</f>
        <v/>
      </c>
      <c r="AS196" s="795"/>
      <c r="AT196" s="779" t="str">
        <f t="array" ref="AT196:AU196">{"",'S-10 Оформление сделок Выборка'!AU196}</f>
        <v/>
      </c>
      <c r="AU196" s="805"/>
      <c r="AV196" s="779" t="str">
        <f t="array" ref="AV196:AW196">{"",'S-10 Оформление сделок Выборка'!AW196}</f>
        <v/>
      </c>
      <c r="AW196" s="797"/>
      <c r="AX196" s="786"/>
      <c r="AY196" s="786"/>
      <c r="AZ196" s="792" t="str">
        <f t="array" ref="AZ196:BA196">{"",'S-10 Оформление сделок Выборка'!BA196}</f>
        <v/>
      </c>
      <c r="BA196" s="798"/>
      <c r="BB196" s="792" t="str">
        <f t="array" ref="BB196:BC196">{"",'S-10 Оформление сделок Выборка'!BC196}</f>
        <v/>
      </c>
      <c r="BC196" s="799"/>
      <c r="BD196" s="792" t="str">
        <f t="array" ref="BD196:BE196">{"",'S-10 Оформление сделок Выборка'!BE196}</f>
        <v/>
      </c>
      <c r="BE196" s="793"/>
      <c r="BF196" s="800" t="str">
        <f t="array" ref="BF196:BG196">{"",'S-10 Оформление сделок Выборка'!BG196}</f>
        <v/>
      </c>
      <c r="BG196" s="794"/>
      <c r="BH196" s="794" t="str">
        <f t="array" ref="BH196:BI196">{"",'S-10 Оформление сделок Выборка'!BI196}</f>
        <v/>
      </c>
      <c r="BI196" s="794"/>
      <c r="BJ196" s="792" t="str">
        <f t="array" ref="BJ196:BK196">{"",'S-10 Оформление сделок Выборка'!BK196}</f>
        <v/>
      </c>
      <c r="BK196" s="793"/>
      <c r="BL196" s="792" t="str">
        <f t="array" ref="BL196:BM196">{"",'S-10 Оформление сделок Выборка'!BM196}</f>
        <v/>
      </c>
      <c r="BM196" s="801"/>
      <c r="BN196" s="792" t="str">
        <f t="array" ref="BN196:BO196">{"",'S-10 Оформление сделок Выборка'!BO196}</f>
        <v/>
      </c>
      <c r="BO196" s="793"/>
      <c r="BP196" s="792" t="str">
        <f t="array" ref="BP196:BQ196">{"",'S-10 Оформление сделок Выборка'!BQ196}</f>
        <v/>
      </c>
      <c r="BQ196" s="802"/>
      <c r="BR196" s="792" t="str">
        <f t="array" ref="BR196:BS196">{"",'S-10 Оформление сделок Выборка'!BS196}</f>
        <v/>
      </c>
      <c r="BS196" s="794"/>
      <c r="BT196" s="800" t="str">
        <f t="array" ref="BT196:BU196">{"",'S-10 Оформление сделок Выборка'!BU196}</f>
        <v/>
      </c>
      <c r="BU196" s="794"/>
      <c r="BV196" s="800" t="str">
        <f t="array" ref="BV196:BW196">{"",'S-10 Оформление сделок Выборка'!BW196}</f>
        <v/>
      </c>
      <c r="BW196" s="803" t="s">
        <v>96</v>
      </c>
      <c r="BX196" s="804"/>
    </row>
    <row r="197">
      <c r="A197" s="779"/>
      <c r="B197" s="779"/>
      <c r="C197" s="780" t="str">
        <f>'5-1 Сбор КП Закупки'!C197</f>
        <v/>
      </c>
      <c r="D197" s="781"/>
      <c r="E197" s="780"/>
      <c r="F197" s="783"/>
      <c r="G197" s="783"/>
      <c r="H197" s="783"/>
      <c r="I197" s="783"/>
      <c r="J197" s="780"/>
      <c r="K197" s="786"/>
      <c r="L197" s="785"/>
      <c r="M197" s="786"/>
      <c r="N197" s="786"/>
      <c r="O197" s="780"/>
      <c r="P197" s="787"/>
      <c r="Q197" s="780"/>
      <c r="R197" s="780"/>
      <c r="S197" s="780"/>
      <c r="T197" s="780"/>
      <c r="U197" s="780"/>
      <c r="V197" s="780"/>
      <c r="W197" s="787"/>
      <c r="X197" s="780"/>
      <c r="Y197" s="780"/>
      <c r="Z197" s="780"/>
      <c r="AA197" s="780"/>
      <c r="AB197" s="788"/>
      <c r="AC197" s="781"/>
      <c r="AD197" s="780"/>
      <c r="AE197" s="789" t="str">
        <f t="array" ref="AE197:AF197">{"",'S-10 Оформление сделок Выборка'!AF197}</f>
        <v/>
      </c>
      <c r="AF197" s="790"/>
      <c r="AG197" s="781"/>
      <c r="AH197" s="781"/>
      <c r="AI197" s="785"/>
      <c r="AJ197" s="780"/>
      <c r="AK197" s="792" t="str">
        <f t="array" ref="AK197:AL197">{"",'S-10 Оформление сделок Выборка'!AL197}</f>
        <v/>
      </c>
      <c r="AL197" s="793"/>
      <c r="AM197" s="792" t="str">
        <f t="array" ref="AM197:AN197">{"",'S-10 Оформление сделок Выборка'!AN197}</f>
        <v/>
      </c>
      <c r="AN197" s="794"/>
      <c r="AO197" s="792" t="str">
        <f t="array" ref="AO197:AP197">{"",'S-10 Оформление сделок Выборка'!AP197}</f>
        <v/>
      </c>
      <c r="AP197" s="786"/>
      <c r="AQ197" s="786"/>
      <c r="AR197" s="779" t="str">
        <f t="array" ref="AR197:AS197">{"",'S-10 Оформление сделок Выборка'!AS197}</f>
        <v/>
      </c>
      <c r="AS197" s="795"/>
      <c r="AT197" s="779" t="str">
        <f t="array" ref="AT197:AU197">{"",'S-10 Оформление сделок Выборка'!AU197}</f>
        <v/>
      </c>
      <c r="AU197" s="805"/>
      <c r="AV197" s="779" t="str">
        <f t="array" ref="AV197:AW197">{"",'S-10 Оформление сделок Выборка'!AW197}</f>
        <v/>
      </c>
      <c r="AW197" s="797"/>
      <c r="AX197" s="786"/>
      <c r="AY197" s="786"/>
      <c r="AZ197" s="792" t="str">
        <f t="array" ref="AZ197:BA197">{"",'S-10 Оформление сделок Выборка'!BA197}</f>
        <v/>
      </c>
      <c r="BA197" s="798"/>
      <c r="BB197" s="792" t="str">
        <f t="array" ref="BB197:BC197">{"",'S-10 Оформление сделок Выборка'!BC197}</f>
        <v/>
      </c>
      <c r="BC197" s="799"/>
      <c r="BD197" s="792" t="str">
        <f t="array" ref="BD197:BE197">{"",'S-10 Оформление сделок Выборка'!BE197}</f>
        <v/>
      </c>
      <c r="BE197" s="793"/>
      <c r="BF197" s="800" t="str">
        <f t="array" ref="BF197:BG197">{"",'S-10 Оформление сделок Выборка'!BG197}</f>
        <v/>
      </c>
      <c r="BG197" s="794"/>
      <c r="BH197" s="794" t="str">
        <f t="array" ref="BH197:BI197">{"",'S-10 Оформление сделок Выборка'!BI197}</f>
        <v/>
      </c>
      <c r="BI197" s="794"/>
      <c r="BJ197" s="792" t="str">
        <f t="array" ref="BJ197:BK197">{"",'S-10 Оформление сделок Выборка'!BK197}</f>
        <v/>
      </c>
      <c r="BK197" s="793"/>
      <c r="BL197" s="792" t="str">
        <f t="array" ref="BL197:BM197">{"",'S-10 Оформление сделок Выборка'!BM197}</f>
        <v/>
      </c>
      <c r="BM197" s="801"/>
      <c r="BN197" s="792" t="str">
        <f t="array" ref="BN197:BO197">{"",'S-10 Оформление сделок Выборка'!BO197}</f>
        <v/>
      </c>
      <c r="BO197" s="793"/>
      <c r="BP197" s="792" t="str">
        <f t="array" ref="BP197:BQ197">{"",'S-10 Оформление сделок Выборка'!BQ197}</f>
        <v/>
      </c>
      <c r="BQ197" s="802"/>
      <c r="BR197" s="792" t="str">
        <f t="array" ref="BR197:BS197">{"",'S-10 Оформление сделок Выборка'!BS197}</f>
        <v/>
      </c>
      <c r="BS197" s="794"/>
      <c r="BT197" s="800" t="str">
        <f t="array" ref="BT197:BU197">{"",'S-10 Оформление сделок Выборка'!BU197}</f>
        <v/>
      </c>
      <c r="BU197" s="794"/>
      <c r="BV197" s="800" t="str">
        <f t="array" ref="BV197:BW197">{"",'S-10 Оформление сделок Выборка'!BW197}</f>
        <v/>
      </c>
      <c r="BW197" s="803" t="s">
        <v>96</v>
      </c>
      <c r="BX197" s="804"/>
    </row>
    <row r="198">
      <c r="A198" s="779"/>
      <c r="B198" s="779"/>
      <c r="C198" s="780" t="str">
        <f>'5-1 Сбор КП Закупки'!C198</f>
        <v/>
      </c>
      <c r="D198" s="781"/>
      <c r="E198" s="780"/>
      <c r="F198" s="783"/>
      <c r="G198" s="783"/>
      <c r="H198" s="783"/>
      <c r="I198" s="783"/>
      <c r="J198" s="780"/>
      <c r="K198" s="786"/>
      <c r="L198" s="785"/>
      <c r="M198" s="786"/>
      <c r="N198" s="786"/>
      <c r="O198" s="780"/>
      <c r="P198" s="787"/>
      <c r="Q198" s="780"/>
      <c r="R198" s="780"/>
      <c r="S198" s="780"/>
      <c r="T198" s="780"/>
      <c r="U198" s="780"/>
      <c r="V198" s="780"/>
      <c r="W198" s="787"/>
      <c r="X198" s="780"/>
      <c r="Y198" s="780"/>
      <c r="Z198" s="780"/>
      <c r="AA198" s="780"/>
      <c r="AB198" s="788"/>
      <c r="AC198" s="781"/>
      <c r="AD198" s="780"/>
      <c r="AE198" s="789" t="str">
        <f t="array" ref="AE198:AF198">{"",'S-10 Оформление сделок Выборка'!AF198}</f>
        <v/>
      </c>
      <c r="AF198" s="790"/>
      <c r="AG198" s="781"/>
      <c r="AH198" s="781"/>
      <c r="AI198" s="785"/>
      <c r="AJ198" s="780"/>
      <c r="AK198" s="792" t="str">
        <f t="array" ref="AK198:AL198">{"",'S-10 Оформление сделок Выборка'!AL198}</f>
        <v/>
      </c>
      <c r="AL198" s="793"/>
      <c r="AM198" s="792" t="str">
        <f t="array" ref="AM198:AN198">{"",'S-10 Оформление сделок Выборка'!AN198}</f>
        <v/>
      </c>
      <c r="AN198" s="794"/>
      <c r="AO198" s="792" t="str">
        <f t="array" ref="AO198:AP198">{"",'S-10 Оформление сделок Выборка'!AP198}</f>
        <v/>
      </c>
      <c r="AP198" s="786"/>
      <c r="AQ198" s="786"/>
      <c r="AR198" s="779" t="str">
        <f t="array" ref="AR198:AS198">{"",'S-10 Оформление сделок Выборка'!AS198}</f>
        <v/>
      </c>
      <c r="AS198" s="795"/>
      <c r="AT198" s="779" t="str">
        <f t="array" ref="AT198:AU198">{"",'S-10 Оформление сделок Выборка'!AU198}</f>
        <v/>
      </c>
      <c r="AU198" s="805"/>
      <c r="AV198" s="779" t="str">
        <f t="array" ref="AV198:AW198">{"",'S-10 Оформление сделок Выборка'!AW198}</f>
        <v/>
      </c>
      <c r="AW198" s="797"/>
      <c r="AX198" s="786"/>
      <c r="AY198" s="786"/>
      <c r="AZ198" s="792" t="str">
        <f t="array" ref="AZ198:BA198">{"",'S-10 Оформление сделок Выборка'!BA198}</f>
        <v/>
      </c>
      <c r="BA198" s="798"/>
      <c r="BB198" s="792" t="str">
        <f t="array" ref="BB198:BC198">{"",'S-10 Оформление сделок Выборка'!BC198}</f>
        <v/>
      </c>
      <c r="BC198" s="799"/>
      <c r="BD198" s="792" t="str">
        <f t="array" ref="BD198:BE198">{"",'S-10 Оформление сделок Выборка'!BE198}</f>
        <v/>
      </c>
      <c r="BE198" s="793"/>
      <c r="BF198" s="800" t="str">
        <f t="array" ref="BF198:BG198">{"",'S-10 Оформление сделок Выборка'!BG198}</f>
        <v/>
      </c>
      <c r="BG198" s="794"/>
      <c r="BH198" s="794" t="str">
        <f t="array" ref="BH198:BI198">{"",'S-10 Оформление сделок Выборка'!BI198}</f>
        <v/>
      </c>
      <c r="BI198" s="794"/>
      <c r="BJ198" s="792" t="str">
        <f t="array" ref="BJ198:BK198">{"",'S-10 Оформление сделок Выборка'!BK198}</f>
        <v/>
      </c>
      <c r="BK198" s="793"/>
      <c r="BL198" s="792" t="str">
        <f t="array" ref="BL198:BM198">{"",'S-10 Оформление сделок Выборка'!BM198}</f>
        <v/>
      </c>
      <c r="BM198" s="801"/>
      <c r="BN198" s="792" t="str">
        <f t="array" ref="BN198:BO198">{"",'S-10 Оформление сделок Выборка'!BO198}</f>
        <v/>
      </c>
      <c r="BO198" s="793"/>
      <c r="BP198" s="792" t="str">
        <f t="array" ref="BP198:BQ198">{"",'S-10 Оформление сделок Выборка'!BQ198}</f>
        <v/>
      </c>
      <c r="BQ198" s="802"/>
      <c r="BR198" s="792" t="str">
        <f t="array" ref="BR198:BS198">{"",'S-10 Оформление сделок Выборка'!BS198}</f>
        <v/>
      </c>
      <c r="BS198" s="794"/>
      <c r="BT198" s="800" t="str">
        <f t="array" ref="BT198:BU198">{"",'S-10 Оформление сделок Выборка'!BU198}</f>
        <v/>
      </c>
      <c r="BU198" s="794"/>
      <c r="BV198" s="800" t="str">
        <f t="array" ref="BV198:BW198">{"",'S-10 Оформление сделок Выборка'!BW198}</f>
        <v/>
      </c>
      <c r="BW198" s="803" t="s">
        <v>96</v>
      </c>
      <c r="BX198" s="804"/>
    </row>
    <row r="199">
      <c r="A199" s="779"/>
      <c r="B199" s="779"/>
      <c r="C199" s="780" t="str">
        <f>'5-1 Сбор КП Закупки'!C199</f>
        <v/>
      </c>
      <c r="D199" s="781"/>
      <c r="E199" s="780"/>
      <c r="F199" s="783"/>
      <c r="G199" s="783"/>
      <c r="H199" s="783"/>
      <c r="I199" s="783"/>
      <c r="J199" s="780"/>
      <c r="K199" s="786"/>
      <c r="L199" s="785"/>
      <c r="M199" s="786"/>
      <c r="N199" s="786"/>
      <c r="O199" s="780"/>
      <c r="P199" s="787"/>
      <c r="Q199" s="780"/>
      <c r="R199" s="780"/>
      <c r="S199" s="780"/>
      <c r="T199" s="780"/>
      <c r="U199" s="780"/>
      <c r="V199" s="780"/>
      <c r="W199" s="787"/>
      <c r="X199" s="780"/>
      <c r="Y199" s="780"/>
      <c r="Z199" s="780"/>
      <c r="AA199" s="780"/>
      <c r="AB199" s="788"/>
      <c r="AC199" s="781"/>
      <c r="AD199" s="780"/>
      <c r="AE199" s="789" t="str">
        <f t="array" ref="AE199:AF199">{"",'S-10 Оформление сделок Выборка'!AF199}</f>
        <v/>
      </c>
      <c r="AF199" s="790"/>
      <c r="AG199" s="781"/>
      <c r="AH199" s="781"/>
      <c r="AI199" s="785"/>
      <c r="AJ199" s="780"/>
      <c r="AK199" s="792" t="str">
        <f t="array" ref="AK199:AL199">{"",'S-10 Оформление сделок Выборка'!AL199}</f>
        <v/>
      </c>
      <c r="AL199" s="793"/>
      <c r="AM199" s="792" t="str">
        <f t="array" ref="AM199:AN199">{"",'S-10 Оформление сделок Выборка'!AN199}</f>
        <v/>
      </c>
      <c r="AN199" s="794"/>
      <c r="AO199" s="792" t="str">
        <f t="array" ref="AO199:AP199">{"",'S-10 Оформление сделок Выборка'!AP199}</f>
        <v/>
      </c>
      <c r="AP199" s="786"/>
      <c r="AQ199" s="786"/>
      <c r="AR199" s="779" t="str">
        <f t="array" ref="AR199:AS199">{"",'S-10 Оформление сделок Выборка'!AS199}</f>
        <v/>
      </c>
      <c r="AS199" s="795"/>
      <c r="AT199" s="779" t="str">
        <f t="array" ref="AT199:AU199">{"",'S-10 Оформление сделок Выборка'!AU199}</f>
        <v/>
      </c>
      <c r="AU199" s="805"/>
      <c r="AV199" s="779" t="str">
        <f t="array" ref="AV199:AW199">{"",'S-10 Оформление сделок Выборка'!AW199}</f>
        <v/>
      </c>
      <c r="AW199" s="797"/>
      <c r="AX199" s="786"/>
      <c r="AY199" s="786"/>
      <c r="AZ199" s="792" t="str">
        <f t="array" ref="AZ199:BA199">{"",'S-10 Оформление сделок Выборка'!BA199}</f>
        <v/>
      </c>
      <c r="BA199" s="798"/>
      <c r="BB199" s="792" t="str">
        <f t="array" ref="BB199:BC199">{"",'S-10 Оформление сделок Выборка'!BC199}</f>
        <v/>
      </c>
      <c r="BC199" s="799"/>
      <c r="BD199" s="792" t="str">
        <f t="array" ref="BD199:BE199">{"",'S-10 Оформление сделок Выборка'!BE199}</f>
        <v/>
      </c>
      <c r="BE199" s="793"/>
      <c r="BF199" s="800" t="str">
        <f t="array" ref="BF199:BG199">{"",'S-10 Оформление сделок Выборка'!BG199}</f>
        <v/>
      </c>
      <c r="BG199" s="794"/>
      <c r="BH199" s="794" t="str">
        <f t="array" ref="BH199:BI199">{"",'S-10 Оформление сделок Выборка'!BI199}</f>
        <v/>
      </c>
      <c r="BI199" s="794"/>
      <c r="BJ199" s="792" t="str">
        <f t="array" ref="BJ199:BK199">{"",'S-10 Оформление сделок Выборка'!BK199}</f>
        <v/>
      </c>
      <c r="BK199" s="793"/>
      <c r="BL199" s="792" t="str">
        <f t="array" ref="BL199:BM199">{"",'S-10 Оформление сделок Выборка'!BM199}</f>
        <v/>
      </c>
      <c r="BM199" s="801"/>
      <c r="BN199" s="792" t="str">
        <f t="array" ref="BN199:BO199">{"",'S-10 Оформление сделок Выборка'!BO199}</f>
        <v/>
      </c>
      <c r="BO199" s="793"/>
      <c r="BP199" s="792" t="str">
        <f t="array" ref="BP199:BQ199">{"",'S-10 Оформление сделок Выборка'!BQ199}</f>
        <v/>
      </c>
      <c r="BQ199" s="802"/>
      <c r="BR199" s="792" t="str">
        <f t="array" ref="BR199:BS199">{"",'S-10 Оформление сделок Выборка'!BS199}</f>
        <v/>
      </c>
      <c r="BS199" s="794"/>
      <c r="BT199" s="800" t="str">
        <f t="array" ref="BT199:BU199">{"",'S-10 Оформление сделок Выборка'!BU199}</f>
        <v/>
      </c>
      <c r="BU199" s="794"/>
      <c r="BV199" s="800" t="str">
        <f t="array" ref="BV199:BW199">{"",'S-10 Оформление сделок Выборка'!BW199}</f>
        <v/>
      </c>
      <c r="BW199" s="803" t="s">
        <v>96</v>
      </c>
      <c r="BX199" s="804"/>
    </row>
    <row r="200">
      <c r="A200" s="779"/>
      <c r="B200" s="779"/>
      <c r="C200" s="780" t="str">
        <f>'5-1 Сбор КП Закупки'!C200</f>
        <v/>
      </c>
      <c r="D200" s="781"/>
      <c r="E200" s="780"/>
      <c r="F200" s="783"/>
      <c r="G200" s="783"/>
      <c r="H200" s="783"/>
      <c r="I200" s="783"/>
      <c r="J200" s="780"/>
      <c r="K200" s="786"/>
      <c r="L200" s="785"/>
      <c r="M200" s="786"/>
      <c r="N200" s="786"/>
      <c r="O200" s="780"/>
      <c r="P200" s="787"/>
      <c r="Q200" s="780"/>
      <c r="R200" s="780"/>
      <c r="S200" s="780"/>
      <c r="T200" s="780"/>
      <c r="U200" s="780"/>
      <c r="V200" s="780"/>
      <c r="W200" s="787"/>
      <c r="X200" s="780"/>
      <c r="Y200" s="780"/>
      <c r="Z200" s="780"/>
      <c r="AA200" s="780"/>
      <c r="AB200" s="788"/>
      <c r="AC200" s="781"/>
      <c r="AD200" s="780"/>
      <c r="AE200" s="789" t="str">
        <f t="array" ref="AE200:AF200">{"",'S-10 Оформление сделок Выборка'!AF200}</f>
        <v/>
      </c>
      <c r="AF200" s="790"/>
      <c r="AG200" s="781"/>
      <c r="AH200" s="781"/>
      <c r="AI200" s="785"/>
      <c r="AJ200" s="780"/>
      <c r="AK200" s="792" t="str">
        <f t="array" ref="AK200:AL200">{"",'S-10 Оформление сделок Выборка'!AL200}</f>
        <v/>
      </c>
      <c r="AL200" s="793"/>
      <c r="AM200" s="792" t="str">
        <f t="array" ref="AM200:AN200">{"",'S-10 Оформление сделок Выборка'!AN200}</f>
        <v/>
      </c>
      <c r="AN200" s="794"/>
      <c r="AO200" s="792" t="str">
        <f t="array" ref="AO200:AP200">{"",'S-10 Оформление сделок Выборка'!AP200}</f>
        <v/>
      </c>
      <c r="AP200" s="786"/>
      <c r="AQ200" s="786"/>
      <c r="AR200" s="779" t="str">
        <f t="array" ref="AR200:AS200">{"",'S-10 Оформление сделок Выборка'!AS200}</f>
        <v/>
      </c>
      <c r="AS200" s="795"/>
      <c r="AT200" s="779" t="str">
        <f t="array" ref="AT200:AU200">{"",'S-10 Оформление сделок Выборка'!AU200}</f>
        <v/>
      </c>
      <c r="AU200" s="805"/>
      <c r="AV200" s="779" t="str">
        <f t="array" ref="AV200:AW200">{"",'S-10 Оформление сделок Выборка'!AW200}</f>
        <v/>
      </c>
      <c r="AW200" s="797"/>
      <c r="AX200" s="786"/>
      <c r="AY200" s="786"/>
      <c r="AZ200" s="792" t="str">
        <f t="array" ref="AZ200:BA200">{"",'S-10 Оформление сделок Выборка'!BA200}</f>
        <v/>
      </c>
      <c r="BA200" s="798"/>
      <c r="BB200" s="792" t="str">
        <f t="array" ref="BB200:BC200">{"",'S-10 Оформление сделок Выборка'!BC200}</f>
        <v/>
      </c>
      <c r="BC200" s="799"/>
      <c r="BD200" s="792" t="str">
        <f t="array" ref="BD200:BE200">{"",'S-10 Оформление сделок Выборка'!BE200}</f>
        <v/>
      </c>
      <c r="BE200" s="793"/>
      <c r="BF200" s="800" t="str">
        <f t="array" ref="BF200:BG200">{"",'S-10 Оформление сделок Выборка'!BG200}</f>
        <v/>
      </c>
      <c r="BG200" s="794"/>
      <c r="BH200" s="794" t="str">
        <f t="array" ref="BH200:BI200">{"",'S-10 Оформление сделок Выборка'!BI200}</f>
        <v/>
      </c>
      <c r="BI200" s="794"/>
      <c r="BJ200" s="792" t="str">
        <f t="array" ref="BJ200:BK200">{"",'S-10 Оформление сделок Выборка'!BK200}</f>
        <v/>
      </c>
      <c r="BK200" s="793"/>
      <c r="BL200" s="792" t="str">
        <f t="array" ref="BL200:BM200">{"",'S-10 Оформление сделок Выборка'!BM200}</f>
        <v/>
      </c>
      <c r="BM200" s="801"/>
      <c r="BN200" s="792" t="str">
        <f t="array" ref="BN200:BO200">{"",'S-10 Оформление сделок Выборка'!BO200}</f>
        <v/>
      </c>
      <c r="BO200" s="793"/>
      <c r="BP200" s="792" t="str">
        <f t="array" ref="BP200:BQ200">{"",'S-10 Оформление сделок Выборка'!BQ200}</f>
        <v/>
      </c>
      <c r="BQ200" s="802"/>
      <c r="BR200" s="792" t="str">
        <f t="array" ref="BR200:BS200">{"",'S-10 Оформление сделок Выборка'!BS200}</f>
        <v/>
      </c>
      <c r="BS200" s="794"/>
      <c r="BT200" s="800" t="str">
        <f t="array" ref="BT200:BU200">{"",'S-10 Оформление сделок Выборка'!BU200}</f>
        <v/>
      </c>
      <c r="BU200" s="794"/>
      <c r="BV200" s="800" t="str">
        <f t="array" ref="BV200:BW200">{"",'S-10 Оформление сделок Выборка'!BW200}</f>
        <v/>
      </c>
      <c r="BW200" s="803" t="s">
        <v>96</v>
      </c>
      <c r="BX200" s="804"/>
    </row>
    <row r="201">
      <c r="A201" s="779"/>
      <c r="B201" s="779"/>
      <c r="C201" s="780" t="str">
        <f>'5-1 Сбор КП Закупки'!C201</f>
        <v/>
      </c>
      <c r="D201" s="781"/>
      <c r="E201" s="780"/>
      <c r="F201" s="783"/>
      <c r="G201" s="783"/>
      <c r="H201" s="783"/>
      <c r="I201" s="783"/>
      <c r="J201" s="780"/>
      <c r="K201" s="786"/>
      <c r="L201" s="785"/>
      <c r="M201" s="786"/>
      <c r="N201" s="786"/>
      <c r="O201" s="780"/>
      <c r="P201" s="787"/>
      <c r="Q201" s="780"/>
      <c r="R201" s="780"/>
      <c r="S201" s="780"/>
      <c r="T201" s="780"/>
      <c r="U201" s="780"/>
      <c r="V201" s="780"/>
      <c r="W201" s="787"/>
      <c r="X201" s="780"/>
      <c r="Y201" s="780"/>
      <c r="Z201" s="780"/>
      <c r="AA201" s="780"/>
      <c r="AB201" s="788"/>
      <c r="AC201" s="781"/>
      <c r="AD201" s="780"/>
      <c r="AE201" s="789" t="str">
        <f t="array" ref="AE201:AF201">{"",'S-10 Оформление сделок Выборка'!AF201}</f>
        <v/>
      </c>
      <c r="AF201" s="790"/>
      <c r="AG201" s="781"/>
      <c r="AH201" s="781"/>
      <c r="AI201" s="785"/>
      <c r="AJ201" s="780"/>
      <c r="AK201" s="792" t="str">
        <f t="array" ref="AK201:AL201">{"",'S-10 Оформление сделок Выборка'!AL201}</f>
        <v/>
      </c>
      <c r="AL201" s="793"/>
      <c r="AM201" s="792" t="str">
        <f t="array" ref="AM201:AN201">{"",'S-10 Оформление сделок Выборка'!AN201}</f>
        <v/>
      </c>
      <c r="AN201" s="794"/>
      <c r="AO201" s="792" t="str">
        <f t="array" ref="AO201:AP201">{"",'S-10 Оформление сделок Выборка'!AP201}</f>
        <v/>
      </c>
      <c r="AP201" s="786"/>
      <c r="AQ201" s="786"/>
      <c r="AR201" s="779" t="str">
        <f t="array" ref="AR201:AS201">{"",'S-10 Оформление сделок Выборка'!AS201}</f>
        <v/>
      </c>
      <c r="AS201" s="795"/>
      <c r="AT201" s="779" t="str">
        <f t="array" ref="AT201:AU201">{"",'S-10 Оформление сделок Выборка'!AU201}</f>
        <v/>
      </c>
      <c r="AU201" s="805"/>
      <c r="AV201" s="779" t="str">
        <f t="array" ref="AV201:AW201">{"",'S-10 Оформление сделок Выборка'!AW201}</f>
        <v/>
      </c>
      <c r="AW201" s="797"/>
      <c r="AX201" s="786"/>
      <c r="AY201" s="786"/>
      <c r="AZ201" s="792" t="str">
        <f t="array" ref="AZ201:BA201">{"",'S-10 Оформление сделок Выборка'!BA201}</f>
        <v/>
      </c>
      <c r="BA201" s="798"/>
      <c r="BB201" s="792" t="str">
        <f t="array" ref="BB201:BC201">{"",'S-10 Оформление сделок Выборка'!BC201}</f>
        <v/>
      </c>
      <c r="BC201" s="799"/>
      <c r="BD201" s="792" t="str">
        <f t="array" ref="BD201:BE201">{"",'S-10 Оформление сделок Выборка'!BE201}</f>
        <v/>
      </c>
      <c r="BE201" s="793"/>
      <c r="BF201" s="800" t="str">
        <f t="array" ref="BF201:BG201">{"",'S-10 Оформление сделок Выборка'!BG201}</f>
        <v/>
      </c>
      <c r="BG201" s="794"/>
      <c r="BH201" s="794" t="str">
        <f t="array" ref="BH201:BI201">{"",'S-10 Оформление сделок Выборка'!BI201}</f>
        <v/>
      </c>
      <c r="BI201" s="794"/>
      <c r="BJ201" s="792" t="str">
        <f t="array" ref="BJ201:BK201">{"",'S-10 Оформление сделок Выборка'!BK201}</f>
        <v/>
      </c>
      <c r="BK201" s="793"/>
      <c r="BL201" s="792" t="str">
        <f t="array" ref="BL201:BM201">{"",'S-10 Оформление сделок Выборка'!BM201}</f>
        <v/>
      </c>
      <c r="BM201" s="801"/>
      <c r="BN201" s="792" t="str">
        <f t="array" ref="BN201:BO201">{"",'S-10 Оформление сделок Выборка'!BO201}</f>
        <v/>
      </c>
      <c r="BO201" s="793"/>
      <c r="BP201" s="792" t="str">
        <f t="array" ref="BP201:BQ201">{"",'S-10 Оформление сделок Выборка'!BQ201}</f>
        <v/>
      </c>
      <c r="BQ201" s="802"/>
      <c r="BR201" s="792" t="str">
        <f t="array" ref="BR201:BS201">{"",'S-10 Оформление сделок Выборка'!BS201}</f>
        <v/>
      </c>
      <c r="BS201" s="794"/>
      <c r="BT201" s="800" t="str">
        <f t="array" ref="BT201:BU201">{"",'S-10 Оформление сделок Выборка'!BU201}</f>
        <v/>
      </c>
      <c r="BU201" s="794"/>
      <c r="BV201" s="800" t="str">
        <f t="array" ref="BV201:BW201">{"",'S-10 Оформление сделок Выборка'!BW201}</f>
        <v/>
      </c>
      <c r="BW201" s="803" t="s">
        <v>96</v>
      </c>
      <c r="BX201" s="804"/>
    </row>
    <row r="202">
      <c r="A202" s="779"/>
      <c r="B202" s="779"/>
      <c r="C202" s="780" t="str">
        <f>'5-1 Сбор КП Закупки'!C202</f>
        <v/>
      </c>
      <c r="D202" s="781"/>
      <c r="E202" s="780"/>
      <c r="F202" s="783"/>
      <c r="G202" s="783"/>
      <c r="H202" s="783"/>
      <c r="I202" s="783"/>
      <c r="J202" s="780"/>
      <c r="K202" s="786"/>
      <c r="L202" s="785"/>
      <c r="M202" s="786"/>
      <c r="N202" s="786"/>
      <c r="O202" s="780"/>
      <c r="P202" s="787"/>
      <c r="Q202" s="780"/>
      <c r="R202" s="780"/>
      <c r="S202" s="780"/>
      <c r="T202" s="780"/>
      <c r="U202" s="780"/>
      <c r="V202" s="780"/>
      <c r="W202" s="787"/>
      <c r="X202" s="780"/>
      <c r="Y202" s="780"/>
      <c r="Z202" s="780"/>
      <c r="AA202" s="780"/>
      <c r="AB202" s="788"/>
      <c r="AC202" s="781"/>
      <c r="AD202" s="780"/>
      <c r="AE202" s="789" t="str">
        <f t="array" ref="AE202:AF202">{"",'S-10 Оформление сделок Выборка'!AF202}</f>
        <v/>
      </c>
      <c r="AF202" s="790"/>
      <c r="AG202" s="781"/>
      <c r="AH202" s="781"/>
      <c r="AI202" s="785"/>
      <c r="AJ202" s="780"/>
      <c r="AK202" s="792" t="str">
        <f t="array" ref="AK202:AL202">{"",'S-10 Оформление сделок Выборка'!AL202}</f>
        <v/>
      </c>
      <c r="AL202" s="793"/>
      <c r="AM202" s="792" t="str">
        <f t="array" ref="AM202:AN202">{"",'S-10 Оформление сделок Выборка'!AN202}</f>
        <v/>
      </c>
      <c r="AN202" s="794"/>
      <c r="AO202" s="792" t="str">
        <f t="array" ref="AO202:AP202">{"",'S-10 Оформление сделок Выборка'!AP202}</f>
        <v/>
      </c>
      <c r="AP202" s="786"/>
      <c r="AQ202" s="786"/>
      <c r="AR202" s="779" t="str">
        <f t="array" ref="AR202:AS202">{"",'S-10 Оформление сделок Выборка'!AS202}</f>
        <v/>
      </c>
      <c r="AS202" s="795"/>
      <c r="AT202" s="779" t="str">
        <f t="array" ref="AT202:AU202">{"",'S-10 Оформление сделок Выборка'!AU202}</f>
        <v/>
      </c>
      <c r="AU202" s="805"/>
      <c r="AV202" s="779" t="str">
        <f t="array" ref="AV202:AW202">{"",'S-10 Оформление сделок Выборка'!AW202}</f>
        <v/>
      </c>
      <c r="AW202" s="797"/>
      <c r="AX202" s="786"/>
      <c r="AY202" s="786"/>
      <c r="AZ202" s="792" t="str">
        <f t="array" ref="AZ202:BA202">{"",'S-10 Оформление сделок Выборка'!BA202}</f>
        <v/>
      </c>
      <c r="BA202" s="798"/>
      <c r="BB202" s="792" t="str">
        <f t="array" ref="BB202:BC202">{"",'S-10 Оформление сделок Выборка'!BC202}</f>
        <v/>
      </c>
      <c r="BC202" s="799"/>
      <c r="BD202" s="792" t="str">
        <f t="array" ref="BD202:BE202">{"",'S-10 Оформление сделок Выборка'!BE202}</f>
        <v/>
      </c>
      <c r="BE202" s="793"/>
      <c r="BF202" s="800" t="str">
        <f t="array" ref="BF202:BG202">{"",'S-10 Оформление сделок Выборка'!BG202}</f>
        <v/>
      </c>
      <c r="BG202" s="794"/>
      <c r="BH202" s="794" t="str">
        <f t="array" ref="BH202:BI202">{"",'S-10 Оформление сделок Выборка'!BI202}</f>
        <v/>
      </c>
      <c r="BI202" s="794"/>
      <c r="BJ202" s="792" t="str">
        <f t="array" ref="BJ202:BK202">{"",'S-10 Оформление сделок Выборка'!BK202}</f>
        <v/>
      </c>
      <c r="BK202" s="793"/>
      <c r="BL202" s="792" t="str">
        <f t="array" ref="BL202:BM202">{"",'S-10 Оформление сделок Выборка'!BM202}</f>
        <v/>
      </c>
      <c r="BM202" s="801"/>
      <c r="BN202" s="792" t="str">
        <f t="array" ref="BN202:BO202">{"",'S-10 Оформление сделок Выборка'!BO202}</f>
        <v/>
      </c>
      <c r="BO202" s="793"/>
      <c r="BP202" s="792" t="str">
        <f t="array" ref="BP202:BQ202">{"",'S-10 Оформление сделок Выборка'!BQ202}</f>
        <v/>
      </c>
      <c r="BQ202" s="802"/>
      <c r="BR202" s="792" t="str">
        <f t="array" ref="BR202:BS202">{"",'S-10 Оформление сделок Выборка'!BS202}</f>
        <v/>
      </c>
      <c r="BS202" s="794"/>
      <c r="BT202" s="800" t="str">
        <f t="array" ref="BT202:BU202">{"",'S-10 Оформление сделок Выборка'!BU202}</f>
        <v/>
      </c>
      <c r="BU202" s="794"/>
      <c r="BV202" s="800" t="str">
        <f t="array" ref="BV202:BW202">{"",'S-10 Оформление сделок Выборка'!BW202}</f>
        <v/>
      </c>
      <c r="BW202" s="803" t="s">
        <v>96</v>
      </c>
      <c r="BX202" s="804"/>
    </row>
    <row r="203">
      <c r="A203" s="779"/>
      <c r="B203" s="779"/>
      <c r="C203" s="780" t="str">
        <f>'5-1 Сбор КП Закупки'!C203</f>
        <v/>
      </c>
      <c r="D203" s="781"/>
      <c r="E203" s="780"/>
      <c r="F203" s="783"/>
      <c r="G203" s="783"/>
      <c r="H203" s="783"/>
      <c r="I203" s="783"/>
      <c r="J203" s="780"/>
      <c r="K203" s="786"/>
      <c r="L203" s="785"/>
      <c r="M203" s="786"/>
      <c r="N203" s="786"/>
      <c r="O203" s="780"/>
      <c r="P203" s="787"/>
      <c r="Q203" s="780"/>
      <c r="R203" s="780"/>
      <c r="S203" s="780"/>
      <c r="T203" s="780"/>
      <c r="U203" s="780"/>
      <c r="V203" s="780"/>
      <c r="W203" s="787"/>
      <c r="X203" s="780"/>
      <c r="Y203" s="780"/>
      <c r="Z203" s="780"/>
      <c r="AA203" s="780"/>
      <c r="AB203" s="788"/>
      <c r="AC203" s="781"/>
      <c r="AD203" s="780"/>
      <c r="AE203" s="789" t="str">
        <f t="array" ref="AE203:AF203">{"",'S-10 Оформление сделок Выборка'!AF203}</f>
        <v/>
      </c>
      <c r="AF203" s="790"/>
      <c r="AG203" s="781"/>
      <c r="AH203" s="781"/>
      <c r="AI203" s="785"/>
      <c r="AJ203" s="780"/>
      <c r="AK203" s="792" t="str">
        <f t="array" ref="AK203:AL203">{"",'S-10 Оформление сделок Выборка'!AL203}</f>
        <v/>
      </c>
      <c r="AL203" s="793"/>
      <c r="AM203" s="792" t="str">
        <f t="array" ref="AM203:AN203">{"",'S-10 Оформление сделок Выборка'!AN203}</f>
        <v/>
      </c>
      <c r="AN203" s="794"/>
      <c r="AO203" s="792" t="str">
        <f t="array" ref="AO203:AP203">{"",'S-10 Оформление сделок Выборка'!AP203}</f>
        <v/>
      </c>
      <c r="AP203" s="786"/>
      <c r="AQ203" s="786"/>
      <c r="AR203" s="779" t="str">
        <f t="array" ref="AR203:AS203">{"",'S-10 Оформление сделок Выборка'!AS203}</f>
        <v/>
      </c>
      <c r="AS203" s="795"/>
      <c r="AT203" s="779" t="str">
        <f t="array" ref="AT203:AU203">{"",'S-10 Оформление сделок Выборка'!AU203}</f>
        <v/>
      </c>
      <c r="AU203" s="805"/>
      <c r="AV203" s="779" t="str">
        <f t="array" ref="AV203:AW203">{"",'S-10 Оформление сделок Выборка'!AW203}</f>
        <v/>
      </c>
      <c r="AW203" s="797"/>
      <c r="AX203" s="786"/>
      <c r="AY203" s="786"/>
      <c r="AZ203" s="792" t="str">
        <f t="array" ref="AZ203:BA203">{"",'S-10 Оформление сделок Выборка'!BA203}</f>
        <v/>
      </c>
      <c r="BA203" s="798"/>
      <c r="BB203" s="792" t="str">
        <f t="array" ref="BB203:BC203">{"",'S-10 Оформление сделок Выборка'!BC203}</f>
        <v/>
      </c>
      <c r="BC203" s="799"/>
      <c r="BD203" s="792" t="str">
        <f t="array" ref="BD203:BE203">{"",'S-10 Оформление сделок Выборка'!BE203}</f>
        <v/>
      </c>
      <c r="BE203" s="793"/>
      <c r="BF203" s="800" t="str">
        <f t="array" ref="BF203:BG203">{"",'S-10 Оформление сделок Выборка'!BG203}</f>
        <v/>
      </c>
      <c r="BG203" s="794"/>
      <c r="BH203" s="794" t="str">
        <f t="array" ref="BH203:BI203">{"",'S-10 Оформление сделок Выборка'!BI203}</f>
        <v/>
      </c>
      <c r="BI203" s="794"/>
      <c r="BJ203" s="792" t="str">
        <f t="array" ref="BJ203:BK203">{"",'S-10 Оформление сделок Выборка'!BK203}</f>
        <v/>
      </c>
      <c r="BK203" s="793"/>
      <c r="BL203" s="792" t="str">
        <f t="array" ref="BL203:BM203">{"",'S-10 Оформление сделок Выборка'!BM203}</f>
        <v/>
      </c>
      <c r="BM203" s="801"/>
      <c r="BN203" s="792" t="str">
        <f t="array" ref="BN203:BO203">{"",'S-10 Оформление сделок Выборка'!BO203}</f>
        <v/>
      </c>
      <c r="BO203" s="793"/>
      <c r="BP203" s="792" t="str">
        <f t="array" ref="BP203:BQ203">{"",'S-10 Оформление сделок Выборка'!BQ203}</f>
        <v/>
      </c>
      <c r="BQ203" s="802"/>
      <c r="BR203" s="792" t="str">
        <f t="array" ref="BR203:BS203">{"",'S-10 Оформление сделок Выборка'!BS203}</f>
        <v/>
      </c>
      <c r="BS203" s="794"/>
      <c r="BT203" s="800" t="str">
        <f t="array" ref="BT203:BU203">{"",'S-10 Оформление сделок Выборка'!BU203}</f>
        <v/>
      </c>
      <c r="BU203" s="794"/>
      <c r="BV203" s="800" t="str">
        <f t="array" ref="BV203:BW203">{"",'S-10 Оформление сделок Выборка'!BW203}</f>
        <v/>
      </c>
      <c r="BW203" s="803" t="s">
        <v>96</v>
      </c>
      <c r="BX203" s="804"/>
    </row>
    <row r="204">
      <c r="A204" s="779"/>
      <c r="B204" s="779"/>
      <c r="C204" s="780" t="str">
        <f>'5-1 Сбор КП Закупки'!C204</f>
        <v/>
      </c>
      <c r="D204" s="781"/>
      <c r="E204" s="780"/>
      <c r="F204" s="783"/>
      <c r="G204" s="783"/>
      <c r="H204" s="783"/>
      <c r="I204" s="783"/>
      <c r="J204" s="780"/>
      <c r="K204" s="786"/>
      <c r="L204" s="785"/>
      <c r="M204" s="786"/>
      <c r="N204" s="786"/>
      <c r="O204" s="780"/>
      <c r="P204" s="787"/>
      <c r="Q204" s="780"/>
      <c r="R204" s="780"/>
      <c r="S204" s="780"/>
      <c r="T204" s="780"/>
      <c r="U204" s="780"/>
      <c r="V204" s="780"/>
      <c r="W204" s="787"/>
      <c r="X204" s="780"/>
      <c r="Y204" s="780"/>
      <c r="Z204" s="780"/>
      <c r="AA204" s="780"/>
      <c r="AB204" s="788"/>
      <c r="AC204" s="781"/>
      <c r="AD204" s="780"/>
      <c r="AE204" s="789" t="str">
        <f t="array" ref="AE204:AF204">{"",'S-10 Оформление сделок Выборка'!AF204}</f>
        <v/>
      </c>
      <c r="AF204" s="790"/>
      <c r="AG204" s="781"/>
      <c r="AH204" s="781"/>
      <c r="AI204" s="785"/>
      <c r="AJ204" s="780"/>
      <c r="AK204" s="792" t="str">
        <f t="array" ref="AK204:AL204">{"",'S-10 Оформление сделок Выборка'!AL204}</f>
        <v/>
      </c>
      <c r="AL204" s="793"/>
      <c r="AM204" s="792" t="str">
        <f t="array" ref="AM204:AN204">{"",'S-10 Оформление сделок Выборка'!AN204}</f>
        <v/>
      </c>
      <c r="AN204" s="794"/>
      <c r="AO204" s="792" t="str">
        <f t="array" ref="AO204:AP204">{"",'S-10 Оформление сделок Выборка'!AP204}</f>
        <v/>
      </c>
      <c r="AP204" s="786"/>
      <c r="AQ204" s="786"/>
      <c r="AR204" s="779" t="str">
        <f t="array" ref="AR204:AS204">{"",'S-10 Оформление сделок Выборка'!AS204}</f>
        <v/>
      </c>
      <c r="AS204" s="795"/>
      <c r="AT204" s="779" t="str">
        <f t="array" ref="AT204:AU204">{"",'S-10 Оформление сделок Выборка'!AU204}</f>
        <v/>
      </c>
      <c r="AU204" s="805"/>
      <c r="AV204" s="779" t="str">
        <f t="array" ref="AV204:AW204">{"",'S-10 Оформление сделок Выборка'!AW204}</f>
        <v/>
      </c>
      <c r="AW204" s="797"/>
      <c r="AX204" s="786"/>
      <c r="AY204" s="786"/>
      <c r="AZ204" s="792" t="str">
        <f t="array" ref="AZ204:BA204">{"",'S-10 Оформление сделок Выборка'!BA204}</f>
        <v/>
      </c>
      <c r="BA204" s="798"/>
      <c r="BB204" s="792" t="str">
        <f t="array" ref="BB204:BC204">{"",'S-10 Оформление сделок Выборка'!BC204}</f>
        <v/>
      </c>
      <c r="BC204" s="799"/>
      <c r="BD204" s="792" t="str">
        <f t="array" ref="BD204:BE204">{"",'S-10 Оформление сделок Выборка'!BE204}</f>
        <v/>
      </c>
      <c r="BE204" s="793"/>
      <c r="BF204" s="800" t="str">
        <f t="array" ref="BF204:BG204">{"",'S-10 Оформление сделок Выборка'!BG204}</f>
        <v/>
      </c>
      <c r="BG204" s="794"/>
      <c r="BH204" s="794" t="str">
        <f t="array" ref="BH204:BI204">{"",'S-10 Оформление сделок Выборка'!BI204}</f>
        <v/>
      </c>
      <c r="BI204" s="794"/>
      <c r="BJ204" s="792" t="str">
        <f t="array" ref="BJ204:BK204">{"",'S-10 Оформление сделок Выборка'!BK204}</f>
        <v/>
      </c>
      <c r="BK204" s="793"/>
      <c r="BL204" s="792" t="str">
        <f t="array" ref="BL204:BM204">{"",'S-10 Оформление сделок Выборка'!BM204}</f>
        <v/>
      </c>
      <c r="BM204" s="801"/>
      <c r="BN204" s="792" t="str">
        <f t="array" ref="BN204:BO204">{"",'S-10 Оформление сделок Выборка'!BO204}</f>
        <v/>
      </c>
      <c r="BO204" s="793"/>
      <c r="BP204" s="792" t="str">
        <f t="array" ref="BP204:BQ204">{"",'S-10 Оформление сделок Выборка'!BQ204}</f>
        <v/>
      </c>
      <c r="BQ204" s="802"/>
      <c r="BR204" s="792" t="str">
        <f t="array" ref="BR204:BS204">{"",'S-10 Оформление сделок Выборка'!BS204}</f>
        <v/>
      </c>
      <c r="BS204" s="794"/>
      <c r="BT204" s="800" t="str">
        <f t="array" ref="BT204:BU204">{"",'S-10 Оформление сделок Выборка'!BU204}</f>
        <v/>
      </c>
      <c r="BU204" s="794"/>
      <c r="BV204" s="800" t="str">
        <f t="array" ref="BV204:BW204">{"",'S-10 Оформление сделок Выборка'!BW204}</f>
        <v/>
      </c>
      <c r="BW204" s="803" t="s">
        <v>96</v>
      </c>
      <c r="BX204" s="804"/>
    </row>
    <row r="205">
      <c r="A205" s="779"/>
      <c r="B205" s="779"/>
      <c r="C205" s="780" t="str">
        <f>'5-1 Сбор КП Закупки'!C205</f>
        <v/>
      </c>
      <c r="D205" s="781"/>
      <c r="E205" s="780"/>
      <c r="F205" s="783"/>
      <c r="G205" s="783"/>
      <c r="H205" s="783"/>
      <c r="I205" s="783"/>
      <c r="J205" s="780"/>
      <c r="K205" s="786"/>
      <c r="L205" s="785"/>
      <c r="M205" s="786"/>
      <c r="N205" s="786"/>
      <c r="O205" s="780"/>
      <c r="P205" s="787"/>
      <c r="Q205" s="780"/>
      <c r="R205" s="780"/>
      <c r="S205" s="780"/>
      <c r="T205" s="780"/>
      <c r="U205" s="780"/>
      <c r="V205" s="780"/>
      <c r="W205" s="787"/>
      <c r="X205" s="780"/>
      <c r="Y205" s="780"/>
      <c r="Z205" s="780"/>
      <c r="AA205" s="780"/>
      <c r="AB205" s="788"/>
      <c r="AC205" s="781"/>
      <c r="AD205" s="780"/>
      <c r="AE205" s="789" t="str">
        <f t="array" ref="AE205:AF205">{"",'S-10 Оформление сделок Выборка'!AF205}</f>
        <v/>
      </c>
      <c r="AF205" s="790"/>
      <c r="AG205" s="781"/>
      <c r="AH205" s="781"/>
      <c r="AI205" s="785"/>
      <c r="AJ205" s="780"/>
      <c r="AK205" s="792" t="str">
        <f t="array" ref="AK205:AL205">{"",'S-10 Оформление сделок Выборка'!AL205}</f>
        <v/>
      </c>
      <c r="AL205" s="793"/>
      <c r="AM205" s="792" t="str">
        <f t="array" ref="AM205:AN205">{"",'S-10 Оформление сделок Выборка'!AN205}</f>
        <v/>
      </c>
      <c r="AN205" s="794"/>
      <c r="AO205" s="792" t="str">
        <f t="array" ref="AO205:AP205">{"",'S-10 Оформление сделок Выборка'!AP205}</f>
        <v/>
      </c>
      <c r="AP205" s="786"/>
      <c r="AQ205" s="786"/>
      <c r="AR205" s="779" t="str">
        <f t="array" ref="AR205:AS205">{"",'S-10 Оформление сделок Выборка'!AS205}</f>
        <v/>
      </c>
      <c r="AS205" s="795"/>
      <c r="AT205" s="779" t="str">
        <f t="array" ref="AT205:AU205">{"",'S-10 Оформление сделок Выборка'!AU205}</f>
        <v/>
      </c>
      <c r="AU205" s="805"/>
      <c r="AV205" s="779" t="str">
        <f t="array" ref="AV205:AW205">{"",'S-10 Оформление сделок Выборка'!AW205}</f>
        <v/>
      </c>
      <c r="AW205" s="797"/>
      <c r="AX205" s="786"/>
      <c r="AY205" s="786"/>
      <c r="AZ205" s="792" t="str">
        <f t="array" ref="AZ205:BA205">{"",'S-10 Оформление сделок Выборка'!BA205}</f>
        <v/>
      </c>
      <c r="BA205" s="798"/>
      <c r="BB205" s="792" t="str">
        <f t="array" ref="BB205:BC205">{"",'S-10 Оформление сделок Выборка'!BC205}</f>
        <v/>
      </c>
      <c r="BC205" s="1172"/>
      <c r="BD205" s="792" t="str">
        <f t="array" ref="BD205:BE205">{"",'S-10 Оформление сделок Выборка'!BE205}</f>
        <v/>
      </c>
      <c r="BE205" s="793"/>
      <c r="BF205" s="800" t="str">
        <f t="array" ref="BF205:BG205">{"",'S-10 Оформление сделок Выборка'!BG205}</f>
        <v/>
      </c>
      <c r="BG205" s="794"/>
      <c r="BH205" s="794" t="str">
        <f t="array" ref="BH205:BI205">{"",'S-10 Оформление сделок Выборка'!BI205}</f>
        <v/>
      </c>
      <c r="BI205" s="794"/>
      <c r="BJ205" s="792" t="str">
        <f t="array" ref="BJ205:BK205">{"",'S-10 Оформление сделок Выборка'!BK205}</f>
        <v/>
      </c>
      <c r="BK205" s="793"/>
      <c r="BL205" s="792" t="str">
        <f t="array" ref="BL205:BM205">{"",'S-10 Оформление сделок Выборка'!BM205}</f>
        <v/>
      </c>
      <c r="BM205" s="801"/>
      <c r="BN205" s="792" t="str">
        <f t="array" ref="BN205:BO205">{"",'S-10 Оформление сделок Выборка'!BO205}</f>
        <v/>
      </c>
      <c r="BO205" s="793"/>
      <c r="BP205" s="792" t="str">
        <f t="array" ref="BP205:BQ205">{"",'S-10 Оформление сделок Выборка'!BQ205}</f>
        <v/>
      </c>
      <c r="BQ205" s="802"/>
      <c r="BR205" s="792" t="str">
        <f t="array" ref="BR205:BS205">{"",'S-10 Оформление сделок Выборка'!BS205}</f>
        <v/>
      </c>
      <c r="BS205" s="794"/>
      <c r="BT205" s="800" t="str">
        <f t="array" ref="BT205:BU205">{"",'S-10 Оформление сделок Выборка'!BU205}</f>
        <v/>
      </c>
      <c r="BU205" s="794"/>
      <c r="BV205" s="800" t="str">
        <f t="array" ref="BV205:BW205">{"",'S-10 Оформление сделок Выборка'!BW205}</f>
        <v/>
      </c>
      <c r="BW205" s="803" t="s">
        <v>96</v>
      </c>
      <c r="BX205" s="804"/>
    </row>
    <row r="206">
      <c r="A206" s="779"/>
      <c r="B206" s="779"/>
      <c r="C206" s="780" t="str">
        <f>'5-1 Сбор КП Закупки'!C206</f>
        <v/>
      </c>
      <c r="D206" s="781"/>
      <c r="E206" s="780"/>
      <c r="F206" s="783"/>
      <c r="G206" s="783"/>
      <c r="H206" s="783"/>
      <c r="I206" s="783"/>
      <c r="J206" s="780"/>
      <c r="K206" s="786"/>
      <c r="L206" s="785"/>
      <c r="M206" s="786"/>
      <c r="N206" s="786"/>
      <c r="O206" s="780"/>
      <c r="P206" s="787"/>
      <c r="Q206" s="780"/>
      <c r="R206" s="780"/>
      <c r="S206" s="780"/>
      <c r="T206" s="780"/>
      <c r="U206" s="780"/>
      <c r="V206" s="780"/>
      <c r="W206" s="787"/>
      <c r="X206" s="780"/>
      <c r="Y206" s="780"/>
      <c r="Z206" s="780"/>
      <c r="AA206" s="780"/>
      <c r="AB206" s="788"/>
      <c r="AC206" s="781"/>
      <c r="AD206" s="780"/>
      <c r="AE206" s="789" t="str">
        <f t="array" ref="AE206:AF206">{"",'S-10 Оформление сделок Выборка'!AF206}</f>
        <v/>
      </c>
      <c r="AF206" s="790"/>
      <c r="AG206" s="781"/>
      <c r="AH206" s="781"/>
      <c r="AI206" s="785"/>
      <c r="AJ206" s="780"/>
      <c r="AK206" s="792" t="str">
        <f t="array" ref="AK206:AL206">{"",'S-10 Оформление сделок Выборка'!AL206}</f>
        <v/>
      </c>
      <c r="AL206" s="793"/>
      <c r="AM206" s="792" t="str">
        <f t="array" ref="AM206:AN206">{"",'S-10 Оформление сделок Выборка'!AN206}</f>
        <v/>
      </c>
      <c r="AN206" s="794"/>
      <c r="AO206" s="792" t="str">
        <f t="array" ref="AO206:AP206">{"",'S-10 Оформление сделок Выборка'!AP206}</f>
        <v/>
      </c>
      <c r="AP206" s="786"/>
      <c r="AQ206" s="786"/>
      <c r="AR206" s="779" t="str">
        <f t="array" ref="AR206:AS206">{"",'S-10 Оформление сделок Выборка'!AS206}</f>
        <v/>
      </c>
      <c r="AS206" s="795"/>
      <c r="AT206" s="779" t="str">
        <f t="array" ref="AT206:AU206">{"",'S-10 Оформление сделок Выборка'!AU206}</f>
        <v/>
      </c>
      <c r="AU206" s="805"/>
      <c r="AV206" s="779" t="str">
        <f t="array" ref="AV206:AW206">{"",'S-10 Оформление сделок Выборка'!AW206}</f>
        <v/>
      </c>
      <c r="AW206" s="797"/>
      <c r="AX206" s="786"/>
      <c r="AY206" s="786"/>
      <c r="AZ206" s="792" t="str">
        <f t="array" ref="AZ206:BA206">{"",'S-10 Оформление сделок Выборка'!BA206}</f>
        <v/>
      </c>
      <c r="BA206" s="798"/>
      <c r="BB206" s="792" t="str">
        <f t="array" ref="BB206:BC206">{"",'S-10 Оформление сделок Выборка'!BC206}</f>
        <v/>
      </c>
      <c r="BC206" s="799"/>
      <c r="BD206" s="792" t="str">
        <f t="array" ref="BD206:BE206">{"",'S-10 Оформление сделок Выборка'!BE206}</f>
        <v/>
      </c>
      <c r="BE206" s="793"/>
      <c r="BF206" s="800" t="str">
        <f t="array" ref="BF206:BG206">{"",'S-10 Оформление сделок Выборка'!BG206}</f>
        <v/>
      </c>
      <c r="BG206" s="794"/>
      <c r="BH206" s="794" t="str">
        <f t="array" ref="BH206:BI206">{"",'S-10 Оформление сделок Выборка'!BI206}</f>
        <v/>
      </c>
      <c r="BI206" s="794"/>
      <c r="BJ206" s="792" t="str">
        <f t="array" ref="BJ206:BK206">{"",'S-10 Оформление сделок Выборка'!BK206}</f>
        <v/>
      </c>
      <c r="BK206" s="793"/>
      <c r="BL206" s="792" t="str">
        <f t="array" ref="BL206:BM206">{"",'S-10 Оформление сделок Выборка'!BM206}</f>
        <v/>
      </c>
      <c r="BM206" s="801"/>
      <c r="BN206" s="792" t="str">
        <f t="array" ref="BN206:BO206">{"",'S-10 Оформление сделок Выборка'!BO206}</f>
        <v/>
      </c>
      <c r="BO206" s="793"/>
      <c r="BP206" s="792" t="str">
        <f t="array" ref="BP206:BQ206">{"",'S-10 Оформление сделок Выборка'!BQ206}</f>
        <v/>
      </c>
      <c r="BQ206" s="802"/>
      <c r="BR206" s="792" t="str">
        <f t="array" ref="BR206:BS206">{"",'S-10 Оформление сделок Выборка'!BS206}</f>
        <v/>
      </c>
      <c r="BS206" s="794"/>
      <c r="BT206" s="800" t="str">
        <f t="array" ref="BT206:BU206">{"",'S-10 Оформление сделок Выборка'!BU206}</f>
        <v/>
      </c>
      <c r="BU206" s="794"/>
      <c r="BV206" s="800" t="str">
        <f t="array" ref="BV206:BW206">{"",'S-10 Оформление сделок Выборка'!BW206}</f>
        <v/>
      </c>
      <c r="BW206" s="803" t="s">
        <v>96</v>
      </c>
      <c r="BX206" s="804"/>
    </row>
    <row r="207">
      <c r="A207" s="779"/>
      <c r="B207" s="779"/>
      <c r="C207" s="780" t="str">
        <f>'5-1 Сбор КП Закупки'!C207</f>
        <v/>
      </c>
      <c r="D207" s="781"/>
      <c r="E207" s="780"/>
      <c r="F207" s="783"/>
      <c r="G207" s="783"/>
      <c r="H207" s="783"/>
      <c r="I207" s="783"/>
      <c r="J207" s="780"/>
      <c r="K207" s="786"/>
      <c r="L207" s="785"/>
      <c r="M207" s="786"/>
      <c r="N207" s="786"/>
      <c r="O207" s="780"/>
      <c r="P207" s="787"/>
      <c r="Q207" s="780"/>
      <c r="R207" s="780"/>
      <c r="S207" s="780"/>
      <c r="T207" s="780"/>
      <c r="U207" s="780"/>
      <c r="V207" s="780"/>
      <c r="W207" s="787"/>
      <c r="X207" s="780"/>
      <c r="Y207" s="780"/>
      <c r="Z207" s="780"/>
      <c r="AA207" s="780"/>
      <c r="AB207" s="788"/>
      <c r="AC207" s="781"/>
      <c r="AD207" s="780"/>
      <c r="AE207" s="789" t="str">
        <f t="array" ref="AE207:AF207">{"",'S-10 Оформление сделок Выборка'!AF207}</f>
        <v/>
      </c>
      <c r="AF207" s="790"/>
      <c r="AG207" s="781"/>
      <c r="AH207" s="781"/>
      <c r="AI207" s="785"/>
      <c r="AJ207" s="780"/>
      <c r="AK207" s="792" t="str">
        <f t="array" ref="AK207:AL207">{"",'S-10 Оформление сделок Выборка'!AL207}</f>
        <v/>
      </c>
      <c r="AL207" s="793"/>
      <c r="AM207" s="792" t="str">
        <f t="array" ref="AM207:AN207">{"",'S-10 Оформление сделок Выборка'!AN207}</f>
        <v/>
      </c>
      <c r="AN207" s="794"/>
      <c r="AO207" s="792" t="str">
        <f t="array" ref="AO207:AP207">{"",'S-10 Оформление сделок Выборка'!AP207}</f>
        <v/>
      </c>
      <c r="AP207" s="786"/>
      <c r="AQ207" s="786"/>
      <c r="AR207" s="779" t="str">
        <f t="array" ref="AR207:AS207">{"",'S-10 Оформление сделок Выборка'!AS207}</f>
        <v/>
      </c>
      <c r="AS207" s="795"/>
      <c r="AT207" s="779" t="str">
        <f t="array" ref="AT207:AU207">{"",'S-10 Оформление сделок Выборка'!AU207}</f>
        <v/>
      </c>
      <c r="AU207" s="805"/>
      <c r="AV207" s="779" t="str">
        <f t="array" ref="AV207:AW207">{"",'S-10 Оформление сделок Выборка'!AW207}</f>
        <v/>
      </c>
      <c r="AW207" s="797"/>
      <c r="AX207" s="786"/>
      <c r="AY207" s="786"/>
      <c r="AZ207" s="792" t="str">
        <f t="array" ref="AZ207:BA207">{"",'S-10 Оформление сделок Выборка'!BA207}</f>
        <v/>
      </c>
      <c r="BA207" s="798"/>
      <c r="BB207" s="792" t="str">
        <f t="array" ref="BB207:BC207">{"",'S-10 Оформление сделок Выборка'!BC207}</f>
        <v/>
      </c>
      <c r="BC207" s="799"/>
      <c r="BD207" s="792" t="str">
        <f t="array" ref="BD207:BE207">{"",'S-10 Оформление сделок Выборка'!BE207}</f>
        <v/>
      </c>
      <c r="BE207" s="793"/>
      <c r="BF207" s="800" t="str">
        <f t="array" ref="BF207:BG207">{"",'S-10 Оформление сделок Выборка'!BG207}</f>
        <v/>
      </c>
      <c r="BG207" s="794"/>
      <c r="BH207" s="794" t="str">
        <f t="array" ref="BH207:BI207">{"",'S-10 Оформление сделок Выборка'!BI207}</f>
        <v/>
      </c>
      <c r="BI207" s="794"/>
      <c r="BJ207" s="792" t="str">
        <f t="array" ref="BJ207:BK207">{"",'S-10 Оформление сделок Выборка'!BK207}</f>
        <v/>
      </c>
      <c r="BK207" s="793"/>
      <c r="BL207" s="792" t="str">
        <f t="array" ref="BL207:BM207">{"",'S-10 Оформление сделок Выборка'!BM207}</f>
        <v/>
      </c>
      <c r="BM207" s="801"/>
      <c r="BN207" s="792" t="str">
        <f t="array" ref="BN207:BO207">{"",'S-10 Оформление сделок Выборка'!BO207}</f>
        <v/>
      </c>
      <c r="BO207" s="793"/>
      <c r="BP207" s="792" t="str">
        <f t="array" ref="BP207:BQ207">{"",'S-10 Оформление сделок Выборка'!BQ207}</f>
        <v/>
      </c>
      <c r="BQ207" s="802"/>
      <c r="BR207" s="792" t="str">
        <f t="array" ref="BR207:BS207">{"",'S-10 Оформление сделок Выборка'!BS207}</f>
        <v/>
      </c>
      <c r="BS207" s="794"/>
      <c r="BT207" s="800" t="str">
        <f t="array" ref="BT207:BU207">{"",'S-10 Оформление сделок Выборка'!BU207}</f>
        <v/>
      </c>
      <c r="BU207" s="794"/>
      <c r="BV207" s="800" t="str">
        <f t="array" ref="BV207:BW207">{"",'S-10 Оформление сделок Выборка'!BW207}</f>
        <v/>
      </c>
      <c r="BW207" s="803" t="s">
        <v>96</v>
      </c>
      <c r="BX207" s="804"/>
    </row>
    <row r="208">
      <c r="A208" s="779"/>
      <c r="B208" s="779"/>
      <c r="C208" s="780" t="str">
        <f>'5-1 Сбор КП Закупки'!C208</f>
        <v/>
      </c>
      <c r="D208" s="781"/>
      <c r="E208" s="780"/>
      <c r="F208" s="783"/>
      <c r="G208" s="783"/>
      <c r="H208" s="783"/>
      <c r="I208" s="783"/>
      <c r="J208" s="780"/>
      <c r="K208" s="786"/>
      <c r="L208" s="785"/>
      <c r="M208" s="786"/>
      <c r="N208" s="786"/>
      <c r="O208" s="780"/>
      <c r="P208" s="787"/>
      <c r="Q208" s="780"/>
      <c r="R208" s="780"/>
      <c r="S208" s="780"/>
      <c r="T208" s="780"/>
      <c r="U208" s="780"/>
      <c r="V208" s="780"/>
      <c r="W208" s="787"/>
      <c r="X208" s="780"/>
      <c r="Y208" s="780"/>
      <c r="Z208" s="780"/>
      <c r="AA208" s="780"/>
      <c r="AB208" s="788"/>
      <c r="AC208" s="781"/>
      <c r="AD208" s="780"/>
      <c r="AE208" s="789" t="str">
        <f t="array" ref="AE208:AF208">{"",'S-10 Оформление сделок Выборка'!AF208}</f>
        <v/>
      </c>
      <c r="AF208" s="790"/>
      <c r="AG208" s="781"/>
      <c r="AH208" s="781"/>
      <c r="AI208" s="785"/>
      <c r="AJ208" s="780"/>
      <c r="AK208" s="792" t="str">
        <f t="array" ref="AK208:AL208">{"",'S-10 Оформление сделок Выборка'!AL208}</f>
        <v/>
      </c>
      <c r="AL208" s="793"/>
      <c r="AM208" s="792" t="str">
        <f t="array" ref="AM208:AN208">{"",'S-10 Оформление сделок Выборка'!AN208}</f>
        <v/>
      </c>
      <c r="AN208" s="794"/>
      <c r="AO208" s="792" t="str">
        <f t="array" ref="AO208:AP208">{"",'S-10 Оформление сделок Выборка'!AP208}</f>
        <v/>
      </c>
      <c r="AP208" s="786"/>
      <c r="AQ208" s="786"/>
      <c r="AR208" s="779" t="str">
        <f t="array" ref="AR208:AS208">{"",'S-10 Оформление сделок Выборка'!AS208}</f>
        <v/>
      </c>
      <c r="AS208" s="795"/>
      <c r="AT208" s="779" t="str">
        <f t="array" ref="AT208:AU208">{"",'S-10 Оформление сделок Выборка'!AU208}</f>
        <v/>
      </c>
      <c r="AU208" s="805"/>
      <c r="AV208" s="779" t="str">
        <f t="array" ref="AV208:AW208">{"",'S-10 Оформление сделок Выборка'!AW208}</f>
        <v/>
      </c>
      <c r="AW208" s="797"/>
      <c r="AX208" s="786"/>
      <c r="AY208" s="786"/>
      <c r="AZ208" s="792" t="str">
        <f t="array" ref="AZ208:BA208">{"",'S-10 Оформление сделок Выборка'!BA208}</f>
        <v/>
      </c>
      <c r="BA208" s="798"/>
      <c r="BB208" s="792" t="str">
        <f t="array" ref="BB208:BC208">{"",'S-10 Оформление сделок Выборка'!BC208}</f>
        <v/>
      </c>
      <c r="BC208" s="799"/>
      <c r="BD208" s="792" t="str">
        <f t="array" ref="BD208:BE208">{"",'S-10 Оформление сделок Выборка'!BE208}</f>
        <v/>
      </c>
      <c r="BE208" s="793"/>
      <c r="BF208" s="800" t="str">
        <f t="array" ref="BF208:BG208">{"",'S-10 Оформление сделок Выборка'!BG208}</f>
        <v/>
      </c>
      <c r="BG208" s="794"/>
      <c r="BH208" s="794" t="str">
        <f t="array" ref="BH208:BI208">{"",'S-10 Оформление сделок Выборка'!BI208}</f>
        <v/>
      </c>
      <c r="BI208" s="794"/>
      <c r="BJ208" s="792" t="str">
        <f t="array" ref="BJ208:BK208">{"",'S-10 Оформление сделок Выборка'!BK208}</f>
        <v/>
      </c>
      <c r="BK208" s="793"/>
      <c r="BL208" s="792" t="str">
        <f t="array" ref="BL208:BM208">{"",'S-10 Оформление сделок Выборка'!BM208}</f>
        <v/>
      </c>
      <c r="BM208" s="801"/>
      <c r="BN208" s="792" t="str">
        <f t="array" ref="BN208:BO208">{"",'S-10 Оформление сделок Выборка'!BO208}</f>
        <v/>
      </c>
      <c r="BO208" s="793"/>
      <c r="BP208" s="792" t="str">
        <f t="array" ref="BP208:BQ208">{"",'S-10 Оформление сделок Выборка'!BQ208}</f>
        <v/>
      </c>
      <c r="BQ208" s="802"/>
      <c r="BR208" s="792" t="str">
        <f t="array" ref="BR208:BS208">{"",'S-10 Оформление сделок Выборка'!BS208}</f>
        <v/>
      </c>
      <c r="BS208" s="794"/>
      <c r="BT208" s="800" t="str">
        <f t="array" ref="BT208:BU208">{"",'S-10 Оформление сделок Выборка'!BU208}</f>
        <v/>
      </c>
      <c r="BU208" s="794"/>
      <c r="BV208" s="800" t="str">
        <f t="array" ref="BV208:BW208">{"",'S-10 Оформление сделок Выборка'!BW208}</f>
        <v/>
      </c>
      <c r="BW208" s="803" t="s">
        <v>96</v>
      </c>
      <c r="BX208" s="804"/>
    </row>
    <row r="209">
      <c r="A209" s="779"/>
      <c r="B209" s="779"/>
      <c r="C209" s="780" t="str">
        <f>'5-1 Сбор КП Закупки'!C209</f>
        <v/>
      </c>
      <c r="D209" s="781"/>
      <c r="E209" s="780"/>
      <c r="F209" s="783"/>
      <c r="G209" s="783"/>
      <c r="H209" s="783"/>
      <c r="I209" s="783"/>
      <c r="J209" s="780"/>
      <c r="K209" s="786"/>
      <c r="L209" s="785"/>
      <c r="M209" s="786"/>
      <c r="N209" s="786"/>
      <c r="O209" s="780"/>
      <c r="P209" s="787"/>
      <c r="Q209" s="780"/>
      <c r="R209" s="780"/>
      <c r="S209" s="780"/>
      <c r="T209" s="780"/>
      <c r="U209" s="780"/>
      <c r="V209" s="780"/>
      <c r="W209" s="787"/>
      <c r="X209" s="780"/>
      <c r="Y209" s="780"/>
      <c r="Z209" s="780"/>
      <c r="AA209" s="780"/>
      <c r="AB209" s="788"/>
      <c r="AC209" s="781"/>
      <c r="AD209" s="780"/>
      <c r="AE209" s="789" t="str">
        <f t="array" ref="AE209:AF209">{"",'S-10 Оформление сделок Выборка'!AF209}</f>
        <v/>
      </c>
      <c r="AF209" s="790"/>
      <c r="AG209" s="781"/>
      <c r="AH209" s="781"/>
      <c r="AI209" s="785"/>
      <c r="AJ209" s="780"/>
      <c r="AK209" s="792" t="str">
        <f t="array" ref="AK209:AL209">{"",'S-10 Оформление сделок Выборка'!AL209}</f>
        <v/>
      </c>
      <c r="AL209" s="793"/>
      <c r="AM209" s="792" t="str">
        <f t="array" ref="AM209:AN209">{"",'S-10 Оформление сделок Выборка'!AN209}</f>
        <v/>
      </c>
      <c r="AN209" s="794"/>
      <c r="AO209" s="792" t="str">
        <f t="array" ref="AO209:AP209">{"",'S-10 Оформление сделок Выборка'!AP209}</f>
        <v/>
      </c>
      <c r="AP209" s="786"/>
      <c r="AQ209" s="786"/>
      <c r="AR209" s="779" t="str">
        <f t="array" ref="AR209:AS209">{"",'S-10 Оформление сделок Выборка'!AS209}</f>
        <v/>
      </c>
      <c r="AS209" s="795"/>
      <c r="AT209" s="779" t="str">
        <f t="array" ref="AT209:AU209">{"",'S-10 Оформление сделок Выборка'!AU209}</f>
        <v/>
      </c>
      <c r="AU209" s="805"/>
      <c r="AV209" s="779" t="str">
        <f t="array" ref="AV209:AW209">{"",'S-10 Оформление сделок Выборка'!AW209}</f>
        <v/>
      </c>
      <c r="AW209" s="797"/>
      <c r="AX209" s="786"/>
      <c r="AY209" s="786"/>
      <c r="AZ209" s="792" t="str">
        <f t="array" ref="AZ209:BA209">{"",'S-10 Оформление сделок Выборка'!BA209}</f>
        <v/>
      </c>
      <c r="BA209" s="798"/>
      <c r="BB209" s="792" t="str">
        <f t="array" ref="BB209:BC209">{"",'S-10 Оформление сделок Выборка'!BC209}</f>
        <v/>
      </c>
      <c r="BC209" s="799"/>
      <c r="BD209" s="792" t="str">
        <f t="array" ref="BD209:BE209">{"",'S-10 Оформление сделок Выборка'!BE209}</f>
        <v/>
      </c>
      <c r="BE209" s="793"/>
      <c r="BF209" s="800" t="str">
        <f t="array" ref="BF209:BG209">{"",'S-10 Оформление сделок Выборка'!BG209}</f>
        <v/>
      </c>
      <c r="BG209" s="794"/>
      <c r="BH209" s="794" t="str">
        <f t="array" ref="BH209:BI209">{"",'S-10 Оформление сделок Выборка'!BI209}</f>
        <v/>
      </c>
      <c r="BI209" s="794"/>
      <c r="BJ209" s="792" t="str">
        <f t="array" ref="BJ209:BK209">{"",'S-10 Оформление сделок Выборка'!BK209}</f>
        <v/>
      </c>
      <c r="BK209" s="793"/>
      <c r="BL209" s="792" t="str">
        <f t="array" ref="BL209:BM209">{"",'S-10 Оформление сделок Выборка'!BM209}</f>
        <v/>
      </c>
      <c r="BM209" s="801"/>
      <c r="BN209" s="792" t="str">
        <f t="array" ref="BN209:BO209">{"",'S-10 Оформление сделок Выборка'!BO209}</f>
        <v/>
      </c>
      <c r="BO209" s="793"/>
      <c r="BP209" s="792" t="str">
        <f t="array" ref="BP209:BQ209">{"",'S-10 Оформление сделок Выборка'!BQ209}</f>
        <v/>
      </c>
      <c r="BQ209" s="802"/>
      <c r="BR209" s="792" t="str">
        <f t="array" ref="BR209:BS209">{"",'S-10 Оформление сделок Выборка'!BS209}</f>
        <v/>
      </c>
      <c r="BS209" s="794"/>
      <c r="BT209" s="800" t="str">
        <f t="array" ref="BT209:BU209">{"",'S-10 Оформление сделок Выборка'!BU209}</f>
        <v/>
      </c>
      <c r="BU209" s="794"/>
      <c r="BV209" s="800" t="str">
        <f t="array" ref="BV209:BW209">{"",'S-10 Оформление сделок Выборка'!BW209}</f>
        <v/>
      </c>
      <c r="BW209" s="803" t="s">
        <v>96</v>
      </c>
      <c r="BX209" s="804"/>
    </row>
    <row r="210">
      <c r="A210" s="779"/>
      <c r="B210" s="779"/>
      <c r="C210" s="780" t="str">
        <f>'5-1 Сбор КП Закупки'!C210</f>
        <v/>
      </c>
      <c r="D210" s="781"/>
      <c r="E210" s="780"/>
      <c r="F210" s="783"/>
      <c r="G210" s="783"/>
      <c r="H210" s="783"/>
      <c r="I210" s="783"/>
      <c r="J210" s="780"/>
      <c r="K210" s="786"/>
      <c r="L210" s="785"/>
      <c r="M210" s="786"/>
      <c r="N210" s="786"/>
      <c r="O210" s="780"/>
      <c r="P210" s="787"/>
      <c r="Q210" s="780"/>
      <c r="R210" s="780"/>
      <c r="S210" s="780"/>
      <c r="T210" s="780"/>
      <c r="U210" s="780"/>
      <c r="V210" s="780"/>
      <c r="W210" s="787"/>
      <c r="X210" s="780"/>
      <c r="Y210" s="780"/>
      <c r="Z210" s="780"/>
      <c r="AA210" s="780"/>
      <c r="AB210" s="788"/>
      <c r="AC210" s="781"/>
      <c r="AD210" s="780"/>
      <c r="AE210" s="789" t="str">
        <f t="array" ref="AE210:AF210">{"",'S-10 Оформление сделок Выборка'!AF210}</f>
        <v/>
      </c>
      <c r="AF210" s="790"/>
      <c r="AG210" s="781"/>
      <c r="AH210" s="781"/>
      <c r="AI210" s="785"/>
      <c r="AJ210" s="780"/>
      <c r="AK210" s="792" t="str">
        <f t="array" ref="AK210:AL210">{"",'S-10 Оформление сделок Выборка'!AL210}</f>
        <v/>
      </c>
      <c r="AL210" s="793"/>
      <c r="AM210" s="792" t="str">
        <f t="array" ref="AM210:AN210">{"",'S-10 Оформление сделок Выборка'!AN210}</f>
        <v/>
      </c>
      <c r="AN210" s="794"/>
      <c r="AO210" s="792" t="str">
        <f t="array" ref="AO210:AP210">{"",'S-10 Оформление сделок Выборка'!AP210}</f>
        <v/>
      </c>
      <c r="AP210" s="786"/>
      <c r="AQ210" s="786"/>
      <c r="AR210" s="779" t="str">
        <f t="array" ref="AR210:AS210">{"",'S-10 Оформление сделок Выборка'!AS210}</f>
        <v/>
      </c>
      <c r="AS210" s="795"/>
      <c r="AT210" s="779" t="str">
        <f t="array" ref="AT210:AU210">{"",'S-10 Оформление сделок Выборка'!AU210}</f>
        <v/>
      </c>
      <c r="AU210" s="805"/>
      <c r="AV210" s="779" t="str">
        <f t="array" ref="AV210:AW210">{"",'S-10 Оформление сделок Выборка'!AW210}</f>
        <v/>
      </c>
      <c r="AW210" s="797"/>
      <c r="AX210" s="786"/>
      <c r="AY210" s="786"/>
      <c r="AZ210" s="792" t="str">
        <f t="array" ref="AZ210:BA210">{"",'S-10 Оформление сделок Выборка'!BA210}</f>
        <v/>
      </c>
      <c r="BA210" s="798"/>
      <c r="BB210" s="792" t="str">
        <f t="array" ref="BB210:BC210">{"",'S-10 Оформление сделок Выборка'!BC210}</f>
        <v/>
      </c>
      <c r="BC210" s="799"/>
      <c r="BD210" s="792" t="str">
        <f t="array" ref="BD210:BE210">{"",'S-10 Оформление сделок Выборка'!BE210}</f>
        <v/>
      </c>
      <c r="BE210" s="793"/>
      <c r="BF210" s="800" t="str">
        <f t="array" ref="BF210:BG210">{"",'S-10 Оформление сделок Выборка'!BG210}</f>
        <v/>
      </c>
      <c r="BG210" s="794"/>
      <c r="BH210" s="794" t="str">
        <f t="array" ref="BH210:BI210">{"",'S-10 Оформление сделок Выборка'!BI210}</f>
        <v/>
      </c>
      <c r="BI210" s="794"/>
      <c r="BJ210" s="792" t="str">
        <f t="array" ref="BJ210:BK210">{"",'S-10 Оформление сделок Выборка'!BK210}</f>
        <v/>
      </c>
      <c r="BK210" s="793"/>
      <c r="BL210" s="792" t="str">
        <f t="array" ref="BL210:BM210">{"",'S-10 Оформление сделок Выборка'!BM210}</f>
        <v/>
      </c>
      <c r="BM210" s="801"/>
      <c r="BN210" s="792" t="str">
        <f t="array" ref="BN210:BO210">{"",'S-10 Оформление сделок Выборка'!BO210}</f>
        <v/>
      </c>
      <c r="BO210" s="793"/>
      <c r="BP210" s="792" t="str">
        <f t="array" ref="BP210:BQ210">{"",'S-10 Оформление сделок Выборка'!BQ210}</f>
        <v/>
      </c>
      <c r="BQ210" s="802"/>
      <c r="BR210" s="792" t="str">
        <f t="array" ref="BR210:BS210">{"",'S-10 Оформление сделок Выборка'!BS210}</f>
        <v/>
      </c>
      <c r="BS210" s="794"/>
      <c r="BT210" s="800" t="str">
        <f t="array" ref="BT210:BU210">{"",'S-10 Оформление сделок Выборка'!BU210}</f>
        <v/>
      </c>
      <c r="BU210" s="794"/>
      <c r="BV210" s="800" t="str">
        <f t="array" ref="BV210:BW210">{"",'S-10 Оформление сделок Выборка'!BW210}</f>
        <v/>
      </c>
      <c r="BW210" s="803" t="s">
        <v>96</v>
      </c>
      <c r="BX210" s="804"/>
    </row>
    <row r="211">
      <c r="A211" s="779"/>
      <c r="B211" s="779"/>
      <c r="C211" s="780" t="str">
        <f>'5-1 Сбор КП Закупки'!C211</f>
        <v/>
      </c>
      <c r="D211" s="781"/>
      <c r="E211" s="780"/>
      <c r="F211" s="783"/>
      <c r="G211" s="783"/>
      <c r="H211" s="783"/>
      <c r="I211" s="783"/>
      <c r="J211" s="780"/>
      <c r="K211" s="786"/>
      <c r="L211" s="785"/>
      <c r="M211" s="786"/>
      <c r="N211" s="786"/>
      <c r="O211" s="780"/>
      <c r="P211" s="787"/>
      <c r="Q211" s="780"/>
      <c r="R211" s="780"/>
      <c r="S211" s="780"/>
      <c r="T211" s="780"/>
      <c r="U211" s="780"/>
      <c r="V211" s="780"/>
      <c r="W211" s="787"/>
      <c r="X211" s="780"/>
      <c r="Y211" s="780"/>
      <c r="Z211" s="780"/>
      <c r="AA211" s="780"/>
      <c r="AB211" s="788"/>
      <c r="AC211" s="781"/>
      <c r="AD211" s="780"/>
      <c r="AE211" s="789" t="str">
        <f t="array" ref="AE211:AF211">{"",'S-10 Оформление сделок Выборка'!AF211}</f>
        <v/>
      </c>
      <c r="AF211" s="790"/>
      <c r="AG211" s="781"/>
      <c r="AH211" s="781"/>
      <c r="AI211" s="785"/>
      <c r="AJ211" s="780"/>
      <c r="AK211" s="792" t="str">
        <f t="array" ref="AK211:AL211">{"",'S-10 Оформление сделок Выборка'!AL211}</f>
        <v/>
      </c>
      <c r="AL211" s="793"/>
      <c r="AM211" s="792" t="str">
        <f t="array" ref="AM211:AN211">{"",'S-10 Оформление сделок Выборка'!AN211}</f>
        <v/>
      </c>
      <c r="AN211" s="794"/>
      <c r="AO211" s="792" t="str">
        <f t="array" ref="AO211:AP211">{"",'S-10 Оформление сделок Выборка'!AP211}</f>
        <v/>
      </c>
      <c r="AP211" s="786"/>
      <c r="AQ211" s="786"/>
      <c r="AR211" s="779" t="str">
        <f t="array" ref="AR211:AS211">{"",'S-10 Оформление сделок Выборка'!AS211}</f>
        <v/>
      </c>
      <c r="AS211" s="795"/>
      <c r="AT211" s="779" t="str">
        <f t="array" ref="AT211:AU211">{"",'S-10 Оформление сделок Выборка'!AU211}</f>
        <v/>
      </c>
      <c r="AU211" s="805"/>
      <c r="AV211" s="779" t="str">
        <f t="array" ref="AV211:AW211">{"",'S-10 Оформление сделок Выборка'!AW211}</f>
        <v/>
      </c>
      <c r="AW211" s="797"/>
      <c r="AX211" s="786"/>
      <c r="AY211" s="786"/>
      <c r="AZ211" s="792" t="str">
        <f t="array" ref="AZ211:BA211">{"",'S-10 Оформление сделок Выборка'!BA211}</f>
        <v/>
      </c>
      <c r="BA211" s="798"/>
      <c r="BB211" s="792" t="str">
        <f t="array" ref="BB211:BC211">{"",'S-10 Оформление сделок Выборка'!BC211}</f>
        <v/>
      </c>
      <c r="BC211" s="799"/>
      <c r="BD211" s="792" t="str">
        <f t="array" ref="BD211:BE211">{"",'S-10 Оформление сделок Выборка'!BE211}</f>
        <v/>
      </c>
      <c r="BE211" s="793"/>
      <c r="BF211" s="800" t="str">
        <f t="array" ref="BF211:BG211">{"",'S-10 Оформление сделок Выборка'!BG211}</f>
        <v/>
      </c>
      <c r="BG211" s="794"/>
      <c r="BH211" s="794" t="str">
        <f t="array" ref="BH211:BI211">{"",'S-10 Оформление сделок Выборка'!BI211}</f>
        <v/>
      </c>
      <c r="BI211" s="794"/>
      <c r="BJ211" s="792" t="str">
        <f t="array" ref="BJ211:BK211">{"",'S-10 Оформление сделок Выборка'!BK211}</f>
        <v/>
      </c>
      <c r="BK211" s="793"/>
      <c r="BL211" s="792" t="str">
        <f t="array" ref="BL211:BM211">{"",'S-10 Оформление сделок Выборка'!BM211}</f>
        <v/>
      </c>
      <c r="BM211" s="801"/>
      <c r="BN211" s="792" t="str">
        <f t="array" ref="BN211:BO211">{"",'S-10 Оформление сделок Выборка'!BO211}</f>
        <v/>
      </c>
      <c r="BO211" s="793"/>
      <c r="BP211" s="792" t="str">
        <f t="array" ref="BP211:BQ211">{"",'S-10 Оформление сделок Выборка'!BQ211}</f>
        <v/>
      </c>
      <c r="BQ211" s="802"/>
      <c r="BR211" s="792" t="str">
        <f t="array" ref="BR211:BS211">{"",'S-10 Оформление сделок Выборка'!BS211}</f>
        <v/>
      </c>
      <c r="BS211" s="794"/>
      <c r="BT211" s="800" t="str">
        <f t="array" ref="BT211:BU211">{"",'S-10 Оформление сделок Выборка'!BU211}</f>
        <v/>
      </c>
      <c r="BU211" s="794"/>
      <c r="BV211" s="800" t="str">
        <f t="array" ref="BV211:BW211">{"",'S-10 Оформление сделок Выборка'!BW211}</f>
        <v/>
      </c>
      <c r="BW211" s="803" t="s">
        <v>96</v>
      </c>
      <c r="BX211" s="804"/>
    </row>
    <row r="212">
      <c r="A212" s="779"/>
      <c r="B212" s="779"/>
      <c r="C212" s="780" t="str">
        <f>'5-1 Сбор КП Закупки'!C212</f>
        <v/>
      </c>
      <c r="D212" s="781"/>
      <c r="E212" s="780"/>
      <c r="F212" s="783"/>
      <c r="G212" s="783"/>
      <c r="H212" s="783"/>
      <c r="I212" s="783"/>
      <c r="J212" s="780"/>
      <c r="K212" s="786"/>
      <c r="L212" s="785"/>
      <c r="M212" s="786"/>
      <c r="N212" s="786"/>
      <c r="O212" s="780"/>
      <c r="P212" s="787"/>
      <c r="Q212" s="780"/>
      <c r="R212" s="780"/>
      <c r="S212" s="780"/>
      <c r="T212" s="780"/>
      <c r="U212" s="780"/>
      <c r="V212" s="780"/>
      <c r="W212" s="787"/>
      <c r="X212" s="780"/>
      <c r="Y212" s="780"/>
      <c r="Z212" s="780"/>
      <c r="AA212" s="780"/>
      <c r="AB212" s="788"/>
      <c r="AC212" s="781"/>
      <c r="AD212" s="780"/>
      <c r="AE212" s="789" t="str">
        <f t="array" ref="AE212:AF212">{"",'S-10 Оформление сделок Выборка'!AF212}</f>
        <v/>
      </c>
      <c r="AF212" s="790"/>
      <c r="AG212" s="781"/>
      <c r="AH212" s="781"/>
      <c r="AI212" s="785"/>
      <c r="AJ212" s="780"/>
      <c r="AK212" s="792" t="str">
        <f t="array" ref="AK212:AL212">{"",'S-10 Оформление сделок Выборка'!AL212}</f>
        <v/>
      </c>
      <c r="AL212" s="793"/>
      <c r="AM212" s="792" t="str">
        <f t="array" ref="AM212:AN212">{"",'S-10 Оформление сделок Выборка'!AN212}</f>
        <v/>
      </c>
      <c r="AN212" s="794"/>
      <c r="AO212" s="792" t="str">
        <f t="array" ref="AO212:AP212">{"",'S-10 Оформление сделок Выборка'!AP212}</f>
        <v/>
      </c>
      <c r="AP212" s="786"/>
      <c r="AQ212" s="786"/>
      <c r="AR212" s="779" t="str">
        <f t="array" ref="AR212:AS212">{"",'S-10 Оформление сделок Выборка'!AS212}</f>
        <v/>
      </c>
      <c r="AS212" s="795"/>
      <c r="AT212" s="779" t="str">
        <f t="array" ref="AT212:AU212">{"",'S-10 Оформление сделок Выборка'!AU212}</f>
        <v/>
      </c>
      <c r="AU212" s="805"/>
      <c r="AV212" s="779" t="str">
        <f t="array" ref="AV212:AW212">{"",'S-10 Оформление сделок Выборка'!AW212}</f>
        <v/>
      </c>
      <c r="AW212" s="797"/>
      <c r="AX212" s="786"/>
      <c r="AY212" s="786"/>
      <c r="AZ212" s="792" t="str">
        <f t="array" ref="AZ212:BA212">{"",'S-10 Оформление сделок Выборка'!BA212}</f>
        <v/>
      </c>
      <c r="BA212" s="798"/>
      <c r="BB212" s="792" t="str">
        <f t="array" ref="BB212:BC212">{"",'S-10 Оформление сделок Выборка'!BC212}</f>
        <v/>
      </c>
      <c r="BC212" s="799"/>
      <c r="BD212" s="792" t="str">
        <f t="array" ref="BD212:BE212">{"",'S-10 Оформление сделок Выборка'!BE212}</f>
        <v/>
      </c>
      <c r="BE212" s="793"/>
      <c r="BF212" s="800" t="str">
        <f t="array" ref="BF212:BG212">{"",'S-10 Оформление сделок Выборка'!BG212}</f>
        <v/>
      </c>
      <c r="BG212" s="794"/>
      <c r="BH212" s="794" t="str">
        <f t="array" ref="BH212:BI212">{"",'S-10 Оформление сделок Выборка'!BI212}</f>
        <v/>
      </c>
      <c r="BI212" s="794"/>
      <c r="BJ212" s="792" t="str">
        <f t="array" ref="BJ212:BK212">{"",'S-10 Оформление сделок Выборка'!BK212}</f>
        <v/>
      </c>
      <c r="BK212" s="793"/>
      <c r="BL212" s="792" t="str">
        <f t="array" ref="BL212:BM212">{"",'S-10 Оформление сделок Выборка'!BM212}</f>
        <v/>
      </c>
      <c r="BM212" s="801"/>
      <c r="BN212" s="792" t="str">
        <f t="array" ref="BN212:BO212">{"",'S-10 Оформление сделок Выборка'!BO212}</f>
        <v/>
      </c>
      <c r="BO212" s="793"/>
      <c r="BP212" s="792" t="str">
        <f t="array" ref="BP212:BQ212">{"",'S-10 Оформление сделок Выборка'!BQ212}</f>
        <v/>
      </c>
      <c r="BQ212" s="802"/>
      <c r="BR212" s="792" t="str">
        <f t="array" ref="BR212:BS212">{"",'S-10 Оформление сделок Выборка'!BS212}</f>
        <v/>
      </c>
      <c r="BS212" s="794"/>
      <c r="BT212" s="800" t="str">
        <f t="array" ref="BT212:BU212">{"",'S-10 Оформление сделок Выборка'!BU212}</f>
        <v/>
      </c>
      <c r="BU212" s="794"/>
      <c r="BV212" s="800" t="str">
        <f t="array" ref="BV212:BW212">{"",'S-10 Оформление сделок Выборка'!BW212}</f>
        <v/>
      </c>
      <c r="BW212" s="803" t="s">
        <v>96</v>
      </c>
      <c r="BX212" s="804"/>
    </row>
    <row r="213">
      <c r="A213" s="779"/>
      <c r="B213" s="779"/>
      <c r="C213" s="780" t="str">
        <f>'5-1 Сбор КП Закупки'!C213</f>
        <v/>
      </c>
      <c r="D213" s="781"/>
      <c r="E213" s="780"/>
      <c r="F213" s="783"/>
      <c r="G213" s="783"/>
      <c r="H213" s="783"/>
      <c r="I213" s="783"/>
      <c r="J213" s="780"/>
      <c r="K213" s="786"/>
      <c r="L213" s="785"/>
      <c r="M213" s="786"/>
      <c r="N213" s="786"/>
      <c r="O213" s="780"/>
      <c r="P213" s="787"/>
      <c r="Q213" s="780"/>
      <c r="R213" s="780"/>
      <c r="S213" s="780"/>
      <c r="T213" s="780"/>
      <c r="U213" s="780"/>
      <c r="V213" s="780"/>
      <c r="W213" s="787"/>
      <c r="X213" s="780"/>
      <c r="Y213" s="780"/>
      <c r="Z213" s="780"/>
      <c r="AA213" s="780"/>
      <c r="AB213" s="788"/>
      <c r="AC213" s="781"/>
      <c r="AD213" s="780"/>
      <c r="AE213" s="789" t="str">
        <f t="array" ref="AE213:AF213">{"",'S-10 Оформление сделок Выборка'!AF213}</f>
        <v/>
      </c>
      <c r="AF213" s="790"/>
      <c r="AG213" s="781"/>
      <c r="AH213" s="781"/>
      <c r="AI213" s="785"/>
      <c r="AJ213" s="780"/>
      <c r="AK213" s="792" t="str">
        <f t="array" ref="AK213:AL213">{"",'S-10 Оформление сделок Выборка'!AL213}</f>
        <v/>
      </c>
      <c r="AL213" s="793"/>
      <c r="AM213" s="792" t="str">
        <f t="array" ref="AM213:AN213">{"",'S-10 Оформление сделок Выборка'!AN213}</f>
        <v/>
      </c>
      <c r="AN213" s="794"/>
      <c r="AO213" s="792" t="str">
        <f t="array" ref="AO213:AP213">{"",'S-10 Оформление сделок Выборка'!AP213}</f>
        <v/>
      </c>
      <c r="AP213" s="786"/>
      <c r="AQ213" s="786"/>
      <c r="AR213" s="779" t="str">
        <f t="array" ref="AR213:AS213">{"",'S-10 Оформление сделок Выборка'!AS213}</f>
        <v/>
      </c>
      <c r="AS213" s="795"/>
      <c r="AT213" s="779" t="str">
        <f t="array" ref="AT213:AU213">{"",'S-10 Оформление сделок Выборка'!AU213}</f>
        <v/>
      </c>
      <c r="AU213" s="805"/>
      <c r="AV213" s="779" t="str">
        <f t="array" ref="AV213:AW213">{"",'S-10 Оформление сделок Выборка'!AW213}</f>
        <v/>
      </c>
      <c r="AW213" s="797"/>
      <c r="AX213" s="786"/>
      <c r="AY213" s="786"/>
      <c r="AZ213" s="792" t="str">
        <f t="array" ref="AZ213:BA213">{"",'S-10 Оформление сделок Выборка'!BA213}</f>
        <v/>
      </c>
      <c r="BA213" s="798"/>
      <c r="BB213" s="792" t="str">
        <f t="array" ref="BB213:BC213">{"",'S-10 Оформление сделок Выборка'!BC213}</f>
        <v/>
      </c>
      <c r="BC213" s="799"/>
      <c r="BD213" s="792" t="str">
        <f t="array" ref="BD213:BE213">{"",'S-10 Оформление сделок Выборка'!BE213}</f>
        <v/>
      </c>
      <c r="BE213" s="793"/>
      <c r="BF213" s="800" t="str">
        <f t="array" ref="BF213:BG213">{"",'S-10 Оформление сделок Выборка'!BG213}</f>
        <v/>
      </c>
      <c r="BG213" s="794"/>
      <c r="BH213" s="794" t="str">
        <f t="array" ref="BH213:BI213">{"",'S-10 Оформление сделок Выборка'!BI213}</f>
        <v/>
      </c>
      <c r="BI213" s="794"/>
      <c r="BJ213" s="792" t="str">
        <f t="array" ref="BJ213:BK213">{"",'S-10 Оформление сделок Выборка'!BK213}</f>
        <v/>
      </c>
      <c r="BK213" s="793"/>
      <c r="BL213" s="792" t="str">
        <f t="array" ref="BL213:BM213">{"",'S-10 Оформление сделок Выборка'!BM213}</f>
        <v/>
      </c>
      <c r="BM213" s="801"/>
      <c r="BN213" s="792" t="str">
        <f t="array" ref="BN213:BO213">{"",'S-10 Оформление сделок Выборка'!BO213}</f>
        <v/>
      </c>
      <c r="BO213" s="793"/>
      <c r="BP213" s="792" t="str">
        <f t="array" ref="BP213:BQ213">{"",'S-10 Оформление сделок Выборка'!BQ213}</f>
        <v/>
      </c>
      <c r="BQ213" s="802"/>
      <c r="BR213" s="792" t="str">
        <f t="array" ref="BR213:BS213">{"",'S-10 Оформление сделок Выборка'!BS213}</f>
        <v/>
      </c>
      <c r="BS213" s="794"/>
      <c r="BT213" s="800" t="str">
        <f t="array" ref="BT213:BU213">{"",'S-10 Оформление сделок Выборка'!BU213}</f>
        <v/>
      </c>
      <c r="BU213" s="794"/>
      <c r="BV213" s="800" t="str">
        <f t="array" ref="BV213:BW213">{"",'S-10 Оформление сделок Выборка'!BW213}</f>
        <v/>
      </c>
      <c r="BW213" s="803" t="s">
        <v>96</v>
      </c>
      <c r="BX213" s="804"/>
    </row>
    <row r="214">
      <c r="A214" s="779"/>
      <c r="B214" s="779"/>
      <c r="C214" s="780" t="str">
        <f>'5-1 Сбор КП Закупки'!C214</f>
        <v/>
      </c>
      <c r="D214" s="781"/>
      <c r="E214" s="780"/>
      <c r="F214" s="783"/>
      <c r="G214" s="783"/>
      <c r="H214" s="783"/>
      <c r="I214" s="783"/>
      <c r="J214" s="780"/>
      <c r="K214" s="786"/>
      <c r="L214" s="785"/>
      <c r="M214" s="786"/>
      <c r="N214" s="786"/>
      <c r="O214" s="780"/>
      <c r="P214" s="787"/>
      <c r="Q214" s="780"/>
      <c r="R214" s="780"/>
      <c r="S214" s="780"/>
      <c r="T214" s="780"/>
      <c r="U214" s="780"/>
      <c r="V214" s="780"/>
      <c r="W214" s="787"/>
      <c r="X214" s="780"/>
      <c r="Y214" s="780"/>
      <c r="Z214" s="780"/>
      <c r="AA214" s="780"/>
      <c r="AB214" s="788"/>
      <c r="AC214" s="781"/>
      <c r="AD214" s="780"/>
      <c r="AE214" s="789" t="str">
        <f t="array" ref="AE214:AF214">{"",'S-10 Оформление сделок Выборка'!AF214}</f>
        <v/>
      </c>
      <c r="AF214" s="790"/>
      <c r="AG214" s="781"/>
      <c r="AH214" s="781"/>
      <c r="AI214" s="785"/>
      <c r="AJ214" s="780"/>
      <c r="AK214" s="792" t="str">
        <f t="array" ref="AK214:AL214">{"",'S-10 Оформление сделок Выборка'!AL214}</f>
        <v/>
      </c>
      <c r="AL214" s="793"/>
      <c r="AM214" s="792" t="str">
        <f t="array" ref="AM214:AN214">{"",'S-10 Оформление сделок Выборка'!AN214}</f>
        <v/>
      </c>
      <c r="AN214" s="794"/>
      <c r="AO214" s="792" t="str">
        <f t="array" ref="AO214:AP214">{"",'S-10 Оформление сделок Выборка'!AP214}</f>
        <v/>
      </c>
      <c r="AP214" s="786"/>
      <c r="AQ214" s="786"/>
      <c r="AR214" s="779" t="str">
        <f t="array" ref="AR214:AS214">{"",'S-10 Оформление сделок Выборка'!AS214}</f>
        <v/>
      </c>
      <c r="AS214" s="795"/>
      <c r="AT214" s="779" t="str">
        <f t="array" ref="AT214:AU214">{"",'S-10 Оформление сделок Выборка'!AU214}</f>
        <v/>
      </c>
      <c r="AU214" s="805"/>
      <c r="AV214" s="779" t="str">
        <f t="array" ref="AV214:AW214">{"",'S-10 Оформление сделок Выборка'!AW214}</f>
        <v/>
      </c>
      <c r="AW214" s="797"/>
      <c r="AX214" s="786"/>
      <c r="AY214" s="786"/>
      <c r="AZ214" s="792" t="str">
        <f t="array" ref="AZ214:BA214">{"",'S-10 Оформление сделок Выборка'!BA214}</f>
        <v/>
      </c>
      <c r="BA214" s="798"/>
      <c r="BB214" s="792" t="str">
        <f t="array" ref="BB214:BC214">{"",'S-10 Оформление сделок Выборка'!BC214}</f>
        <v/>
      </c>
      <c r="BC214" s="799"/>
      <c r="BD214" s="792" t="str">
        <f t="array" ref="BD214:BE214">{"",'S-10 Оформление сделок Выборка'!BE214}</f>
        <v/>
      </c>
      <c r="BE214" s="793"/>
      <c r="BF214" s="800" t="str">
        <f t="array" ref="BF214:BG214">{"",'S-10 Оформление сделок Выборка'!BG214}</f>
        <v/>
      </c>
      <c r="BG214" s="794"/>
      <c r="BH214" s="794" t="str">
        <f t="array" ref="BH214:BI214">{"",'S-10 Оформление сделок Выборка'!BI214}</f>
        <v/>
      </c>
      <c r="BI214" s="794"/>
      <c r="BJ214" s="792" t="str">
        <f t="array" ref="BJ214:BK214">{"",'S-10 Оформление сделок Выборка'!BK214}</f>
        <v/>
      </c>
      <c r="BK214" s="793"/>
      <c r="BL214" s="792" t="str">
        <f t="array" ref="BL214:BM214">{"",'S-10 Оформление сделок Выборка'!BM214}</f>
        <v/>
      </c>
      <c r="BM214" s="801"/>
      <c r="BN214" s="792" t="str">
        <f t="array" ref="BN214:BO214">{"",'S-10 Оформление сделок Выборка'!BO214}</f>
        <v/>
      </c>
      <c r="BO214" s="793"/>
      <c r="BP214" s="792" t="str">
        <f t="array" ref="BP214:BQ214">{"",'S-10 Оформление сделок Выборка'!BQ214}</f>
        <v/>
      </c>
      <c r="BQ214" s="802"/>
      <c r="BR214" s="792" t="str">
        <f t="array" ref="BR214:BS214">{"",'S-10 Оформление сделок Выборка'!BS214}</f>
        <v/>
      </c>
      <c r="BS214" s="794"/>
      <c r="BT214" s="800" t="str">
        <f t="array" ref="BT214:BU214">{"",'S-10 Оформление сделок Выборка'!BU214}</f>
        <v/>
      </c>
      <c r="BU214" s="794"/>
      <c r="BV214" s="800" t="str">
        <f t="array" ref="BV214:BW214">{"",'S-10 Оформление сделок Выборка'!BW214}</f>
        <v/>
      </c>
      <c r="BW214" s="803" t="s">
        <v>96</v>
      </c>
      <c r="BX214" s="804"/>
    </row>
    <row r="215">
      <c r="A215" s="779"/>
      <c r="B215" s="779"/>
      <c r="C215" s="780" t="str">
        <f>'5-1 Сбор КП Закупки'!C215</f>
        <v/>
      </c>
      <c r="D215" s="781"/>
      <c r="E215" s="780"/>
      <c r="F215" s="783"/>
      <c r="G215" s="783"/>
      <c r="H215" s="783"/>
      <c r="I215" s="783"/>
      <c r="J215" s="780"/>
      <c r="K215" s="786"/>
      <c r="L215" s="785"/>
      <c r="M215" s="786"/>
      <c r="N215" s="786"/>
      <c r="O215" s="780"/>
      <c r="P215" s="787"/>
      <c r="Q215" s="780"/>
      <c r="R215" s="780"/>
      <c r="S215" s="780"/>
      <c r="T215" s="780"/>
      <c r="U215" s="780"/>
      <c r="V215" s="780"/>
      <c r="W215" s="787"/>
      <c r="X215" s="780"/>
      <c r="Y215" s="780"/>
      <c r="Z215" s="780"/>
      <c r="AA215" s="780"/>
      <c r="AB215" s="788"/>
      <c r="AC215" s="781"/>
      <c r="AD215" s="780"/>
      <c r="AE215" s="789" t="str">
        <f t="array" ref="AE215:AF215">{"",'S-10 Оформление сделок Выборка'!AF215}</f>
        <v/>
      </c>
      <c r="AF215" s="790"/>
      <c r="AG215" s="781"/>
      <c r="AH215" s="781"/>
      <c r="AI215" s="785"/>
      <c r="AJ215" s="780"/>
      <c r="AK215" s="792" t="str">
        <f t="array" ref="AK215:AL215">{"",'S-10 Оформление сделок Выборка'!AL215}</f>
        <v/>
      </c>
      <c r="AL215" s="793"/>
      <c r="AM215" s="792" t="str">
        <f t="array" ref="AM215:AN215">{"",'S-10 Оформление сделок Выборка'!AN215}</f>
        <v/>
      </c>
      <c r="AN215" s="794"/>
      <c r="AO215" s="792" t="str">
        <f t="array" ref="AO215:AP215">{"",'S-10 Оформление сделок Выборка'!AP215}</f>
        <v/>
      </c>
      <c r="AP215" s="786"/>
      <c r="AQ215" s="786"/>
      <c r="AR215" s="779" t="str">
        <f t="array" ref="AR215:AS215">{"",'S-10 Оформление сделок Выборка'!AS215}</f>
        <v/>
      </c>
      <c r="AS215" s="795"/>
      <c r="AT215" s="779" t="str">
        <f t="array" ref="AT215:AU215">{"",'S-10 Оформление сделок Выборка'!AU215}</f>
        <v/>
      </c>
      <c r="AU215" s="805"/>
      <c r="AV215" s="779" t="str">
        <f t="array" ref="AV215:AW215">{"",'S-10 Оформление сделок Выборка'!AW215}</f>
        <v/>
      </c>
      <c r="AW215" s="797"/>
      <c r="AX215" s="786"/>
      <c r="AY215" s="786"/>
      <c r="AZ215" s="792" t="str">
        <f t="array" ref="AZ215:BA215">{"",'S-10 Оформление сделок Выборка'!BA215}</f>
        <v/>
      </c>
      <c r="BA215" s="798"/>
      <c r="BB215" s="792" t="str">
        <f t="array" ref="BB215:BC215">{"",'S-10 Оформление сделок Выборка'!BC215}</f>
        <v/>
      </c>
      <c r="BC215" s="799"/>
      <c r="BD215" s="792" t="str">
        <f t="array" ref="BD215:BE215">{"",'S-10 Оформление сделок Выборка'!BE215}</f>
        <v/>
      </c>
      <c r="BE215" s="793"/>
      <c r="BF215" s="800" t="str">
        <f t="array" ref="BF215:BG215">{"",'S-10 Оформление сделок Выборка'!BG215}</f>
        <v/>
      </c>
      <c r="BG215" s="794"/>
      <c r="BH215" s="794" t="str">
        <f t="array" ref="BH215:BI215">{"",'S-10 Оформление сделок Выборка'!BI215}</f>
        <v/>
      </c>
      <c r="BI215" s="794"/>
      <c r="BJ215" s="792" t="str">
        <f t="array" ref="BJ215:BK215">{"",'S-10 Оформление сделок Выборка'!BK215}</f>
        <v/>
      </c>
      <c r="BK215" s="793"/>
      <c r="BL215" s="792" t="str">
        <f t="array" ref="BL215:BM215">{"",'S-10 Оформление сделок Выборка'!BM215}</f>
        <v/>
      </c>
      <c r="BM215" s="801"/>
      <c r="BN215" s="792" t="str">
        <f t="array" ref="BN215:BO215">{"",'S-10 Оформление сделок Выборка'!BO215}</f>
        <v/>
      </c>
      <c r="BO215" s="793"/>
      <c r="BP215" s="792" t="str">
        <f t="array" ref="BP215:BQ215">{"",'S-10 Оформление сделок Выборка'!BQ215}</f>
        <v/>
      </c>
      <c r="BQ215" s="802"/>
      <c r="BR215" s="792" t="str">
        <f t="array" ref="BR215:BS215">{"",'S-10 Оформление сделок Выборка'!BS215}</f>
        <v/>
      </c>
      <c r="BS215" s="794"/>
      <c r="BT215" s="800" t="str">
        <f t="array" ref="BT215:BU215">{"",'S-10 Оформление сделок Выборка'!BU215}</f>
        <v/>
      </c>
      <c r="BU215" s="794"/>
      <c r="BV215" s="800" t="str">
        <f t="array" ref="BV215:BW215">{"",'S-10 Оформление сделок Выборка'!BW215}</f>
        <v/>
      </c>
      <c r="BW215" s="803" t="s">
        <v>96</v>
      </c>
      <c r="BX215" s="804"/>
    </row>
    <row r="216">
      <c r="A216" s="779"/>
      <c r="B216" s="779"/>
      <c r="C216" s="780" t="str">
        <f>'5-1 Сбор КП Закупки'!C216</f>
        <v/>
      </c>
      <c r="D216" s="781"/>
      <c r="E216" s="780"/>
      <c r="F216" s="783"/>
      <c r="G216" s="783"/>
      <c r="H216" s="783"/>
      <c r="I216" s="783"/>
      <c r="J216" s="780"/>
      <c r="K216" s="786"/>
      <c r="L216" s="785"/>
      <c r="M216" s="786"/>
      <c r="N216" s="786"/>
      <c r="O216" s="780"/>
      <c r="P216" s="787"/>
      <c r="Q216" s="780"/>
      <c r="R216" s="780"/>
      <c r="S216" s="780"/>
      <c r="T216" s="780"/>
      <c r="U216" s="780"/>
      <c r="V216" s="780"/>
      <c r="W216" s="787"/>
      <c r="X216" s="780"/>
      <c r="Y216" s="780"/>
      <c r="Z216" s="780"/>
      <c r="AA216" s="780"/>
      <c r="AB216" s="788"/>
      <c r="AC216" s="781"/>
      <c r="AD216" s="780"/>
      <c r="AE216" s="789" t="str">
        <f t="array" ref="AE216:AF216">{"",'S-10 Оформление сделок Выборка'!AF216}</f>
        <v/>
      </c>
      <c r="AF216" s="790"/>
      <c r="AG216" s="781"/>
      <c r="AH216" s="781"/>
      <c r="AI216" s="785"/>
      <c r="AJ216" s="780"/>
      <c r="AK216" s="792" t="str">
        <f t="array" ref="AK216:AL216">{"",'S-10 Оформление сделок Выборка'!AL216}</f>
        <v/>
      </c>
      <c r="AL216" s="793"/>
      <c r="AM216" s="792" t="str">
        <f t="array" ref="AM216:AN216">{"",'S-10 Оформление сделок Выборка'!AN216}</f>
        <v/>
      </c>
      <c r="AN216" s="794"/>
      <c r="AO216" s="792" t="str">
        <f t="array" ref="AO216:AP216">{"",'S-10 Оформление сделок Выборка'!AP216}</f>
        <v/>
      </c>
      <c r="AP216" s="786"/>
      <c r="AQ216" s="786"/>
      <c r="AR216" s="779" t="str">
        <f t="array" ref="AR216:AS216">{"",'S-10 Оформление сделок Выборка'!AS216}</f>
        <v/>
      </c>
      <c r="AS216" s="795"/>
      <c r="AT216" s="779" t="str">
        <f t="array" ref="AT216:AU216">{"",'S-10 Оформление сделок Выборка'!AU216}</f>
        <v/>
      </c>
      <c r="AU216" s="805"/>
      <c r="AV216" s="779" t="str">
        <f t="array" ref="AV216:AW216">{"",'S-10 Оформление сделок Выборка'!AW216}</f>
        <v/>
      </c>
      <c r="AW216" s="797"/>
      <c r="AX216" s="786"/>
      <c r="AY216" s="786"/>
      <c r="AZ216" s="792" t="str">
        <f t="array" ref="AZ216:BA216">{"",'S-10 Оформление сделок Выборка'!BA216}</f>
        <v/>
      </c>
      <c r="BA216" s="798"/>
      <c r="BB216" s="792" t="str">
        <f t="array" ref="BB216:BC216">{"",'S-10 Оформление сделок Выборка'!BC216}</f>
        <v/>
      </c>
      <c r="BC216" s="799"/>
      <c r="BD216" s="792" t="str">
        <f t="array" ref="BD216:BE216">{"",'S-10 Оформление сделок Выборка'!BE216}</f>
        <v/>
      </c>
      <c r="BE216" s="793"/>
      <c r="BF216" s="800" t="str">
        <f t="array" ref="BF216:BG216">{"",'S-10 Оформление сделок Выборка'!BG216}</f>
        <v/>
      </c>
      <c r="BG216" s="794"/>
      <c r="BH216" s="794" t="str">
        <f t="array" ref="BH216:BI216">{"",'S-10 Оформление сделок Выборка'!BI216}</f>
        <v/>
      </c>
      <c r="BI216" s="794"/>
      <c r="BJ216" s="792" t="str">
        <f t="array" ref="BJ216:BK216">{"",'S-10 Оформление сделок Выборка'!BK216}</f>
        <v/>
      </c>
      <c r="BK216" s="793"/>
      <c r="BL216" s="792" t="str">
        <f t="array" ref="BL216:BM216">{"",'S-10 Оформление сделок Выборка'!BM216}</f>
        <v/>
      </c>
      <c r="BM216" s="801"/>
      <c r="BN216" s="792" t="str">
        <f t="array" ref="BN216:BO216">{"",'S-10 Оформление сделок Выборка'!BO216}</f>
        <v/>
      </c>
      <c r="BO216" s="793"/>
      <c r="BP216" s="792" t="str">
        <f t="array" ref="BP216:BQ216">{"",'S-10 Оформление сделок Выборка'!BQ216}</f>
        <v/>
      </c>
      <c r="BQ216" s="802"/>
      <c r="BR216" s="792" t="str">
        <f t="array" ref="BR216:BS216">{"",'S-10 Оформление сделок Выборка'!BS216}</f>
        <v/>
      </c>
      <c r="BS216" s="794"/>
      <c r="BT216" s="800" t="str">
        <f t="array" ref="BT216:BU216">{"",'S-10 Оформление сделок Выборка'!BU216}</f>
        <v/>
      </c>
      <c r="BU216" s="794"/>
      <c r="BV216" s="800" t="str">
        <f t="array" ref="BV216:BW216">{"",'S-10 Оформление сделок Выборка'!BW216}</f>
        <v/>
      </c>
      <c r="BW216" s="803" t="s">
        <v>96</v>
      </c>
      <c r="BX216" s="804"/>
    </row>
    <row r="217">
      <c r="A217" s="779"/>
      <c r="B217" s="779"/>
      <c r="C217" s="780" t="str">
        <f>'5-1 Сбор КП Закупки'!C217</f>
        <v/>
      </c>
      <c r="D217" s="781"/>
      <c r="E217" s="780"/>
      <c r="F217" s="783"/>
      <c r="G217" s="783"/>
      <c r="H217" s="783"/>
      <c r="I217" s="783"/>
      <c r="J217" s="780"/>
      <c r="K217" s="786"/>
      <c r="L217" s="785"/>
      <c r="M217" s="786"/>
      <c r="N217" s="786"/>
      <c r="O217" s="780"/>
      <c r="P217" s="787"/>
      <c r="Q217" s="780"/>
      <c r="R217" s="780"/>
      <c r="S217" s="780"/>
      <c r="T217" s="780"/>
      <c r="U217" s="780"/>
      <c r="V217" s="780"/>
      <c r="W217" s="787"/>
      <c r="X217" s="780"/>
      <c r="Y217" s="780"/>
      <c r="Z217" s="780"/>
      <c r="AA217" s="780"/>
      <c r="AB217" s="788"/>
      <c r="AC217" s="781"/>
      <c r="AD217" s="780"/>
      <c r="AE217" s="789" t="str">
        <f t="array" ref="AE217:AF217">{"",'S-10 Оформление сделок Выборка'!AF217}</f>
        <v/>
      </c>
      <c r="AF217" s="790"/>
      <c r="AG217" s="781"/>
      <c r="AH217" s="781"/>
      <c r="AI217" s="785"/>
      <c r="AJ217" s="780"/>
      <c r="AK217" s="792" t="str">
        <f t="array" ref="AK217:AL217">{"",'S-10 Оформление сделок Выборка'!AL217}</f>
        <v/>
      </c>
      <c r="AL217" s="793"/>
      <c r="AM217" s="792" t="str">
        <f t="array" ref="AM217:AN217">{"",'S-10 Оформление сделок Выборка'!AN217}</f>
        <v/>
      </c>
      <c r="AN217" s="794"/>
      <c r="AO217" s="792" t="str">
        <f t="array" ref="AO217:AP217">{"",'S-10 Оформление сделок Выборка'!AP217}</f>
        <v/>
      </c>
      <c r="AP217" s="786"/>
      <c r="AQ217" s="786"/>
      <c r="AR217" s="779" t="str">
        <f t="array" ref="AR217:AS217">{"",'S-10 Оформление сделок Выборка'!AS217}</f>
        <v/>
      </c>
      <c r="AS217" s="795"/>
      <c r="AT217" s="779" t="str">
        <f t="array" ref="AT217:AU217">{"",'S-10 Оформление сделок Выборка'!AU217}</f>
        <v/>
      </c>
      <c r="AU217" s="805"/>
      <c r="AV217" s="779" t="str">
        <f t="array" ref="AV217:AW217">{"",'S-10 Оформление сделок Выборка'!AW217}</f>
        <v/>
      </c>
      <c r="AW217" s="797"/>
      <c r="AX217" s="786"/>
      <c r="AY217" s="786"/>
      <c r="AZ217" s="792" t="str">
        <f t="array" ref="AZ217:BA217">{"",'S-10 Оформление сделок Выборка'!BA217}</f>
        <v/>
      </c>
      <c r="BA217" s="798"/>
      <c r="BB217" s="792" t="str">
        <f t="array" ref="BB217:BC217">{"",'S-10 Оформление сделок Выборка'!BC217}</f>
        <v/>
      </c>
      <c r="BC217" s="799"/>
      <c r="BD217" s="792" t="str">
        <f t="array" ref="BD217:BE217">{"",'S-10 Оформление сделок Выборка'!BE217}</f>
        <v/>
      </c>
      <c r="BE217" s="793"/>
      <c r="BF217" s="800" t="str">
        <f t="array" ref="BF217:BG217">{"",'S-10 Оформление сделок Выборка'!BG217}</f>
        <v/>
      </c>
      <c r="BG217" s="794"/>
      <c r="BH217" s="794" t="str">
        <f t="array" ref="BH217:BI217">{"",'S-10 Оформление сделок Выборка'!BI217}</f>
        <v/>
      </c>
      <c r="BI217" s="794"/>
      <c r="BJ217" s="792" t="str">
        <f t="array" ref="BJ217:BK217">{"",'S-10 Оформление сделок Выборка'!BK217}</f>
        <v/>
      </c>
      <c r="BK217" s="793"/>
      <c r="BL217" s="792" t="str">
        <f t="array" ref="BL217:BM217">{"",'S-10 Оформление сделок Выборка'!BM217}</f>
        <v/>
      </c>
      <c r="BM217" s="801"/>
      <c r="BN217" s="792" t="str">
        <f t="array" ref="BN217:BO217">{"",'S-10 Оформление сделок Выборка'!BO217}</f>
        <v/>
      </c>
      <c r="BO217" s="793"/>
      <c r="BP217" s="792" t="str">
        <f t="array" ref="BP217:BQ217">{"",'S-10 Оформление сделок Выборка'!BQ217}</f>
        <v/>
      </c>
      <c r="BQ217" s="802"/>
      <c r="BR217" s="792" t="str">
        <f t="array" ref="BR217:BS217">{"",'S-10 Оформление сделок Выборка'!BS217}</f>
        <v/>
      </c>
      <c r="BS217" s="794"/>
      <c r="BT217" s="800" t="str">
        <f t="array" ref="BT217:BU217">{"",'S-10 Оформление сделок Выборка'!BU217}</f>
        <v/>
      </c>
      <c r="BU217" s="794"/>
      <c r="BV217" s="800" t="str">
        <f t="array" ref="BV217:BW217">{"",'S-10 Оформление сделок Выборка'!BW217}</f>
        <v/>
      </c>
      <c r="BW217" s="803" t="s">
        <v>96</v>
      </c>
      <c r="BX217" s="804"/>
    </row>
    <row r="218">
      <c r="A218" s="779"/>
      <c r="B218" s="779"/>
      <c r="C218" s="780" t="str">
        <f>'5-1 Сбор КП Закупки'!C218</f>
        <v/>
      </c>
      <c r="D218" s="781"/>
      <c r="E218" s="780"/>
      <c r="F218" s="783"/>
      <c r="G218" s="783"/>
      <c r="H218" s="783"/>
      <c r="I218" s="783"/>
      <c r="J218" s="780"/>
      <c r="K218" s="786"/>
      <c r="L218" s="785"/>
      <c r="M218" s="786"/>
      <c r="N218" s="786"/>
      <c r="O218" s="780"/>
      <c r="P218" s="787"/>
      <c r="Q218" s="780"/>
      <c r="R218" s="780"/>
      <c r="S218" s="780"/>
      <c r="T218" s="780"/>
      <c r="U218" s="780"/>
      <c r="V218" s="780"/>
      <c r="W218" s="787"/>
      <c r="X218" s="780"/>
      <c r="Y218" s="780"/>
      <c r="Z218" s="780"/>
      <c r="AA218" s="780"/>
      <c r="AB218" s="788"/>
      <c r="AC218" s="781"/>
      <c r="AD218" s="780"/>
      <c r="AE218" s="789" t="str">
        <f t="array" ref="AE218:AF218">{"",'S-10 Оформление сделок Выборка'!AF218}</f>
        <v/>
      </c>
      <c r="AF218" s="790"/>
      <c r="AG218" s="781"/>
      <c r="AH218" s="781"/>
      <c r="AI218" s="785"/>
      <c r="AJ218" s="780"/>
      <c r="AK218" s="792" t="str">
        <f t="array" ref="AK218:AL218">{"",'S-10 Оформление сделок Выборка'!AL218}</f>
        <v/>
      </c>
      <c r="AL218" s="793"/>
      <c r="AM218" s="792" t="str">
        <f t="array" ref="AM218:AN218">{"",'S-10 Оформление сделок Выборка'!AN218}</f>
        <v/>
      </c>
      <c r="AN218" s="794"/>
      <c r="AO218" s="792" t="str">
        <f t="array" ref="AO218:AP218">{"",'S-10 Оформление сделок Выборка'!AP218}</f>
        <v/>
      </c>
      <c r="AP218" s="786"/>
      <c r="AQ218" s="786"/>
      <c r="AR218" s="779" t="str">
        <f t="array" ref="AR218:AS218">{"",'S-10 Оформление сделок Выборка'!AS218}</f>
        <v/>
      </c>
      <c r="AS218" s="795"/>
      <c r="AT218" s="779" t="str">
        <f t="array" ref="AT218:AU218">{"",'S-10 Оформление сделок Выборка'!AU218}</f>
        <v/>
      </c>
      <c r="AU218" s="805"/>
      <c r="AV218" s="779" t="str">
        <f t="array" ref="AV218:AW218">{"",'S-10 Оформление сделок Выборка'!AW218}</f>
        <v/>
      </c>
      <c r="AW218" s="797"/>
      <c r="AX218" s="786"/>
      <c r="AY218" s="786"/>
      <c r="AZ218" s="792" t="str">
        <f t="array" ref="AZ218:BA218">{"",'S-10 Оформление сделок Выборка'!BA218}</f>
        <v/>
      </c>
      <c r="BA218" s="798"/>
      <c r="BB218" s="792" t="str">
        <f t="array" ref="BB218:BC218">{"",'S-10 Оформление сделок Выборка'!BC218}</f>
        <v/>
      </c>
      <c r="BC218" s="799"/>
      <c r="BD218" s="792" t="str">
        <f t="array" ref="BD218:BE218">{"",'S-10 Оформление сделок Выборка'!BE218}</f>
        <v/>
      </c>
      <c r="BE218" s="793"/>
      <c r="BF218" s="800" t="str">
        <f t="array" ref="BF218:BG218">{"",'S-10 Оформление сделок Выборка'!BG218}</f>
        <v/>
      </c>
      <c r="BG218" s="794"/>
      <c r="BH218" s="794" t="str">
        <f t="array" ref="BH218:BI218">{"",'S-10 Оформление сделок Выборка'!BI218}</f>
        <v/>
      </c>
      <c r="BI218" s="794"/>
      <c r="BJ218" s="792" t="str">
        <f t="array" ref="BJ218:BK218">{"",'S-10 Оформление сделок Выборка'!BK218}</f>
        <v/>
      </c>
      <c r="BK218" s="793"/>
      <c r="BL218" s="792" t="str">
        <f t="array" ref="BL218:BM218">{"",'S-10 Оформление сделок Выборка'!BM218}</f>
        <v/>
      </c>
      <c r="BM218" s="801"/>
      <c r="BN218" s="792" t="str">
        <f t="array" ref="BN218:BO218">{"",'S-10 Оформление сделок Выборка'!BO218}</f>
        <v/>
      </c>
      <c r="BO218" s="793"/>
      <c r="BP218" s="792" t="str">
        <f t="array" ref="BP218:BQ218">{"",'S-10 Оформление сделок Выборка'!BQ218}</f>
        <v/>
      </c>
      <c r="BQ218" s="802"/>
      <c r="BR218" s="792" t="str">
        <f t="array" ref="BR218:BS218">{"",'S-10 Оформление сделок Выборка'!BS218}</f>
        <v/>
      </c>
      <c r="BS218" s="794"/>
      <c r="BT218" s="800" t="str">
        <f t="array" ref="BT218:BU218">{"",'S-10 Оформление сделок Выборка'!BU218}</f>
        <v/>
      </c>
      <c r="BU218" s="794"/>
      <c r="BV218" s="800" t="str">
        <f t="array" ref="BV218:BW218">{"",'S-10 Оформление сделок Выборка'!BW218}</f>
        <v/>
      </c>
      <c r="BW218" s="803" t="s">
        <v>96</v>
      </c>
      <c r="BX218" s="804"/>
    </row>
    <row r="219">
      <c r="A219" s="779"/>
      <c r="B219" s="779"/>
      <c r="C219" s="780" t="str">
        <f>'5-1 Сбор КП Закупки'!C219</f>
        <v/>
      </c>
      <c r="D219" s="781"/>
      <c r="E219" s="780"/>
      <c r="F219" s="783"/>
      <c r="G219" s="783"/>
      <c r="H219" s="783"/>
      <c r="I219" s="783"/>
      <c r="J219" s="780"/>
      <c r="K219" s="786"/>
      <c r="L219" s="785"/>
      <c r="M219" s="786"/>
      <c r="N219" s="786"/>
      <c r="O219" s="780"/>
      <c r="P219" s="787"/>
      <c r="Q219" s="780"/>
      <c r="R219" s="780"/>
      <c r="S219" s="780"/>
      <c r="T219" s="780"/>
      <c r="U219" s="780"/>
      <c r="V219" s="780"/>
      <c r="W219" s="787"/>
      <c r="X219" s="780"/>
      <c r="Y219" s="780"/>
      <c r="Z219" s="780"/>
      <c r="AA219" s="780"/>
      <c r="AB219" s="788"/>
      <c r="AC219" s="781"/>
      <c r="AD219" s="780"/>
      <c r="AE219" s="789" t="str">
        <f t="array" ref="AE219:AF219">{"",'S-10 Оформление сделок Выборка'!AF219}</f>
        <v/>
      </c>
      <c r="AF219" s="790"/>
      <c r="AG219" s="781"/>
      <c r="AH219" s="781"/>
      <c r="AI219" s="785"/>
      <c r="AJ219" s="780"/>
      <c r="AK219" s="792" t="str">
        <f t="array" ref="AK219:AL219">{"",'S-10 Оформление сделок Выборка'!AL219}</f>
        <v/>
      </c>
      <c r="AL219" s="793"/>
      <c r="AM219" s="792" t="str">
        <f t="array" ref="AM219:AN219">{"",'S-10 Оформление сделок Выборка'!AN219}</f>
        <v/>
      </c>
      <c r="AN219" s="794"/>
      <c r="AO219" s="792" t="str">
        <f t="array" ref="AO219:AP219">{"",'S-10 Оформление сделок Выборка'!AP219}</f>
        <v/>
      </c>
      <c r="AP219" s="786"/>
      <c r="AQ219" s="786"/>
      <c r="AR219" s="779" t="str">
        <f t="array" ref="AR219:AS219">{"",'S-10 Оформление сделок Выборка'!AS219}</f>
        <v/>
      </c>
      <c r="AS219" s="795"/>
      <c r="AT219" s="779" t="str">
        <f t="array" ref="AT219:AU219">{"",'S-10 Оформление сделок Выборка'!AU219}</f>
        <v/>
      </c>
      <c r="AU219" s="805"/>
      <c r="AV219" s="779" t="str">
        <f t="array" ref="AV219:AW219">{"",'S-10 Оформление сделок Выборка'!AW219}</f>
        <v/>
      </c>
      <c r="AW219" s="797"/>
      <c r="AX219" s="786"/>
      <c r="AY219" s="786"/>
      <c r="AZ219" s="792" t="str">
        <f t="array" ref="AZ219:BA219">{"",'S-10 Оформление сделок Выборка'!BA219}</f>
        <v/>
      </c>
      <c r="BA219" s="798"/>
      <c r="BB219" s="792" t="str">
        <f t="array" ref="BB219:BC219">{"",'S-10 Оформление сделок Выборка'!BC219}</f>
        <v/>
      </c>
      <c r="BC219" s="799"/>
      <c r="BD219" s="792" t="str">
        <f t="array" ref="BD219:BE219">{"",'S-10 Оформление сделок Выборка'!BE219}</f>
        <v/>
      </c>
      <c r="BE219" s="793"/>
      <c r="BF219" s="800" t="str">
        <f t="array" ref="BF219:BG219">{"",'S-10 Оформление сделок Выборка'!BG219}</f>
        <v/>
      </c>
      <c r="BG219" s="794"/>
      <c r="BH219" s="794" t="str">
        <f t="array" ref="BH219:BI219">{"",'S-10 Оформление сделок Выборка'!BI219}</f>
        <v/>
      </c>
      <c r="BI219" s="794"/>
      <c r="BJ219" s="792" t="str">
        <f t="array" ref="BJ219:BK219">{"",'S-10 Оформление сделок Выборка'!BK219}</f>
        <v/>
      </c>
      <c r="BK219" s="793"/>
      <c r="BL219" s="792" t="str">
        <f t="array" ref="BL219:BM219">{"",'S-10 Оформление сделок Выборка'!BM219}</f>
        <v/>
      </c>
      <c r="BM219" s="801"/>
      <c r="BN219" s="792" t="str">
        <f t="array" ref="BN219:BO219">{"",'S-10 Оформление сделок Выборка'!BO219}</f>
        <v/>
      </c>
      <c r="BO219" s="793"/>
      <c r="BP219" s="792" t="str">
        <f t="array" ref="BP219:BQ219">{"",'S-10 Оформление сделок Выборка'!BQ219}</f>
        <v/>
      </c>
      <c r="BQ219" s="802"/>
      <c r="BR219" s="792" t="str">
        <f t="array" ref="BR219:BS219">{"",'S-10 Оформление сделок Выборка'!BS219}</f>
        <v/>
      </c>
      <c r="BS219" s="794"/>
      <c r="BT219" s="800" t="str">
        <f t="array" ref="BT219:BU219">{"",'S-10 Оформление сделок Выборка'!BU219}</f>
        <v/>
      </c>
      <c r="BU219" s="794"/>
      <c r="BV219" s="800" t="str">
        <f t="array" ref="BV219:BW219">{"",'S-10 Оформление сделок Выборка'!BW219}</f>
        <v/>
      </c>
      <c r="BW219" s="803" t="s">
        <v>96</v>
      </c>
      <c r="BX219" s="804"/>
    </row>
    <row r="220">
      <c r="A220" s="779"/>
      <c r="B220" s="779"/>
      <c r="C220" s="780" t="str">
        <f>'5-1 Сбор КП Закупки'!C220</f>
        <v/>
      </c>
      <c r="D220" s="781"/>
      <c r="E220" s="780"/>
      <c r="F220" s="783"/>
      <c r="G220" s="783"/>
      <c r="H220" s="783"/>
      <c r="I220" s="783"/>
      <c r="J220" s="780"/>
      <c r="K220" s="786"/>
      <c r="L220" s="785"/>
      <c r="M220" s="786"/>
      <c r="N220" s="786"/>
      <c r="O220" s="780"/>
      <c r="P220" s="787"/>
      <c r="Q220" s="780"/>
      <c r="R220" s="780"/>
      <c r="S220" s="780"/>
      <c r="T220" s="780"/>
      <c r="U220" s="780"/>
      <c r="V220" s="780"/>
      <c r="W220" s="787"/>
      <c r="X220" s="780"/>
      <c r="Y220" s="780"/>
      <c r="Z220" s="780"/>
      <c r="AA220" s="780"/>
      <c r="AB220" s="788"/>
      <c r="AC220" s="781"/>
      <c r="AD220" s="780"/>
      <c r="AE220" s="789" t="str">
        <f t="array" ref="AE220:AF220">{"",'S-10 Оформление сделок Выборка'!AF220}</f>
        <v/>
      </c>
      <c r="AF220" s="790"/>
      <c r="AG220" s="781"/>
      <c r="AH220" s="781"/>
      <c r="AI220" s="785"/>
      <c r="AJ220" s="780"/>
      <c r="AK220" s="792" t="str">
        <f t="array" ref="AK220:AL220">{"",'S-10 Оформление сделок Выборка'!AL220}</f>
        <v/>
      </c>
      <c r="AL220" s="793"/>
      <c r="AM220" s="792" t="str">
        <f t="array" ref="AM220:AN220">{"",'S-10 Оформление сделок Выборка'!AN220}</f>
        <v/>
      </c>
      <c r="AN220" s="794"/>
      <c r="AO220" s="792" t="str">
        <f t="array" ref="AO220:AP220">{"",'S-10 Оформление сделок Выборка'!AP220}</f>
        <v/>
      </c>
      <c r="AP220" s="786"/>
      <c r="AQ220" s="786"/>
      <c r="AR220" s="779" t="str">
        <f t="array" ref="AR220:AS220">{"",'S-10 Оформление сделок Выборка'!AS220}</f>
        <v/>
      </c>
      <c r="AS220" s="795"/>
      <c r="AT220" s="779" t="str">
        <f t="array" ref="AT220:AU220">{"",'S-10 Оформление сделок Выборка'!AU220}</f>
        <v/>
      </c>
      <c r="AU220" s="805"/>
      <c r="AV220" s="779" t="str">
        <f t="array" ref="AV220:AW220">{"",'S-10 Оформление сделок Выборка'!AW220}</f>
        <v/>
      </c>
      <c r="AW220" s="797"/>
      <c r="AX220" s="786"/>
      <c r="AY220" s="786"/>
      <c r="AZ220" s="792" t="str">
        <f t="array" ref="AZ220:BA220">{"",'S-10 Оформление сделок Выборка'!BA220}</f>
        <v/>
      </c>
      <c r="BA220" s="798"/>
      <c r="BB220" s="792" t="str">
        <f t="array" ref="BB220:BC220">{"",'S-10 Оформление сделок Выборка'!BC220}</f>
        <v/>
      </c>
      <c r="BC220" s="799"/>
      <c r="BD220" s="792" t="str">
        <f t="array" ref="BD220:BE220">{"",'S-10 Оформление сделок Выборка'!BE220}</f>
        <v/>
      </c>
      <c r="BE220" s="793"/>
      <c r="BF220" s="800" t="str">
        <f t="array" ref="BF220:BG220">{"",'S-10 Оформление сделок Выборка'!BG220}</f>
        <v/>
      </c>
      <c r="BG220" s="794"/>
      <c r="BH220" s="794" t="str">
        <f t="array" ref="BH220:BI220">{"",'S-10 Оформление сделок Выборка'!BI220}</f>
        <v/>
      </c>
      <c r="BI220" s="794"/>
      <c r="BJ220" s="792" t="str">
        <f t="array" ref="BJ220:BK220">{"",'S-10 Оформление сделок Выборка'!BK220}</f>
        <v/>
      </c>
      <c r="BK220" s="793"/>
      <c r="BL220" s="792" t="str">
        <f t="array" ref="BL220:BM220">{"",'S-10 Оформление сделок Выборка'!BM220}</f>
        <v/>
      </c>
      <c r="BM220" s="801"/>
      <c r="BN220" s="792" t="str">
        <f t="array" ref="BN220:BO220">{"",'S-10 Оформление сделок Выборка'!BO220}</f>
        <v/>
      </c>
      <c r="BO220" s="793"/>
      <c r="BP220" s="792" t="str">
        <f t="array" ref="BP220:BQ220">{"",'S-10 Оформление сделок Выборка'!BQ220}</f>
        <v/>
      </c>
      <c r="BQ220" s="802"/>
      <c r="BR220" s="792" t="str">
        <f t="array" ref="BR220:BS220">{"",'S-10 Оформление сделок Выборка'!BS220}</f>
        <v/>
      </c>
      <c r="BS220" s="794"/>
      <c r="BT220" s="800" t="str">
        <f t="array" ref="BT220:BU220">{"",'S-10 Оформление сделок Выборка'!BU220}</f>
        <v/>
      </c>
      <c r="BU220" s="794"/>
      <c r="BV220" s="800" t="str">
        <f t="array" ref="BV220:BW220">{"",'S-10 Оформление сделок Выборка'!BW220}</f>
        <v/>
      </c>
      <c r="BW220" s="803" t="s">
        <v>96</v>
      </c>
      <c r="BX220" s="804"/>
    </row>
    <row r="221">
      <c r="A221" s="779"/>
      <c r="B221" s="779"/>
      <c r="C221" s="780" t="str">
        <f>'5-1 Сбор КП Закупки'!C221</f>
        <v/>
      </c>
      <c r="D221" s="781"/>
      <c r="E221" s="780"/>
      <c r="F221" s="783"/>
      <c r="G221" s="783"/>
      <c r="H221" s="783"/>
      <c r="I221" s="783"/>
      <c r="J221" s="780"/>
      <c r="K221" s="786"/>
      <c r="L221" s="785"/>
      <c r="M221" s="786"/>
      <c r="N221" s="786"/>
      <c r="O221" s="780"/>
      <c r="P221" s="787"/>
      <c r="Q221" s="780"/>
      <c r="R221" s="780"/>
      <c r="S221" s="780"/>
      <c r="T221" s="780"/>
      <c r="U221" s="780"/>
      <c r="V221" s="780"/>
      <c r="W221" s="787"/>
      <c r="X221" s="780"/>
      <c r="Y221" s="780"/>
      <c r="Z221" s="780"/>
      <c r="AA221" s="780"/>
      <c r="AB221" s="788"/>
      <c r="AC221" s="781"/>
      <c r="AD221" s="780"/>
      <c r="AE221" s="789" t="str">
        <f t="array" ref="AE221:AF221">{"",'S-10 Оформление сделок Выборка'!AF221}</f>
        <v/>
      </c>
      <c r="AF221" s="790"/>
      <c r="AG221" s="781"/>
      <c r="AH221" s="781"/>
      <c r="AI221" s="785"/>
      <c r="AJ221" s="780"/>
      <c r="AK221" s="792" t="str">
        <f t="array" ref="AK221:AL221">{"",'S-10 Оформление сделок Выборка'!AL221}</f>
        <v/>
      </c>
      <c r="AL221" s="793"/>
      <c r="AM221" s="792" t="str">
        <f t="array" ref="AM221:AN221">{"",'S-10 Оформление сделок Выборка'!AN221}</f>
        <v/>
      </c>
      <c r="AN221" s="794"/>
      <c r="AO221" s="792" t="str">
        <f t="array" ref="AO221:AP221">{"",'S-10 Оформление сделок Выборка'!AP221}</f>
        <v/>
      </c>
      <c r="AP221" s="786"/>
      <c r="AQ221" s="786"/>
      <c r="AR221" s="779" t="str">
        <f t="array" ref="AR221:AS221">{"",'S-10 Оформление сделок Выборка'!AS221}</f>
        <v/>
      </c>
      <c r="AS221" s="795"/>
      <c r="AT221" s="779" t="str">
        <f t="array" ref="AT221:AU221">{"",'S-10 Оформление сделок Выборка'!AU221}</f>
        <v/>
      </c>
      <c r="AU221" s="805"/>
      <c r="AV221" s="779" t="str">
        <f t="array" ref="AV221:AW221">{"",'S-10 Оформление сделок Выборка'!AW221}</f>
        <v/>
      </c>
      <c r="AW221" s="797"/>
      <c r="AX221" s="786"/>
      <c r="AY221" s="786"/>
      <c r="AZ221" s="792" t="str">
        <f t="array" ref="AZ221:BA221">{"",'S-10 Оформление сделок Выборка'!BA221}</f>
        <v/>
      </c>
      <c r="BA221" s="798"/>
      <c r="BB221" s="792" t="str">
        <f t="array" ref="BB221:BC221">{"",'S-10 Оформление сделок Выборка'!BC221}</f>
        <v/>
      </c>
      <c r="BC221" s="799"/>
      <c r="BD221" s="792" t="str">
        <f t="array" ref="BD221:BE221">{"",'S-10 Оформление сделок Выборка'!BE221}</f>
        <v/>
      </c>
      <c r="BE221" s="793"/>
      <c r="BF221" s="800" t="str">
        <f t="array" ref="BF221:BG221">{"",'S-10 Оформление сделок Выборка'!BG221}</f>
        <v/>
      </c>
      <c r="BG221" s="794"/>
      <c r="BH221" s="794" t="str">
        <f t="array" ref="BH221:BI221">{"",'S-10 Оформление сделок Выборка'!BI221}</f>
        <v/>
      </c>
      <c r="BI221" s="794"/>
      <c r="BJ221" s="792" t="str">
        <f t="array" ref="BJ221:BK221">{"",'S-10 Оформление сделок Выборка'!BK221}</f>
        <v/>
      </c>
      <c r="BK221" s="793"/>
      <c r="BL221" s="792" t="str">
        <f t="array" ref="BL221:BM221">{"",'S-10 Оформление сделок Выборка'!BM221}</f>
        <v/>
      </c>
      <c r="BM221" s="801"/>
      <c r="BN221" s="792" t="str">
        <f t="array" ref="BN221:BO221">{"",'S-10 Оформление сделок Выборка'!BO221}</f>
        <v/>
      </c>
      <c r="BO221" s="793"/>
      <c r="BP221" s="792" t="str">
        <f t="array" ref="BP221:BQ221">{"",'S-10 Оформление сделок Выборка'!BQ221}</f>
        <v/>
      </c>
      <c r="BQ221" s="802"/>
      <c r="BR221" s="792" t="str">
        <f t="array" ref="BR221:BS221">{"",'S-10 Оформление сделок Выборка'!BS221}</f>
        <v/>
      </c>
      <c r="BS221" s="794"/>
      <c r="BT221" s="800" t="str">
        <f t="array" ref="BT221:BU221">{"",'S-10 Оформление сделок Выборка'!BU221}</f>
        <v/>
      </c>
      <c r="BU221" s="794"/>
      <c r="BV221" s="800" t="str">
        <f t="array" ref="BV221:BW221">{"",'S-10 Оформление сделок Выборка'!BW221}</f>
        <v/>
      </c>
      <c r="BW221" s="803" t="s">
        <v>96</v>
      </c>
      <c r="BX221" s="804"/>
    </row>
    <row r="222">
      <c r="A222" s="779"/>
      <c r="B222" s="779"/>
      <c r="C222" s="780" t="str">
        <f>'5-1 Сбор КП Закупки'!C222</f>
        <v/>
      </c>
      <c r="D222" s="781"/>
      <c r="E222" s="780"/>
      <c r="F222" s="783"/>
      <c r="G222" s="783"/>
      <c r="H222" s="783"/>
      <c r="I222" s="783"/>
      <c r="J222" s="780"/>
      <c r="K222" s="786"/>
      <c r="L222" s="785"/>
      <c r="M222" s="786"/>
      <c r="N222" s="786"/>
      <c r="O222" s="780"/>
      <c r="P222" s="787"/>
      <c r="Q222" s="780"/>
      <c r="R222" s="780"/>
      <c r="S222" s="780"/>
      <c r="T222" s="780"/>
      <c r="U222" s="780"/>
      <c r="V222" s="780"/>
      <c r="W222" s="787"/>
      <c r="X222" s="780"/>
      <c r="Y222" s="780"/>
      <c r="Z222" s="780"/>
      <c r="AA222" s="780"/>
      <c r="AB222" s="788"/>
      <c r="AC222" s="781"/>
      <c r="AD222" s="780"/>
      <c r="AE222" s="789" t="str">
        <f t="array" ref="AE222:AF222">{"",'S-10 Оформление сделок Выборка'!AF222}</f>
        <v/>
      </c>
      <c r="AF222" s="790"/>
      <c r="AG222" s="781"/>
      <c r="AH222" s="781"/>
      <c r="AI222" s="785"/>
      <c r="AJ222" s="780"/>
      <c r="AK222" s="792" t="str">
        <f t="array" ref="AK222:AL222">{"",'S-10 Оформление сделок Выборка'!AL222}</f>
        <v/>
      </c>
      <c r="AL222" s="793"/>
      <c r="AM222" s="792" t="str">
        <f t="array" ref="AM222:AN222">{"",'S-10 Оформление сделок Выборка'!AN222}</f>
        <v/>
      </c>
      <c r="AN222" s="794"/>
      <c r="AO222" s="792" t="str">
        <f t="array" ref="AO222:AP222">{"",'S-10 Оформление сделок Выборка'!AP222}</f>
        <v/>
      </c>
      <c r="AP222" s="786"/>
      <c r="AQ222" s="786"/>
      <c r="AR222" s="779" t="str">
        <f t="array" ref="AR222:AS222">{"",'S-10 Оформление сделок Выборка'!AS222}</f>
        <v/>
      </c>
      <c r="AS222" s="795"/>
      <c r="AT222" s="779" t="str">
        <f t="array" ref="AT222:AU222">{"",'S-10 Оформление сделок Выборка'!AU222}</f>
        <v/>
      </c>
      <c r="AU222" s="805"/>
      <c r="AV222" s="779" t="str">
        <f t="array" ref="AV222:AW222">{"",'S-10 Оформление сделок Выборка'!AW222}</f>
        <v/>
      </c>
      <c r="AW222" s="797"/>
      <c r="AX222" s="786"/>
      <c r="AY222" s="786"/>
      <c r="AZ222" s="792" t="str">
        <f t="array" ref="AZ222:BA222">{"",'S-10 Оформление сделок Выборка'!BA222}</f>
        <v/>
      </c>
      <c r="BA222" s="798"/>
      <c r="BB222" s="792" t="str">
        <f t="array" ref="BB222:BC222">{"",'S-10 Оформление сделок Выборка'!BC222}</f>
        <v/>
      </c>
      <c r="BC222" s="799"/>
      <c r="BD222" s="792" t="str">
        <f t="array" ref="BD222:BE222">{"",'S-10 Оформление сделок Выборка'!BE222}</f>
        <v/>
      </c>
      <c r="BE222" s="793"/>
      <c r="BF222" s="800" t="str">
        <f t="array" ref="BF222:BG222">{"",'S-10 Оформление сделок Выборка'!BG222}</f>
        <v/>
      </c>
      <c r="BG222" s="794"/>
      <c r="BH222" s="794" t="str">
        <f t="array" ref="BH222:BI222">{"",'S-10 Оформление сделок Выборка'!BI222}</f>
        <v/>
      </c>
      <c r="BI222" s="794"/>
      <c r="BJ222" s="792" t="str">
        <f t="array" ref="BJ222:BK222">{"",'S-10 Оформление сделок Выборка'!BK222}</f>
        <v/>
      </c>
      <c r="BK222" s="793"/>
      <c r="BL222" s="792" t="str">
        <f t="array" ref="BL222:BM222">{"",'S-10 Оформление сделок Выборка'!BM222}</f>
        <v/>
      </c>
      <c r="BM222" s="801"/>
      <c r="BN222" s="792" t="str">
        <f t="array" ref="BN222:BO222">{"",'S-10 Оформление сделок Выборка'!BO222}</f>
        <v/>
      </c>
      <c r="BO222" s="793"/>
      <c r="BP222" s="792" t="str">
        <f t="array" ref="BP222:BQ222">{"",'S-10 Оформление сделок Выборка'!BQ222}</f>
        <v/>
      </c>
      <c r="BQ222" s="802"/>
      <c r="BR222" s="792" t="str">
        <f t="array" ref="BR222:BS222">{"",'S-10 Оформление сделок Выборка'!BS222}</f>
        <v/>
      </c>
      <c r="BS222" s="794"/>
      <c r="BT222" s="800" t="str">
        <f t="array" ref="BT222:BU222">{"",'S-10 Оформление сделок Выборка'!BU222}</f>
        <v/>
      </c>
      <c r="BU222" s="794"/>
      <c r="BV222" s="800" t="str">
        <f t="array" ref="BV222:BW222">{"",'S-10 Оформление сделок Выборка'!BW222}</f>
        <v/>
      </c>
      <c r="BW222" s="803" t="s">
        <v>96</v>
      </c>
      <c r="BX222" s="804"/>
    </row>
    <row r="223">
      <c r="A223" s="779"/>
      <c r="B223" s="779"/>
      <c r="C223" s="780" t="str">
        <f>'5-1 Сбор КП Закупки'!C223</f>
        <v/>
      </c>
      <c r="D223" s="781"/>
      <c r="E223" s="780"/>
      <c r="F223" s="783"/>
      <c r="G223" s="783"/>
      <c r="H223" s="783"/>
      <c r="I223" s="783"/>
      <c r="J223" s="780"/>
      <c r="K223" s="786"/>
      <c r="L223" s="785"/>
      <c r="M223" s="786"/>
      <c r="N223" s="786"/>
      <c r="O223" s="780"/>
      <c r="P223" s="787"/>
      <c r="Q223" s="780"/>
      <c r="R223" s="780"/>
      <c r="S223" s="780"/>
      <c r="T223" s="780"/>
      <c r="U223" s="780"/>
      <c r="V223" s="780"/>
      <c r="W223" s="787"/>
      <c r="X223" s="780"/>
      <c r="Y223" s="780"/>
      <c r="Z223" s="780"/>
      <c r="AA223" s="780"/>
      <c r="AB223" s="788"/>
      <c r="AC223" s="781"/>
      <c r="AD223" s="780"/>
      <c r="AE223" s="789" t="str">
        <f t="array" ref="AE223:AF223">{"",'S-10 Оформление сделок Выборка'!AF223}</f>
        <v/>
      </c>
      <c r="AF223" s="790"/>
      <c r="AG223" s="781"/>
      <c r="AH223" s="781"/>
      <c r="AI223" s="785"/>
      <c r="AJ223" s="780"/>
      <c r="AK223" s="792" t="str">
        <f t="array" ref="AK223:AL223">{"",'S-10 Оформление сделок Выборка'!AL223}</f>
        <v/>
      </c>
      <c r="AL223" s="793"/>
      <c r="AM223" s="792" t="str">
        <f t="array" ref="AM223:AN223">{"",'S-10 Оформление сделок Выборка'!AN223}</f>
        <v/>
      </c>
      <c r="AN223" s="794"/>
      <c r="AO223" s="792" t="str">
        <f t="array" ref="AO223:AP223">{"",'S-10 Оформление сделок Выборка'!AP223}</f>
        <v/>
      </c>
      <c r="AP223" s="786"/>
      <c r="AQ223" s="786"/>
      <c r="AR223" s="779" t="str">
        <f t="array" ref="AR223:AS223">{"",'S-10 Оформление сделок Выборка'!AS223}</f>
        <v/>
      </c>
      <c r="AS223" s="795"/>
      <c r="AT223" s="779" t="str">
        <f t="array" ref="AT223:AU223">{"",'S-10 Оформление сделок Выборка'!AU223}</f>
        <v/>
      </c>
      <c r="AU223" s="805"/>
      <c r="AV223" s="779" t="str">
        <f t="array" ref="AV223:AW223">{"",'S-10 Оформление сделок Выборка'!AW223}</f>
        <v/>
      </c>
      <c r="AW223" s="797"/>
      <c r="AX223" s="786"/>
      <c r="AY223" s="786"/>
      <c r="AZ223" s="792" t="str">
        <f t="array" ref="AZ223:BA223">{"",'S-10 Оформление сделок Выборка'!BA223}</f>
        <v/>
      </c>
      <c r="BA223" s="798"/>
      <c r="BB223" s="792" t="str">
        <f t="array" ref="BB223:BC223">{"",'S-10 Оформление сделок Выборка'!BC223}</f>
        <v/>
      </c>
      <c r="BC223" s="799"/>
      <c r="BD223" s="792" t="str">
        <f t="array" ref="BD223:BE223">{"",'S-10 Оформление сделок Выборка'!BE223}</f>
        <v/>
      </c>
      <c r="BE223" s="793"/>
      <c r="BF223" s="800" t="str">
        <f t="array" ref="BF223:BG223">{"",'S-10 Оформление сделок Выборка'!BG223}</f>
        <v/>
      </c>
      <c r="BG223" s="794"/>
      <c r="BH223" s="794" t="str">
        <f t="array" ref="BH223:BI223">{"",'S-10 Оформление сделок Выборка'!BI223}</f>
        <v/>
      </c>
      <c r="BI223" s="794"/>
      <c r="BJ223" s="792" t="str">
        <f t="array" ref="BJ223:BK223">{"",'S-10 Оформление сделок Выборка'!BK223}</f>
        <v/>
      </c>
      <c r="BK223" s="793"/>
      <c r="BL223" s="792" t="str">
        <f t="array" ref="BL223:BM223">{"",'S-10 Оформление сделок Выборка'!BM223}</f>
        <v/>
      </c>
      <c r="BM223" s="801"/>
      <c r="BN223" s="792" t="str">
        <f t="array" ref="BN223:BO223">{"",'S-10 Оформление сделок Выборка'!BO223}</f>
        <v/>
      </c>
      <c r="BO223" s="793"/>
      <c r="BP223" s="792" t="str">
        <f t="array" ref="BP223:BQ223">{"",'S-10 Оформление сделок Выборка'!BQ223}</f>
        <v/>
      </c>
      <c r="BQ223" s="802"/>
      <c r="BR223" s="792" t="str">
        <f t="array" ref="BR223:BS223">{"",'S-10 Оформление сделок Выборка'!BS223}</f>
        <v/>
      </c>
      <c r="BS223" s="794"/>
      <c r="BT223" s="800" t="str">
        <f t="array" ref="BT223:BU223">{"",'S-10 Оформление сделок Выборка'!BU223}</f>
        <v/>
      </c>
      <c r="BU223" s="794"/>
      <c r="BV223" s="800" t="str">
        <f t="array" ref="BV223:BW223">{"",'S-10 Оформление сделок Выборка'!BW223}</f>
        <v/>
      </c>
      <c r="BW223" s="803" t="s">
        <v>96</v>
      </c>
      <c r="BX223" s="804"/>
    </row>
    <row r="224">
      <c r="A224" s="779"/>
      <c r="B224" s="779"/>
      <c r="C224" s="780" t="str">
        <f>'5-1 Сбор КП Закупки'!C224</f>
        <v/>
      </c>
      <c r="D224" s="781"/>
      <c r="E224" s="780"/>
      <c r="F224" s="783"/>
      <c r="G224" s="783"/>
      <c r="H224" s="783"/>
      <c r="I224" s="783"/>
      <c r="J224" s="780"/>
      <c r="K224" s="786"/>
      <c r="L224" s="785"/>
      <c r="M224" s="786"/>
      <c r="N224" s="786"/>
      <c r="O224" s="780"/>
      <c r="P224" s="787"/>
      <c r="Q224" s="780"/>
      <c r="R224" s="780"/>
      <c r="S224" s="780"/>
      <c r="T224" s="780"/>
      <c r="U224" s="780"/>
      <c r="V224" s="780"/>
      <c r="W224" s="787"/>
      <c r="X224" s="780"/>
      <c r="Y224" s="780"/>
      <c r="Z224" s="780"/>
      <c r="AA224" s="780"/>
      <c r="AB224" s="788"/>
      <c r="AC224" s="781"/>
      <c r="AD224" s="780"/>
      <c r="AE224" s="789" t="str">
        <f t="array" ref="AE224:AF224">{"",'S-10 Оформление сделок Выборка'!AF224}</f>
        <v/>
      </c>
      <c r="AF224" s="790"/>
      <c r="AG224" s="781"/>
      <c r="AH224" s="781"/>
      <c r="AI224" s="785"/>
      <c r="AJ224" s="780"/>
      <c r="AK224" s="792" t="str">
        <f t="array" ref="AK224:AL224">{"",'S-10 Оформление сделок Выборка'!AL224}</f>
        <v/>
      </c>
      <c r="AL224" s="793"/>
      <c r="AM224" s="792" t="str">
        <f t="array" ref="AM224:AN224">{"",'S-10 Оформление сделок Выборка'!AN224}</f>
        <v/>
      </c>
      <c r="AN224" s="794"/>
      <c r="AO224" s="792" t="str">
        <f t="array" ref="AO224:AP224">{"",'S-10 Оформление сделок Выборка'!AP224}</f>
        <v/>
      </c>
      <c r="AP224" s="786"/>
      <c r="AQ224" s="786"/>
      <c r="AR224" s="779" t="str">
        <f t="array" ref="AR224:AS224">{"",'S-10 Оформление сделок Выборка'!AS224}</f>
        <v/>
      </c>
      <c r="AS224" s="795"/>
      <c r="AT224" s="779" t="str">
        <f t="array" ref="AT224:AU224">{"",'S-10 Оформление сделок Выборка'!AU224}</f>
        <v/>
      </c>
      <c r="AU224" s="805"/>
      <c r="AV224" s="779" t="str">
        <f t="array" ref="AV224:AW224">{"",'S-10 Оформление сделок Выборка'!AW224}</f>
        <v/>
      </c>
      <c r="AW224" s="797"/>
      <c r="AX224" s="786"/>
      <c r="AY224" s="786"/>
      <c r="AZ224" s="792" t="str">
        <f t="array" ref="AZ224:BA224">{"",'S-10 Оформление сделок Выборка'!BA224}</f>
        <v/>
      </c>
      <c r="BA224" s="798"/>
      <c r="BB224" s="792" t="str">
        <f t="array" ref="BB224:BC224">{"",'S-10 Оформление сделок Выборка'!BC224}</f>
        <v/>
      </c>
      <c r="BC224" s="799"/>
      <c r="BD224" s="792" t="str">
        <f t="array" ref="BD224:BE224">{"",'S-10 Оформление сделок Выборка'!BE224}</f>
        <v/>
      </c>
      <c r="BE224" s="793"/>
      <c r="BF224" s="800" t="str">
        <f t="array" ref="BF224:BG224">{"",'S-10 Оформление сделок Выборка'!BG224}</f>
        <v/>
      </c>
      <c r="BG224" s="794"/>
      <c r="BH224" s="794" t="str">
        <f t="array" ref="BH224:BI224">{"",'S-10 Оформление сделок Выборка'!BI224}</f>
        <v/>
      </c>
      <c r="BI224" s="794"/>
      <c r="BJ224" s="792" t="str">
        <f t="array" ref="BJ224:BK224">{"",'S-10 Оформление сделок Выборка'!BK224}</f>
        <v/>
      </c>
      <c r="BK224" s="793"/>
      <c r="BL224" s="792" t="str">
        <f t="array" ref="BL224:BM224">{"",'S-10 Оформление сделок Выборка'!BM224}</f>
        <v/>
      </c>
      <c r="BM224" s="801"/>
      <c r="BN224" s="792" t="str">
        <f t="array" ref="BN224:BO224">{"",'S-10 Оформление сделок Выборка'!BO224}</f>
        <v/>
      </c>
      <c r="BO224" s="793"/>
      <c r="BP224" s="792" t="str">
        <f t="array" ref="BP224:BQ224">{"",'S-10 Оформление сделок Выборка'!BQ224}</f>
        <v/>
      </c>
      <c r="BQ224" s="802"/>
      <c r="BR224" s="792" t="str">
        <f t="array" ref="BR224:BS224">{"",'S-10 Оформление сделок Выборка'!BS224}</f>
        <v/>
      </c>
      <c r="BS224" s="794"/>
      <c r="BT224" s="800" t="str">
        <f t="array" ref="BT224:BU224">{"",'S-10 Оформление сделок Выборка'!BU224}</f>
        <v/>
      </c>
      <c r="BU224" s="794"/>
      <c r="BV224" s="800" t="str">
        <f t="array" ref="BV224:BW224">{"",'S-10 Оформление сделок Выборка'!BW224}</f>
        <v/>
      </c>
      <c r="BW224" s="803" t="s">
        <v>96</v>
      </c>
      <c r="BX224" s="804"/>
    </row>
    <row r="225">
      <c r="A225" s="779"/>
      <c r="B225" s="779"/>
      <c r="C225" s="780" t="str">
        <f>'5-1 Сбор КП Закупки'!C225</f>
        <v/>
      </c>
      <c r="D225" s="781"/>
      <c r="E225" s="780"/>
      <c r="F225" s="783"/>
      <c r="G225" s="783"/>
      <c r="H225" s="783"/>
      <c r="I225" s="783"/>
      <c r="J225" s="780"/>
      <c r="K225" s="786"/>
      <c r="L225" s="785"/>
      <c r="M225" s="786"/>
      <c r="N225" s="786"/>
      <c r="O225" s="780"/>
      <c r="P225" s="787"/>
      <c r="Q225" s="780"/>
      <c r="R225" s="780"/>
      <c r="S225" s="780"/>
      <c r="T225" s="780"/>
      <c r="U225" s="780"/>
      <c r="V225" s="780"/>
      <c r="W225" s="787"/>
      <c r="X225" s="780"/>
      <c r="Y225" s="780"/>
      <c r="Z225" s="780"/>
      <c r="AA225" s="780"/>
      <c r="AB225" s="788"/>
      <c r="AC225" s="781"/>
      <c r="AD225" s="780"/>
      <c r="AE225" s="789" t="str">
        <f t="array" ref="AE225:AF225">{"",'S-10 Оформление сделок Выборка'!AF225}</f>
        <v/>
      </c>
      <c r="AF225" s="790"/>
      <c r="AG225" s="781"/>
      <c r="AH225" s="781"/>
      <c r="AI225" s="785"/>
      <c r="AJ225" s="780"/>
      <c r="AK225" s="792" t="str">
        <f t="array" ref="AK225:AL225">{"",'S-10 Оформление сделок Выборка'!AL225}</f>
        <v/>
      </c>
      <c r="AL225" s="793"/>
      <c r="AM225" s="792" t="str">
        <f t="array" ref="AM225:AN225">{"",'S-10 Оформление сделок Выборка'!AN225}</f>
        <v/>
      </c>
      <c r="AN225" s="794"/>
      <c r="AO225" s="792" t="str">
        <f t="array" ref="AO225:AP225">{"",'S-10 Оформление сделок Выборка'!AP225}</f>
        <v/>
      </c>
      <c r="AP225" s="786"/>
      <c r="AQ225" s="786"/>
      <c r="AR225" s="779" t="str">
        <f t="array" ref="AR225:AS225">{"",'S-10 Оформление сделок Выборка'!AS225}</f>
        <v/>
      </c>
      <c r="AS225" s="795"/>
      <c r="AT225" s="779" t="str">
        <f t="array" ref="AT225:AU225">{"",'S-10 Оформление сделок Выборка'!AU225}</f>
        <v/>
      </c>
      <c r="AU225" s="805"/>
      <c r="AV225" s="779" t="str">
        <f t="array" ref="AV225:AW225">{"",'S-10 Оформление сделок Выборка'!AW225}</f>
        <v/>
      </c>
      <c r="AW225" s="797"/>
      <c r="AX225" s="786"/>
      <c r="AY225" s="786"/>
      <c r="AZ225" s="792" t="str">
        <f t="array" ref="AZ225:BA225">{"",'S-10 Оформление сделок Выборка'!BA225}</f>
        <v/>
      </c>
      <c r="BA225" s="798"/>
      <c r="BB225" s="792" t="str">
        <f t="array" ref="BB225:BC225">{"",'S-10 Оформление сделок Выборка'!BC225}</f>
        <v/>
      </c>
      <c r="BC225" s="799"/>
      <c r="BD225" s="792" t="str">
        <f t="array" ref="BD225:BE225">{"",'S-10 Оформление сделок Выборка'!BE225}</f>
        <v/>
      </c>
      <c r="BE225" s="793"/>
      <c r="BF225" s="800" t="str">
        <f t="array" ref="BF225:BG225">{"",'S-10 Оформление сделок Выборка'!BG225}</f>
        <v/>
      </c>
      <c r="BG225" s="794"/>
      <c r="BH225" s="794" t="str">
        <f t="array" ref="BH225:BI225">{"",'S-10 Оформление сделок Выборка'!BI225}</f>
        <v/>
      </c>
      <c r="BI225" s="794"/>
      <c r="BJ225" s="792" t="str">
        <f t="array" ref="BJ225:BK225">{"",'S-10 Оформление сделок Выборка'!BK225}</f>
        <v/>
      </c>
      <c r="BK225" s="793"/>
      <c r="BL225" s="792" t="str">
        <f t="array" ref="BL225:BM225">{"",'S-10 Оформление сделок Выборка'!BM225}</f>
        <v/>
      </c>
      <c r="BM225" s="801"/>
      <c r="BN225" s="792" t="str">
        <f t="array" ref="BN225:BO225">{"",'S-10 Оформление сделок Выборка'!BO225}</f>
        <v/>
      </c>
      <c r="BO225" s="793"/>
      <c r="BP225" s="792" t="str">
        <f t="array" ref="BP225:BQ225">{"",'S-10 Оформление сделок Выборка'!BQ225}</f>
        <v/>
      </c>
      <c r="BQ225" s="802"/>
      <c r="BR225" s="792" t="str">
        <f t="array" ref="BR225:BS225">{"",'S-10 Оформление сделок Выборка'!BS225}</f>
        <v/>
      </c>
      <c r="BS225" s="794"/>
      <c r="BT225" s="800" t="str">
        <f t="array" ref="BT225:BU225">{"",'S-10 Оформление сделок Выборка'!BU225}</f>
        <v/>
      </c>
      <c r="BU225" s="794"/>
      <c r="BV225" s="800" t="str">
        <f t="array" ref="BV225:BW225">{"",'S-10 Оформление сделок Выборка'!BW225}</f>
        <v/>
      </c>
      <c r="BW225" s="803" t="s">
        <v>96</v>
      </c>
      <c r="BX225" s="804"/>
    </row>
    <row r="226">
      <c r="A226" s="779"/>
      <c r="B226" s="779"/>
      <c r="C226" s="780" t="str">
        <f>'5-1 Сбор КП Закупки'!C226</f>
        <v/>
      </c>
      <c r="D226" s="781"/>
      <c r="E226" s="780"/>
      <c r="F226" s="783"/>
      <c r="G226" s="783"/>
      <c r="H226" s="783"/>
      <c r="I226" s="783"/>
      <c r="J226" s="780"/>
      <c r="K226" s="786"/>
      <c r="L226" s="785"/>
      <c r="M226" s="786"/>
      <c r="N226" s="786"/>
      <c r="O226" s="780"/>
      <c r="P226" s="787"/>
      <c r="Q226" s="780"/>
      <c r="R226" s="780"/>
      <c r="S226" s="780"/>
      <c r="T226" s="780"/>
      <c r="U226" s="780"/>
      <c r="V226" s="780"/>
      <c r="W226" s="787"/>
      <c r="X226" s="780"/>
      <c r="Y226" s="780"/>
      <c r="Z226" s="780"/>
      <c r="AA226" s="780"/>
      <c r="AB226" s="788"/>
      <c r="AC226" s="781"/>
      <c r="AD226" s="780"/>
      <c r="AE226" s="789" t="str">
        <f t="array" ref="AE226:AF226">{"",'S-10 Оформление сделок Выборка'!AF226}</f>
        <v/>
      </c>
      <c r="AF226" s="790"/>
      <c r="AG226" s="781"/>
      <c r="AH226" s="781"/>
      <c r="AI226" s="785"/>
      <c r="AJ226" s="780"/>
      <c r="AK226" s="792" t="str">
        <f t="array" ref="AK226:AL226">{"",'S-10 Оформление сделок Выборка'!AL226}</f>
        <v/>
      </c>
      <c r="AL226" s="793"/>
      <c r="AM226" s="792" t="str">
        <f t="array" ref="AM226:AN226">{"",'S-10 Оформление сделок Выборка'!AN226}</f>
        <v/>
      </c>
      <c r="AN226" s="794"/>
      <c r="AO226" s="792" t="str">
        <f t="array" ref="AO226:AP226">{"",'S-10 Оформление сделок Выборка'!AP226}</f>
        <v/>
      </c>
      <c r="AP226" s="786"/>
      <c r="AQ226" s="786"/>
      <c r="AR226" s="779" t="str">
        <f t="array" ref="AR226:AS226">{"",'S-10 Оформление сделок Выборка'!AS226}</f>
        <v/>
      </c>
      <c r="AS226" s="795"/>
      <c r="AT226" s="779" t="str">
        <f t="array" ref="AT226:AU226">{"",'S-10 Оформление сделок Выборка'!AU226}</f>
        <v/>
      </c>
      <c r="AU226" s="805"/>
      <c r="AV226" s="779" t="str">
        <f t="array" ref="AV226:AW226">{"",'S-10 Оформление сделок Выборка'!AW226}</f>
        <v/>
      </c>
      <c r="AW226" s="797"/>
      <c r="AX226" s="786"/>
      <c r="AY226" s="786"/>
      <c r="AZ226" s="792" t="str">
        <f t="array" ref="AZ226:BA226">{"",'S-10 Оформление сделок Выборка'!BA226}</f>
        <v/>
      </c>
      <c r="BA226" s="798"/>
      <c r="BB226" s="792" t="str">
        <f t="array" ref="BB226:BC226">{"",'S-10 Оформление сделок Выборка'!BC226}</f>
        <v/>
      </c>
      <c r="BC226" s="799"/>
      <c r="BD226" s="792" t="str">
        <f t="array" ref="BD226:BE226">{"",'S-10 Оформление сделок Выборка'!BE226}</f>
        <v/>
      </c>
      <c r="BE226" s="793"/>
      <c r="BF226" s="800" t="str">
        <f t="array" ref="BF226:BG226">{"",'S-10 Оформление сделок Выборка'!BG226}</f>
        <v/>
      </c>
      <c r="BG226" s="794"/>
      <c r="BH226" s="794" t="str">
        <f t="array" ref="BH226:BI226">{"",'S-10 Оформление сделок Выборка'!BI226}</f>
        <v/>
      </c>
      <c r="BI226" s="794"/>
      <c r="BJ226" s="792" t="str">
        <f t="array" ref="BJ226:BK226">{"",'S-10 Оформление сделок Выборка'!BK226}</f>
        <v/>
      </c>
      <c r="BK226" s="793"/>
      <c r="BL226" s="792" t="str">
        <f t="array" ref="BL226:BM226">{"",'S-10 Оформление сделок Выборка'!BM226}</f>
        <v/>
      </c>
      <c r="BM226" s="801"/>
      <c r="BN226" s="792" t="str">
        <f t="array" ref="BN226:BO226">{"",'S-10 Оформление сделок Выборка'!BO226}</f>
        <v/>
      </c>
      <c r="BO226" s="793"/>
      <c r="BP226" s="792" t="str">
        <f t="array" ref="BP226:BQ226">{"",'S-10 Оформление сделок Выборка'!BQ226}</f>
        <v/>
      </c>
      <c r="BQ226" s="802"/>
      <c r="BR226" s="792" t="str">
        <f t="array" ref="BR226:BS226">{"",'S-10 Оформление сделок Выборка'!BS226}</f>
        <v/>
      </c>
      <c r="BS226" s="794"/>
      <c r="BT226" s="800" t="str">
        <f t="array" ref="BT226:BU226">{"",'S-10 Оформление сделок Выборка'!BU226}</f>
        <v/>
      </c>
      <c r="BU226" s="794"/>
      <c r="BV226" s="800" t="str">
        <f t="array" ref="BV226:BW226">{"",'S-10 Оформление сделок Выборка'!BW226}</f>
        <v/>
      </c>
      <c r="BW226" s="803" t="s">
        <v>96</v>
      </c>
      <c r="BX226" s="804"/>
    </row>
    <row r="227">
      <c r="A227" s="779"/>
      <c r="B227" s="779"/>
      <c r="C227" s="780" t="str">
        <f>'5-1 Сбор КП Закупки'!C227</f>
        <v/>
      </c>
      <c r="D227" s="781"/>
      <c r="E227" s="780"/>
      <c r="F227" s="783"/>
      <c r="G227" s="783"/>
      <c r="H227" s="783"/>
      <c r="I227" s="783"/>
      <c r="J227" s="780"/>
      <c r="K227" s="786"/>
      <c r="L227" s="785"/>
      <c r="M227" s="786"/>
      <c r="N227" s="786"/>
      <c r="O227" s="780"/>
      <c r="P227" s="787"/>
      <c r="Q227" s="780"/>
      <c r="R227" s="780"/>
      <c r="S227" s="780"/>
      <c r="T227" s="780"/>
      <c r="U227" s="780"/>
      <c r="V227" s="780"/>
      <c r="W227" s="787"/>
      <c r="X227" s="780"/>
      <c r="Y227" s="780"/>
      <c r="Z227" s="780"/>
      <c r="AA227" s="780"/>
      <c r="AB227" s="788"/>
      <c r="AC227" s="781"/>
      <c r="AD227" s="780"/>
      <c r="AE227" s="789" t="str">
        <f t="array" ref="AE227:AF227">{"",'S-10 Оформление сделок Выборка'!AF227}</f>
        <v/>
      </c>
      <c r="AF227" s="790"/>
      <c r="AG227" s="781"/>
      <c r="AH227" s="781"/>
      <c r="AI227" s="785"/>
      <c r="AJ227" s="780"/>
      <c r="AK227" s="792" t="str">
        <f t="array" ref="AK227:AL227">{"",'S-10 Оформление сделок Выборка'!AL227}</f>
        <v/>
      </c>
      <c r="AL227" s="793"/>
      <c r="AM227" s="792" t="str">
        <f t="array" ref="AM227:AN227">{"",'S-10 Оформление сделок Выборка'!AN227}</f>
        <v/>
      </c>
      <c r="AN227" s="794"/>
      <c r="AO227" s="792" t="str">
        <f t="array" ref="AO227:AP227">{"",'S-10 Оформление сделок Выборка'!AP227}</f>
        <v/>
      </c>
      <c r="AP227" s="786"/>
      <c r="AQ227" s="786"/>
      <c r="AR227" s="779" t="str">
        <f t="array" ref="AR227:AS227">{"",'S-10 Оформление сделок Выборка'!AS227}</f>
        <v/>
      </c>
      <c r="AS227" s="795"/>
      <c r="AT227" s="779" t="str">
        <f t="array" ref="AT227:AU227">{"",'S-10 Оформление сделок Выборка'!AU227}</f>
        <v/>
      </c>
      <c r="AU227" s="805"/>
      <c r="AV227" s="779" t="str">
        <f t="array" ref="AV227:AW227">{"",'S-10 Оформление сделок Выборка'!AW227}</f>
        <v/>
      </c>
      <c r="AW227" s="797"/>
      <c r="AX227" s="786"/>
      <c r="AY227" s="786"/>
      <c r="AZ227" s="792" t="str">
        <f t="array" ref="AZ227:BA227">{"",'S-10 Оформление сделок Выборка'!BA227}</f>
        <v/>
      </c>
      <c r="BA227" s="798"/>
      <c r="BB227" s="792" t="str">
        <f t="array" ref="BB227:BC227">{"",'S-10 Оформление сделок Выборка'!BC227}</f>
        <v/>
      </c>
      <c r="BC227" s="799"/>
      <c r="BD227" s="792" t="str">
        <f t="array" ref="BD227:BE227">{"",'S-10 Оформление сделок Выборка'!BE227}</f>
        <v/>
      </c>
      <c r="BE227" s="793"/>
      <c r="BF227" s="800" t="str">
        <f t="array" ref="BF227:BG227">{"",'S-10 Оформление сделок Выборка'!BG227}</f>
        <v/>
      </c>
      <c r="BG227" s="794"/>
      <c r="BH227" s="794" t="str">
        <f t="array" ref="BH227:BI227">{"",'S-10 Оформление сделок Выборка'!BI227}</f>
        <v/>
      </c>
      <c r="BI227" s="794"/>
      <c r="BJ227" s="792" t="str">
        <f t="array" ref="BJ227:BK227">{"",'S-10 Оформление сделок Выборка'!BK227}</f>
        <v/>
      </c>
      <c r="BK227" s="793"/>
      <c r="BL227" s="792" t="str">
        <f t="array" ref="BL227:BM227">{"",'S-10 Оформление сделок Выборка'!BM227}</f>
        <v/>
      </c>
      <c r="BM227" s="801"/>
      <c r="BN227" s="792" t="str">
        <f t="array" ref="BN227:BO227">{"",'S-10 Оформление сделок Выборка'!BO227}</f>
        <v/>
      </c>
      <c r="BO227" s="793"/>
      <c r="BP227" s="792" t="str">
        <f t="array" ref="BP227:BQ227">{"",'S-10 Оформление сделок Выборка'!BQ227}</f>
        <v/>
      </c>
      <c r="BQ227" s="802"/>
      <c r="BR227" s="792" t="str">
        <f t="array" ref="BR227:BS227">{"",'S-10 Оформление сделок Выборка'!BS227}</f>
        <v/>
      </c>
      <c r="BS227" s="794"/>
      <c r="BT227" s="800" t="str">
        <f t="array" ref="BT227:BU227">{"",'S-10 Оформление сделок Выборка'!BU227}</f>
        <v/>
      </c>
      <c r="BU227" s="794"/>
      <c r="BV227" s="800" t="str">
        <f t="array" ref="BV227:BW227">{"",'S-10 Оформление сделок Выборка'!BW227}</f>
        <v/>
      </c>
      <c r="BW227" s="803" t="s">
        <v>96</v>
      </c>
      <c r="BX227" s="804"/>
    </row>
    <row r="228">
      <c r="A228" s="779"/>
      <c r="B228" s="779"/>
      <c r="C228" s="780" t="str">
        <f>'5-1 Сбор КП Закупки'!C228</f>
        <v/>
      </c>
      <c r="D228" s="781"/>
      <c r="E228" s="780"/>
      <c r="F228" s="783"/>
      <c r="G228" s="783"/>
      <c r="H228" s="783"/>
      <c r="I228" s="783"/>
      <c r="J228" s="780"/>
      <c r="K228" s="786"/>
      <c r="L228" s="785"/>
      <c r="M228" s="786"/>
      <c r="N228" s="786"/>
      <c r="O228" s="780"/>
      <c r="P228" s="787"/>
      <c r="Q228" s="780"/>
      <c r="R228" s="780"/>
      <c r="S228" s="780"/>
      <c r="T228" s="780"/>
      <c r="U228" s="780"/>
      <c r="V228" s="780"/>
      <c r="W228" s="787"/>
      <c r="X228" s="780"/>
      <c r="Y228" s="780"/>
      <c r="Z228" s="780"/>
      <c r="AA228" s="780"/>
      <c r="AB228" s="788"/>
      <c r="AC228" s="781"/>
      <c r="AD228" s="780"/>
      <c r="AE228" s="789" t="str">
        <f t="array" ref="AE228:AF228">{"",'S-10 Оформление сделок Выборка'!AF228}</f>
        <v/>
      </c>
      <c r="AF228" s="790"/>
      <c r="AG228" s="781"/>
      <c r="AH228" s="781"/>
      <c r="AI228" s="785"/>
      <c r="AJ228" s="780"/>
      <c r="AK228" s="792" t="str">
        <f t="array" ref="AK228:AL228">{"",'S-10 Оформление сделок Выборка'!AL228}</f>
        <v/>
      </c>
      <c r="AL228" s="793"/>
      <c r="AM228" s="792" t="str">
        <f t="array" ref="AM228:AN228">{"",'S-10 Оформление сделок Выборка'!AN228}</f>
        <v/>
      </c>
      <c r="AN228" s="794"/>
      <c r="AO228" s="792" t="str">
        <f t="array" ref="AO228:AP228">{"",'S-10 Оформление сделок Выборка'!AP228}</f>
        <v/>
      </c>
      <c r="AP228" s="786"/>
      <c r="AQ228" s="786"/>
      <c r="AR228" s="779" t="str">
        <f t="array" ref="AR228:AS228">{"",'S-10 Оформление сделок Выборка'!AS228}</f>
        <v/>
      </c>
      <c r="AS228" s="795"/>
      <c r="AT228" s="779" t="str">
        <f t="array" ref="AT228:AU228">{"",'S-10 Оформление сделок Выборка'!AU228}</f>
        <v/>
      </c>
      <c r="AU228" s="805"/>
      <c r="AV228" s="779" t="str">
        <f t="array" ref="AV228:AW228">{"",'S-10 Оформление сделок Выборка'!AW228}</f>
        <v/>
      </c>
      <c r="AW228" s="797"/>
      <c r="AX228" s="786"/>
      <c r="AY228" s="786"/>
      <c r="AZ228" s="792" t="str">
        <f t="array" ref="AZ228:BA228">{"",'S-10 Оформление сделок Выборка'!BA228}</f>
        <v/>
      </c>
      <c r="BA228" s="798"/>
      <c r="BB228" s="792" t="str">
        <f t="array" ref="BB228:BC228">{"",'S-10 Оформление сделок Выборка'!BC228}</f>
        <v/>
      </c>
      <c r="BC228" s="799"/>
      <c r="BD228" s="792" t="str">
        <f t="array" ref="BD228:BE228">{"",'S-10 Оформление сделок Выборка'!BE228}</f>
        <v/>
      </c>
      <c r="BE228" s="793"/>
      <c r="BF228" s="800" t="str">
        <f t="array" ref="BF228:BG228">{"",'S-10 Оформление сделок Выборка'!BG228}</f>
        <v/>
      </c>
      <c r="BG228" s="794"/>
      <c r="BH228" s="794" t="str">
        <f t="array" ref="BH228:BI228">{"",'S-10 Оформление сделок Выборка'!BI228}</f>
        <v/>
      </c>
      <c r="BI228" s="794"/>
      <c r="BJ228" s="792" t="str">
        <f t="array" ref="BJ228:BK228">{"",'S-10 Оформление сделок Выборка'!BK228}</f>
        <v/>
      </c>
      <c r="BK228" s="793"/>
      <c r="BL228" s="792" t="str">
        <f t="array" ref="BL228:BM228">{"",'S-10 Оформление сделок Выборка'!BM228}</f>
        <v/>
      </c>
      <c r="BM228" s="801"/>
      <c r="BN228" s="792" t="str">
        <f t="array" ref="BN228:BO228">{"",'S-10 Оформление сделок Выборка'!BO228}</f>
        <v/>
      </c>
      <c r="BO228" s="793"/>
      <c r="BP228" s="792" t="str">
        <f t="array" ref="BP228:BQ228">{"",'S-10 Оформление сделок Выборка'!BQ228}</f>
        <v/>
      </c>
      <c r="BQ228" s="802"/>
      <c r="BR228" s="792" t="str">
        <f t="array" ref="BR228:BS228">{"",'S-10 Оформление сделок Выборка'!BS228}</f>
        <v/>
      </c>
      <c r="BS228" s="794"/>
      <c r="BT228" s="800" t="str">
        <f t="array" ref="BT228:BU228">{"",'S-10 Оформление сделок Выборка'!BU228}</f>
        <v/>
      </c>
      <c r="BU228" s="794"/>
      <c r="BV228" s="800" t="str">
        <f t="array" ref="BV228:BW228">{"",'S-10 Оформление сделок Выборка'!BW228}</f>
        <v/>
      </c>
      <c r="BW228" s="803" t="s">
        <v>96</v>
      </c>
      <c r="BX228" s="804"/>
    </row>
    <row r="229">
      <c r="A229" s="779"/>
      <c r="B229" s="779"/>
      <c r="C229" s="780" t="str">
        <f>'5-1 Сбор КП Закупки'!C229</f>
        <v/>
      </c>
      <c r="D229" s="781"/>
      <c r="E229" s="780"/>
      <c r="F229" s="783"/>
      <c r="G229" s="783"/>
      <c r="H229" s="783"/>
      <c r="I229" s="783"/>
      <c r="J229" s="780"/>
      <c r="K229" s="786"/>
      <c r="L229" s="785"/>
      <c r="M229" s="786"/>
      <c r="N229" s="786"/>
      <c r="O229" s="780"/>
      <c r="P229" s="787"/>
      <c r="Q229" s="780"/>
      <c r="R229" s="780"/>
      <c r="S229" s="780"/>
      <c r="T229" s="780"/>
      <c r="U229" s="780"/>
      <c r="V229" s="780"/>
      <c r="W229" s="787"/>
      <c r="X229" s="780"/>
      <c r="Y229" s="780"/>
      <c r="Z229" s="780"/>
      <c r="AA229" s="780"/>
      <c r="AB229" s="788"/>
      <c r="AC229" s="781"/>
      <c r="AD229" s="780"/>
      <c r="AE229" s="789" t="str">
        <f t="array" ref="AE229:AF229">{"",'S-10 Оформление сделок Выборка'!AF229}</f>
        <v/>
      </c>
      <c r="AF229" s="790"/>
      <c r="AG229" s="781"/>
      <c r="AH229" s="781"/>
      <c r="AI229" s="785"/>
      <c r="AJ229" s="780"/>
      <c r="AK229" s="792" t="str">
        <f t="array" ref="AK229:AL229">{"",'S-10 Оформление сделок Выборка'!AL229}</f>
        <v/>
      </c>
      <c r="AL229" s="793"/>
      <c r="AM229" s="792" t="str">
        <f t="array" ref="AM229:AN229">{"",'S-10 Оформление сделок Выборка'!AN229}</f>
        <v/>
      </c>
      <c r="AN229" s="794"/>
      <c r="AO229" s="792" t="str">
        <f t="array" ref="AO229:AP229">{"",'S-10 Оформление сделок Выборка'!AP229}</f>
        <v/>
      </c>
      <c r="AP229" s="786"/>
      <c r="AQ229" s="786"/>
      <c r="AR229" s="779" t="str">
        <f t="array" ref="AR229:AS229">{"",'S-10 Оформление сделок Выборка'!AS229}</f>
        <v/>
      </c>
      <c r="AS229" s="795"/>
      <c r="AT229" s="779" t="str">
        <f t="array" ref="AT229:AU229">{"",'S-10 Оформление сделок Выборка'!AU229}</f>
        <v/>
      </c>
      <c r="AU229" s="805"/>
      <c r="AV229" s="779" t="str">
        <f t="array" ref="AV229:AW229">{"",'S-10 Оформление сделок Выборка'!AW229}</f>
        <v/>
      </c>
      <c r="AW229" s="797"/>
      <c r="AX229" s="786"/>
      <c r="AY229" s="786"/>
      <c r="AZ229" s="792" t="str">
        <f t="array" ref="AZ229:BA229">{"",'S-10 Оформление сделок Выборка'!BA229}</f>
        <v/>
      </c>
      <c r="BA229" s="798"/>
      <c r="BB229" s="792" t="str">
        <f t="array" ref="BB229:BC229">{"",'S-10 Оформление сделок Выборка'!BC229}</f>
        <v/>
      </c>
      <c r="BC229" s="799"/>
      <c r="BD229" s="792" t="str">
        <f t="array" ref="BD229:BE229">{"",'S-10 Оформление сделок Выборка'!BE229}</f>
        <v/>
      </c>
      <c r="BE229" s="793"/>
      <c r="BF229" s="800" t="str">
        <f t="array" ref="BF229:BG229">{"",'S-10 Оформление сделок Выборка'!BG229}</f>
        <v/>
      </c>
      <c r="BG229" s="794"/>
      <c r="BH229" s="794" t="str">
        <f t="array" ref="BH229:BI229">{"",'S-10 Оформление сделок Выборка'!BI229}</f>
        <v/>
      </c>
      <c r="BI229" s="794"/>
      <c r="BJ229" s="792" t="str">
        <f t="array" ref="BJ229:BK229">{"",'S-10 Оформление сделок Выборка'!BK229}</f>
        <v/>
      </c>
      <c r="BK229" s="793"/>
      <c r="BL229" s="792" t="str">
        <f t="array" ref="BL229:BM229">{"",'S-10 Оформление сделок Выборка'!BM229}</f>
        <v/>
      </c>
      <c r="BM229" s="801"/>
      <c r="BN229" s="792" t="str">
        <f t="array" ref="BN229:BO229">{"",'S-10 Оформление сделок Выборка'!BO229}</f>
        <v/>
      </c>
      <c r="BO229" s="793"/>
      <c r="BP229" s="792" t="str">
        <f t="array" ref="BP229:BQ229">{"",'S-10 Оформление сделок Выборка'!BQ229}</f>
        <v/>
      </c>
      <c r="BQ229" s="802"/>
      <c r="BR229" s="792" t="str">
        <f t="array" ref="BR229:BS229">{"",'S-10 Оформление сделок Выборка'!BS229}</f>
        <v/>
      </c>
      <c r="BS229" s="794"/>
      <c r="BT229" s="800" t="str">
        <f t="array" ref="BT229:BU229">{"",'S-10 Оформление сделок Выборка'!BU229}</f>
        <v/>
      </c>
      <c r="BU229" s="794"/>
      <c r="BV229" s="800" t="str">
        <f t="array" ref="BV229:BW229">{"",'S-10 Оформление сделок Выборка'!BW229}</f>
        <v/>
      </c>
      <c r="BW229" s="803" t="s">
        <v>96</v>
      </c>
      <c r="BX229" s="804"/>
    </row>
    <row r="230">
      <c r="A230" s="779"/>
      <c r="B230" s="779"/>
      <c r="C230" s="780" t="str">
        <f>'5-1 Сбор КП Закупки'!C230</f>
        <v/>
      </c>
      <c r="D230" s="781"/>
      <c r="E230" s="780"/>
      <c r="F230" s="783"/>
      <c r="G230" s="783"/>
      <c r="H230" s="783"/>
      <c r="I230" s="783"/>
      <c r="J230" s="780"/>
      <c r="K230" s="786"/>
      <c r="L230" s="785"/>
      <c r="M230" s="786"/>
      <c r="N230" s="786"/>
      <c r="O230" s="780"/>
      <c r="P230" s="787"/>
      <c r="Q230" s="780"/>
      <c r="R230" s="780"/>
      <c r="S230" s="780"/>
      <c r="T230" s="780"/>
      <c r="U230" s="780"/>
      <c r="V230" s="780"/>
      <c r="W230" s="787"/>
      <c r="X230" s="780"/>
      <c r="Y230" s="780"/>
      <c r="Z230" s="780"/>
      <c r="AA230" s="780"/>
      <c r="AB230" s="788"/>
      <c r="AC230" s="781"/>
      <c r="AD230" s="780"/>
      <c r="AE230" s="789" t="str">
        <f t="array" ref="AE230:AF230">{"",'S-10 Оформление сделок Выборка'!AF230}</f>
        <v/>
      </c>
      <c r="AF230" s="790"/>
      <c r="AG230" s="781"/>
      <c r="AH230" s="781"/>
      <c r="AI230" s="785"/>
      <c r="AJ230" s="780"/>
      <c r="AK230" s="792" t="str">
        <f t="array" ref="AK230:AL230">{"",'S-10 Оформление сделок Выборка'!AL230}</f>
        <v/>
      </c>
      <c r="AL230" s="793"/>
      <c r="AM230" s="792" t="str">
        <f t="array" ref="AM230:AN230">{"",'S-10 Оформление сделок Выборка'!AN230}</f>
        <v/>
      </c>
      <c r="AN230" s="794"/>
      <c r="AO230" s="792" t="str">
        <f t="array" ref="AO230:AP230">{"",'S-10 Оформление сделок Выборка'!AP230}</f>
        <v/>
      </c>
      <c r="AP230" s="786"/>
      <c r="AQ230" s="786"/>
      <c r="AR230" s="779" t="str">
        <f t="array" ref="AR230:AS230">{"",'S-10 Оформление сделок Выборка'!AS230}</f>
        <v/>
      </c>
      <c r="AS230" s="795"/>
      <c r="AT230" s="779" t="str">
        <f t="array" ref="AT230:AU230">{"",'S-10 Оформление сделок Выборка'!AU230}</f>
        <v/>
      </c>
      <c r="AU230" s="805"/>
      <c r="AV230" s="779" t="str">
        <f t="array" ref="AV230:AW230">{"",'S-10 Оформление сделок Выборка'!AW230}</f>
        <v/>
      </c>
      <c r="AW230" s="797"/>
      <c r="AX230" s="786"/>
      <c r="AY230" s="786"/>
      <c r="AZ230" s="792" t="str">
        <f t="array" ref="AZ230:BA230">{"",'S-10 Оформление сделок Выборка'!BA230}</f>
        <v/>
      </c>
      <c r="BA230" s="798"/>
      <c r="BB230" s="792" t="str">
        <f t="array" ref="BB230:BC230">{"",'S-10 Оформление сделок Выборка'!BC230}</f>
        <v/>
      </c>
      <c r="BC230" s="799"/>
      <c r="BD230" s="792" t="str">
        <f t="array" ref="BD230:BE230">{"",'S-10 Оформление сделок Выборка'!BE230}</f>
        <v/>
      </c>
      <c r="BE230" s="793"/>
      <c r="BF230" s="800" t="str">
        <f t="array" ref="BF230:BG230">{"",'S-10 Оформление сделок Выборка'!BG230}</f>
        <v/>
      </c>
      <c r="BG230" s="794"/>
      <c r="BH230" s="794" t="str">
        <f t="array" ref="BH230:BI230">{"",'S-10 Оформление сделок Выборка'!BI230}</f>
        <v/>
      </c>
      <c r="BI230" s="794"/>
      <c r="BJ230" s="792" t="str">
        <f t="array" ref="BJ230:BK230">{"",'S-10 Оформление сделок Выборка'!BK230}</f>
        <v/>
      </c>
      <c r="BK230" s="793"/>
      <c r="BL230" s="792" t="str">
        <f t="array" ref="BL230:BM230">{"",'S-10 Оформление сделок Выборка'!BM230}</f>
        <v/>
      </c>
      <c r="BM230" s="801"/>
      <c r="BN230" s="792" t="str">
        <f t="array" ref="BN230:BO230">{"",'S-10 Оформление сделок Выборка'!BO230}</f>
        <v/>
      </c>
      <c r="BO230" s="793"/>
      <c r="BP230" s="792" t="str">
        <f t="array" ref="BP230:BQ230">{"",'S-10 Оформление сделок Выборка'!BQ230}</f>
        <v/>
      </c>
      <c r="BQ230" s="802"/>
      <c r="BR230" s="792" t="str">
        <f t="array" ref="BR230:BS230">{"",'S-10 Оформление сделок Выборка'!BS230}</f>
        <v/>
      </c>
      <c r="BS230" s="794"/>
      <c r="BT230" s="800" t="str">
        <f t="array" ref="BT230:BU230">{"",'S-10 Оформление сделок Выборка'!BU230}</f>
        <v/>
      </c>
      <c r="BU230" s="794"/>
      <c r="BV230" s="800" t="str">
        <f t="array" ref="BV230:BW230">{"",'S-10 Оформление сделок Выборка'!BW230}</f>
        <v/>
      </c>
      <c r="BW230" s="803" t="s">
        <v>96</v>
      </c>
      <c r="BX230" s="804"/>
    </row>
    <row r="231">
      <c r="A231" s="779"/>
      <c r="B231" s="779"/>
      <c r="C231" s="780" t="str">
        <f>'5-1 Сбор КП Закупки'!C231</f>
        <v/>
      </c>
      <c r="D231" s="781"/>
      <c r="E231" s="780"/>
      <c r="F231" s="783"/>
      <c r="G231" s="783"/>
      <c r="H231" s="783"/>
      <c r="I231" s="783"/>
      <c r="J231" s="780"/>
      <c r="K231" s="786"/>
      <c r="L231" s="785"/>
      <c r="M231" s="786"/>
      <c r="N231" s="786"/>
      <c r="O231" s="780"/>
      <c r="P231" s="787"/>
      <c r="Q231" s="780"/>
      <c r="R231" s="780"/>
      <c r="S231" s="780"/>
      <c r="T231" s="780"/>
      <c r="U231" s="780"/>
      <c r="V231" s="780"/>
      <c r="W231" s="787"/>
      <c r="X231" s="780"/>
      <c r="Y231" s="780"/>
      <c r="Z231" s="780"/>
      <c r="AA231" s="780"/>
      <c r="AB231" s="788"/>
      <c r="AC231" s="781"/>
      <c r="AD231" s="780"/>
      <c r="AE231" s="789" t="str">
        <f t="array" ref="AE231:AF231">{"",'S-10 Оформление сделок Выборка'!AF231}</f>
        <v/>
      </c>
      <c r="AF231" s="790"/>
      <c r="AG231" s="781"/>
      <c r="AH231" s="781"/>
      <c r="AI231" s="785"/>
      <c r="AJ231" s="780"/>
      <c r="AK231" s="792" t="str">
        <f t="array" ref="AK231:AL231">{"",'S-10 Оформление сделок Выборка'!AL231}</f>
        <v/>
      </c>
      <c r="AL231" s="793"/>
      <c r="AM231" s="792" t="str">
        <f t="array" ref="AM231:AN231">{"",'S-10 Оформление сделок Выборка'!AN231}</f>
        <v/>
      </c>
      <c r="AN231" s="794"/>
      <c r="AO231" s="792" t="str">
        <f t="array" ref="AO231:AP231">{"",'S-10 Оформление сделок Выборка'!AP231}</f>
        <v/>
      </c>
      <c r="AP231" s="786"/>
      <c r="AQ231" s="786"/>
      <c r="AR231" s="779" t="str">
        <f t="array" ref="AR231:AS231">{"",'S-10 Оформление сделок Выборка'!AS231}</f>
        <v/>
      </c>
      <c r="AS231" s="795"/>
      <c r="AT231" s="779" t="str">
        <f t="array" ref="AT231:AU231">{"",'S-10 Оформление сделок Выборка'!AU231}</f>
        <v/>
      </c>
      <c r="AU231" s="805"/>
      <c r="AV231" s="779" t="str">
        <f t="array" ref="AV231:AW231">{"",'S-10 Оформление сделок Выборка'!AW231}</f>
        <v/>
      </c>
      <c r="AW231" s="797"/>
      <c r="AX231" s="786"/>
      <c r="AY231" s="786"/>
      <c r="AZ231" s="792" t="str">
        <f t="array" ref="AZ231:BA231">{"",'S-10 Оформление сделок Выборка'!BA231}</f>
        <v/>
      </c>
      <c r="BA231" s="798"/>
      <c r="BB231" s="792" t="str">
        <f t="array" ref="BB231:BC231">{"",'S-10 Оформление сделок Выборка'!BC231}</f>
        <v/>
      </c>
      <c r="BC231" s="799"/>
      <c r="BD231" s="792" t="str">
        <f t="array" ref="BD231:BE231">{"",'S-10 Оформление сделок Выборка'!BE231}</f>
        <v/>
      </c>
      <c r="BE231" s="793"/>
      <c r="BF231" s="800" t="str">
        <f t="array" ref="BF231:BG231">{"",'S-10 Оформление сделок Выборка'!BG231}</f>
        <v/>
      </c>
      <c r="BG231" s="794"/>
      <c r="BH231" s="794" t="str">
        <f t="array" ref="BH231:BI231">{"",'S-10 Оформление сделок Выборка'!BI231}</f>
        <v/>
      </c>
      <c r="BI231" s="794"/>
      <c r="BJ231" s="792" t="str">
        <f t="array" ref="BJ231:BK231">{"",'S-10 Оформление сделок Выборка'!BK231}</f>
        <v/>
      </c>
      <c r="BK231" s="793"/>
      <c r="BL231" s="792" t="str">
        <f t="array" ref="BL231:BM231">{"",'S-10 Оформление сделок Выборка'!BM231}</f>
        <v/>
      </c>
      <c r="BM231" s="801"/>
      <c r="BN231" s="792" t="str">
        <f t="array" ref="BN231:BO231">{"",'S-10 Оформление сделок Выборка'!BO231}</f>
        <v/>
      </c>
      <c r="BO231" s="793"/>
      <c r="BP231" s="792" t="str">
        <f t="array" ref="BP231:BQ231">{"",'S-10 Оформление сделок Выборка'!BQ231}</f>
        <v/>
      </c>
      <c r="BQ231" s="802"/>
      <c r="BR231" s="792" t="str">
        <f t="array" ref="BR231:BS231">{"",'S-10 Оформление сделок Выборка'!BS231}</f>
        <v/>
      </c>
      <c r="BS231" s="794"/>
      <c r="BT231" s="800" t="str">
        <f t="array" ref="BT231:BU231">{"",'S-10 Оформление сделок Выборка'!BU231}</f>
        <v/>
      </c>
      <c r="BU231" s="794"/>
      <c r="BV231" s="800" t="str">
        <f t="array" ref="BV231:BW231">{"",'S-10 Оформление сделок Выборка'!BW231}</f>
        <v/>
      </c>
      <c r="BW231" s="803" t="s">
        <v>96</v>
      </c>
      <c r="BX231" s="804"/>
    </row>
    <row r="232">
      <c r="A232" s="779"/>
      <c r="B232" s="779"/>
      <c r="C232" s="780" t="str">
        <f>'5-1 Сбор КП Закупки'!C232</f>
        <v/>
      </c>
      <c r="D232" s="781"/>
      <c r="E232" s="780"/>
      <c r="F232" s="783"/>
      <c r="G232" s="783"/>
      <c r="H232" s="783"/>
      <c r="I232" s="783"/>
      <c r="J232" s="780"/>
      <c r="K232" s="786"/>
      <c r="L232" s="785"/>
      <c r="M232" s="786"/>
      <c r="N232" s="786"/>
      <c r="O232" s="780"/>
      <c r="P232" s="787"/>
      <c r="Q232" s="780"/>
      <c r="R232" s="780"/>
      <c r="S232" s="780"/>
      <c r="T232" s="780"/>
      <c r="U232" s="780"/>
      <c r="V232" s="780"/>
      <c r="W232" s="787"/>
      <c r="X232" s="780"/>
      <c r="Y232" s="780"/>
      <c r="Z232" s="780"/>
      <c r="AA232" s="780"/>
      <c r="AB232" s="788"/>
      <c r="AC232" s="781"/>
      <c r="AD232" s="780"/>
      <c r="AE232" s="789" t="str">
        <f t="array" ref="AE232:AF232">{"",'S-10 Оформление сделок Выборка'!AF232}</f>
        <v/>
      </c>
      <c r="AF232" s="790"/>
      <c r="AG232" s="781"/>
      <c r="AH232" s="781"/>
      <c r="AI232" s="785"/>
      <c r="AJ232" s="780"/>
      <c r="AK232" s="792" t="str">
        <f t="array" ref="AK232:AL232">{"",'S-10 Оформление сделок Выборка'!AL232}</f>
        <v/>
      </c>
      <c r="AL232" s="793"/>
      <c r="AM232" s="792" t="str">
        <f t="array" ref="AM232:AN232">{"",'S-10 Оформление сделок Выборка'!AN232}</f>
        <v/>
      </c>
      <c r="AN232" s="794"/>
      <c r="AO232" s="792" t="str">
        <f t="array" ref="AO232:AP232">{"",'S-10 Оформление сделок Выборка'!AP232}</f>
        <v/>
      </c>
      <c r="AP232" s="786"/>
      <c r="AQ232" s="786"/>
      <c r="AR232" s="779" t="str">
        <f t="array" ref="AR232:AS232">{"",'S-10 Оформление сделок Выборка'!AS232}</f>
        <v/>
      </c>
      <c r="AS232" s="795"/>
      <c r="AT232" s="779" t="str">
        <f t="array" ref="AT232:AU232">{"",'S-10 Оформление сделок Выборка'!AU232}</f>
        <v/>
      </c>
      <c r="AU232" s="805"/>
      <c r="AV232" s="779" t="str">
        <f t="array" ref="AV232:AW232">{"",'S-10 Оформление сделок Выборка'!AW232}</f>
        <v/>
      </c>
      <c r="AW232" s="797"/>
      <c r="AX232" s="786"/>
      <c r="AY232" s="786"/>
      <c r="AZ232" s="792" t="str">
        <f t="array" ref="AZ232:BA232">{"",'S-10 Оформление сделок Выборка'!BA232}</f>
        <v/>
      </c>
      <c r="BA232" s="798"/>
      <c r="BB232" s="792" t="str">
        <f t="array" ref="BB232:BC232">{"",'S-10 Оформление сделок Выборка'!BC232}</f>
        <v/>
      </c>
      <c r="BC232" s="799"/>
      <c r="BD232" s="792" t="str">
        <f t="array" ref="BD232:BE232">{"",'S-10 Оформление сделок Выборка'!BE232}</f>
        <v/>
      </c>
      <c r="BE232" s="793"/>
      <c r="BF232" s="800" t="str">
        <f t="array" ref="BF232:BG232">{"",'S-10 Оформление сделок Выборка'!BG232}</f>
        <v/>
      </c>
      <c r="BG232" s="794"/>
      <c r="BH232" s="794" t="str">
        <f t="array" ref="BH232:BI232">{"",'S-10 Оформление сделок Выборка'!BI232}</f>
        <v/>
      </c>
      <c r="BI232" s="794"/>
      <c r="BJ232" s="792" t="str">
        <f t="array" ref="BJ232:BK232">{"",'S-10 Оформление сделок Выборка'!BK232}</f>
        <v/>
      </c>
      <c r="BK232" s="793"/>
      <c r="BL232" s="792" t="str">
        <f t="array" ref="BL232:BM232">{"",'S-10 Оформление сделок Выборка'!BM232}</f>
        <v/>
      </c>
      <c r="BM232" s="801"/>
      <c r="BN232" s="792" t="str">
        <f t="array" ref="BN232:BO232">{"",'S-10 Оформление сделок Выборка'!BO232}</f>
        <v/>
      </c>
      <c r="BO232" s="793"/>
      <c r="BP232" s="792" t="str">
        <f t="array" ref="BP232:BQ232">{"",'S-10 Оформление сделок Выборка'!BQ232}</f>
        <v/>
      </c>
      <c r="BQ232" s="802"/>
      <c r="BR232" s="792" t="str">
        <f t="array" ref="BR232:BS232">{"",'S-10 Оформление сделок Выборка'!BS232}</f>
        <v/>
      </c>
      <c r="BS232" s="794"/>
      <c r="BT232" s="800" t="str">
        <f t="array" ref="BT232:BU232">{"",'S-10 Оформление сделок Выборка'!BU232}</f>
        <v/>
      </c>
      <c r="BU232" s="794"/>
      <c r="BV232" s="800" t="str">
        <f t="array" ref="BV232:BW232">{"",'S-10 Оформление сделок Выборка'!BW232}</f>
        <v/>
      </c>
      <c r="BW232" s="803" t="s">
        <v>96</v>
      </c>
      <c r="BX232" s="804"/>
    </row>
    <row r="233">
      <c r="A233" s="779"/>
      <c r="B233" s="779"/>
      <c r="C233" s="780" t="str">
        <f>'5-1 Сбор КП Закупки'!C233</f>
        <v/>
      </c>
      <c r="D233" s="781"/>
      <c r="E233" s="780"/>
      <c r="F233" s="783"/>
      <c r="G233" s="783"/>
      <c r="H233" s="783"/>
      <c r="I233" s="783"/>
      <c r="J233" s="780"/>
      <c r="K233" s="786"/>
      <c r="L233" s="785"/>
      <c r="M233" s="786"/>
      <c r="N233" s="786"/>
      <c r="O233" s="780"/>
      <c r="P233" s="787"/>
      <c r="Q233" s="780"/>
      <c r="R233" s="780"/>
      <c r="S233" s="780"/>
      <c r="T233" s="780"/>
      <c r="U233" s="780"/>
      <c r="V233" s="780"/>
      <c r="W233" s="787"/>
      <c r="X233" s="780"/>
      <c r="Y233" s="780"/>
      <c r="Z233" s="780"/>
      <c r="AA233" s="780"/>
      <c r="AB233" s="788"/>
      <c r="AC233" s="781"/>
      <c r="AD233" s="780"/>
      <c r="AE233" s="789" t="str">
        <f t="array" ref="AE233:AF233">{"",'S-10 Оформление сделок Выборка'!AF233}</f>
        <v/>
      </c>
      <c r="AF233" s="790"/>
      <c r="AG233" s="781"/>
      <c r="AH233" s="781"/>
      <c r="AI233" s="785"/>
      <c r="AJ233" s="780"/>
      <c r="AK233" s="792" t="str">
        <f t="array" ref="AK233:AL233">{"",'S-10 Оформление сделок Выборка'!AL233}</f>
        <v/>
      </c>
      <c r="AL233" s="793"/>
      <c r="AM233" s="792" t="str">
        <f t="array" ref="AM233:AN233">{"",'S-10 Оформление сделок Выборка'!AN233}</f>
        <v/>
      </c>
      <c r="AN233" s="794"/>
      <c r="AO233" s="792" t="str">
        <f t="array" ref="AO233:AP233">{"",'S-10 Оформление сделок Выборка'!AP233}</f>
        <v/>
      </c>
      <c r="AP233" s="786"/>
      <c r="AQ233" s="786"/>
      <c r="AR233" s="779" t="str">
        <f t="array" ref="AR233:AS233">{"",'S-10 Оформление сделок Выборка'!AS233}</f>
        <v/>
      </c>
      <c r="AS233" s="795"/>
      <c r="AT233" s="779" t="str">
        <f t="array" ref="AT233:AU233">{"",'S-10 Оформление сделок Выборка'!AU233}</f>
        <v/>
      </c>
      <c r="AU233" s="805"/>
      <c r="AV233" s="779" t="str">
        <f t="array" ref="AV233:AW233">{"",'S-10 Оформление сделок Выборка'!AW233}</f>
        <v/>
      </c>
      <c r="AW233" s="797"/>
      <c r="AX233" s="786"/>
      <c r="AY233" s="786"/>
      <c r="AZ233" s="792" t="str">
        <f t="array" ref="AZ233:BA233">{"",'S-10 Оформление сделок Выборка'!BA233}</f>
        <v/>
      </c>
      <c r="BA233" s="798"/>
      <c r="BB233" s="792" t="str">
        <f t="array" ref="BB233:BC233">{"",'S-10 Оформление сделок Выборка'!BC233}</f>
        <v/>
      </c>
      <c r="BC233" s="799"/>
      <c r="BD233" s="792" t="str">
        <f t="array" ref="BD233:BE233">{"",'S-10 Оформление сделок Выборка'!BE233}</f>
        <v/>
      </c>
      <c r="BE233" s="793"/>
      <c r="BF233" s="800" t="str">
        <f t="array" ref="BF233:BG233">{"",'S-10 Оформление сделок Выборка'!BG233}</f>
        <v/>
      </c>
      <c r="BG233" s="794"/>
      <c r="BH233" s="794" t="str">
        <f t="array" ref="BH233:BI233">{"",'S-10 Оформление сделок Выборка'!BI233}</f>
        <v/>
      </c>
      <c r="BI233" s="794"/>
      <c r="BJ233" s="792" t="str">
        <f t="array" ref="BJ233:BK233">{"",'S-10 Оформление сделок Выборка'!BK233}</f>
        <v/>
      </c>
      <c r="BK233" s="793"/>
      <c r="BL233" s="792" t="str">
        <f t="array" ref="BL233:BM233">{"",'S-10 Оформление сделок Выборка'!BM233}</f>
        <v/>
      </c>
      <c r="BM233" s="801"/>
      <c r="BN233" s="792" t="str">
        <f t="array" ref="BN233:BO233">{"",'S-10 Оформление сделок Выборка'!BO233}</f>
        <v/>
      </c>
      <c r="BO233" s="793"/>
      <c r="BP233" s="792" t="str">
        <f t="array" ref="BP233:BQ233">{"",'S-10 Оформление сделок Выборка'!BQ233}</f>
        <v/>
      </c>
      <c r="BQ233" s="802"/>
      <c r="BR233" s="792" t="str">
        <f t="array" ref="BR233:BS233">{"",'S-10 Оформление сделок Выборка'!BS233}</f>
        <v/>
      </c>
      <c r="BS233" s="794"/>
      <c r="BT233" s="800" t="str">
        <f t="array" ref="BT233:BU233">{"",'S-10 Оформление сделок Выборка'!BU233}</f>
        <v/>
      </c>
      <c r="BU233" s="794"/>
      <c r="BV233" s="800" t="str">
        <f t="array" ref="BV233:BW233">{"",'S-10 Оформление сделок Выборка'!BW233}</f>
        <v/>
      </c>
      <c r="BW233" s="803" t="s">
        <v>96</v>
      </c>
      <c r="BX233" s="804"/>
    </row>
    <row r="234">
      <c r="A234" s="779"/>
      <c r="B234" s="779"/>
      <c r="C234" s="780" t="str">
        <f>'5-1 Сбор КП Закупки'!C234</f>
        <v/>
      </c>
      <c r="D234" s="781"/>
      <c r="E234" s="780"/>
      <c r="F234" s="783"/>
      <c r="G234" s="783"/>
      <c r="H234" s="783"/>
      <c r="I234" s="783"/>
      <c r="J234" s="780"/>
      <c r="K234" s="786"/>
      <c r="L234" s="785"/>
      <c r="M234" s="786"/>
      <c r="N234" s="786"/>
      <c r="O234" s="780"/>
      <c r="P234" s="787"/>
      <c r="Q234" s="780"/>
      <c r="R234" s="780"/>
      <c r="S234" s="780"/>
      <c r="T234" s="780"/>
      <c r="U234" s="780"/>
      <c r="V234" s="780"/>
      <c r="W234" s="787"/>
      <c r="X234" s="780"/>
      <c r="Y234" s="780"/>
      <c r="Z234" s="780"/>
      <c r="AA234" s="780"/>
      <c r="AB234" s="788"/>
      <c r="AC234" s="781"/>
      <c r="AD234" s="780"/>
      <c r="AE234" s="789" t="str">
        <f t="array" ref="AE234:AF234">{"",'S-10 Оформление сделок Выборка'!AF234}</f>
        <v/>
      </c>
      <c r="AF234" s="790"/>
      <c r="AG234" s="781"/>
      <c r="AH234" s="781"/>
      <c r="AI234" s="785"/>
      <c r="AJ234" s="780"/>
      <c r="AK234" s="792" t="str">
        <f t="array" ref="AK234:AL234">{"",'S-10 Оформление сделок Выборка'!AL234}</f>
        <v/>
      </c>
      <c r="AL234" s="793"/>
      <c r="AM234" s="792" t="str">
        <f t="array" ref="AM234:AN234">{"",'S-10 Оформление сделок Выборка'!AN234}</f>
        <v/>
      </c>
      <c r="AN234" s="794"/>
      <c r="AO234" s="792" t="str">
        <f t="array" ref="AO234:AP234">{"",'S-10 Оформление сделок Выборка'!AP234}</f>
        <v/>
      </c>
      <c r="AP234" s="786"/>
      <c r="AQ234" s="786"/>
      <c r="AR234" s="779" t="str">
        <f t="array" ref="AR234:AS234">{"",'S-10 Оформление сделок Выборка'!AS234}</f>
        <v/>
      </c>
      <c r="AS234" s="795"/>
      <c r="AT234" s="779" t="str">
        <f t="array" ref="AT234:AU234">{"",'S-10 Оформление сделок Выборка'!AU234}</f>
        <v/>
      </c>
      <c r="AU234" s="805"/>
      <c r="AV234" s="779" t="str">
        <f t="array" ref="AV234:AW234">{"",'S-10 Оформление сделок Выборка'!AW234}</f>
        <v/>
      </c>
      <c r="AW234" s="797"/>
      <c r="AX234" s="786"/>
      <c r="AY234" s="786"/>
      <c r="AZ234" s="792" t="str">
        <f t="array" ref="AZ234:BA234">{"",'S-10 Оформление сделок Выборка'!BA234}</f>
        <v/>
      </c>
      <c r="BA234" s="798"/>
      <c r="BB234" s="792" t="str">
        <f t="array" ref="BB234:BC234">{"",'S-10 Оформление сделок Выборка'!BC234}</f>
        <v/>
      </c>
      <c r="BC234" s="799"/>
      <c r="BD234" s="792" t="str">
        <f t="array" ref="BD234:BE234">{"",'S-10 Оформление сделок Выборка'!BE234}</f>
        <v/>
      </c>
      <c r="BE234" s="793"/>
      <c r="BF234" s="800" t="str">
        <f t="array" ref="BF234:BG234">{"",'S-10 Оформление сделок Выборка'!BG234}</f>
        <v/>
      </c>
      <c r="BG234" s="794"/>
      <c r="BH234" s="794" t="str">
        <f t="array" ref="BH234:BI234">{"",'S-10 Оформление сделок Выборка'!BI234}</f>
        <v/>
      </c>
      <c r="BI234" s="794"/>
      <c r="BJ234" s="792" t="str">
        <f t="array" ref="BJ234:BK234">{"",'S-10 Оформление сделок Выборка'!BK234}</f>
        <v/>
      </c>
      <c r="BK234" s="793"/>
      <c r="BL234" s="792" t="str">
        <f t="array" ref="BL234:BM234">{"",'S-10 Оформление сделок Выборка'!BM234}</f>
        <v/>
      </c>
      <c r="BM234" s="801"/>
      <c r="BN234" s="792" t="str">
        <f t="array" ref="BN234:BO234">{"",'S-10 Оформление сделок Выборка'!BO234}</f>
        <v/>
      </c>
      <c r="BO234" s="793"/>
      <c r="BP234" s="792" t="str">
        <f t="array" ref="BP234:BQ234">{"",'S-10 Оформление сделок Выборка'!BQ234}</f>
        <v/>
      </c>
      <c r="BQ234" s="802"/>
      <c r="BR234" s="792" t="str">
        <f t="array" ref="BR234:BS234">{"",'S-10 Оформление сделок Выборка'!BS234}</f>
        <v/>
      </c>
      <c r="BS234" s="794"/>
      <c r="BT234" s="800" t="str">
        <f t="array" ref="BT234:BU234">{"",'S-10 Оформление сделок Выборка'!BU234}</f>
        <v/>
      </c>
      <c r="BU234" s="794"/>
      <c r="BV234" s="800" t="str">
        <f t="array" ref="BV234:BW234">{"",'S-10 Оформление сделок Выборка'!BW234}</f>
        <v/>
      </c>
      <c r="BW234" s="803" t="s">
        <v>96</v>
      </c>
      <c r="BX234" s="804"/>
    </row>
    <row r="235">
      <c r="A235" s="779"/>
      <c r="B235" s="779"/>
      <c r="C235" s="780" t="str">
        <f>'5-1 Сбор КП Закупки'!C235</f>
        <v/>
      </c>
      <c r="D235" s="781"/>
      <c r="E235" s="780"/>
      <c r="F235" s="783"/>
      <c r="G235" s="783"/>
      <c r="H235" s="783"/>
      <c r="I235" s="783"/>
      <c r="J235" s="780"/>
      <c r="K235" s="786"/>
      <c r="L235" s="785"/>
      <c r="M235" s="786"/>
      <c r="N235" s="786"/>
      <c r="O235" s="780"/>
      <c r="P235" s="787"/>
      <c r="Q235" s="780"/>
      <c r="R235" s="780"/>
      <c r="S235" s="780"/>
      <c r="T235" s="780"/>
      <c r="U235" s="780"/>
      <c r="V235" s="780"/>
      <c r="W235" s="787"/>
      <c r="X235" s="780"/>
      <c r="Y235" s="780"/>
      <c r="Z235" s="780"/>
      <c r="AA235" s="780"/>
      <c r="AB235" s="788"/>
      <c r="AC235" s="781"/>
      <c r="AD235" s="780"/>
      <c r="AE235" s="789" t="str">
        <f t="array" ref="AE235:AF235">{"",'S-10 Оформление сделок Выборка'!AF235}</f>
        <v/>
      </c>
      <c r="AF235" s="790"/>
      <c r="AG235" s="781"/>
      <c r="AH235" s="781"/>
      <c r="AI235" s="785"/>
      <c r="AJ235" s="780"/>
      <c r="AK235" s="792" t="str">
        <f t="array" ref="AK235:AL235">{"",'S-10 Оформление сделок Выборка'!AL235}</f>
        <v/>
      </c>
      <c r="AL235" s="793"/>
      <c r="AM235" s="792" t="str">
        <f t="array" ref="AM235:AN235">{"",'S-10 Оформление сделок Выборка'!AN235}</f>
        <v/>
      </c>
      <c r="AN235" s="794"/>
      <c r="AO235" s="792" t="str">
        <f t="array" ref="AO235:AP235">{"",'S-10 Оформление сделок Выборка'!AP235}</f>
        <v/>
      </c>
      <c r="AP235" s="786"/>
      <c r="AQ235" s="786"/>
      <c r="AR235" s="779" t="str">
        <f t="array" ref="AR235:AS235">{"",'S-10 Оформление сделок Выборка'!AS235}</f>
        <v/>
      </c>
      <c r="AS235" s="795"/>
      <c r="AT235" s="779" t="str">
        <f t="array" ref="AT235:AU235">{"",'S-10 Оформление сделок Выборка'!AU235}</f>
        <v/>
      </c>
      <c r="AU235" s="805"/>
      <c r="AV235" s="779" t="str">
        <f t="array" ref="AV235:AW235">{"",'S-10 Оформление сделок Выборка'!AW235}</f>
        <v/>
      </c>
      <c r="AW235" s="797"/>
      <c r="AX235" s="786"/>
      <c r="AY235" s="786"/>
      <c r="AZ235" s="792" t="str">
        <f t="array" ref="AZ235:BA235">{"",'S-10 Оформление сделок Выборка'!BA235}</f>
        <v/>
      </c>
      <c r="BA235" s="798"/>
      <c r="BB235" s="792" t="str">
        <f t="array" ref="BB235:BC235">{"",'S-10 Оформление сделок Выборка'!BC235}</f>
        <v/>
      </c>
      <c r="BC235" s="799"/>
      <c r="BD235" s="792" t="str">
        <f t="array" ref="BD235:BE235">{"",'S-10 Оформление сделок Выборка'!BE235}</f>
        <v/>
      </c>
      <c r="BE235" s="793"/>
      <c r="BF235" s="800" t="str">
        <f t="array" ref="BF235:BG235">{"",'S-10 Оформление сделок Выборка'!BG235}</f>
        <v/>
      </c>
      <c r="BG235" s="794"/>
      <c r="BH235" s="794" t="str">
        <f t="array" ref="BH235:BI235">{"",'S-10 Оформление сделок Выборка'!BI235}</f>
        <v/>
      </c>
      <c r="BI235" s="794"/>
      <c r="BJ235" s="792" t="str">
        <f t="array" ref="BJ235:BK235">{"",'S-10 Оформление сделок Выборка'!BK235}</f>
        <v/>
      </c>
      <c r="BK235" s="793"/>
      <c r="BL235" s="792" t="str">
        <f t="array" ref="BL235:BM235">{"",'S-10 Оформление сделок Выборка'!BM235}</f>
        <v/>
      </c>
      <c r="BM235" s="801"/>
      <c r="BN235" s="792" t="str">
        <f t="array" ref="BN235:BO235">{"",'S-10 Оформление сделок Выборка'!BO235}</f>
        <v/>
      </c>
      <c r="BO235" s="793"/>
      <c r="BP235" s="792" t="str">
        <f t="array" ref="BP235:BQ235">{"",'S-10 Оформление сделок Выборка'!BQ235}</f>
        <v/>
      </c>
      <c r="BQ235" s="802"/>
      <c r="BR235" s="792" t="str">
        <f t="array" ref="BR235:BS235">{"",'S-10 Оформление сделок Выборка'!BS235}</f>
        <v/>
      </c>
      <c r="BS235" s="794"/>
      <c r="BT235" s="800" t="str">
        <f t="array" ref="BT235:BU235">{"",'S-10 Оформление сделок Выборка'!BU235}</f>
        <v/>
      </c>
      <c r="BU235" s="794"/>
      <c r="BV235" s="800" t="str">
        <f t="array" ref="BV235:BW235">{"",'S-10 Оформление сделок Выборка'!BW235}</f>
        <v/>
      </c>
      <c r="BW235" s="803" t="s">
        <v>96</v>
      </c>
      <c r="BX235" s="804"/>
    </row>
    <row r="236">
      <c r="A236" s="779"/>
      <c r="B236" s="779"/>
      <c r="C236" s="780" t="str">
        <f>'5-1 Сбор КП Закупки'!C236</f>
        <v/>
      </c>
      <c r="D236" s="781"/>
      <c r="E236" s="780"/>
      <c r="F236" s="783"/>
      <c r="G236" s="783"/>
      <c r="H236" s="783"/>
      <c r="I236" s="783"/>
      <c r="J236" s="780"/>
      <c r="K236" s="786"/>
      <c r="L236" s="785"/>
      <c r="M236" s="786"/>
      <c r="N236" s="786"/>
      <c r="O236" s="780"/>
      <c r="P236" s="787"/>
      <c r="Q236" s="780"/>
      <c r="R236" s="780"/>
      <c r="S236" s="780"/>
      <c r="T236" s="780"/>
      <c r="U236" s="780"/>
      <c r="V236" s="780"/>
      <c r="W236" s="787"/>
      <c r="X236" s="780"/>
      <c r="Y236" s="780"/>
      <c r="Z236" s="780"/>
      <c r="AA236" s="780"/>
      <c r="AB236" s="788"/>
      <c r="AC236" s="781"/>
      <c r="AD236" s="780"/>
      <c r="AE236" s="789" t="str">
        <f t="array" ref="AE236:AF236">{"",'S-10 Оформление сделок Выборка'!AF236}</f>
        <v/>
      </c>
      <c r="AF236" s="790"/>
      <c r="AG236" s="781"/>
      <c r="AH236" s="781"/>
      <c r="AI236" s="785"/>
      <c r="AJ236" s="780"/>
      <c r="AK236" s="792" t="str">
        <f t="array" ref="AK236:AL236">{"",'S-10 Оформление сделок Выборка'!AL236}</f>
        <v/>
      </c>
      <c r="AL236" s="793"/>
      <c r="AM236" s="792" t="str">
        <f t="array" ref="AM236:AN236">{"",'S-10 Оформление сделок Выборка'!AN236}</f>
        <v/>
      </c>
      <c r="AN236" s="794"/>
      <c r="AO236" s="792" t="str">
        <f t="array" ref="AO236:AP236">{"",'S-10 Оформление сделок Выборка'!AP236}</f>
        <v/>
      </c>
      <c r="AP236" s="786"/>
      <c r="AQ236" s="786"/>
      <c r="AR236" s="779" t="str">
        <f t="array" ref="AR236:AS236">{"",'S-10 Оформление сделок Выборка'!AS236}</f>
        <v/>
      </c>
      <c r="AS236" s="795"/>
      <c r="AT236" s="779" t="str">
        <f t="array" ref="AT236:AU236">{"",'S-10 Оформление сделок Выборка'!AU236}</f>
        <v/>
      </c>
      <c r="AU236" s="805"/>
      <c r="AV236" s="779" t="str">
        <f t="array" ref="AV236:AW236">{"",'S-10 Оформление сделок Выборка'!AW236}</f>
        <v/>
      </c>
      <c r="AW236" s="797"/>
      <c r="AX236" s="786"/>
      <c r="AY236" s="786"/>
      <c r="AZ236" s="792" t="str">
        <f t="array" ref="AZ236:BA236">{"",'S-10 Оформление сделок Выборка'!BA236}</f>
        <v/>
      </c>
      <c r="BA236" s="798"/>
      <c r="BB236" s="792" t="str">
        <f t="array" ref="BB236:BC236">{"",'S-10 Оформление сделок Выборка'!BC236}</f>
        <v/>
      </c>
      <c r="BC236" s="799"/>
      <c r="BD236" s="792" t="str">
        <f t="array" ref="BD236:BE236">{"",'S-10 Оформление сделок Выборка'!BE236}</f>
        <v/>
      </c>
      <c r="BE236" s="793"/>
      <c r="BF236" s="800" t="str">
        <f t="array" ref="BF236:BG236">{"",'S-10 Оформление сделок Выборка'!BG236}</f>
        <v/>
      </c>
      <c r="BG236" s="794"/>
      <c r="BH236" s="794" t="str">
        <f t="array" ref="BH236:BI236">{"",'S-10 Оформление сделок Выборка'!BI236}</f>
        <v/>
      </c>
      <c r="BI236" s="794"/>
      <c r="BJ236" s="792" t="str">
        <f t="array" ref="BJ236:BK236">{"",'S-10 Оформление сделок Выборка'!BK236}</f>
        <v/>
      </c>
      <c r="BK236" s="793"/>
      <c r="BL236" s="792" t="str">
        <f t="array" ref="BL236:BM236">{"",'S-10 Оформление сделок Выборка'!BM236}</f>
        <v/>
      </c>
      <c r="BM236" s="801"/>
      <c r="BN236" s="792" t="str">
        <f t="array" ref="BN236:BO236">{"",'S-10 Оформление сделок Выборка'!BO236}</f>
        <v/>
      </c>
      <c r="BO236" s="793"/>
      <c r="BP236" s="792" t="str">
        <f t="array" ref="BP236:BQ236">{"",'S-10 Оформление сделок Выборка'!BQ236}</f>
        <v/>
      </c>
      <c r="BQ236" s="802"/>
      <c r="BR236" s="792" t="str">
        <f t="array" ref="BR236:BS236">{"",'S-10 Оформление сделок Выборка'!BS236}</f>
        <v/>
      </c>
      <c r="BS236" s="794"/>
      <c r="BT236" s="800" t="str">
        <f t="array" ref="BT236:BU236">{"",'S-10 Оформление сделок Выборка'!BU236}</f>
        <v/>
      </c>
      <c r="BU236" s="794"/>
      <c r="BV236" s="800" t="str">
        <f t="array" ref="BV236:BW236">{"",'S-10 Оформление сделок Выборка'!BW236}</f>
        <v/>
      </c>
      <c r="BW236" s="803" t="s">
        <v>96</v>
      </c>
      <c r="BX236" s="804"/>
    </row>
    <row r="237">
      <c r="A237" s="779"/>
      <c r="B237" s="779"/>
      <c r="C237" s="780" t="str">
        <f>'5-1 Сбор КП Закупки'!C237</f>
        <v/>
      </c>
      <c r="D237" s="781"/>
      <c r="E237" s="780"/>
      <c r="F237" s="783"/>
      <c r="G237" s="783"/>
      <c r="H237" s="783"/>
      <c r="I237" s="783"/>
      <c r="J237" s="780"/>
      <c r="K237" s="786"/>
      <c r="L237" s="785"/>
      <c r="M237" s="786"/>
      <c r="N237" s="786"/>
      <c r="O237" s="780"/>
      <c r="P237" s="787"/>
      <c r="Q237" s="780"/>
      <c r="R237" s="780"/>
      <c r="S237" s="780"/>
      <c r="T237" s="780"/>
      <c r="U237" s="780"/>
      <c r="V237" s="780"/>
      <c r="W237" s="787"/>
      <c r="X237" s="780"/>
      <c r="Y237" s="780"/>
      <c r="Z237" s="780"/>
      <c r="AA237" s="780"/>
      <c r="AB237" s="788"/>
      <c r="AC237" s="781"/>
      <c r="AD237" s="780"/>
      <c r="AE237" s="789" t="str">
        <f t="array" ref="AE237:AF237">{"",'S-10 Оформление сделок Выборка'!AF237}</f>
        <v/>
      </c>
      <c r="AF237" s="790"/>
      <c r="AG237" s="781"/>
      <c r="AH237" s="781"/>
      <c r="AI237" s="785"/>
      <c r="AJ237" s="780"/>
      <c r="AK237" s="792" t="str">
        <f t="array" ref="AK237:AL237">{"",'S-10 Оформление сделок Выборка'!AL237}</f>
        <v/>
      </c>
      <c r="AL237" s="793"/>
      <c r="AM237" s="792" t="str">
        <f t="array" ref="AM237:AN237">{"",'S-10 Оформление сделок Выборка'!AN237}</f>
        <v/>
      </c>
      <c r="AN237" s="794"/>
      <c r="AO237" s="792" t="str">
        <f t="array" ref="AO237:AP237">{"",'S-10 Оформление сделок Выборка'!AP237}</f>
        <v/>
      </c>
      <c r="AP237" s="786"/>
      <c r="AQ237" s="786"/>
      <c r="AR237" s="779" t="str">
        <f t="array" ref="AR237:AS237">{"",'S-10 Оформление сделок Выборка'!AS237}</f>
        <v/>
      </c>
      <c r="AS237" s="795"/>
      <c r="AT237" s="779" t="str">
        <f t="array" ref="AT237:AU237">{"",'S-10 Оформление сделок Выборка'!AU237}</f>
        <v/>
      </c>
      <c r="AU237" s="805"/>
      <c r="AV237" s="779" t="str">
        <f t="array" ref="AV237:AW237">{"",'S-10 Оформление сделок Выборка'!AW237}</f>
        <v/>
      </c>
      <c r="AW237" s="797"/>
      <c r="AX237" s="786"/>
      <c r="AY237" s="786"/>
      <c r="AZ237" s="792" t="str">
        <f t="array" ref="AZ237:BA237">{"",'S-10 Оформление сделок Выборка'!BA237}</f>
        <v/>
      </c>
      <c r="BA237" s="798"/>
      <c r="BB237" s="792" t="str">
        <f t="array" ref="BB237:BC237">{"",'S-10 Оформление сделок Выборка'!BC237}</f>
        <v/>
      </c>
      <c r="BC237" s="799"/>
      <c r="BD237" s="792" t="str">
        <f t="array" ref="BD237:BE237">{"",'S-10 Оформление сделок Выборка'!BE237}</f>
        <v/>
      </c>
      <c r="BE237" s="793"/>
      <c r="BF237" s="800" t="str">
        <f t="array" ref="BF237:BG237">{"",'S-10 Оформление сделок Выборка'!BG237}</f>
        <v/>
      </c>
      <c r="BG237" s="794"/>
      <c r="BH237" s="794" t="str">
        <f t="array" ref="BH237:BI237">{"",'S-10 Оформление сделок Выборка'!BI237}</f>
        <v/>
      </c>
      <c r="BI237" s="794"/>
      <c r="BJ237" s="792" t="str">
        <f t="array" ref="BJ237:BK237">{"",'S-10 Оформление сделок Выборка'!BK237}</f>
        <v/>
      </c>
      <c r="BK237" s="793"/>
      <c r="BL237" s="792" t="str">
        <f t="array" ref="BL237:BM237">{"",'S-10 Оформление сделок Выборка'!BM237}</f>
        <v/>
      </c>
      <c r="BM237" s="801"/>
      <c r="BN237" s="792" t="str">
        <f t="array" ref="BN237:BO237">{"",'S-10 Оформление сделок Выборка'!BO237}</f>
        <v/>
      </c>
      <c r="BO237" s="793"/>
      <c r="BP237" s="792" t="str">
        <f t="array" ref="BP237:BQ237">{"",'S-10 Оформление сделок Выборка'!BQ237}</f>
        <v/>
      </c>
      <c r="BQ237" s="802"/>
      <c r="BR237" s="792" t="str">
        <f t="array" ref="BR237:BS237">{"",'S-10 Оформление сделок Выборка'!BS237}</f>
        <v/>
      </c>
      <c r="BS237" s="794"/>
      <c r="BT237" s="800" t="str">
        <f t="array" ref="BT237:BU237">{"",'S-10 Оформление сделок Выборка'!BU237}</f>
        <v/>
      </c>
      <c r="BU237" s="794"/>
      <c r="BV237" s="800" t="str">
        <f t="array" ref="BV237:BW237">{"",'S-10 Оформление сделок Выборка'!BW237}</f>
        <v/>
      </c>
      <c r="BW237" s="803" t="s">
        <v>96</v>
      </c>
      <c r="BX237" s="804"/>
    </row>
    <row r="238">
      <c r="A238" s="779"/>
      <c r="B238" s="779"/>
      <c r="C238" s="780" t="str">
        <f>'5-1 Сбор КП Закупки'!C238</f>
        <v/>
      </c>
      <c r="D238" s="781"/>
      <c r="E238" s="780"/>
      <c r="F238" s="783"/>
      <c r="G238" s="783"/>
      <c r="H238" s="783"/>
      <c r="I238" s="783"/>
      <c r="J238" s="780"/>
      <c r="K238" s="786"/>
      <c r="L238" s="785"/>
      <c r="M238" s="786"/>
      <c r="N238" s="786"/>
      <c r="O238" s="780"/>
      <c r="P238" s="787"/>
      <c r="Q238" s="780"/>
      <c r="R238" s="780"/>
      <c r="S238" s="780"/>
      <c r="T238" s="780"/>
      <c r="U238" s="780"/>
      <c r="V238" s="780"/>
      <c r="W238" s="787"/>
      <c r="X238" s="780"/>
      <c r="Y238" s="780"/>
      <c r="Z238" s="780"/>
      <c r="AA238" s="780"/>
      <c r="AB238" s="788"/>
      <c r="AC238" s="781"/>
      <c r="AD238" s="780"/>
      <c r="AE238" s="789" t="str">
        <f t="array" ref="AE238:AF238">{"",'S-10 Оформление сделок Выборка'!AF238}</f>
        <v/>
      </c>
      <c r="AF238" s="790"/>
      <c r="AG238" s="781"/>
      <c r="AH238" s="781"/>
      <c r="AI238" s="785"/>
      <c r="AJ238" s="780"/>
      <c r="AK238" s="792" t="str">
        <f t="array" ref="AK238:AL238">{"",'S-10 Оформление сделок Выборка'!AL238}</f>
        <v/>
      </c>
      <c r="AL238" s="793"/>
      <c r="AM238" s="792" t="str">
        <f t="array" ref="AM238:AN238">{"",'S-10 Оформление сделок Выборка'!AN238}</f>
        <v/>
      </c>
      <c r="AN238" s="794"/>
      <c r="AO238" s="792" t="str">
        <f t="array" ref="AO238:AP238">{"",'S-10 Оформление сделок Выборка'!AP238}</f>
        <v/>
      </c>
      <c r="AP238" s="786"/>
      <c r="AQ238" s="786"/>
      <c r="AR238" s="779" t="str">
        <f t="array" ref="AR238:AS238">{"",'S-10 Оформление сделок Выборка'!AS238}</f>
        <v/>
      </c>
      <c r="AS238" s="795"/>
      <c r="AT238" s="779" t="str">
        <f t="array" ref="AT238:AU238">{"",'S-10 Оформление сделок Выборка'!AU238}</f>
        <v/>
      </c>
      <c r="AU238" s="805"/>
      <c r="AV238" s="779" t="str">
        <f t="array" ref="AV238:AW238">{"",'S-10 Оформление сделок Выборка'!AW238}</f>
        <v/>
      </c>
      <c r="AW238" s="797"/>
      <c r="AX238" s="786"/>
      <c r="AY238" s="786"/>
      <c r="AZ238" s="792" t="str">
        <f t="array" ref="AZ238:BA238">{"",'S-10 Оформление сделок Выборка'!BA238}</f>
        <v/>
      </c>
      <c r="BA238" s="798"/>
      <c r="BB238" s="792" t="str">
        <f t="array" ref="BB238:BC238">{"",'S-10 Оформление сделок Выборка'!BC238}</f>
        <v/>
      </c>
      <c r="BC238" s="799"/>
      <c r="BD238" s="792" t="str">
        <f t="array" ref="BD238:BE238">{"",'S-10 Оформление сделок Выборка'!BE238}</f>
        <v/>
      </c>
      <c r="BE238" s="793"/>
      <c r="BF238" s="800" t="str">
        <f t="array" ref="BF238:BG238">{"",'S-10 Оформление сделок Выборка'!BG238}</f>
        <v/>
      </c>
      <c r="BG238" s="794"/>
      <c r="BH238" s="794" t="str">
        <f t="array" ref="BH238:BI238">{"",'S-10 Оформление сделок Выборка'!BI238}</f>
        <v/>
      </c>
      <c r="BI238" s="794"/>
      <c r="BJ238" s="792" t="str">
        <f t="array" ref="BJ238:BK238">{"",'S-10 Оформление сделок Выборка'!BK238}</f>
        <v/>
      </c>
      <c r="BK238" s="793"/>
      <c r="BL238" s="792" t="str">
        <f t="array" ref="BL238:BM238">{"",'S-10 Оформление сделок Выборка'!BM238}</f>
        <v/>
      </c>
      <c r="BM238" s="801"/>
      <c r="BN238" s="792" t="str">
        <f t="array" ref="BN238:BO238">{"",'S-10 Оформление сделок Выборка'!BO238}</f>
        <v/>
      </c>
      <c r="BO238" s="793"/>
      <c r="BP238" s="792" t="str">
        <f t="array" ref="BP238:BQ238">{"",'S-10 Оформление сделок Выборка'!BQ238}</f>
        <v/>
      </c>
      <c r="BQ238" s="802"/>
      <c r="BR238" s="792" t="str">
        <f t="array" ref="BR238:BS238">{"",'S-10 Оформление сделок Выборка'!BS238}</f>
        <v/>
      </c>
      <c r="BS238" s="794"/>
      <c r="BT238" s="800" t="str">
        <f t="array" ref="BT238:BU238">{"",'S-10 Оформление сделок Выборка'!BU238}</f>
        <v/>
      </c>
      <c r="BU238" s="794"/>
      <c r="BV238" s="800" t="str">
        <f t="array" ref="BV238:BW238">{"",'S-10 Оформление сделок Выборка'!BW238}</f>
        <v/>
      </c>
      <c r="BW238" s="803" t="s">
        <v>96</v>
      </c>
      <c r="BX238" s="804"/>
    </row>
    <row r="239">
      <c r="A239" s="779"/>
      <c r="B239" s="779"/>
      <c r="C239" s="780" t="str">
        <f>'5-1 Сбор КП Закупки'!C239</f>
        <v/>
      </c>
      <c r="D239" s="781"/>
      <c r="E239" s="780"/>
      <c r="F239" s="783"/>
      <c r="G239" s="783"/>
      <c r="H239" s="783"/>
      <c r="I239" s="783"/>
      <c r="J239" s="780"/>
      <c r="K239" s="786"/>
      <c r="L239" s="785"/>
      <c r="M239" s="786"/>
      <c r="N239" s="786"/>
      <c r="O239" s="780"/>
      <c r="P239" s="787"/>
      <c r="Q239" s="780"/>
      <c r="R239" s="780"/>
      <c r="S239" s="780"/>
      <c r="T239" s="780"/>
      <c r="U239" s="780"/>
      <c r="V239" s="780"/>
      <c r="W239" s="787"/>
      <c r="X239" s="780"/>
      <c r="Y239" s="780"/>
      <c r="Z239" s="780"/>
      <c r="AA239" s="780"/>
      <c r="AB239" s="788"/>
      <c r="AC239" s="781"/>
      <c r="AD239" s="780"/>
      <c r="AE239" s="789" t="str">
        <f t="array" ref="AE239:AF239">{"",'S-10 Оформление сделок Выборка'!AF239}</f>
        <v/>
      </c>
      <c r="AF239" s="790"/>
      <c r="AG239" s="781"/>
      <c r="AH239" s="781"/>
      <c r="AI239" s="785"/>
      <c r="AJ239" s="780"/>
      <c r="AK239" s="792" t="str">
        <f t="array" ref="AK239:AL239">{"",'S-10 Оформление сделок Выборка'!AL239}</f>
        <v/>
      </c>
      <c r="AL239" s="793"/>
      <c r="AM239" s="792" t="str">
        <f t="array" ref="AM239:AN239">{"",'S-10 Оформление сделок Выборка'!AN239}</f>
        <v/>
      </c>
      <c r="AN239" s="794"/>
      <c r="AO239" s="792" t="str">
        <f t="array" ref="AO239:AP239">{"",'S-10 Оформление сделок Выборка'!AP239}</f>
        <v/>
      </c>
      <c r="AP239" s="786"/>
      <c r="AQ239" s="786"/>
      <c r="AR239" s="779" t="str">
        <f t="array" ref="AR239:AS239">{"",'S-10 Оформление сделок Выборка'!AS239}</f>
        <v/>
      </c>
      <c r="AS239" s="795"/>
      <c r="AT239" s="779" t="str">
        <f t="array" ref="AT239:AU239">{"",'S-10 Оформление сделок Выборка'!AU239}</f>
        <v/>
      </c>
      <c r="AU239" s="805"/>
      <c r="AV239" s="779" t="str">
        <f t="array" ref="AV239:AW239">{"",'S-10 Оформление сделок Выборка'!AW239}</f>
        <v/>
      </c>
      <c r="AW239" s="797"/>
      <c r="AX239" s="786"/>
      <c r="AY239" s="786"/>
      <c r="AZ239" s="792" t="str">
        <f t="array" ref="AZ239:BA239">{"",'S-10 Оформление сделок Выборка'!BA239}</f>
        <v/>
      </c>
      <c r="BA239" s="798"/>
      <c r="BB239" s="792" t="str">
        <f t="array" ref="BB239:BC239">{"",'S-10 Оформление сделок Выборка'!BC239}</f>
        <v/>
      </c>
      <c r="BC239" s="799"/>
      <c r="BD239" s="792" t="str">
        <f t="array" ref="BD239:BE239">{"",'S-10 Оформление сделок Выборка'!BE239}</f>
        <v/>
      </c>
      <c r="BE239" s="793"/>
      <c r="BF239" s="800" t="str">
        <f t="array" ref="BF239:BG239">{"",'S-10 Оформление сделок Выборка'!BG239}</f>
        <v/>
      </c>
      <c r="BG239" s="794"/>
      <c r="BH239" s="794" t="str">
        <f t="array" ref="BH239:BI239">{"",'S-10 Оформление сделок Выборка'!BI239}</f>
        <v/>
      </c>
      <c r="BI239" s="794"/>
      <c r="BJ239" s="792" t="str">
        <f t="array" ref="BJ239:BK239">{"",'S-10 Оформление сделок Выборка'!BK239}</f>
        <v/>
      </c>
      <c r="BK239" s="793"/>
      <c r="BL239" s="792" t="str">
        <f t="array" ref="BL239:BM239">{"",'S-10 Оформление сделок Выборка'!BM239}</f>
        <v/>
      </c>
      <c r="BM239" s="801"/>
      <c r="BN239" s="792" t="str">
        <f t="array" ref="BN239:BO239">{"",'S-10 Оформление сделок Выборка'!BO239}</f>
        <v/>
      </c>
      <c r="BO239" s="793"/>
      <c r="BP239" s="792" t="str">
        <f t="array" ref="BP239:BQ239">{"",'S-10 Оформление сделок Выборка'!BQ239}</f>
        <v/>
      </c>
      <c r="BQ239" s="802"/>
      <c r="BR239" s="792" t="str">
        <f t="array" ref="BR239:BS239">{"",'S-10 Оформление сделок Выборка'!BS239}</f>
        <v/>
      </c>
      <c r="BS239" s="794"/>
      <c r="BT239" s="800" t="str">
        <f t="array" ref="BT239:BU239">{"",'S-10 Оформление сделок Выборка'!BU239}</f>
        <v/>
      </c>
      <c r="BU239" s="794"/>
      <c r="BV239" s="800" t="str">
        <f t="array" ref="BV239:BW239">{"",'S-10 Оформление сделок Выборка'!BW239}</f>
        <v/>
      </c>
      <c r="BW239" s="803" t="s">
        <v>96</v>
      </c>
      <c r="BX239" s="804"/>
    </row>
    <row r="240">
      <c r="A240" s="779"/>
      <c r="B240" s="779"/>
      <c r="C240" s="780" t="str">
        <f>'5-1 Сбор КП Закупки'!C240</f>
        <v/>
      </c>
      <c r="D240" s="781"/>
      <c r="E240" s="780"/>
      <c r="F240" s="783"/>
      <c r="G240" s="783"/>
      <c r="H240" s="783"/>
      <c r="I240" s="783"/>
      <c r="J240" s="780"/>
      <c r="K240" s="786"/>
      <c r="L240" s="785"/>
      <c r="M240" s="786"/>
      <c r="N240" s="786"/>
      <c r="O240" s="780"/>
      <c r="P240" s="787"/>
      <c r="Q240" s="780"/>
      <c r="R240" s="780"/>
      <c r="S240" s="780"/>
      <c r="T240" s="780"/>
      <c r="U240" s="780"/>
      <c r="V240" s="780"/>
      <c r="W240" s="787"/>
      <c r="X240" s="780"/>
      <c r="Y240" s="780"/>
      <c r="Z240" s="780"/>
      <c r="AA240" s="780"/>
      <c r="AB240" s="788"/>
      <c r="AC240" s="781"/>
      <c r="AD240" s="780"/>
      <c r="AE240" s="789" t="str">
        <f t="array" ref="AE240:AF240">{"",'S-10 Оформление сделок Выборка'!AF240}</f>
        <v/>
      </c>
      <c r="AF240" s="790"/>
      <c r="AG240" s="781"/>
      <c r="AH240" s="781"/>
      <c r="AI240" s="785"/>
      <c r="AJ240" s="780"/>
      <c r="AK240" s="792" t="str">
        <f t="array" ref="AK240:AL240">{"",'S-10 Оформление сделок Выборка'!AL240}</f>
        <v/>
      </c>
      <c r="AL240" s="793"/>
      <c r="AM240" s="792" t="str">
        <f t="array" ref="AM240:AN240">{"",'S-10 Оформление сделок Выборка'!AN240}</f>
        <v/>
      </c>
      <c r="AN240" s="794"/>
      <c r="AO240" s="792" t="str">
        <f t="array" ref="AO240:AP240">{"",'S-10 Оформление сделок Выборка'!AP240}</f>
        <v/>
      </c>
      <c r="AP240" s="786"/>
      <c r="AQ240" s="786"/>
      <c r="AR240" s="779" t="str">
        <f t="array" ref="AR240:AS240">{"",'S-10 Оформление сделок Выборка'!AS240}</f>
        <v/>
      </c>
      <c r="AS240" s="795"/>
      <c r="AT240" s="779" t="str">
        <f t="array" ref="AT240:AU240">{"",'S-10 Оформление сделок Выборка'!AU240}</f>
        <v/>
      </c>
      <c r="AU240" s="805"/>
      <c r="AV240" s="779" t="str">
        <f t="array" ref="AV240:AW240">{"",'S-10 Оформление сделок Выборка'!AW240}</f>
        <v/>
      </c>
      <c r="AW240" s="797"/>
      <c r="AX240" s="786"/>
      <c r="AY240" s="786"/>
      <c r="AZ240" s="792" t="str">
        <f t="array" ref="AZ240:BA240">{"",'S-10 Оформление сделок Выборка'!BA240}</f>
        <v/>
      </c>
      <c r="BA240" s="798"/>
      <c r="BB240" s="792" t="str">
        <f t="array" ref="BB240:BC240">{"",'S-10 Оформление сделок Выборка'!BC240}</f>
        <v/>
      </c>
      <c r="BC240" s="799"/>
      <c r="BD240" s="792" t="str">
        <f t="array" ref="BD240:BE240">{"",'S-10 Оформление сделок Выборка'!BE240}</f>
        <v/>
      </c>
      <c r="BE240" s="793"/>
      <c r="BF240" s="800" t="str">
        <f t="array" ref="BF240:BG240">{"",'S-10 Оформление сделок Выборка'!BG240}</f>
        <v/>
      </c>
      <c r="BG240" s="794"/>
      <c r="BH240" s="794" t="str">
        <f t="array" ref="BH240:BI240">{"",'S-10 Оформление сделок Выборка'!BI240}</f>
        <v/>
      </c>
      <c r="BI240" s="794"/>
      <c r="BJ240" s="792" t="str">
        <f t="array" ref="BJ240:BK240">{"",'S-10 Оформление сделок Выборка'!BK240}</f>
        <v/>
      </c>
      <c r="BK240" s="793"/>
      <c r="BL240" s="792" t="str">
        <f t="array" ref="BL240:BM240">{"",'S-10 Оформление сделок Выборка'!BM240}</f>
        <v/>
      </c>
      <c r="BM240" s="801"/>
      <c r="BN240" s="792" t="str">
        <f t="array" ref="BN240:BO240">{"",'S-10 Оформление сделок Выборка'!BO240}</f>
        <v/>
      </c>
      <c r="BO240" s="793"/>
      <c r="BP240" s="792" t="str">
        <f t="array" ref="BP240:BQ240">{"",'S-10 Оформление сделок Выборка'!BQ240}</f>
        <v/>
      </c>
      <c r="BQ240" s="802"/>
      <c r="BR240" s="792" t="str">
        <f t="array" ref="BR240:BS240">{"",'S-10 Оформление сделок Выборка'!BS240}</f>
        <v/>
      </c>
      <c r="BS240" s="794"/>
      <c r="BT240" s="800" t="str">
        <f t="array" ref="BT240:BU240">{"",'S-10 Оформление сделок Выборка'!BU240}</f>
        <v/>
      </c>
      <c r="BU240" s="794"/>
      <c r="BV240" s="800" t="str">
        <f t="array" ref="BV240:BW240">{"",'S-10 Оформление сделок Выборка'!BW240}</f>
        <v/>
      </c>
      <c r="BW240" s="803" t="s">
        <v>96</v>
      </c>
      <c r="BX240" s="804"/>
    </row>
    <row r="241">
      <c r="A241" s="779"/>
      <c r="B241" s="779"/>
      <c r="C241" s="780" t="str">
        <f>'5-1 Сбор КП Закупки'!C241</f>
        <v/>
      </c>
      <c r="D241" s="781"/>
      <c r="E241" s="780"/>
      <c r="F241" s="783"/>
      <c r="G241" s="783"/>
      <c r="H241" s="783"/>
      <c r="I241" s="783"/>
      <c r="J241" s="780"/>
      <c r="K241" s="786"/>
      <c r="L241" s="785"/>
      <c r="M241" s="786"/>
      <c r="N241" s="786"/>
      <c r="O241" s="780"/>
      <c r="P241" s="787"/>
      <c r="Q241" s="780"/>
      <c r="R241" s="780"/>
      <c r="S241" s="780"/>
      <c r="T241" s="780"/>
      <c r="U241" s="780"/>
      <c r="V241" s="780"/>
      <c r="W241" s="787"/>
      <c r="X241" s="780"/>
      <c r="Y241" s="780"/>
      <c r="Z241" s="780"/>
      <c r="AA241" s="780"/>
      <c r="AB241" s="788"/>
      <c r="AC241" s="781"/>
      <c r="AD241" s="780"/>
      <c r="AE241" s="789" t="str">
        <f t="array" ref="AE241:AF241">{"",'S-10 Оформление сделок Выборка'!AF241}</f>
        <v/>
      </c>
      <c r="AF241" s="790"/>
      <c r="AG241" s="781"/>
      <c r="AH241" s="781"/>
      <c r="AI241" s="785"/>
      <c r="AJ241" s="780"/>
      <c r="AK241" s="792" t="str">
        <f t="array" ref="AK241:AL241">{"",'S-10 Оформление сделок Выборка'!AL241}</f>
        <v/>
      </c>
      <c r="AL241" s="793"/>
      <c r="AM241" s="792" t="str">
        <f t="array" ref="AM241:AN241">{"",'S-10 Оформление сделок Выборка'!AN241}</f>
        <v/>
      </c>
      <c r="AN241" s="794"/>
      <c r="AO241" s="792" t="str">
        <f t="array" ref="AO241:AP241">{"",'S-10 Оформление сделок Выборка'!AP241}</f>
        <v/>
      </c>
      <c r="AP241" s="786"/>
      <c r="AQ241" s="786"/>
      <c r="AR241" s="779" t="str">
        <f t="array" ref="AR241:AS241">{"",'S-10 Оформление сделок Выборка'!AS241}</f>
        <v/>
      </c>
      <c r="AS241" s="795"/>
      <c r="AT241" s="779" t="str">
        <f t="array" ref="AT241:AU241">{"",'S-10 Оформление сделок Выборка'!AU241}</f>
        <v/>
      </c>
      <c r="AU241" s="805"/>
      <c r="AV241" s="779" t="str">
        <f t="array" ref="AV241:AW241">{"",'S-10 Оформление сделок Выборка'!AW241}</f>
        <v/>
      </c>
      <c r="AW241" s="797"/>
      <c r="AX241" s="786"/>
      <c r="AY241" s="786"/>
      <c r="AZ241" s="792" t="str">
        <f t="array" ref="AZ241:BA241">{"",'S-10 Оформление сделок Выборка'!BA241}</f>
        <v/>
      </c>
      <c r="BA241" s="798"/>
      <c r="BB241" s="792" t="str">
        <f t="array" ref="BB241:BC241">{"",'S-10 Оформление сделок Выборка'!BC241}</f>
        <v/>
      </c>
      <c r="BC241" s="799"/>
      <c r="BD241" s="792" t="str">
        <f t="array" ref="BD241:BE241">{"",'S-10 Оформление сделок Выборка'!BE241}</f>
        <v/>
      </c>
      <c r="BE241" s="793"/>
      <c r="BF241" s="800" t="str">
        <f t="array" ref="BF241:BG241">{"",'S-10 Оформление сделок Выборка'!BG241}</f>
        <v/>
      </c>
      <c r="BG241" s="794"/>
      <c r="BH241" s="794" t="str">
        <f t="array" ref="BH241:BI241">{"",'S-10 Оформление сделок Выборка'!BI241}</f>
        <v/>
      </c>
      <c r="BI241" s="794"/>
      <c r="BJ241" s="792" t="str">
        <f t="array" ref="BJ241:BK241">{"",'S-10 Оформление сделок Выборка'!BK241}</f>
        <v/>
      </c>
      <c r="BK241" s="793"/>
      <c r="BL241" s="792" t="str">
        <f t="array" ref="BL241:BM241">{"",'S-10 Оформление сделок Выборка'!BM241}</f>
        <v/>
      </c>
      <c r="BM241" s="801"/>
      <c r="BN241" s="792" t="str">
        <f t="array" ref="BN241:BO241">{"",'S-10 Оформление сделок Выборка'!BO241}</f>
        <v/>
      </c>
      <c r="BO241" s="793"/>
      <c r="BP241" s="792" t="str">
        <f t="array" ref="BP241:BQ241">{"",'S-10 Оформление сделок Выборка'!BQ241}</f>
        <v/>
      </c>
      <c r="BQ241" s="802"/>
      <c r="BR241" s="792" t="str">
        <f t="array" ref="BR241:BS241">{"",'S-10 Оформление сделок Выборка'!BS241}</f>
        <v/>
      </c>
      <c r="BS241" s="794"/>
      <c r="BT241" s="800" t="str">
        <f t="array" ref="BT241:BU241">{"",'S-10 Оформление сделок Выборка'!BU241}</f>
        <v/>
      </c>
      <c r="BU241" s="794"/>
      <c r="BV241" s="800" t="str">
        <f t="array" ref="BV241:BW241">{"",'S-10 Оформление сделок Выборка'!BW241}</f>
        <v/>
      </c>
      <c r="BW241" s="803" t="s">
        <v>96</v>
      </c>
      <c r="BX241" s="804"/>
    </row>
    <row r="242">
      <c r="A242" s="779"/>
      <c r="B242" s="779"/>
      <c r="C242" s="780" t="str">
        <f>'5-1 Сбор КП Закупки'!C242</f>
        <v/>
      </c>
      <c r="D242" s="781"/>
      <c r="E242" s="780"/>
      <c r="F242" s="783"/>
      <c r="G242" s="783"/>
      <c r="H242" s="783"/>
      <c r="I242" s="783"/>
      <c r="J242" s="780"/>
      <c r="K242" s="786"/>
      <c r="L242" s="785"/>
      <c r="M242" s="786"/>
      <c r="N242" s="786"/>
      <c r="O242" s="780"/>
      <c r="P242" s="787"/>
      <c r="Q242" s="780"/>
      <c r="R242" s="780"/>
      <c r="S242" s="780"/>
      <c r="T242" s="780"/>
      <c r="U242" s="780"/>
      <c r="V242" s="780"/>
      <c r="W242" s="787"/>
      <c r="X242" s="780"/>
      <c r="Y242" s="780"/>
      <c r="Z242" s="780"/>
      <c r="AA242" s="780"/>
      <c r="AB242" s="788"/>
      <c r="AC242" s="781"/>
      <c r="AD242" s="780"/>
      <c r="AE242" s="789" t="str">
        <f t="array" ref="AE242:AF242">{"",'S-10 Оформление сделок Выборка'!AF242}</f>
        <v/>
      </c>
      <c r="AF242" s="790"/>
      <c r="AG242" s="781"/>
      <c r="AH242" s="781"/>
      <c r="AI242" s="785"/>
      <c r="AJ242" s="780"/>
      <c r="AK242" s="792" t="str">
        <f t="array" ref="AK242:AL242">{"",'S-10 Оформление сделок Выборка'!AL242}</f>
        <v/>
      </c>
      <c r="AL242" s="793"/>
      <c r="AM242" s="792" t="str">
        <f t="array" ref="AM242:AN242">{"",'S-10 Оформление сделок Выборка'!AN242}</f>
        <v/>
      </c>
      <c r="AN242" s="794"/>
      <c r="AO242" s="792" t="str">
        <f t="array" ref="AO242:AP242">{"",'S-10 Оформление сделок Выборка'!AP242}</f>
        <v/>
      </c>
      <c r="AP242" s="786"/>
      <c r="AQ242" s="786"/>
      <c r="AR242" s="779" t="str">
        <f t="array" ref="AR242:AS242">{"",'S-10 Оформление сделок Выборка'!AS242}</f>
        <v/>
      </c>
      <c r="AS242" s="795"/>
      <c r="AT242" s="779" t="str">
        <f t="array" ref="AT242:AU242">{"",'S-10 Оформление сделок Выборка'!AU242}</f>
        <v/>
      </c>
      <c r="AU242" s="805"/>
      <c r="AV242" s="779" t="str">
        <f t="array" ref="AV242:AW242">{"",'S-10 Оформление сделок Выборка'!AW242}</f>
        <v/>
      </c>
      <c r="AW242" s="797"/>
      <c r="AX242" s="786"/>
      <c r="AY242" s="786"/>
      <c r="AZ242" s="792" t="str">
        <f t="array" ref="AZ242:BA242">{"",'S-10 Оформление сделок Выборка'!BA242}</f>
        <v/>
      </c>
      <c r="BA242" s="798"/>
      <c r="BB242" s="792" t="str">
        <f t="array" ref="BB242:BC242">{"",'S-10 Оформление сделок Выборка'!BC242}</f>
        <v/>
      </c>
      <c r="BC242" s="799"/>
      <c r="BD242" s="792" t="str">
        <f t="array" ref="BD242:BE242">{"",'S-10 Оформление сделок Выборка'!BE242}</f>
        <v/>
      </c>
      <c r="BE242" s="793"/>
      <c r="BF242" s="800" t="str">
        <f t="array" ref="BF242:BG242">{"",'S-10 Оформление сделок Выборка'!BG242}</f>
        <v/>
      </c>
      <c r="BG242" s="794"/>
      <c r="BH242" s="794" t="str">
        <f t="array" ref="BH242:BI242">{"",'S-10 Оформление сделок Выборка'!BI242}</f>
        <v/>
      </c>
      <c r="BI242" s="794"/>
      <c r="BJ242" s="792" t="str">
        <f t="array" ref="BJ242:BK242">{"",'S-10 Оформление сделок Выборка'!BK242}</f>
        <v/>
      </c>
      <c r="BK242" s="793"/>
      <c r="BL242" s="792" t="str">
        <f t="array" ref="BL242:BM242">{"",'S-10 Оформление сделок Выборка'!BM242}</f>
        <v/>
      </c>
      <c r="BM242" s="801"/>
      <c r="BN242" s="792" t="str">
        <f t="array" ref="BN242:BO242">{"",'S-10 Оформление сделок Выборка'!BO242}</f>
        <v/>
      </c>
      <c r="BO242" s="793"/>
      <c r="BP242" s="792" t="str">
        <f t="array" ref="BP242:BQ242">{"",'S-10 Оформление сделок Выборка'!BQ242}</f>
        <v/>
      </c>
      <c r="BQ242" s="802"/>
      <c r="BR242" s="792" t="str">
        <f t="array" ref="BR242:BS242">{"",'S-10 Оформление сделок Выборка'!BS242}</f>
        <v/>
      </c>
      <c r="BS242" s="794"/>
      <c r="BT242" s="800" t="str">
        <f t="array" ref="BT242:BU242">{"",'S-10 Оформление сделок Выборка'!BU242}</f>
        <v/>
      </c>
      <c r="BU242" s="794"/>
      <c r="BV242" s="800" t="str">
        <f t="array" ref="BV242:BW242">{"",'S-10 Оформление сделок Выборка'!BW242}</f>
        <v/>
      </c>
      <c r="BW242" s="803" t="s">
        <v>96</v>
      </c>
      <c r="BX242" s="804"/>
    </row>
    <row r="243">
      <c r="A243" s="779"/>
      <c r="B243" s="779"/>
      <c r="C243" s="780" t="str">
        <f>'5-1 Сбор КП Закупки'!C243</f>
        <v/>
      </c>
      <c r="D243" s="781"/>
      <c r="E243" s="780"/>
      <c r="F243" s="783"/>
      <c r="G243" s="783"/>
      <c r="H243" s="783"/>
      <c r="I243" s="783"/>
      <c r="J243" s="780"/>
      <c r="K243" s="786"/>
      <c r="L243" s="785"/>
      <c r="M243" s="786"/>
      <c r="N243" s="786"/>
      <c r="O243" s="780"/>
      <c r="P243" s="787"/>
      <c r="Q243" s="780"/>
      <c r="R243" s="780"/>
      <c r="S243" s="780"/>
      <c r="T243" s="780"/>
      <c r="U243" s="780"/>
      <c r="V243" s="780"/>
      <c r="W243" s="787"/>
      <c r="X243" s="780"/>
      <c r="Y243" s="780"/>
      <c r="Z243" s="780"/>
      <c r="AA243" s="780"/>
      <c r="AB243" s="788"/>
      <c r="AC243" s="781"/>
      <c r="AD243" s="780"/>
      <c r="AE243" s="789" t="str">
        <f t="array" ref="AE243:AF243">{"",'S-10 Оформление сделок Выборка'!AF243}</f>
        <v/>
      </c>
      <c r="AF243" s="790"/>
      <c r="AG243" s="781"/>
      <c r="AH243" s="781"/>
      <c r="AI243" s="785"/>
      <c r="AJ243" s="780"/>
      <c r="AK243" s="792" t="str">
        <f t="array" ref="AK243:AL243">{"",'S-10 Оформление сделок Выборка'!AL243}</f>
        <v/>
      </c>
      <c r="AL243" s="793"/>
      <c r="AM243" s="792" t="str">
        <f t="array" ref="AM243:AN243">{"",'S-10 Оформление сделок Выборка'!AN243}</f>
        <v/>
      </c>
      <c r="AN243" s="794"/>
      <c r="AO243" s="792" t="str">
        <f t="array" ref="AO243:AP243">{"",'S-10 Оформление сделок Выборка'!AP243}</f>
        <v/>
      </c>
      <c r="AP243" s="786"/>
      <c r="AQ243" s="786"/>
      <c r="AR243" s="779" t="str">
        <f t="array" ref="AR243:AS243">{"",'S-10 Оформление сделок Выборка'!AS243}</f>
        <v/>
      </c>
      <c r="AS243" s="795"/>
      <c r="AT243" s="779" t="str">
        <f t="array" ref="AT243:AU243">{"",'S-10 Оформление сделок Выборка'!AU243}</f>
        <v/>
      </c>
      <c r="AU243" s="805"/>
      <c r="AV243" s="779" t="str">
        <f t="array" ref="AV243:AW243">{"",'S-10 Оформление сделок Выборка'!AW243}</f>
        <v/>
      </c>
      <c r="AW243" s="797"/>
      <c r="AX243" s="786"/>
      <c r="AY243" s="786"/>
      <c r="AZ243" s="792" t="str">
        <f t="array" ref="AZ243:BA243">{"",'S-10 Оформление сделок Выборка'!BA243}</f>
        <v/>
      </c>
      <c r="BA243" s="798"/>
      <c r="BB243" s="792" t="str">
        <f t="array" ref="BB243:BC243">{"",'S-10 Оформление сделок Выборка'!BC243}</f>
        <v/>
      </c>
      <c r="BC243" s="799"/>
      <c r="BD243" s="792" t="str">
        <f t="array" ref="BD243:BE243">{"",'S-10 Оформление сделок Выборка'!BE243}</f>
        <v/>
      </c>
      <c r="BE243" s="793"/>
      <c r="BF243" s="800" t="str">
        <f t="array" ref="BF243:BG243">{"",'S-10 Оформление сделок Выборка'!BG243}</f>
        <v/>
      </c>
      <c r="BG243" s="794"/>
      <c r="BH243" s="794" t="str">
        <f t="array" ref="BH243:BI243">{"",'S-10 Оформление сделок Выборка'!BI243}</f>
        <v/>
      </c>
      <c r="BI243" s="794"/>
      <c r="BJ243" s="792" t="str">
        <f t="array" ref="BJ243:BK243">{"",'S-10 Оформление сделок Выборка'!BK243}</f>
        <v/>
      </c>
      <c r="BK243" s="793"/>
      <c r="BL243" s="792" t="str">
        <f t="array" ref="BL243:BM243">{"",'S-10 Оформление сделок Выборка'!BM243}</f>
        <v/>
      </c>
      <c r="BM243" s="801"/>
      <c r="BN243" s="792" t="str">
        <f t="array" ref="BN243:BO243">{"",'S-10 Оформление сделок Выборка'!BO243}</f>
        <v/>
      </c>
      <c r="BO243" s="793"/>
      <c r="BP243" s="792" t="str">
        <f t="array" ref="BP243:BQ243">{"",'S-10 Оформление сделок Выборка'!BQ243}</f>
        <v/>
      </c>
      <c r="BQ243" s="802"/>
      <c r="BR243" s="792" t="str">
        <f t="array" ref="BR243:BS243">{"",'S-10 Оформление сделок Выборка'!BS243}</f>
        <v/>
      </c>
      <c r="BS243" s="794"/>
      <c r="BT243" s="800" t="str">
        <f t="array" ref="BT243:BU243">{"",'S-10 Оформление сделок Выборка'!BU243}</f>
        <v/>
      </c>
      <c r="BU243" s="794"/>
      <c r="BV243" s="800" t="str">
        <f t="array" ref="BV243:BW243">{"",'S-10 Оформление сделок Выборка'!BW243}</f>
        <v/>
      </c>
      <c r="BW243" s="803" t="s">
        <v>96</v>
      </c>
      <c r="BX243" s="804"/>
    </row>
    <row r="244">
      <c r="A244" s="779"/>
      <c r="B244" s="779"/>
      <c r="C244" s="780" t="str">
        <f>'5-1 Сбор КП Закупки'!C244</f>
        <v/>
      </c>
      <c r="D244" s="781"/>
      <c r="E244" s="780"/>
      <c r="F244" s="783"/>
      <c r="G244" s="783"/>
      <c r="H244" s="783"/>
      <c r="I244" s="783"/>
      <c r="J244" s="780"/>
      <c r="K244" s="786"/>
      <c r="L244" s="785"/>
      <c r="M244" s="786"/>
      <c r="N244" s="786"/>
      <c r="O244" s="780"/>
      <c r="P244" s="787"/>
      <c r="Q244" s="780"/>
      <c r="R244" s="780"/>
      <c r="S244" s="780"/>
      <c r="T244" s="780"/>
      <c r="U244" s="780"/>
      <c r="V244" s="780"/>
      <c r="W244" s="787"/>
      <c r="X244" s="780"/>
      <c r="Y244" s="780"/>
      <c r="Z244" s="780"/>
      <c r="AA244" s="780"/>
      <c r="AB244" s="788"/>
      <c r="AC244" s="781"/>
      <c r="AD244" s="780"/>
      <c r="AE244" s="789" t="str">
        <f t="array" ref="AE244:AF244">{"",'S-10 Оформление сделок Выборка'!AF244}</f>
        <v/>
      </c>
      <c r="AF244" s="790"/>
      <c r="AG244" s="781"/>
      <c r="AH244" s="781"/>
      <c r="AI244" s="785"/>
      <c r="AJ244" s="780"/>
      <c r="AK244" s="792" t="str">
        <f t="array" ref="AK244:AL244">{"",'S-10 Оформление сделок Выборка'!AL244}</f>
        <v/>
      </c>
      <c r="AL244" s="793"/>
      <c r="AM244" s="792" t="str">
        <f t="array" ref="AM244:AN244">{"",'S-10 Оформление сделок Выборка'!AN244}</f>
        <v/>
      </c>
      <c r="AN244" s="794"/>
      <c r="AO244" s="792" t="str">
        <f t="array" ref="AO244:AP244">{"",'S-10 Оформление сделок Выборка'!AP244}</f>
        <v/>
      </c>
      <c r="AP244" s="786"/>
      <c r="AQ244" s="786"/>
      <c r="AR244" s="779" t="str">
        <f t="array" ref="AR244:AS244">{"",'S-10 Оформление сделок Выборка'!AS244}</f>
        <v/>
      </c>
      <c r="AS244" s="795"/>
      <c r="AT244" s="779" t="str">
        <f t="array" ref="AT244:AU244">{"",'S-10 Оформление сделок Выборка'!AU244}</f>
        <v/>
      </c>
      <c r="AU244" s="805"/>
      <c r="AV244" s="779" t="str">
        <f t="array" ref="AV244:AW244">{"",'S-10 Оформление сделок Выборка'!AW244}</f>
        <v/>
      </c>
      <c r="AW244" s="797"/>
      <c r="AX244" s="786"/>
      <c r="AY244" s="786"/>
      <c r="AZ244" s="792" t="str">
        <f t="array" ref="AZ244:BA244">{"",'S-10 Оформление сделок Выборка'!BA244}</f>
        <v/>
      </c>
      <c r="BA244" s="798"/>
      <c r="BB244" s="792" t="str">
        <f t="array" ref="BB244:BC244">{"",'S-10 Оформление сделок Выборка'!BC244}</f>
        <v/>
      </c>
      <c r="BC244" s="799"/>
      <c r="BD244" s="792" t="str">
        <f t="array" ref="BD244:BE244">{"",'S-10 Оформление сделок Выборка'!BE244}</f>
        <v/>
      </c>
      <c r="BE244" s="793"/>
      <c r="BF244" s="800" t="str">
        <f t="array" ref="BF244:BG244">{"",'S-10 Оформление сделок Выборка'!BG244}</f>
        <v/>
      </c>
      <c r="BG244" s="794"/>
      <c r="BH244" s="794" t="str">
        <f t="array" ref="BH244:BI244">{"",'S-10 Оформление сделок Выборка'!BI244}</f>
        <v/>
      </c>
      <c r="BI244" s="794"/>
      <c r="BJ244" s="792" t="str">
        <f t="array" ref="BJ244:BK244">{"",'S-10 Оформление сделок Выборка'!BK244}</f>
        <v/>
      </c>
      <c r="BK244" s="793"/>
      <c r="BL244" s="792" t="str">
        <f t="array" ref="BL244:BM244">{"",'S-10 Оформление сделок Выборка'!BM244}</f>
        <v/>
      </c>
      <c r="BM244" s="801"/>
      <c r="BN244" s="792" t="str">
        <f t="array" ref="BN244:BO244">{"",'S-10 Оформление сделок Выборка'!BO244}</f>
        <v/>
      </c>
      <c r="BO244" s="793"/>
      <c r="BP244" s="792" t="str">
        <f t="array" ref="BP244:BQ244">{"",'S-10 Оформление сделок Выборка'!BQ244}</f>
        <v/>
      </c>
      <c r="BQ244" s="802"/>
      <c r="BR244" s="792" t="str">
        <f t="array" ref="BR244:BS244">{"",'S-10 Оформление сделок Выборка'!BS244}</f>
        <v/>
      </c>
      <c r="BS244" s="794"/>
      <c r="BT244" s="800" t="str">
        <f t="array" ref="BT244:BU244">{"",'S-10 Оформление сделок Выборка'!BU244}</f>
        <v/>
      </c>
      <c r="BU244" s="794"/>
      <c r="BV244" s="800" t="str">
        <f t="array" ref="BV244:BW244">{"",'S-10 Оформление сделок Выборка'!BW244}</f>
        <v/>
      </c>
      <c r="BW244" s="803" t="s">
        <v>96</v>
      </c>
      <c r="BX244" s="804"/>
    </row>
    <row r="245">
      <c r="A245" s="779"/>
      <c r="B245" s="779"/>
      <c r="C245" s="780" t="str">
        <f>'5-1 Сбор КП Закупки'!C245</f>
        <v/>
      </c>
      <c r="D245" s="781"/>
      <c r="E245" s="780"/>
      <c r="F245" s="783"/>
      <c r="G245" s="783"/>
      <c r="H245" s="783"/>
      <c r="I245" s="783"/>
      <c r="J245" s="780"/>
      <c r="K245" s="786"/>
      <c r="L245" s="785"/>
      <c r="M245" s="786"/>
      <c r="N245" s="786"/>
      <c r="O245" s="780"/>
      <c r="P245" s="787"/>
      <c r="Q245" s="780"/>
      <c r="R245" s="780"/>
      <c r="S245" s="780"/>
      <c r="T245" s="780"/>
      <c r="U245" s="780"/>
      <c r="V245" s="780"/>
      <c r="W245" s="787"/>
      <c r="X245" s="780"/>
      <c r="Y245" s="780"/>
      <c r="Z245" s="780"/>
      <c r="AA245" s="780"/>
      <c r="AB245" s="788"/>
      <c r="AC245" s="781"/>
      <c r="AD245" s="780"/>
      <c r="AE245" s="789" t="str">
        <f t="array" ref="AE245:AF245">{"",'S-10 Оформление сделок Выборка'!AF245}</f>
        <v/>
      </c>
      <c r="AF245" s="790"/>
      <c r="AG245" s="781"/>
      <c r="AH245" s="781"/>
      <c r="AI245" s="785"/>
      <c r="AJ245" s="780"/>
      <c r="AK245" s="792" t="str">
        <f t="array" ref="AK245:AL245">{"",'S-10 Оформление сделок Выборка'!AL245}</f>
        <v/>
      </c>
      <c r="AL245" s="793"/>
      <c r="AM245" s="792" t="str">
        <f t="array" ref="AM245:AN245">{"",'S-10 Оформление сделок Выборка'!AN245}</f>
        <v/>
      </c>
      <c r="AN245" s="794"/>
      <c r="AO245" s="792" t="str">
        <f t="array" ref="AO245:AP245">{"",'S-10 Оформление сделок Выборка'!AP245}</f>
        <v/>
      </c>
      <c r="AP245" s="786"/>
      <c r="AQ245" s="786"/>
      <c r="AR245" s="779" t="str">
        <f t="array" ref="AR245:AS245">{"",'S-10 Оформление сделок Выборка'!AS245}</f>
        <v/>
      </c>
      <c r="AS245" s="795"/>
      <c r="AT245" s="779" t="str">
        <f t="array" ref="AT245:AU245">{"",'S-10 Оформление сделок Выборка'!AU245}</f>
        <v/>
      </c>
      <c r="AU245" s="805"/>
      <c r="AV245" s="779" t="str">
        <f t="array" ref="AV245:AW245">{"",'S-10 Оформление сделок Выборка'!AW245}</f>
        <v/>
      </c>
      <c r="AW245" s="797"/>
      <c r="AX245" s="786"/>
      <c r="AY245" s="786"/>
      <c r="AZ245" s="792" t="str">
        <f t="array" ref="AZ245:BA245">{"",'S-10 Оформление сделок Выборка'!BA245}</f>
        <v/>
      </c>
      <c r="BA245" s="798"/>
      <c r="BB245" s="792" t="str">
        <f t="array" ref="BB245:BC245">{"",'S-10 Оформление сделок Выборка'!BC245}</f>
        <v/>
      </c>
      <c r="BC245" s="799"/>
      <c r="BD245" s="792" t="str">
        <f t="array" ref="BD245:BE245">{"",'S-10 Оформление сделок Выборка'!BE245}</f>
        <v/>
      </c>
      <c r="BE245" s="793"/>
      <c r="BF245" s="800" t="str">
        <f t="array" ref="BF245:BG245">{"",'S-10 Оформление сделок Выборка'!BG245}</f>
        <v/>
      </c>
      <c r="BG245" s="794"/>
      <c r="BH245" s="794" t="str">
        <f t="array" ref="BH245:BI245">{"",'S-10 Оформление сделок Выборка'!BI245}</f>
        <v/>
      </c>
      <c r="BI245" s="794"/>
      <c r="BJ245" s="792" t="str">
        <f t="array" ref="BJ245:BK245">{"",'S-10 Оформление сделок Выборка'!BK245}</f>
        <v/>
      </c>
      <c r="BK245" s="793"/>
      <c r="BL245" s="792" t="str">
        <f t="array" ref="BL245:BM245">{"",'S-10 Оформление сделок Выборка'!BM245}</f>
        <v/>
      </c>
      <c r="BM245" s="801"/>
      <c r="BN245" s="792" t="str">
        <f t="array" ref="BN245:BO245">{"",'S-10 Оформление сделок Выборка'!BO245}</f>
        <v/>
      </c>
      <c r="BO245" s="793"/>
      <c r="BP245" s="792" t="str">
        <f t="array" ref="BP245:BQ245">{"",'S-10 Оформление сделок Выборка'!BQ245}</f>
        <v/>
      </c>
      <c r="BQ245" s="802"/>
      <c r="BR245" s="792" t="str">
        <f t="array" ref="BR245:BS245">{"",'S-10 Оформление сделок Выборка'!BS245}</f>
        <v/>
      </c>
      <c r="BS245" s="794"/>
      <c r="BT245" s="800" t="str">
        <f t="array" ref="BT245:BU245">{"",'S-10 Оформление сделок Выборка'!BU245}</f>
        <v/>
      </c>
      <c r="BU245" s="794"/>
      <c r="BV245" s="800" t="str">
        <f t="array" ref="BV245:BW245">{"",'S-10 Оформление сделок Выборка'!BW245}</f>
        <v/>
      </c>
      <c r="BW245" s="803" t="s">
        <v>96</v>
      </c>
      <c r="BX245" s="804"/>
    </row>
    <row r="246">
      <c r="A246" s="779"/>
      <c r="B246" s="779"/>
      <c r="C246" s="780" t="str">
        <f>'5-1 Сбор КП Закупки'!C246</f>
        <v/>
      </c>
      <c r="D246" s="781"/>
      <c r="E246" s="780"/>
      <c r="F246" s="783"/>
      <c r="G246" s="783"/>
      <c r="H246" s="783"/>
      <c r="I246" s="783"/>
      <c r="J246" s="780"/>
      <c r="K246" s="786"/>
      <c r="L246" s="785"/>
      <c r="M246" s="786"/>
      <c r="N246" s="786"/>
      <c r="O246" s="780"/>
      <c r="P246" s="787"/>
      <c r="Q246" s="780"/>
      <c r="R246" s="780"/>
      <c r="S246" s="780"/>
      <c r="T246" s="780"/>
      <c r="U246" s="780"/>
      <c r="V246" s="780"/>
      <c r="W246" s="787"/>
      <c r="X246" s="780"/>
      <c r="Y246" s="780"/>
      <c r="Z246" s="780"/>
      <c r="AA246" s="780"/>
      <c r="AB246" s="788"/>
      <c r="AC246" s="781"/>
      <c r="AD246" s="780"/>
      <c r="AE246" s="789" t="str">
        <f t="array" ref="AE246:AF246">{"",'S-10 Оформление сделок Выборка'!AF246}</f>
        <v/>
      </c>
      <c r="AF246" s="790"/>
      <c r="AG246" s="781"/>
      <c r="AH246" s="781"/>
      <c r="AI246" s="785"/>
      <c r="AJ246" s="780"/>
      <c r="AK246" s="792" t="str">
        <f t="array" ref="AK246:AL246">{"",'S-10 Оформление сделок Выборка'!AL246}</f>
        <v/>
      </c>
      <c r="AL246" s="793"/>
      <c r="AM246" s="792" t="str">
        <f t="array" ref="AM246:AN246">{"",'S-10 Оформление сделок Выборка'!AN246}</f>
        <v/>
      </c>
      <c r="AN246" s="794"/>
      <c r="AO246" s="792" t="str">
        <f t="array" ref="AO246:AP246">{"",'S-10 Оформление сделок Выборка'!AP246}</f>
        <v/>
      </c>
      <c r="AP246" s="786"/>
      <c r="AQ246" s="786"/>
      <c r="AR246" s="779" t="str">
        <f t="array" ref="AR246:AS246">{"",'S-10 Оформление сделок Выборка'!AS246}</f>
        <v/>
      </c>
      <c r="AS246" s="795"/>
      <c r="AT246" s="779" t="str">
        <f t="array" ref="AT246:AU246">{"",'S-10 Оформление сделок Выборка'!AU246}</f>
        <v/>
      </c>
      <c r="AU246" s="805"/>
      <c r="AV246" s="779" t="str">
        <f t="array" ref="AV246:AW246">{"",'S-10 Оформление сделок Выборка'!AW246}</f>
        <v/>
      </c>
      <c r="AW246" s="797"/>
      <c r="AX246" s="786"/>
      <c r="AY246" s="786"/>
      <c r="AZ246" s="792" t="str">
        <f t="array" ref="AZ246:BA246">{"",'S-10 Оформление сделок Выборка'!BA246}</f>
        <v/>
      </c>
      <c r="BA246" s="798"/>
      <c r="BB246" s="792" t="str">
        <f t="array" ref="BB246:BC246">{"",'S-10 Оформление сделок Выборка'!BC246}</f>
        <v/>
      </c>
      <c r="BC246" s="799"/>
      <c r="BD246" s="792" t="str">
        <f t="array" ref="BD246:BE246">{"",'S-10 Оформление сделок Выборка'!BE246}</f>
        <v/>
      </c>
      <c r="BE246" s="793"/>
      <c r="BF246" s="800" t="str">
        <f t="array" ref="BF246:BG246">{"",'S-10 Оформление сделок Выборка'!BG246}</f>
        <v/>
      </c>
      <c r="BG246" s="794"/>
      <c r="BH246" s="794" t="str">
        <f t="array" ref="BH246:BI246">{"",'S-10 Оформление сделок Выборка'!BI246}</f>
        <v/>
      </c>
      <c r="BI246" s="794"/>
      <c r="BJ246" s="792" t="str">
        <f t="array" ref="BJ246:BK246">{"",'S-10 Оформление сделок Выборка'!BK246}</f>
        <v/>
      </c>
      <c r="BK246" s="793"/>
      <c r="BL246" s="792" t="str">
        <f t="array" ref="BL246:BM246">{"",'S-10 Оформление сделок Выборка'!BM246}</f>
        <v/>
      </c>
      <c r="BM246" s="801"/>
      <c r="BN246" s="792" t="str">
        <f t="array" ref="BN246:BO246">{"",'S-10 Оформление сделок Выборка'!BO246}</f>
        <v/>
      </c>
      <c r="BO246" s="793"/>
      <c r="BP246" s="792" t="str">
        <f t="array" ref="BP246:BQ246">{"",'S-10 Оформление сделок Выборка'!BQ246}</f>
        <v/>
      </c>
      <c r="BQ246" s="802"/>
      <c r="BR246" s="792" t="str">
        <f t="array" ref="BR246:BS246">{"",'S-10 Оформление сделок Выборка'!BS246}</f>
        <v/>
      </c>
      <c r="BS246" s="794"/>
      <c r="BT246" s="800" t="str">
        <f t="array" ref="BT246:BU246">{"",'S-10 Оформление сделок Выборка'!BU246}</f>
        <v/>
      </c>
      <c r="BU246" s="794"/>
      <c r="BV246" s="800" t="str">
        <f t="array" ref="BV246:BW246">{"",'S-10 Оформление сделок Выборка'!BW246}</f>
        <v/>
      </c>
      <c r="BW246" s="803" t="s">
        <v>96</v>
      </c>
      <c r="BX246" s="804"/>
    </row>
    <row r="247">
      <c r="A247" s="779"/>
      <c r="B247" s="779"/>
      <c r="C247" s="780" t="str">
        <f>'5-1 Сбор КП Закупки'!C247</f>
        <v/>
      </c>
      <c r="D247" s="781"/>
      <c r="E247" s="780"/>
      <c r="F247" s="783"/>
      <c r="G247" s="783"/>
      <c r="H247" s="783"/>
      <c r="I247" s="783"/>
      <c r="J247" s="780"/>
      <c r="K247" s="786"/>
      <c r="L247" s="785"/>
      <c r="M247" s="786"/>
      <c r="N247" s="786"/>
      <c r="O247" s="780"/>
      <c r="P247" s="787"/>
      <c r="Q247" s="780"/>
      <c r="R247" s="780"/>
      <c r="S247" s="780"/>
      <c r="T247" s="780"/>
      <c r="U247" s="780"/>
      <c r="V247" s="780"/>
      <c r="W247" s="787"/>
      <c r="X247" s="780"/>
      <c r="Y247" s="780"/>
      <c r="Z247" s="780"/>
      <c r="AA247" s="780"/>
      <c r="AB247" s="788"/>
      <c r="AC247" s="781"/>
      <c r="AD247" s="780"/>
      <c r="AE247" s="789" t="str">
        <f t="array" ref="AE247:AF247">{"",'S-10 Оформление сделок Выборка'!AF247}</f>
        <v/>
      </c>
      <c r="AF247" s="790"/>
      <c r="AG247" s="781"/>
      <c r="AH247" s="781"/>
      <c r="AI247" s="785"/>
      <c r="AJ247" s="780"/>
      <c r="AK247" s="792" t="str">
        <f t="array" ref="AK247:AL247">{"",'S-10 Оформление сделок Выборка'!AL247}</f>
        <v/>
      </c>
      <c r="AL247" s="793"/>
      <c r="AM247" s="792" t="str">
        <f t="array" ref="AM247:AN247">{"",'S-10 Оформление сделок Выборка'!AN247}</f>
        <v/>
      </c>
      <c r="AN247" s="794"/>
      <c r="AO247" s="792" t="str">
        <f t="array" ref="AO247:AP247">{"",'S-10 Оформление сделок Выборка'!AP247}</f>
        <v/>
      </c>
      <c r="AP247" s="786"/>
      <c r="AQ247" s="786"/>
      <c r="AR247" s="779" t="str">
        <f t="array" ref="AR247:AS247">{"",'S-10 Оформление сделок Выборка'!AS247}</f>
        <v/>
      </c>
      <c r="AS247" s="795"/>
      <c r="AT247" s="779" t="str">
        <f t="array" ref="AT247:AU247">{"",'S-10 Оформление сделок Выборка'!AU247}</f>
        <v/>
      </c>
      <c r="AU247" s="805"/>
      <c r="AV247" s="779" t="str">
        <f t="array" ref="AV247:AW247">{"",'S-10 Оформление сделок Выборка'!AW247}</f>
        <v/>
      </c>
      <c r="AW247" s="797"/>
      <c r="AX247" s="786"/>
      <c r="AY247" s="786"/>
      <c r="AZ247" s="792" t="str">
        <f t="array" ref="AZ247:BA247">{"",'S-10 Оформление сделок Выборка'!BA247}</f>
        <v/>
      </c>
      <c r="BA247" s="798"/>
      <c r="BB247" s="792" t="str">
        <f t="array" ref="BB247:BC247">{"",'S-10 Оформление сделок Выборка'!BC247}</f>
        <v/>
      </c>
      <c r="BC247" s="799"/>
      <c r="BD247" s="792" t="str">
        <f t="array" ref="BD247:BE247">{"",'S-10 Оформление сделок Выборка'!BE247}</f>
        <v/>
      </c>
      <c r="BE247" s="793"/>
      <c r="BF247" s="800" t="str">
        <f t="array" ref="BF247:BG247">{"",'S-10 Оформление сделок Выборка'!BG247}</f>
        <v/>
      </c>
      <c r="BG247" s="794"/>
      <c r="BH247" s="794" t="str">
        <f t="array" ref="BH247:BI247">{"",'S-10 Оформление сделок Выборка'!BI247}</f>
        <v/>
      </c>
      <c r="BI247" s="794"/>
      <c r="BJ247" s="792" t="str">
        <f t="array" ref="BJ247:BK247">{"",'S-10 Оформление сделок Выборка'!BK247}</f>
        <v/>
      </c>
      <c r="BK247" s="793"/>
      <c r="BL247" s="792" t="str">
        <f t="array" ref="BL247:BM247">{"",'S-10 Оформление сделок Выборка'!BM247}</f>
        <v/>
      </c>
      <c r="BM247" s="801"/>
      <c r="BN247" s="792" t="str">
        <f t="array" ref="BN247:BO247">{"",'S-10 Оформление сделок Выборка'!BO247}</f>
        <v/>
      </c>
      <c r="BO247" s="793"/>
      <c r="BP247" s="792" t="str">
        <f t="array" ref="BP247:BQ247">{"",'S-10 Оформление сделок Выборка'!BQ247}</f>
        <v/>
      </c>
      <c r="BQ247" s="802"/>
      <c r="BR247" s="792" t="str">
        <f t="array" ref="BR247:BS247">{"",'S-10 Оформление сделок Выборка'!BS247}</f>
        <v/>
      </c>
      <c r="BS247" s="794"/>
      <c r="BT247" s="800" t="str">
        <f t="array" ref="BT247:BU247">{"",'S-10 Оформление сделок Выборка'!BU247}</f>
        <v/>
      </c>
      <c r="BU247" s="794"/>
      <c r="BV247" s="800" t="str">
        <f t="array" ref="BV247:BW247">{"",'S-10 Оформление сделок Выборка'!BW247}</f>
        <v/>
      </c>
      <c r="BW247" s="803" t="s">
        <v>96</v>
      </c>
      <c r="BX247" s="804"/>
    </row>
    <row r="248">
      <c r="A248" s="779"/>
      <c r="B248" s="779"/>
      <c r="C248" s="780" t="str">
        <f>'5-1 Сбор КП Закупки'!C248</f>
        <v/>
      </c>
      <c r="D248" s="781"/>
      <c r="E248" s="780"/>
      <c r="F248" s="783"/>
      <c r="G248" s="783"/>
      <c r="H248" s="783"/>
      <c r="I248" s="783"/>
      <c r="J248" s="780"/>
      <c r="K248" s="786"/>
      <c r="L248" s="785"/>
      <c r="M248" s="786"/>
      <c r="N248" s="786"/>
      <c r="O248" s="780"/>
      <c r="P248" s="787"/>
      <c r="Q248" s="780"/>
      <c r="R248" s="780"/>
      <c r="S248" s="780"/>
      <c r="T248" s="780"/>
      <c r="U248" s="780"/>
      <c r="V248" s="780"/>
      <c r="W248" s="787"/>
      <c r="X248" s="780"/>
      <c r="Y248" s="780"/>
      <c r="Z248" s="780"/>
      <c r="AA248" s="780"/>
      <c r="AB248" s="788"/>
      <c r="AC248" s="781"/>
      <c r="AD248" s="780"/>
      <c r="AE248" s="789" t="str">
        <f t="array" ref="AE248:AF248">{"",'S-10 Оформление сделок Выборка'!AF248}</f>
        <v/>
      </c>
      <c r="AF248" s="790"/>
      <c r="AG248" s="781"/>
      <c r="AH248" s="781"/>
      <c r="AI248" s="785"/>
      <c r="AJ248" s="780"/>
      <c r="AK248" s="792" t="str">
        <f t="array" ref="AK248:AL248">{"",'S-10 Оформление сделок Выборка'!AL248}</f>
        <v/>
      </c>
      <c r="AL248" s="793"/>
      <c r="AM248" s="792" t="str">
        <f t="array" ref="AM248:AN248">{"",'S-10 Оформление сделок Выборка'!AN248}</f>
        <v/>
      </c>
      <c r="AN248" s="794"/>
      <c r="AO248" s="792" t="str">
        <f t="array" ref="AO248:AP248">{"",'S-10 Оформление сделок Выборка'!AP248}</f>
        <v/>
      </c>
      <c r="AP248" s="786"/>
      <c r="AQ248" s="786"/>
      <c r="AR248" s="779" t="str">
        <f t="array" ref="AR248:AS248">{"",'S-10 Оформление сделок Выборка'!AS248}</f>
        <v/>
      </c>
      <c r="AS248" s="795"/>
      <c r="AT248" s="779" t="str">
        <f t="array" ref="AT248:AU248">{"",'S-10 Оформление сделок Выборка'!AU248}</f>
        <v/>
      </c>
      <c r="AU248" s="805"/>
      <c r="AV248" s="779" t="str">
        <f t="array" ref="AV248:AW248">{"",'S-10 Оформление сделок Выборка'!AW248}</f>
        <v/>
      </c>
      <c r="AW248" s="797"/>
      <c r="AX248" s="786"/>
      <c r="AY248" s="786"/>
      <c r="AZ248" s="792" t="str">
        <f t="array" ref="AZ248:BA248">{"",'S-10 Оформление сделок Выборка'!BA248}</f>
        <v/>
      </c>
      <c r="BA248" s="798"/>
      <c r="BB248" s="792" t="str">
        <f t="array" ref="BB248:BC248">{"",'S-10 Оформление сделок Выборка'!BC248}</f>
        <v/>
      </c>
      <c r="BC248" s="799"/>
      <c r="BD248" s="792" t="str">
        <f t="array" ref="BD248:BE248">{"",'S-10 Оформление сделок Выборка'!BE248}</f>
        <v/>
      </c>
      <c r="BE248" s="793"/>
      <c r="BF248" s="800" t="str">
        <f t="array" ref="BF248:BG248">{"",'S-10 Оформление сделок Выборка'!BG248}</f>
        <v/>
      </c>
      <c r="BG248" s="794"/>
      <c r="BH248" s="794" t="str">
        <f t="array" ref="BH248:BI248">{"",'S-10 Оформление сделок Выборка'!BI248}</f>
        <v/>
      </c>
      <c r="BI248" s="794"/>
      <c r="BJ248" s="792" t="str">
        <f t="array" ref="BJ248:BK248">{"",'S-10 Оформление сделок Выборка'!BK248}</f>
        <v/>
      </c>
      <c r="BK248" s="793"/>
      <c r="BL248" s="792" t="str">
        <f t="array" ref="BL248:BM248">{"",'S-10 Оформление сделок Выборка'!BM248}</f>
        <v/>
      </c>
      <c r="BM248" s="801"/>
      <c r="BN248" s="792" t="str">
        <f t="array" ref="BN248:BO248">{"",'S-10 Оформление сделок Выборка'!BO248}</f>
        <v/>
      </c>
      <c r="BO248" s="793"/>
      <c r="BP248" s="792" t="str">
        <f t="array" ref="BP248:BQ248">{"",'S-10 Оформление сделок Выборка'!BQ248}</f>
        <v/>
      </c>
      <c r="BQ248" s="802"/>
      <c r="BR248" s="792" t="str">
        <f t="array" ref="BR248:BS248">{"",'S-10 Оформление сделок Выборка'!BS248}</f>
        <v/>
      </c>
      <c r="BS248" s="794"/>
      <c r="BT248" s="800" t="str">
        <f t="array" ref="BT248:BU248">{"",'S-10 Оформление сделок Выборка'!BU248}</f>
        <v/>
      </c>
      <c r="BU248" s="794"/>
      <c r="BV248" s="800" t="str">
        <f t="array" ref="BV248:BW248">{"",'S-10 Оформление сделок Выборка'!BW248}</f>
        <v/>
      </c>
      <c r="BW248" s="803" t="s">
        <v>96</v>
      </c>
      <c r="BX248" s="804"/>
    </row>
    <row r="249">
      <c r="A249" s="779"/>
      <c r="B249" s="779"/>
      <c r="C249" s="780" t="str">
        <f>'5-1 Сбор КП Закупки'!C249</f>
        <v/>
      </c>
      <c r="D249" s="781"/>
      <c r="E249" s="780"/>
      <c r="F249" s="783"/>
      <c r="G249" s="783"/>
      <c r="H249" s="783"/>
      <c r="I249" s="783"/>
      <c r="J249" s="780"/>
      <c r="K249" s="786"/>
      <c r="L249" s="785"/>
      <c r="M249" s="786"/>
      <c r="N249" s="786"/>
      <c r="O249" s="780"/>
      <c r="P249" s="787"/>
      <c r="Q249" s="780"/>
      <c r="R249" s="780"/>
      <c r="S249" s="780"/>
      <c r="T249" s="780"/>
      <c r="U249" s="780"/>
      <c r="V249" s="780"/>
      <c r="W249" s="787"/>
      <c r="X249" s="780"/>
      <c r="Y249" s="780"/>
      <c r="Z249" s="780"/>
      <c r="AA249" s="780"/>
      <c r="AB249" s="788"/>
      <c r="AC249" s="781"/>
      <c r="AD249" s="780"/>
      <c r="AE249" s="789" t="str">
        <f t="array" ref="AE249:AF249">{"",'S-10 Оформление сделок Выборка'!AF249}</f>
        <v/>
      </c>
      <c r="AF249" s="790"/>
      <c r="AG249" s="781"/>
      <c r="AH249" s="781"/>
      <c r="AI249" s="785"/>
      <c r="AJ249" s="780"/>
      <c r="AK249" s="792" t="str">
        <f t="array" ref="AK249:AL249">{"",'S-10 Оформление сделок Выборка'!AL249}</f>
        <v/>
      </c>
      <c r="AL249" s="793"/>
      <c r="AM249" s="792" t="str">
        <f t="array" ref="AM249:AN249">{"",'S-10 Оформление сделок Выборка'!AN249}</f>
        <v/>
      </c>
      <c r="AN249" s="794"/>
      <c r="AO249" s="792" t="str">
        <f t="array" ref="AO249:AP249">{"",'S-10 Оформление сделок Выборка'!AP249}</f>
        <v/>
      </c>
      <c r="AP249" s="786"/>
      <c r="AQ249" s="786"/>
      <c r="AR249" s="779" t="str">
        <f t="array" ref="AR249:AS249">{"",'S-10 Оформление сделок Выборка'!AS249}</f>
        <v/>
      </c>
      <c r="AS249" s="795"/>
      <c r="AT249" s="779" t="str">
        <f t="array" ref="AT249:AU249">{"",'S-10 Оформление сделок Выборка'!AU249}</f>
        <v/>
      </c>
      <c r="AU249" s="805"/>
      <c r="AV249" s="779" t="str">
        <f t="array" ref="AV249:AW249">{"",'S-10 Оформление сделок Выборка'!AW249}</f>
        <v/>
      </c>
      <c r="AW249" s="797"/>
      <c r="AX249" s="786"/>
      <c r="AY249" s="786"/>
      <c r="AZ249" s="792" t="str">
        <f t="array" ref="AZ249:BA249">{"",'S-10 Оформление сделок Выборка'!BA249}</f>
        <v/>
      </c>
      <c r="BA249" s="798"/>
      <c r="BB249" s="792" t="str">
        <f t="array" ref="BB249:BC249">{"",'S-10 Оформление сделок Выборка'!BC249}</f>
        <v/>
      </c>
      <c r="BC249" s="799"/>
      <c r="BD249" s="792" t="str">
        <f t="array" ref="BD249:BE249">{"",'S-10 Оформление сделок Выборка'!BE249}</f>
        <v/>
      </c>
      <c r="BE249" s="793"/>
      <c r="BF249" s="800" t="str">
        <f t="array" ref="BF249:BG249">{"",'S-10 Оформление сделок Выборка'!BG249}</f>
        <v/>
      </c>
      <c r="BG249" s="794"/>
      <c r="BH249" s="794" t="str">
        <f t="array" ref="BH249:BI249">{"",'S-10 Оформление сделок Выборка'!BI249}</f>
        <v/>
      </c>
      <c r="BI249" s="794"/>
      <c r="BJ249" s="792" t="str">
        <f t="array" ref="BJ249:BK249">{"",'S-10 Оформление сделок Выборка'!BK249}</f>
        <v/>
      </c>
      <c r="BK249" s="793"/>
      <c r="BL249" s="792" t="str">
        <f t="array" ref="BL249:BM249">{"",'S-10 Оформление сделок Выборка'!BM249}</f>
        <v/>
      </c>
      <c r="BM249" s="801"/>
      <c r="BN249" s="792" t="str">
        <f t="array" ref="BN249:BO249">{"",'S-10 Оформление сделок Выборка'!BO249}</f>
        <v/>
      </c>
      <c r="BO249" s="793"/>
      <c r="BP249" s="792" t="str">
        <f t="array" ref="BP249:BQ249">{"",'S-10 Оформление сделок Выборка'!BQ249}</f>
        <v/>
      </c>
      <c r="BQ249" s="802"/>
      <c r="BR249" s="792" t="str">
        <f t="array" ref="BR249:BS249">{"",'S-10 Оформление сделок Выборка'!BS249}</f>
        <v/>
      </c>
      <c r="BS249" s="794"/>
      <c r="BT249" s="800" t="str">
        <f t="array" ref="BT249:BU249">{"",'S-10 Оформление сделок Выборка'!BU249}</f>
        <v/>
      </c>
      <c r="BU249" s="794"/>
      <c r="BV249" s="800" t="str">
        <f t="array" ref="BV249:BW249">{"",'S-10 Оформление сделок Выборка'!BW249}</f>
        <v/>
      </c>
      <c r="BW249" s="803" t="s">
        <v>96</v>
      </c>
      <c r="BX249" s="804"/>
    </row>
    <row r="250">
      <c r="A250" s="779"/>
      <c r="B250" s="779"/>
      <c r="C250" s="780" t="str">
        <f>'5-1 Сбор КП Закупки'!C250</f>
        <v/>
      </c>
      <c r="D250" s="781"/>
      <c r="E250" s="780"/>
      <c r="F250" s="783"/>
      <c r="G250" s="783"/>
      <c r="H250" s="783"/>
      <c r="I250" s="783"/>
      <c r="J250" s="780"/>
      <c r="K250" s="786"/>
      <c r="L250" s="785"/>
      <c r="M250" s="786"/>
      <c r="N250" s="786"/>
      <c r="O250" s="780"/>
      <c r="P250" s="787"/>
      <c r="Q250" s="780"/>
      <c r="R250" s="780"/>
      <c r="S250" s="780"/>
      <c r="T250" s="780"/>
      <c r="U250" s="780"/>
      <c r="V250" s="780"/>
      <c r="W250" s="787"/>
      <c r="X250" s="780"/>
      <c r="Y250" s="780"/>
      <c r="Z250" s="780"/>
      <c r="AA250" s="780"/>
      <c r="AB250" s="788"/>
      <c r="AC250" s="781"/>
      <c r="AD250" s="780"/>
      <c r="AE250" s="789" t="str">
        <f t="array" ref="AE250:AF250">{"",'S-10 Оформление сделок Выборка'!AF250}</f>
        <v/>
      </c>
      <c r="AF250" s="790"/>
      <c r="AG250" s="781"/>
      <c r="AH250" s="781"/>
      <c r="AI250" s="785"/>
      <c r="AJ250" s="780"/>
      <c r="AK250" s="792" t="str">
        <f t="array" ref="AK250:AL250">{"",'S-10 Оформление сделок Выборка'!AL250}</f>
        <v/>
      </c>
      <c r="AL250" s="793"/>
      <c r="AM250" s="792" t="str">
        <f t="array" ref="AM250:AN250">{"",'S-10 Оформление сделок Выборка'!AN250}</f>
        <v/>
      </c>
      <c r="AN250" s="794"/>
      <c r="AO250" s="792" t="str">
        <f t="array" ref="AO250:AP250">{"",'S-10 Оформление сделок Выборка'!AP250}</f>
        <v/>
      </c>
      <c r="AP250" s="786"/>
      <c r="AQ250" s="786"/>
      <c r="AR250" s="779" t="str">
        <f t="array" ref="AR250:AS250">{"",'S-10 Оформление сделок Выборка'!AS250}</f>
        <v/>
      </c>
      <c r="AS250" s="795"/>
      <c r="AT250" s="779" t="str">
        <f t="array" ref="AT250:AU250">{"",'S-10 Оформление сделок Выборка'!AU250}</f>
        <v/>
      </c>
      <c r="AU250" s="805"/>
      <c r="AV250" s="779" t="str">
        <f t="array" ref="AV250:AW250">{"",'S-10 Оформление сделок Выборка'!AW250}</f>
        <v/>
      </c>
      <c r="AW250" s="797"/>
      <c r="AX250" s="786"/>
      <c r="AY250" s="786"/>
      <c r="AZ250" s="792" t="str">
        <f t="array" ref="AZ250:BA250">{"",'S-10 Оформление сделок Выборка'!BA250}</f>
        <v/>
      </c>
      <c r="BA250" s="798"/>
      <c r="BB250" s="792" t="str">
        <f t="array" ref="BB250:BC250">{"",'S-10 Оформление сделок Выборка'!BC250}</f>
        <v/>
      </c>
      <c r="BC250" s="799"/>
      <c r="BD250" s="792" t="str">
        <f t="array" ref="BD250:BE250">{"",'S-10 Оформление сделок Выборка'!BE250}</f>
        <v/>
      </c>
      <c r="BE250" s="793"/>
      <c r="BF250" s="800" t="str">
        <f t="array" ref="BF250:BG250">{"",'S-10 Оформление сделок Выборка'!BG250}</f>
        <v/>
      </c>
      <c r="BG250" s="794"/>
      <c r="BH250" s="794" t="str">
        <f t="array" ref="BH250:BI250">{"",'S-10 Оформление сделок Выборка'!BI250}</f>
        <v/>
      </c>
      <c r="BI250" s="794"/>
      <c r="BJ250" s="792" t="str">
        <f t="array" ref="BJ250:BK250">{"",'S-10 Оформление сделок Выборка'!BK250}</f>
        <v/>
      </c>
      <c r="BK250" s="793"/>
      <c r="BL250" s="792" t="str">
        <f t="array" ref="BL250:BM250">{"",'S-10 Оформление сделок Выборка'!BM250}</f>
        <v/>
      </c>
      <c r="BM250" s="801"/>
      <c r="BN250" s="792" t="str">
        <f t="array" ref="BN250:BO250">{"",'S-10 Оформление сделок Выборка'!BO250}</f>
        <v/>
      </c>
      <c r="BO250" s="793"/>
      <c r="BP250" s="792" t="str">
        <f t="array" ref="BP250:BQ250">{"",'S-10 Оформление сделок Выборка'!BQ250}</f>
        <v/>
      </c>
      <c r="BQ250" s="802"/>
      <c r="BR250" s="792" t="str">
        <f t="array" ref="BR250:BS250">{"",'S-10 Оформление сделок Выборка'!BS250}</f>
        <v/>
      </c>
      <c r="BS250" s="794"/>
      <c r="BT250" s="800" t="str">
        <f t="array" ref="BT250:BU250">{"",'S-10 Оформление сделок Выборка'!BU250}</f>
        <v/>
      </c>
      <c r="BU250" s="794"/>
      <c r="BV250" s="800" t="str">
        <f t="array" ref="BV250:BW250">{"",'S-10 Оформление сделок Выборка'!BW250}</f>
        <v/>
      </c>
      <c r="BW250" s="803" t="s">
        <v>96</v>
      </c>
      <c r="BX250" s="804"/>
    </row>
    <row r="251">
      <c r="A251" s="779"/>
      <c r="B251" s="779"/>
      <c r="C251" s="780" t="str">
        <f>'5-1 Сбор КП Закупки'!C251</f>
        <v/>
      </c>
      <c r="D251" s="781"/>
      <c r="E251" s="780"/>
      <c r="F251" s="783"/>
      <c r="G251" s="783"/>
      <c r="H251" s="783"/>
      <c r="I251" s="783"/>
      <c r="J251" s="780"/>
      <c r="K251" s="786"/>
      <c r="L251" s="785"/>
      <c r="M251" s="786"/>
      <c r="N251" s="786"/>
      <c r="O251" s="780"/>
      <c r="P251" s="787"/>
      <c r="Q251" s="780"/>
      <c r="R251" s="780"/>
      <c r="S251" s="780"/>
      <c r="T251" s="780"/>
      <c r="U251" s="780"/>
      <c r="V251" s="780"/>
      <c r="W251" s="787"/>
      <c r="X251" s="780"/>
      <c r="Y251" s="780"/>
      <c r="Z251" s="780"/>
      <c r="AA251" s="780"/>
      <c r="AB251" s="788"/>
      <c r="AC251" s="781"/>
      <c r="AD251" s="780"/>
      <c r="AE251" s="789" t="str">
        <f t="array" ref="AE251:AF251">{"",'S-10 Оформление сделок Выборка'!AF251}</f>
        <v/>
      </c>
      <c r="AF251" s="790"/>
      <c r="AG251" s="781"/>
      <c r="AH251" s="781"/>
      <c r="AI251" s="785"/>
      <c r="AJ251" s="780"/>
      <c r="AK251" s="792" t="str">
        <f t="array" ref="AK251:AL251">{"",'S-10 Оформление сделок Выборка'!AL251}</f>
        <v/>
      </c>
      <c r="AL251" s="793"/>
      <c r="AM251" s="792" t="str">
        <f t="array" ref="AM251:AN251">{"",'S-10 Оформление сделок Выборка'!AN251}</f>
        <v/>
      </c>
      <c r="AN251" s="794"/>
      <c r="AO251" s="792" t="str">
        <f t="array" ref="AO251:AP251">{"",'S-10 Оформление сделок Выборка'!AP251}</f>
        <v/>
      </c>
      <c r="AP251" s="786"/>
      <c r="AQ251" s="786"/>
      <c r="AR251" s="779" t="str">
        <f t="array" ref="AR251:AS251">{"",'S-10 Оформление сделок Выборка'!AS251}</f>
        <v/>
      </c>
      <c r="AS251" s="795"/>
      <c r="AT251" s="779" t="str">
        <f t="array" ref="AT251:AU251">{"",'S-10 Оформление сделок Выборка'!AU251}</f>
        <v/>
      </c>
      <c r="AU251" s="805"/>
      <c r="AV251" s="779" t="str">
        <f t="array" ref="AV251:AW251">{"",'S-10 Оформление сделок Выборка'!AW251}</f>
        <v/>
      </c>
      <c r="AW251" s="797"/>
      <c r="AX251" s="786"/>
      <c r="AY251" s="786"/>
      <c r="AZ251" s="792" t="str">
        <f t="array" ref="AZ251:BA251">{"",'S-10 Оформление сделок Выборка'!BA251}</f>
        <v/>
      </c>
      <c r="BA251" s="798"/>
      <c r="BB251" s="792" t="str">
        <f t="array" ref="BB251:BC251">{"",'S-10 Оформление сделок Выборка'!BC251}</f>
        <v/>
      </c>
      <c r="BC251" s="799"/>
      <c r="BD251" s="792" t="str">
        <f t="array" ref="BD251:BE251">{"",'S-10 Оформление сделок Выборка'!BE251}</f>
        <v/>
      </c>
      <c r="BE251" s="793"/>
      <c r="BF251" s="800" t="str">
        <f t="array" ref="BF251:BG251">{"",'S-10 Оформление сделок Выборка'!BG251}</f>
        <v/>
      </c>
      <c r="BG251" s="794"/>
      <c r="BH251" s="794" t="str">
        <f t="array" ref="BH251:BI251">{"",'S-10 Оформление сделок Выборка'!BI251}</f>
        <v/>
      </c>
      <c r="BI251" s="794"/>
      <c r="BJ251" s="792" t="str">
        <f t="array" ref="BJ251:BK251">{"",'S-10 Оформление сделок Выборка'!BK251}</f>
        <v/>
      </c>
      <c r="BK251" s="793"/>
      <c r="BL251" s="792" t="str">
        <f t="array" ref="BL251:BM251">{"",'S-10 Оформление сделок Выборка'!BM251}</f>
        <v/>
      </c>
      <c r="BM251" s="801"/>
      <c r="BN251" s="792" t="str">
        <f t="array" ref="BN251:BO251">{"",'S-10 Оформление сделок Выборка'!BO251}</f>
        <v/>
      </c>
      <c r="BO251" s="793"/>
      <c r="BP251" s="792" t="str">
        <f t="array" ref="BP251:BQ251">{"",'S-10 Оформление сделок Выборка'!BQ251}</f>
        <v/>
      </c>
      <c r="BQ251" s="802"/>
      <c r="BR251" s="792" t="str">
        <f t="array" ref="BR251:BS251">{"",'S-10 Оформление сделок Выборка'!BS251}</f>
        <v/>
      </c>
      <c r="BS251" s="794"/>
      <c r="BT251" s="800" t="str">
        <f t="array" ref="BT251:BU251">{"",'S-10 Оформление сделок Выборка'!BU251}</f>
        <v/>
      </c>
      <c r="BU251" s="794"/>
      <c r="BV251" s="800" t="str">
        <f t="array" ref="BV251:BW251">{"",'S-10 Оформление сделок Выборка'!BW251}</f>
        <v/>
      </c>
      <c r="BW251" s="803" t="s">
        <v>96</v>
      </c>
      <c r="BX251" s="804"/>
    </row>
    <row r="252">
      <c r="A252" s="779"/>
      <c r="B252" s="779"/>
      <c r="C252" s="780" t="str">
        <f>'5-1 Сбор КП Закупки'!C252</f>
        <v/>
      </c>
      <c r="D252" s="781"/>
      <c r="E252" s="780"/>
      <c r="F252" s="783"/>
      <c r="G252" s="783"/>
      <c r="H252" s="783"/>
      <c r="I252" s="783"/>
      <c r="J252" s="780"/>
      <c r="K252" s="786"/>
      <c r="L252" s="785"/>
      <c r="M252" s="786"/>
      <c r="N252" s="786"/>
      <c r="O252" s="780"/>
      <c r="P252" s="787"/>
      <c r="Q252" s="780"/>
      <c r="R252" s="780"/>
      <c r="S252" s="780"/>
      <c r="T252" s="780"/>
      <c r="U252" s="780"/>
      <c r="V252" s="780"/>
      <c r="W252" s="787"/>
      <c r="X252" s="780"/>
      <c r="Y252" s="780"/>
      <c r="Z252" s="780"/>
      <c r="AA252" s="780"/>
      <c r="AB252" s="788"/>
      <c r="AC252" s="781"/>
      <c r="AD252" s="780"/>
      <c r="AE252" s="789" t="str">
        <f t="array" ref="AE252:AF252">{"",'S-10 Оформление сделок Выборка'!AF252}</f>
        <v/>
      </c>
      <c r="AF252" s="790"/>
      <c r="AG252" s="781"/>
      <c r="AH252" s="781"/>
      <c r="AI252" s="785"/>
      <c r="AJ252" s="780"/>
      <c r="AK252" s="792" t="str">
        <f t="array" ref="AK252:AL252">{"",'S-10 Оформление сделок Выборка'!AL252}</f>
        <v/>
      </c>
      <c r="AL252" s="793"/>
      <c r="AM252" s="792" t="str">
        <f t="array" ref="AM252:AN252">{"",'S-10 Оформление сделок Выборка'!AN252}</f>
        <v/>
      </c>
      <c r="AN252" s="794"/>
      <c r="AO252" s="792" t="str">
        <f t="array" ref="AO252:AP252">{"",'S-10 Оформление сделок Выборка'!AP252}</f>
        <v/>
      </c>
      <c r="AP252" s="786"/>
      <c r="AQ252" s="786"/>
      <c r="AR252" s="779" t="str">
        <f t="array" ref="AR252:AS252">{"",'S-10 Оформление сделок Выборка'!AS252}</f>
        <v/>
      </c>
      <c r="AS252" s="795"/>
      <c r="AT252" s="779" t="str">
        <f t="array" ref="AT252:AU252">{"",'S-10 Оформление сделок Выборка'!AU252}</f>
        <v/>
      </c>
      <c r="AU252" s="805"/>
      <c r="AV252" s="779" t="str">
        <f t="array" ref="AV252:AW252">{"",'S-10 Оформление сделок Выборка'!AW252}</f>
        <v/>
      </c>
      <c r="AW252" s="797"/>
      <c r="AX252" s="786"/>
      <c r="AY252" s="786"/>
      <c r="AZ252" s="792" t="str">
        <f t="array" ref="AZ252:BA252">{"",'S-10 Оформление сделок Выборка'!BA252}</f>
        <v/>
      </c>
      <c r="BA252" s="798"/>
      <c r="BB252" s="792" t="str">
        <f t="array" ref="BB252:BC252">{"",'S-10 Оформление сделок Выборка'!BC252}</f>
        <v/>
      </c>
      <c r="BC252" s="799"/>
      <c r="BD252" s="792" t="str">
        <f t="array" ref="BD252:BE252">{"",'S-10 Оформление сделок Выборка'!BE252}</f>
        <v/>
      </c>
      <c r="BE252" s="793"/>
      <c r="BF252" s="800" t="str">
        <f t="array" ref="BF252:BG252">{"",'S-10 Оформление сделок Выборка'!BG252}</f>
        <v/>
      </c>
      <c r="BG252" s="794"/>
      <c r="BH252" s="794" t="str">
        <f t="array" ref="BH252:BI252">{"",'S-10 Оформление сделок Выборка'!BI252}</f>
        <v/>
      </c>
      <c r="BI252" s="794"/>
      <c r="BJ252" s="792" t="str">
        <f t="array" ref="BJ252:BK252">{"",'S-10 Оформление сделок Выборка'!BK252}</f>
        <v/>
      </c>
      <c r="BK252" s="793"/>
      <c r="BL252" s="792" t="str">
        <f t="array" ref="BL252:BM252">{"",'S-10 Оформление сделок Выборка'!BM252}</f>
        <v/>
      </c>
      <c r="BM252" s="801"/>
      <c r="BN252" s="792" t="str">
        <f t="array" ref="BN252:BO252">{"",'S-10 Оформление сделок Выборка'!BO252}</f>
        <v/>
      </c>
      <c r="BO252" s="793"/>
      <c r="BP252" s="792" t="str">
        <f t="array" ref="BP252:BQ252">{"",'S-10 Оформление сделок Выборка'!BQ252}</f>
        <v/>
      </c>
      <c r="BQ252" s="802"/>
      <c r="BR252" s="792" t="str">
        <f t="array" ref="BR252:BS252">{"",'S-10 Оформление сделок Выборка'!BS252}</f>
        <v/>
      </c>
      <c r="BS252" s="794"/>
      <c r="BT252" s="800" t="str">
        <f t="array" ref="BT252:BU252">{"",'S-10 Оформление сделок Выборка'!BU252}</f>
        <v/>
      </c>
      <c r="BU252" s="794"/>
      <c r="BV252" s="800" t="str">
        <f t="array" ref="BV252:BW252">{"",'S-10 Оформление сделок Выборка'!BW252}</f>
        <v/>
      </c>
      <c r="BW252" s="803" t="s">
        <v>96</v>
      </c>
      <c r="BX252" s="804"/>
    </row>
    <row r="253">
      <c r="A253" s="779"/>
      <c r="B253" s="779"/>
      <c r="C253" s="780" t="str">
        <f>'5-1 Сбор КП Закупки'!C253</f>
        <v/>
      </c>
      <c r="D253" s="781"/>
      <c r="E253" s="780"/>
      <c r="F253" s="783"/>
      <c r="G253" s="783"/>
      <c r="H253" s="783"/>
      <c r="I253" s="783"/>
      <c r="J253" s="780"/>
      <c r="K253" s="786"/>
      <c r="L253" s="785"/>
      <c r="M253" s="786"/>
      <c r="N253" s="786"/>
      <c r="O253" s="780"/>
      <c r="P253" s="787"/>
      <c r="Q253" s="780"/>
      <c r="R253" s="780"/>
      <c r="S253" s="780"/>
      <c r="T253" s="780"/>
      <c r="U253" s="780"/>
      <c r="V253" s="780"/>
      <c r="W253" s="787"/>
      <c r="X253" s="780"/>
      <c r="Y253" s="780"/>
      <c r="Z253" s="780"/>
      <c r="AA253" s="780"/>
      <c r="AB253" s="788"/>
      <c r="AC253" s="781"/>
      <c r="AD253" s="780"/>
      <c r="AE253" s="789" t="str">
        <f t="array" ref="AE253:AF253">{"",'S-10 Оформление сделок Выборка'!AF253}</f>
        <v/>
      </c>
      <c r="AF253" s="790"/>
      <c r="AG253" s="781"/>
      <c r="AH253" s="781"/>
      <c r="AI253" s="785"/>
      <c r="AJ253" s="780"/>
      <c r="AK253" s="792" t="str">
        <f t="array" ref="AK253:AL253">{"",'S-10 Оформление сделок Выборка'!AL253}</f>
        <v/>
      </c>
      <c r="AL253" s="793"/>
      <c r="AM253" s="792" t="str">
        <f t="array" ref="AM253:AN253">{"",'S-10 Оформление сделок Выборка'!AN253}</f>
        <v/>
      </c>
      <c r="AN253" s="794"/>
      <c r="AO253" s="792" t="str">
        <f t="array" ref="AO253:AP253">{"",'S-10 Оформление сделок Выборка'!AP253}</f>
        <v/>
      </c>
      <c r="AP253" s="786"/>
      <c r="AQ253" s="786"/>
      <c r="AR253" s="779" t="str">
        <f t="array" ref="AR253:AS253">{"",'S-10 Оформление сделок Выборка'!AS253}</f>
        <v/>
      </c>
      <c r="AS253" s="795"/>
      <c r="AT253" s="779" t="str">
        <f t="array" ref="AT253:AU253">{"",'S-10 Оформление сделок Выборка'!AU253}</f>
        <v/>
      </c>
      <c r="AU253" s="805"/>
      <c r="AV253" s="779" t="str">
        <f t="array" ref="AV253:AW253">{"",'S-10 Оформление сделок Выборка'!AW253}</f>
        <v/>
      </c>
      <c r="AW253" s="797"/>
      <c r="AX253" s="786"/>
      <c r="AY253" s="786"/>
      <c r="AZ253" s="792" t="str">
        <f t="array" ref="AZ253:BA253">{"",'S-10 Оформление сделок Выборка'!BA253}</f>
        <v/>
      </c>
      <c r="BA253" s="798"/>
      <c r="BB253" s="792" t="str">
        <f t="array" ref="BB253:BC253">{"",'S-10 Оформление сделок Выборка'!BC253}</f>
        <v/>
      </c>
      <c r="BC253" s="799"/>
      <c r="BD253" s="792" t="str">
        <f t="array" ref="BD253:BE253">{"",'S-10 Оформление сделок Выборка'!BE253}</f>
        <v/>
      </c>
      <c r="BE253" s="793"/>
      <c r="BF253" s="800" t="str">
        <f t="array" ref="BF253:BG253">{"",'S-10 Оформление сделок Выборка'!BG253}</f>
        <v/>
      </c>
      <c r="BG253" s="794"/>
      <c r="BH253" s="794" t="str">
        <f t="array" ref="BH253:BI253">{"",'S-10 Оформление сделок Выборка'!BI253}</f>
        <v/>
      </c>
      <c r="BI253" s="794"/>
      <c r="BJ253" s="792" t="str">
        <f t="array" ref="BJ253:BK253">{"",'S-10 Оформление сделок Выборка'!BK253}</f>
        <v/>
      </c>
      <c r="BK253" s="793"/>
      <c r="BL253" s="792" t="str">
        <f t="array" ref="BL253:BM253">{"",'S-10 Оформление сделок Выборка'!BM253}</f>
        <v/>
      </c>
      <c r="BM253" s="801"/>
      <c r="BN253" s="792" t="str">
        <f t="array" ref="BN253:BO253">{"",'S-10 Оформление сделок Выборка'!BO253}</f>
        <v/>
      </c>
      <c r="BO253" s="793"/>
      <c r="BP253" s="792" t="str">
        <f t="array" ref="BP253:BQ253">{"",'S-10 Оформление сделок Выборка'!BQ253}</f>
        <v/>
      </c>
      <c r="BQ253" s="802"/>
      <c r="BR253" s="792" t="str">
        <f t="array" ref="BR253:BS253">{"",'S-10 Оформление сделок Выборка'!BS253}</f>
        <v/>
      </c>
      <c r="BS253" s="794"/>
      <c r="BT253" s="800" t="str">
        <f t="array" ref="BT253:BU253">{"",'S-10 Оформление сделок Выборка'!BU253}</f>
        <v/>
      </c>
      <c r="BU253" s="794"/>
      <c r="BV253" s="800" t="str">
        <f t="array" ref="BV253:BW253">{"",'S-10 Оформление сделок Выборка'!BW253}</f>
        <v/>
      </c>
      <c r="BW253" s="803" t="s">
        <v>96</v>
      </c>
      <c r="BX253" s="804"/>
    </row>
    <row r="254">
      <c r="A254" s="779"/>
      <c r="B254" s="779"/>
      <c r="C254" s="780" t="str">
        <f>'5-1 Сбор КП Закупки'!C254</f>
        <v/>
      </c>
      <c r="D254" s="781"/>
      <c r="E254" s="780"/>
      <c r="F254" s="783"/>
      <c r="G254" s="783"/>
      <c r="H254" s="783"/>
      <c r="I254" s="783"/>
      <c r="J254" s="780"/>
      <c r="K254" s="786"/>
      <c r="L254" s="785"/>
      <c r="M254" s="786"/>
      <c r="N254" s="786"/>
      <c r="O254" s="780"/>
      <c r="P254" s="787"/>
      <c r="Q254" s="780"/>
      <c r="R254" s="780"/>
      <c r="S254" s="780"/>
      <c r="T254" s="780"/>
      <c r="U254" s="780"/>
      <c r="V254" s="780"/>
      <c r="W254" s="787"/>
      <c r="X254" s="780"/>
      <c r="Y254" s="780"/>
      <c r="Z254" s="780"/>
      <c r="AA254" s="780"/>
      <c r="AB254" s="788"/>
      <c r="AC254" s="781"/>
      <c r="AD254" s="780"/>
      <c r="AE254" s="789" t="str">
        <f t="array" ref="AE254:AF254">{"",'S-10 Оформление сделок Выборка'!AF254}</f>
        <v/>
      </c>
      <c r="AF254" s="790"/>
      <c r="AG254" s="781"/>
      <c r="AH254" s="781"/>
      <c r="AI254" s="785"/>
      <c r="AJ254" s="780"/>
      <c r="AK254" s="792" t="str">
        <f t="array" ref="AK254:AL254">{"",'S-10 Оформление сделок Выборка'!AL254}</f>
        <v/>
      </c>
      <c r="AL254" s="793"/>
      <c r="AM254" s="792" t="str">
        <f t="array" ref="AM254:AN254">{"",'S-10 Оформление сделок Выборка'!AN254}</f>
        <v/>
      </c>
      <c r="AN254" s="794"/>
      <c r="AO254" s="792" t="str">
        <f t="array" ref="AO254:AP254">{"",'S-10 Оформление сделок Выборка'!AP254}</f>
        <v/>
      </c>
      <c r="AP254" s="786"/>
      <c r="AQ254" s="786"/>
      <c r="AR254" s="779" t="str">
        <f t="array" ref="AR254:AS254">{"",'S-10 Оформление сделок Выборка'!AS254}</f>
        <v/>
      </c>
      <c r="AS254" s="795"/>
      <c r="AT254" s="779" t="str">
        <f t="array" ref="AT254:AU254">{"",'S-10 Оформление сделок Выборка'!AU254}</f>
        <v/>
      </c>
      <c r="AU254" s="805"/>
      <c r="AV254" s="779" t="str">
        <f t="array" ref="AV254:AW254">{"",'S-10 Оформление сделок Выборка'!AW254}</f>
        <v/>
      </c>
      <c r="AW254" s="797"/>
      <c r="AX254" s="786"/>
      <c r="AY254" s="786"/>
      <c r="AZ254" s="792" t="str">
        <f t="array" ref="AZ254:BA254">{"",'S-10 Оформление сделок Выборка'!BA254}</f>
        <v/>
      </c>
      <c r="BA254" s="798"/>
      <c r="BB254" s="792" t="str">
        <f t="array" ref="BB254:BC254">{"",'S-10 Оформление сделок Выборка'!BC254}</f>
        <v/>
      </c>
      <c r="BC254" s="799"/>
      <c r="BD254" s="792" t="str">
        <f t="array" ref="BD254:BE254">{"",'S-10 Оформление сделок Выборка'!BE254}</f>
        <v/>
      </c>
      <c r="BE254" s="793"/>
      <c r="BF254" s="800" t="str">
        <f t="array" ref="BF254:BG254">{"",'S-10 Оформление сделок Выборка'!BG254}</f>
        <v/>
      </c>
      <c r="BG254" s="794"/>
      <c r="BH254" s="794" t="str">
        <f t="array" ref="BH254:BI254">{"",'S-10 Оформление сделок Выборка'!BI254}</f>
        <v/>
      </c>
      <c r="BI254" s="794"/>
      <c r="BJ254" s="792" t="str">
        <f t="array" ref="BJ254:BK254">{"",'S-10 Оформление сделок Выборка'!BK254}</f>
        <v/>
      </c>
      <c r="BK254" s="793"/>
      <c r="BL254" s="792" t="str">
        <f t="array" ref="BL254:BM254">{"",'S-10 Оформление сделок Выборка'!BM254}</f>
        <v/>
      </c>
      <c r="BM254" s="801"/>
      <c r="BN254" s="792" t="str">
        <f t="array" ref="BN254:BO254">{"",'S-10 Оформление сделок Выборка'!BO254}</f>
        <v/>
      </c>
      <c r="BO254" s="793"/>
      <c r="BP254" s="792" t="str">
        <f t="array" ref="BP254:BQ254">{"",'S-10 Оформление сделок Выборка'!BQ254}</f>
        <v/>
      </c>
      <c r="BQ254" s="802"/>
      <c r="BR254" s="792" t="str">
        <f t="array" ref="BR254:BS254">{"",'S-10 Оформление сделок Выборка'!BS254}</f>
        <v/>
      </c>
      <c r="BS254" s="794"/>
      <c r="BT254" s="800" t="str">
        <f t="array" ref="BT254:BU254">{"",'S-10 Оформление сделок Выборка'!BU254}</f>
        <v/>
      </c>
      <c r="BU254" s="794"/>
      <c r="BV254" s="800" t="str">
        <f t="array" ref="BV254:BW254">{"",'S-10 Оформление сделок Выборка'!BW254}</f>
        <v/>
      </c>
      <c r="BW254" s="803" t="s">
        <v>96</v>
      </c>
      <c r="BX254" s="804"/>
    </row>
    <row r="255">
      <c r="A255" s="779"/>
      <c r="B255" s="779"/>
      <c r="C255" s="780" t="str">
        <f>'5-1 Сбор КП Закупки'!C255</f>
        <v/>
      </c>
      <c r="D255" s="781"/>
      <c r="E255" s="780"/>
      <c r="F255" s="783"/>
      <c r="G255" s="783"/>
      <c r="H255" s="783"/>
      <c r="I255" s="783"/>
      <c r="J255" s="780"/>
      <c r="K255" s="786"/>
      <c r="L255" s="785"/>
      <c r="M255" s="786"/>
      <c r="N255" s="786"/>
      <c r="O255" s="780"/>
      <c r="P255" s="787"/>
      <c r="Q255" s="780"/>
      <c r="R255" s="780"/>
      <c r="S255" s="780"/>
      <c r="T255" s="780"/>
      <c r="U255" s="780"/>
      <c r="V255" s="780"/>
      <c r="W255" s="787"/>
      <c r="X255" s="780"/>
      <c r="Y255" s="780"/>
      <c r="Z255" s="780"/>
      <c r="AA255" s="780"/>
      <c r="AB255" s="788"/>
      <c r="AC255" s="781"/>
      <c r="AD255" s="780"/>
      <c r="AE255" s="789" t="str">
        <f t="array" ref="AE255:AF255">{"",'S-10 Оформление сделок Выборка'!AF255}</f>
        <v/>
      </c>
      <c r="AF255" s="790"/>
      <c r="AG255" s="781"/>
      <c r="AH255" s="781"/>
      <c r="AI255" s="785"/>
      <c r="AJ255" s="780"/>
      <c r="AK255" s="792" t="str">
        <f t="array" ref="AK255:AL255">{"",'S-10 Оформление сделок Выборка'!AL255}</f>
        <v/>
      </c>
      <c r="AL255" s="793"/>
      <c r="AM255" s="792" t="str">
        <f t="array" ref="AM255:AN255">{"",'S-10 Оформление сделок Выборка'!AN255}</f>
        <v/>
      </c>
      <c r="AN255" s="794"/>
      <c r="AO255" s="792" t="str">
        <f t="array" ref="AO255:AP255">{"",'S-10 Оформление сделок Выборка'!AP255}</f>
        <v/>
      </c>
      <c r="AP255" s="786"/>
      <c r="AQ255" s="786"/>
      <c r="AR255" s="779" t="str">
        <f t="array" ref="AR255:AS255">{"",'S-10 Оформление сделок Выборка'!AS255}</f>
        <v/>
      </c>
      <c r="AS255" s="795"/>
      <c r="AT255" s="779" t="str">
        <f t="array" ref="AT255:AU255">{"",'S-10 Оформление сделок Выборка'!AU255}</f>
        <v/>
      </c>
      <c r="AU255" s="805"/>
      <c r="AV255" s="779" t="str">
        <f t="array" ref="AV255:AW255">{"",'S-10 Оформление сделок Выборка'!AW255}</f>
        <v/>
      </c>
      <c r="AW255" s="797"/>
      <c r="AX255" s="786"/>
      <c r="AY255" s="786"/>
      <c r="AZ255" s="792" t="str">
        <f t="array" ref="AZ255:BA255">{"",'S-10 Оформление сделок Выборка'!BA255}</f>
        <v/>
      </c>
      <c r="BA255" s="798"/>
      <c r="BB255" s="792" t="str">
        <f t="array" ref="BB255:BC255">{"",'S-10 Оформление сделок Выборка'!BC255}</f>
        <v/>
      </c>
      <c r="BC255" s="799"/>
      <c r="BD255" s="792" t="str">
        <f t="array" ref="BD255:BE255">{"",'S-10 Оформление сделок Выборка'!BE255}</f>
        <v/>
      </c>
      <c r="BE255" s="793"/>
      <c r="BF255" s="800" t="str">
        <f t="array" ref="BF255:BG255">{"",'S-10 Оформление сделок Выборка'!BG255}</f>
        <v/>
      </c>
      <c r="BG255" s="794"/>
      <c r="BH255" s="794" t="str">
        <f t="array" ref="BH255:BI255">{"",'S-10 Оформление сделок Выборка'!BI255}</f>
        <v/>
      </c>
      <c r="BI255" s="794"/>
      <c r="BJ255" s="792" t="str">
        <f t="array" ref="BJ255:BK255">{"",'S-10 Оформление сделок Выборка'!BK255}</f>
        <v/>
      </c>
      <c r="BK255" s="793"/>
      <c r="BL255" s="792" t="str">
        <f t="array" ref="BL255:BM255">{"",'S-10 Оформление сделок Выборка'!BM255}</f>
        <v/>
      </c>
      <c r="BM255" s="801"/>
      <c r="BN255" s="792" t="str">
        <f t="array" ref="BN255:BO255">{"",'S-10 Оформление сделок Выборка'!BO255}</f>
        <v/>
      </c>
      <c r="BO255" s="793"/>
      <c r="BP255" s="792" t="str">
        <f t="array" ref="BP255:BQ255">{"",'S-10 Оформление сделок Выборка'!BQ255}</f>
        <v/>
      </c>
      <c r="BQ255" s="802"/>
      <c r="BR255" s="792" t="str">
        <f t="array" ref="BR255:BS255">{"",'S-10 Оформление сделок Выборка'!BS255}</f>
        <v/>
      </c>
      <c r="BS255" s="794"/>
      <c r="BT255" s="800" t="str">
        <f t="array" ref="BT255:BU255">{"",'S-10 Оформление сделок Выборка'!BU255}</f>
        <v/>
      </c>
      <c r="BU255" s="794"/>
      <c r="BV255" s="800" t="str">
        <f t="array" ref="BV255:BW255">{"",'S-10 Оформление сделок Выборка'!BW255}</f>
        <v/>
      </c>
      <c r="BW255" s="803" t="s">
        <v>96</v>
      </c>
      <c r="BX255" s="804"/>
    </row>
    <row r="256">
      <c r="A256" s="779"/>
      <c r="B256" s="779"/>
      <c r="C256" s="780" t="str">
        <f>'5-1 Сбор КП Закупки'!C256</f>
        <v/>
      </c>
      <c r="D256" s="781"/>
      <c r="E256" s="780"/>
      <c r="F256" s="783"/>
      <c r="G256" s="783"/>
      <c r="H256" s="783"/>
      <c r="I256" s="783"/>
      <c r="J256" s="780"/>
      <c r="K256" s="786"/>
      <c r="L256" s="785"/>
      <c r="M256" s="786"/>
      <c r="N256" s="786"/>
      <c r="O256" s="780"/>
      <c r="P256" s="787"/>
      <c r="Q256" s="780"/>
      <c r="R256" s="780"/>
      <c r="S256" s="780"/>
      <c r="T256" s="780"/>
      <c r="U256" s="780"/>
      <c r="V256" s="780"/>
      <c r="W256" s="787"/>
      <c r="X256" s="780"/>
      <c r="Y256" s="780"/>
      <c r="Z256" s="780"/>
      <c r="AA256" s="780"/>
      <c r="AB256" s="788"/>
      <c r="AC256" s="781"/>
      <c r="AD256" s="780"/>
      <c r="AE256" s="789" t="str">
        <f t="array" ref="AE256:AF256">{"",'S-10 Оформление сделок Выборка'!AF256}</f>
        <v/>
      </c>
      <c r="AF256" s="790"/>
      <c r="AG256" s="781"/>
      <c r="AH256" s="781"/>
      <c r="AI256" s="785"/>
      <c r="AJ256" s="780"/>
      <c r="AK256" s="792" t="str">
        <f t="array" ref="AK256:AL256">{"",'S-10 Оформление сделок Выборка'!AL256}</f>
        <v/>
      </c>
      <c r="AL256" s="793"/>
      <c r="AM256" s="792" t="str">
        <f t="array" ref="AM256:AN256">{"",'S-10 Оформление сделок Выборка'!AN256}</f>
        <v/>
      </c>
      <c r="AN256" s="794"/>
      <c r="AO256" s="792" t="str">
        <f t="array" ref="AO256:AP256">{"",'S-10 Оформление сделок Выборка'!AP256}</f>
        <v/>
      </c>
      <c r="AP256" s="786"/>
      <c r="AQ256" s="786"/>
      <c r="AR256" s="779" t="str">
        <f t="array" ref="AR256:AS256">{"",'S-10 Оформление сделок Выборка'!AS256}</f>
        <v/>
      </c>
      <c r="AS256" s="795"/>
      <c r="AT256" s="779" t="str">
        <f t="array" ref="AT256:AU256">{"",'S-10 Оформление сделок Выборка'!AU256}</f>
        <v/>
      </c>
      <c r="AU256" s="805"/>
      <c r="AV256" s="779" t="str">
        <f t="array" ref="AV256:AW256">{"",'S-10 Оформление сделок Выборка'!AW256}</f>
        <v/>
      </c>
      <c r="AW256" s="797"/>
      <c r="AX256" s="786"/>
      <c r="AY256" s="786"/>
      <c r="AZ256" s="792" t="str">
        <f t="array" ref="AZ256:BA256">{"",'S-10 Оформление сделок Выборка'!BA256}</f>
        <v/>
      </c>
      <c r="BA256" s="798"/>
      <c r="BB256" s="792" t="str">
        <f t="array" ref="BB256:BC256">{"",'S-10 Оформление сделок Выборка'!BC256}</f>
        <v/>
      </c>
      <c r="BC256" s="799"/>
      <c r="BD256" s="792" t="str">
        <f t="array" ref="BD256:BE256">{"",'S-10 Оформление сделок Выборка'!BE256}</f>
        <v/>
      </c>
      <c r="BE256" s="793"/>
      <c r="BF256" s="800" t="str">
        <f t="array" ref="BF256:BG256">{"",'S-10 Оформление сделок Выборка'!BG256}</f>
        <v/>
      </c>
      <c r="BG256" s="794"/>
      <c r="BH256" s="794" t="str">
        <f t="array" ref="BH256:BI256">{"",'S-10 Оформление сделок Выборка'!BI256}</f>
        <v/>
      </c>
      <c r="BI256" s="794"/>
      <c r="BJ256" s="792" t="str">
        <f t="array" ref="BJ256:BK256">{"",'S-10 Оформление сделок Выборка'!BK256}</f>
        <v/>
      </c>
      <c r="BK256" s="793"/>
      <c r="BL256" s="792" t="str">
        <f t="array" ref="BL256:BM256">{"",'S-10 Оформление сделок Выборка'!BM256}</f>
        <v/>
      </c>
      <c r="BM256" s="801"/>
      <c r="BN256" s="792" t="str">
        <f t="array" ref="BN256:BO256">{"",'S-10 Оформление сделок Выборка'!BO256}</f>
        <v/>
      </c>
      <c r="BO256" s="793"/>
      <c r="BP256" s="792" t="str">
        <f t="array" ref="BP256:BQ256">{"",'S-10 Оформление сделок Выборка'!BQ256}</f>
        <v/>
      </c>
      <c r="BQ256" s="802"/>
      <c r="BR256" s="792" t="str">
        <f t="array" ref="BR256:BS256">{"",'S-10 Оформление сделок Выборка'!BS256}</f>
        <v/>
      </c>
      <c r="BS256" s="794"/>
      <c r="BT256" s="800" t="str">
        <f t="array" ref="BT256:BU256">{"",'S-10 Оформление сделок Выборка'!BU256}</f>
        <v/>
      </c>
      <c r="BU256" s="794"/>
      <c r="BV256" s="800" t="str">
        <f t="array" ref="BV256:BW256">{"",'S-10 Оформление сделок Выборка'!BW256}</f>
        <v/>
      </c>
      <c r="BW256" s="803" t="s">
        <v>96</v>
      </c>
      <c r="BX256" s="804"/>
    </row>
    <row r="257">
      <c r="A257" s="779"/>
      <c r="B257" s="779"/>
      <c r="C257" s="780" t="str">
        <f>'5-1 Сбор КП Закупки'!C257</f>
        <v/>
      </c>
      <c r="D257" s="781"/>
      <c r="E257" s="780"/>
      <c r="F257" s="783"/>
      <c r="G257" s="783"/>
      <c r="H257" s="783"/>
      <c r="I257" s="783"/>
      <c r="J257" s="780"/>
      <c r="K257" s="786"/>
      <c r="L257" s="785"/>
      <c r="M257" s="786"/>
      <c r="N257" s="786"/>
      <c r="O257" s="780"/>
      <c r="P257" s="787"/>
      <c r="Q257" s="780"/>
      <c r="R257" s="780"/>
      <c r="S257" s="780"/>
      <c r="T257" s="780"/>
      <c r="U257" s="780"/>
      <c r="V257" s="780"/>
      <c r="W257" s="787"/>
      <c r="X257" s="780"/>
      <c r="Y257" s="780"/>
      <c r="Z257" s="780"/>
      <c r="AA257" s="780"/>
      <c r="AB257" s="788"/>
      <c r="AC257" s="781"/>
      <c r="AD257" s="780"/>
      <c r="AE257" s="789" t="str">
        <f t="array" ref="AE257:AF257">{"",'S-10 Оформление сделок Выборка'!AF257}</f>
        <v/>
      </c>
      <c r="AF257" s="790"/>
      <c r="AG257" s="781"/>
      <c r="AH257" s="781"/>
      <c r="AI257" s="785"/>
      <c r="AJ257" s="780"/>
      <c r="AK257" s="792" t="str">
        <f t="array" ref="AK257:AL257">{"",'S-10 Оформление сделок Выборка'!AL257}</f>
        <v/>
      </c>
      <c r="AL257" s="793"/>
      <c r="AM257" s="792" t="str">
        <f t="array" ref="AM257:AN257">{"",'S-10 Оформление сделок Выборка'!AN257}</f>
        <v/>
      </c>
      <c r="AN257" s="794"/>
      <c r="AO257" s="792" t="str">
        <f t="array" ref="AO257:AP257">{"",'S-10 Оформление сделок Выборка'!AP257}</f>
        <v/>
      </c>
      <c r="AP257" s="786"/>
      <c r="AQ257" s="786"/>
      <c r="AR257" s="779" t="str">
        <f t="array" ref="AR257:AS257">{"",'S-10 Оформление сделок Выборка'!AS257}</f>
        <v/>
      </c>
      <c r="AS257" s="795"/>
      <c r="AT257" s="779" t="str">
        <f t="array" ref="AT257:AU257">{"",'S-10 Оформление сделок Выборка'!AU257}</f>
        <v/>
      </c>
      <c r="AU257" s="805"/>
      <c r="AV257" s="779" t="str">
        <f t="array" ref="AV257:AW257">{"",'S-10 Оформление сделок Выборка'!AW257}</f>
        <v/>
      </c>
      <c r="AW257" s="797"/>
      <c r="AX257" s="786"/>
      <c r="AY257" s="786"/>
      <c r="AZ257" s="792" t="str">
        <f t="array" ref="AZ257:BA257">{"",'S-10 Оформление сделок Выборка'!BA257}</f>
        <v/>
      </c>
      <c r="BA257" s="798"/>
      <c r="BB257" s="792" t="str">
        <f t="array" ref="BB257:BC257">{"",'S-10 Оформление сделок Выборка'!BC257}</f>
        <v/>
      </c>
      <c r="BC257" s="799"/>
      <c r="BD257" s="792" t="str">
        <f t="array" ref="BD257:BE257">{"",'S-10 Оформление сделок Выборка'!BE257}</f>
        <v/>
      </c>
      <c r="BE257" s="793"/>
      <c r="BF257" s="800" t="str">
        <f t="array" ref="BF257:BG257">{"",'S-10 Оформление сделок Выборка'!BG257}</f>
        <v/>
      </c>
      <c r="BG257" s="794"/>
      <c r="BH257" s="794" t="str">
        <f t="array" ref="BH257:BI257">{"",'S-10 Оформление сделок Выборка'!BI257}</f>
        <v/>
      </c>
      <c r="BI257" s="794"/>
      <c r="BJ257" s="792" t="str">
        <f t="array" ref="BJ257:BK257">{"",'S-10 Оформление сделок Выборка'!BK257}</f>
        <v/>
      </c>
      <c r="BK257" s="793"/>
      <c r="BL257" s="792" t="str">
        <f t="array" ref="BL257:BM257">{"",'S-10 Оформление сделок Выборка'!BM257}</f>
        <v/>
      </c>
      <c r="BM257" s="801"/>
      <c r="BN257" s="792" t="str">
        <f t="array" ref="BN257:BO257">{"",'S-10 Оформление сделок Выборка'!BO257}</f>
        <v/>
      </c>
      <c r="BO257" s="793"/>
      <c r="BP257" s="792" t="str">
        <f t="array" ref="BP257:BQ257">{"",'S-10 Оформление сделок Выборка'!BQ257}</f>
        <v/>
      </c>
      <c r="BQ257" s="802"/>
      <c r="BR257" s="792" t="str">
        <f t="array" ref="BR257:BS257">{"",'S-10 Оформление сделок Выборка'!BS257}</f>
        <v/>
      </c>
      <c r="BS257" s="794"/>
      <c r="BT257" s="800" t="str">
        <f t="array" ref="BT257:BU257">{"",'S-10 Оформление сделок Выборка'!BU257}</f>
        <v/>
      </c>
      <c r="BU257" s="794"/>
      <c r="BV257" s="800" t="str">
        <f t="array" ref="BV257:BW257">{"",'S-10 Оформление сделок Выборка'!BW257}</f>
        <v/>
      </c>
      <c r="BW257" s="803" t="s">
        <v>96</v>
      </c>
      <c r="BX257" s="804"/>
    </row>
    <row r="258">
      <c r="A258" s="779"/>
      <c r="B258" s="779"/>
      <c r="C258" s="780" t="str">
        <f>'5-1 Сбор КП Закупки'!C258</f>
        <v/>
      </c>
      <c r="D258" s="781"/>
      <c r="E258" s="780"/>
      <c r="F258" s="783"/>
      <c r="G258" s="783"/>
      <c r="H258" s="783"/>
      <c r="I258" s="783"/>
      <c r="J258" s="780"/>
      <c r="K258" s="786"/>
      <c r="L258" s="785"/>
      <c r="M258" s="786"/>
      <c r="N258" s="786"/>
      <c r="O258" s="780"/>
      <c r="P258" s="787"/>
      <c r="Q258" s="780"/>
      <c r="R258" s="780"/>
      <c r="S258" s="780"/>
      <c r="T258" s="780"/>
      <c r="U258" s="780"/>
      <c r="V258" s="780"/>
      <c r="W258" s="787"/>
      <c r="X258" s="780"/>
      <c r="Y258" s="780"/>
      <c r="Z258" s="780"/>
      <c r="AA258" s="780"/>
      <c r="AB258" s="788"/>
      <c r="AC258" s="781"/>
      <c r="AD258" s="780"/>
      <c r="AE258" s="789" t="str">
        <f t="array" ref="AE258:AF258">{"",'S-10 Оформление сделок Выборка'!AF258}</f>
        <v/>
      </c>
      <c r="AF258" s="790"/>
      <c r="AG258" s="781"/>
      <c r="AH258" s="781"/>
      <c r="AI258" s="785"/>
      <c r="AJ258" s="780"/>
      <c r="AK258" s="792" t="str">
        <f t="array" ref="AK258:AL258">{"",'S-10 Оформление сделок Выборка'!AL258}</f>
        <v/>
      </c>
      <c r="AL258" s="793"/>
      <c r="AM258" s="792" t="str">
        <f t="array" ref="AM258:AN258">{"",'S-10 Оформление сделок Выборка'!AN258}</f>
        <v/>
      </c>
      <c r="AN258" s="794"/>
      <c r="AO258" s="792" t="str">
        <f t="array" ref="AO258:AP258">{"",'S-10 Оформление сделок Выборка'!AP258}</f>
        <v/>
      </c>
      <c r="AP258" s="786"/>
      <c r="AQ258" s="786"/>
      <c r="AR258" s="779" t="str">
        <f t="array" ref="AR258:AS258">{"",'S-10 Оформление сделок Выборка'!AS258}</f>
        <v/>
      </c>
      <c r="AS258" s="795"/>
      <c r="AT258" s="779" t="str">
        <f t="array" ref="AT258:AU258">{"",'S-10 Оформление сделок Выборка'!AU258}</f>
        <v/>
      </c>
      <c r="AU258" s="805"/>
      <c r="AV258" s="779" t="str">
        <f t="array" ref="AV258:AW258">{"",'S-10 Оформление сделок Выборка'!AW258}</f>
        <v/>
      </c>
      <c r="AW258" s="797"/>
      <c r="AX258" s="786"/>
      <c r="AY258" s="786"/>
      <c r="AZ258" s="792" t="str">
        <f t="array" ref="AZ258:BA258">{"",'S-10 Оформление сделок Выборка'!BA258}</f>
        <v/>
      </c>
      <c r="BA258" s="798"/>
      <c r="BB258" s="792" t="str">
        <f t="array" ref="BB258:BC258">{"",'S-10 Оформление сделок Выборка'!BC258}</f>
        <v/>
      </c>
      <c r="BC258" s="799"/>
      <c r="BD258" s="792" t="str">
        <f t="array" ref="BD258:BE258">{"",'S-10 Оформление сделок Выборка'!BE258}</f>
        <v/>
      </c>
      <c r="BE258" s="793"/>
      <c r="BF258" s="800" t="str">
        <f t="array" ref="BF258:BG258">{"",'S-10 Оформление сделок Выборка'!BG258}</f>
        <v/>
      </c>
      <c r="BG258" s="794"/>
      <c r="BH258" s="794" t="str">
        <f t="array" ref="BH258:BI258">{"",'S-10 Оформление сделок Выборка'!BI258}</f>
        <v/>
      </c>
      <c r="BI258" s="794"/>
      <c r="BJ258" s="792" t="str">
        <f t="array" ref="BJ258:BK258">{"",'S-10 Оформление сделок Выборка'!BK258}</f>
        <v/>
      </c>
      <c r="BK258" s="793"/>
      <c r="BL258" s="792" t="str">
        <f t="array" ref="BL258:BM258">{"",'S-10 Оформление сделок Выборка'!BM258}</f>
        <v/>
      </c>
      <c r="BM258" s="801"/>
      <c r="BN258" s="792" t="str">
        <f t="array" ref="BN258:BO258">{"",'S-10 Оформление сделок Выборка'!BO258}</f>
        <v/>
      </c>
      <c r="BO258" s="793"/>
      <c r="BP258" s="792" t="str">
        <f t="array" ref="BP258:BQ258">{"",'S-10 Оформление сделок Выборка'!BQ258}</f>
        <v/>
      </c>
      <c r="BQ258" s="802"/>
      <c r="BR258" s="792" t="str">
        <f t="array" ref="BR258:BS258">{"",'S-10 Оформление сделок Выборка'!BS258}</f>
        <v/>
      </c>
      <c r="BS258" s="794"/>
      <c r="BT258" s="800" t="str">
        <f t="array" ref="BT258:BU258">{"",'S-10 Оформление сделок Выборка'!BU258}</f>
        <v/>
      </c>
      <c r="BU258" s="794"/>
      <c r="BV258" s="800" t="str">
        <f t="array" ref="BV258:BW258">{"",'S-10 Оформление сделок Выборка'!BW258}</f>
        <v/>
      </c>
      <c r="BW258" s="803" t="s">
        <v>96</v>
      </c>
      <c r="BX258" s="804"/>
    </row>
    <row r="259">
      <c r="A259" s="779"/>
      <c r="B259" s="779"/>
      <c r="C259" s="780" t="str">
        <f>'5-1 Сбор КП Закупки'!C259</f>
        <v/>
      </c>
      <c r="D259" s="781"/>
      <c r="E259" s="780"/>
      <c r="F259" s="783"/>
      <c r="G259" s="783"/>
      <c r="H259" s="783"/>
      <c r="I259" s="783"/>
      <c r="J259" s="780"/>
      <c r="K259" s="786"/>
      <c r="L259" s="785"/>
      <c r="M259" s="786"/>
      <c r="N259" s="786"/>
      <c r="O259" s="780"/>
      <c r="P259" s="787"/>
      <c r="Q259" s="780"/>
      <c r="R259" s="780"/>
      <c r="S259" s="780"/>
      <c r="T259" s="780"/>
      <c r="U259" s="780"/>
      <c r="V259" s="780"/>
      <c r="W259" s="787"/>
      <c r="X259" s="780"/>
      <c r="Y259" s="780"/>
      <c r="Z259" s="780"/>
      <c r="AA259" s="780"/>
      <c r="AB259" s="788"/>
      <c r="AC259" s="781"/>
      <c r="AD259" s="780"/>
      <c r="AE259" s="789" t="str">
        <f t="array" ref="AE259:AF259">{"",'S-10 Оформление сделок Выборка'!AF259}</f>
        <v/>
      </c>
      <c r="AF259" s="790"/>
      <c r="AG259" s="781"/>
      <c r="AH259" s="781"/>
      <c r="AI259" s="785"/>
      <c r="AJ259" s="780"/>
      <c r="AK259" s="792" t="str">
        <f t="array" ref="AK259:AL259">{"",'S-10 Оформление сделок Выборка'!AL259}</f>
        <v/>
      </c>
      <c r="AL259" s="793"/>
      <c r="AM259" s="792" t="str">
        <f t="array" ref="AM259:AN259">{"",'S-10 Оформление сделок Выборка'!AN259}</f>
        <v/>
      </c>
      <c r="AN259" s="794"/>
      <c r="AO259" s="792" t="str">
        <f t="array" ref="AO259:AP259">{"",'S-10 Оформление сделок Выборка'!AP259}</f>
        <v/>
      </c>
      <c r="AP259" s="786"/>
      <c r="AQ259" s="786"/>
      <c r="AR259" s="779" t="str">
        <f t="array" ref="AR259:AS259">{"",'S-10 Оформление сделок Выборка'!AS259}</f>
        <v/>
      </c>
      <c r="AS259" s="795"/>
      <c r="AT259" s="779" t="str">
        <f t="array" ref="AT259:AU259">{"",'S-10 Оформление сделок Выборка'!AU259}</f>
        <v/>
      </c>
      <c r="AU259" s="805"/>
      <c r="AV259" s="779" t="str">
        <f t="array" ref="AV259:AW259">{"",'S-10 Оформление сделок Выборка'!AW259}</f>
        <v/>
      </c>
      <c r="AW259" s="797"/>
      <c r="AX259" s="786"/>
      <c r="AY259" s="786"/>
      <c r="AZ259" s="792" t="str">
        <f t="array" ref="AZ259:BA259">{"",'S-10 Оформление сделок Выборка'!BA259}</f>
        <v/>
      </c>
      <c r="BA259" s="798"/>
      <c r="BB259" s="792" t="str">
        <f t="array" ref="BB259:BC259">{"",'S-10 Оформление сделок Выборка'!BC259}</f>
        <v/>
      </c>
      <c r="BC259" s="799"/>
      <c r="BD259" s="792" t="str">
        <f t="array" ref="BD259:BE259">{"",'S-10 Оформление сделок Выборка'!BE259}</f>
        <v/>
      </c>
      <c r="BE259" s="793"/>
      <c r="BF259" s="800" t="str">
        <f t="array" ref="BF259:BG259">{"",'S-10 Оформление сделок Выборка'!BG259}</f>
        <v/>
      </c>
      <c r="BG259" s="794"/>
      <c r="BH259" s="794" t="str">
        <f t="array" ref="BH259:BI259">{"",'S-10 Оформление сделок Выборка'!BI259}</f>
        <v/>
      </c>
      <c r="BI259" s="794"/>
      <c r="BJ259" s="792" t="str">
        <f t="array" ref="BJ259:BK259">{"",'S-10 Оформление сделок Выборка'!BK259}</f>
        <v/>
      </c>
      <c r="BK259" s="793"/>
      <c r="BL259" s="792" t="str">
        <f t="array" ref="BL259:BM259">{"",'S-10 Оформление сделок Выборка'!BM259}</f>
        <v/>
      </c>
      <c r="BM259" s="801"/>
      <c r="BN259" s="792" t="str">
        <f t="array" ref="BN259:BO259">{"",'S-10 Оформление сделок Выборка'!BO259}</f>
        <v/>
      </c>
      <c r="BO259" s="793"/>
      <c r="BP259" s="792" t="str">
        <f t="array" ref="BP259:BQ259">{"",'S-10 Оформление сделок Выборка'!BQ259}</f>
        <v/>
      </c>
      <c r="BQ259" s="802"/>
      <c r="BR259" s="792" t="str">
        <f t="array" ref="BR259:BS259">{"",'S-10 Оформление сделок Выборка'!BS259}</f>
        <v/>
      </c>
      <c r="BS259" s="794"/>
      <c r="BT259" s="800" t="str">
        <f t="array" ref="BT259:BU259">{"",'S-10 Оформление сделок Выборка'!BU259}</f>
        <v/>
      </c>
      <c r="BU259" s="794"/>
      <c r="BV259" s="800" t="str">
        <f t="array" ref="BV259:BW259">{"",'S-10 Оформление сделок Выборка'!BW259}</f>
        <v/>
      </c>
      <c r="BW259" s="803" t="s">
        <v>96</v>
      </c>
      <c r="BX259" s="804"/>
    </row>
    <row r="260">
      <c r="A260" s="779"/>
      <c r="B260" s="779"/>
      <c r="C260" s="780" t="str">
        <f>'5-1 Сбор КП Закупки'!C260</f>
        <v/>
      </c>
      <c r="D260" s="781"/>
      <c r="E260" s="780"/>
      <c r="F260" s="783"/>
      <c r="G260" s="783"/>
      <c r="H260" s="783"/>
      <c r="I260" s="783"/>
      <c r="J260" s="780"/>
      <c r="K260" s="786"/>
      <c r="L260" s="785"/>
      <c r="M260" s="786"/>
      <c r="N260" s="786"/>
      <c r="O260" s="780"/>
      <c r="P260" s="787"/>
      <c r="Q260" s="780"/>
      <c r="R260" s="780"/>
      <c r="S260" s="780"/>
      <c r="T260" s="780"/>
      <c r="U260" s="780"/>
      <c r="V260" s="780"/>
      <c r="W260" s="787"/>
      <c r="X260" s="780"/>
      <c r="Y260" s="780"/>
      <c r="Z260" s="780"/>
      <c r="AA260" s="780"/>
      <c r="AB260" s="788"/>
      <c r="AC260" s="781"/>
      <c r="AD260" s="780"/>
      <c r="AE260" s="789" t="str">
        <f t="array" ref="AE260:AF260">{"",'S-10 Оформление сделок Выборка'!AF260}</f>
        <v/>
      </c>
      <c r="AF260" s="790"/>
      <c r="AG260" s="781"/>
      <c r="AH260" s="781"/>
      <c r="AI260" s="785"/>
      <c r="AJ260" s="780"/>
      <c r="AK260" s="792" t="str">
        <f t="array" ref="AK260:AL260">{"",'S-10 Оформление сделок Выборка'!AL260}</f>
        <v/>
      </c>
      <c r="AL260" s="793"/>
      <c r="AM260" s="792" t="str">
        <f t="array" ref="AM260:AN260">{"",'S-10 Оформление сделок Выборка'!AN260}</f>
        <v/>
      </c>
      <c r="AN260" s="794"/>
      <c r="AO260" s="792" t="str">
        <f t="array" ref="AO260:AP260">{"",'S-10 Оформление сделок Выборка'!AP260}</f>
        <v/>
      </c>
      <c r="AP260" s="786"/>
      <c r="AQ260" s="786"/>
      <c r="AR260" s="779" t="str">
        <f t="array" ref="AR260:AS260">{"",'S-10 Оформление сделок Выборка'!AS260}</f>
        <v/>
      </c>
      <c r="AS260" s="795"/>
      <c r="AT260" s="779" t="str">
        <f t="array" ref="AT260:AU260">{"",'S-10 Оформление сделок Выборка'!AU260}</f>
        <v/>
      </c>
      <c r="AU260" s="805"/>
      <c r="AV260" s="779" t="str">
        <f t="array" ref="AV260:AW260">{"",'S-10 Оформление сделок Выборка'!AW260}</f>
        <v/>
      </c>
      <c r="AW260" s="797"/>
      <c r="AX260" s="786"/>
      <c r="AY260" s="786"/>
      <c r="AZ260" s="792" t="str">
        <f t="array" ref="AZ260:BA260">{"",'S-10 Оформление сделок Выборка'!BA260}</f>
        <v/>
      </c>
      <c r="BA260" s="798"/>
      <c r="BB260" s="792" t="str">
        <f t="array" ref="BB260:BC260">{"",'S-10 Оформление сделок Выборка'!BC260}</f>
        <v/>
      </c>
      <c r="BC260" s="799"/>
      <c r="BD260" s="792" t="str">
        <f t="array" ref="BD260:BE260">{"",'S-10 Оформление сделок Выборка'!BE260}</f>
        <v/>
      </c>
      <c r="BE260" s="793"/>
      <c r="BF260" s="800" t="str">
        <f t="array" ref="BF260:BG260">{"",'S-10 Оформление сделок Выборка'!BG260}</f>
        <v/>
      </c>
      <c r="BG260" s="794"/>
      <c r="BH260" s="794" t="str">
        <f t="array" ref="BH260:BI260">{"",'S-10 Оформление сделок Выборка'!BI260}</f>
        <v/>
      </c>
      <c r="BI260" s="794"/>
      <c r="BJ260" s="792" t="str">
        <f t="array" ref="BJ260:BK260">{"",'S-10 Оформление сделок Выборка'!BK260}</f>
        <v/>
      </c>
      <c r="BK260" s="793"/>
      <c r="BL260" s="792" t="str">
        <f t="array" ref="BL260:BM260">{"",'S-10 Оформление сделок Выборка'!BM260}</f>
        <v/>
      </c>
      <c r="BM260" s="801"/>
      <c r="BN260" s="792" t="str">
        <f t="array" ref="BN260:BO260">{"",'S-10 Оформление сделок Выборка'!BO260}</f>
        <v/>
      </c>
      <c r="BO260" s="793"/>
      <c r="BP260" s="792" t="str">
        <f t="array" ref="BP260:BQ260">{"",'S-10 Оформление сделок Выборка'!BQ260}</f>
        <v/>
      </c>
      <c r="BQ260" s="802"/>
      <c r="BR260" s="792" t="str">
        <f t="array" ref="BR260:BS260">{"",'S-10 Оформление сделок Выборка'!BS260}</f>
        <v/>
      </c>
      <c r="BS260" s="794"/>
      <c r="BT260" s="800" t="str">
        <f t="array" ref="BT260:BU260">{"",'S-10 Оформление сделок Выборка'!BU260}</f>
        <v/>
      </c>
      <c r="BU260" s="794"/>
      <c r="BV260" s="800" t="str">
        <f t="array" ref="BV260:BW260">{"",'S-10 Оформление сделок Выборка'!BW260}</f>
        <v/>
      </c>
      <c r="BW260" s="803" t="s">
        <v>96</v>
      </c>
      <c r="BX260" s="804"/>
    </row>
    <row r="261">
      <c r="A261" s="779"/>
      <c r="B261" s="779"/>
      <c r="C261" s="780" t="str">
        <f>'5-1 Сбор КП Закупки'!C261</f>
        <v/>
      </c>
      <c r="D261" s="781"/>
      <c r="E261" s="780"/>
      <c r="F261" s="783"/>
      <c r="G261" s="783"/>
      <c r="H261" s="783"/>
      <c r="I261" s="783"/>
      <c r="J261" s="780"/>
      <c r="K261" s="786"/>
      <c r="L261" s="785"/>
      <c r="M261" s="786"/>
      <c r="N261" s="786"/>
      <c r="O261" s="780"/>
      <c r="P261" s="787"/>
      <c r="Q261" s="780"/>
      <c r="R261" s="780"/>
      <c r="S261" s="780"/>
      <c r="T261" s="780"/>
      <c r="U261" s="780"/>
      <c r="V261" s="780"/>
      <c r="W261" s="787"/>
      <c r="X261" s="780"/>
      <c r="Y261" s="780"/>
      <c r="Z261" s="780"/>
      <c r="AA261" s="780"/>
      <c r="AB261" s="788"/>
      <c r="AC261" s="781"/>
      <c r="AD261" s="780"/>
      <c r="AE261" s="789" t="str">
        <f t="array" ref="AE261:AF261">{"",'S-10 Оформление сделок Выборка'!AF261}</f>
        <v/>
      </c>
      <c r="AF261" s="790"/>
      <c r="AG261" s="781"/>
      <c r="AH261" s="781"/>
      <c r="AI261" s="785"/>
      <c r="AJ261" s="780"/>
      <c r="AK261" s="792" t="str">
        <f t="array" ref="AK261:AL261">{"",'S-10 Оформление сделок Выборка'!AL261}</f>
        <v/>
      </c>
      <c r="AL261" s="793"/>
      <c r="AM261" s="792" t="str">
        <f t="array" ref="AM261:AN261">{"",'S-10 Оформление сделок Выборка'!AN261}</f>
        <v/>
      </c>
      <c r="AN261" s="794"/>
      <c r="AO261" s="792" t="str">
        <f t="array" ref="AO261:AP261">{"",'S-10 Оформление сделок Выборка'!AP261}</f>
        <v/>
      </c>
      <c r="AP261" s="786"/>
      <c r="AQ261" s="786"/>
      <c r="AR261" s="779" t="str">
        <f t="array" ref="AR261:AS261">{"",'S-10 Оформление сделок Выборка'!AS261}</f>
        <v/>
      </c>
      <c r="AS261" s="795"/>
      <c r="AT261" s="779" t="str">
        <f t="array" ref="AT261:AU261">{"",'S-10 Оформление сделок Выборка'!AU261}</f>
        <v/>
      </c>
      <c r="AU261" s="805"/>
      <c r="AV261" s="779" t="str">
        <f t="array" ref="AV261:AW261">{"",'S-10 Оформление сделок Выборка'!AW261}</f>
        <v/>
      </c>
      <c r="AW261" s="797"/>
      <c r="AX261" s="786"/>
      <c r="AY261" s="786"/>
      <c r="AZ261" s="792" t="str">
        <f t="array" ref="AZ261:BA261">{"",'S-10 Оформление сделок Выборка'!BA261}</f>
        <v/>
      </c>
      <c r="BA261" s="798"/>
      <c r="BB261" s="792" t="str">
        <f t="array" ref="BB261:BC261">{"",'S-10 Оформление сделок Выборка'!BC261}</f>
        <v/>
      </c>
      <c r="BC261" s="799"/>
      <c r="BD261" s="792" t="str">
        <f t="array" ref="BD261:BE261">{"",'S-10 Оформление сделок Выборка'!BE261}</f>
        <v/>
      </c>
      <c r="BE261" s="793"/>
      <c r="BF261" s="800" t="str">
        <f t="array" ref="BF261:BG261">{"",'S-10 Оформление сделок Выборка'!BG261}</f>
        <v/>
      </c>
      <c r="BG261" s="794"/>
      <c r="BH261" s="794" t="str">
        <f t="array" ref="BH261:BI261">{"",'S-10 Оформление сделок Выборка'!BI261}</f>
        <v/>
      </c>
      <c r="BI261" s="794"/>
      <c r="BJ261" s="792" t="str">
        <f t="array" ref="BJ261:BK261">{"",'S-10 Оформление сделок Выборка'!BK261}</f>
        <v/>
      </c>
      <c r="BK261" s="793"/>
      <c r="BL261" s="792" t="str">
        <f t="array" ref="BL261:BM261">{"",'S-10 Оформление сделок Выборка'!BM261}</f>
        <v/>
      </c>
      <c r="BM261" s="801"/>
      <c r="BN261" s="792" t="str">
        <f t="array" ref="BN261:BO261">{"",'S-10 Оформление сделок Выборка'!BO261}</f>
        <v/>
      </c>
      <c r="BO261" s="793"/>
      <c r="BP261" s="792" t="str">
        <f t="array" ref="BP261:BQ261">{"",'S-10 Оформление сделок Выборка'!BQ261}</f>
        <v/>
      </c>
      <c r="BQ261" s="802"/>
      <c r="BR261" s="792" t="str">
        <f t="array" ref="BR261:BS261">{"",'S-10 Оформление сделок Выборка'!BS261}</f>
        <v/>
      </c>
      <c r="BS261" s="794"/>
      <c r="BT261" s="800" t="str">
        <f t="array" ref="BT261:BU261">{"",'S-10 Оформление сделок Выборка'!BU261}</f>
        <v/>
      </c>
      <c r="BU261" s="794"/>
      <c r="BV261" s="800" t="str">
        <f t="array" ref="BV261:BW261">{"",'S-10 Оформление сделок Выборка'!BW261}</f>
        <v/>
      </c>
      <c r="BW261" s="803" t="s">
        <v>96</v>
      </c>
      <c r="BX261" s="804"/>
    </row>
    <row r="262">
      <c r="A262" s="779"/>
      <c r="B262" s="779"/>
      <c r="C262" s="780" t="str">
        <f>'5-1 Сбор КП Закупки'!C262</f>
        <v/>
      </c>
      <c r="D262" s="781"/>
      <c r="E262" s="780"/>
      <c r="F262" s="783"/>
      <c r="G262" s="783"/>
      <c r="H262" s="783"/>
      <c r="I262" s="783"/>
      <c r="J262" s="780"/>
      <c r="K262" s="786"/>
      <c r="L262" s="785"/>
      <c r="M262" s="786"/>
      <c r="N262" s="786"/>
      <c r="O262" s="780"/>
      <c r="P262" s="787"/>
      <c r="Q262" s="780"/>
      <c r="R262" s="780"/>
      <c r="S262" s="780"/>
      <c r="T262" s="780"/>
      <c r="U262" s="780"/>
      <c r="V262" s="780"/>
      <c r="W262" s="787"/>
      <c r="X262" s="780"/>
      <c r="Y262" s="780"/>
      <c r="Z262" s="780"/>
      <c r="AA262" s="780"/>
      <c r="AB262" s="788"/>
      <c r="AC262" s="781"/>
      <c r="AD262" s="780"/>
      <c r="AE262" s="789" t="str">
        <f t="array" ref="AE262:AF262">{"",'S-10 Оформление сделок Выборка'!AF262}</f>
        <v/>
      </c>
      <c r="AF262" s="790"/>
      <c r="AG262" s="781"/>
      <c r="AH262" s="781"/>
      <c r="AI262" s="785"/>
      <c r="AJ262" s="780"/>
      <c r="AK262" s="792" t="str">
        <f t="array" ref="AK262:AL262">{"",'S-10 Оформление сделок Выборка'!AL262}</f>
        <v/>
      </c>
      <c r="AL262" s="793"/>
      <c r="AM262" s="792" t="str">
        <f t="array" ref="AM262:AN262">{"",'S-10 Оформление сделок Выборка'!AN262}</f>
        <v/>
      </c>
      <c r="AN262" s="794"/>
      <c r="AO262" s="792" t="str">
        <f t="array" ref="AO262:AP262">{"",'S-10 Оформление сделок Выборка'!AP262}</f>
        <v/>
      </c>
      <c r="AP262" s="786"/>
      <c r="AQ262" s="786"/>
      <c r="AR262" s="779" t="str">
        <f t="array" ref="AR262:AS262">{"",'S-10 Оформление сделок Выборка'!AS262}</f>
        <v/>
      </c>
      <c r="AS262" s="795"/>
      <c r="AT262" s="779" t="str">
        <f t="array" ref="AT262:AU262">{"",'S-10 Оформление сделок Выборка'!AU262}</f>
        <v/>
      </c>
      <c r="AU262" s="805"/>
      <c r="AV262" s="779" t="str">
        <f t="array" ref="AV262:AW262">{"",'S-10 Оформление сделок Выборка'!AW262}</f>
        <v/>
      </c>
      <c r="AW262" s="797"/>
      <c r="AX262" s="786"/>
      <c r="AY262" s="786"/>
      <c r="AZ262" s="792" t="str">
        <f t="array" ref="AZ262:BA262">{"",'S-10 Оформление сделок Выборка'!BA262}</f>
        <v/>
      </c>
      <c r="BA262" s="798"/>
      <c r="BB262" s="792" t="str">
        <f t="array" ref="BB262:BC262">{"",'S-10 Оформление сделок Выборка'!BC262}</f>
        <v/>
      </c>
      <c r="BC262" s="799"/>
      <c r="BD262" s="792" t="str">
        <f t="array" ref="BD262:BE262">{"",'S-10 Оформление сделок Выборка'!BE262}</f>
        <v/>
      </c>
      <c r="BE262" s="793"/>
      <c r="BF262" s="800" t="str">
        <f t="array" ref="BF262:BG262">{"",'S-10 Оформление сделок Выборка'!BG262}</f>
        <v/>
      </c>
      <c r="BG262" s="794"/>
      <c r="BH262" s="794" t="str">
        <f t="array" ref="BH262:BI262">{"",'S-10 Оформление сделок Выборка'!BI262}</f>
        <v/>
      </c>
      <c r="BI262" s="794"/>
      <c r="BJ262" s="792" t="str">
        <f t="array" ref="BJ262:BK262">{"",'S-10 Оформление сделок Выборка'!BK262}</f>
        <v/>
      </c>
      <c r="BK262" s="793"/>
      <c r="BL262" s="792" t="str">
        <f t="array" ref="BL262:BM262">{"",'S-10 Оформление сделок Выборка'!BM262}</f>
        <v/>
      </c>
      <c r="BM262" s="801"/>
      <c r="BN262" s="792" t="str">
        <f t="array" ref="BN262:BO262">{"",'S-10 Оформление сделок Выборка'!BO262}</f>
        <v/>
      </c>
      <c r="BO262" s="793"/>
      <c r="BP262" s="792" t="str">
        <f t="array" ref="BP262:BQ262">{"",'S-10 Оформление сделок Выборка'!BQ262}</f>
        <v/>
      </c>
      <c r="BQ262" s="802"/>
      <c r="BR262" s="792" t="str">
        <f t="array" ref="BR262:BS262">{"",'S-10 Оформление сделок Выборка'!BS262}</f>
        <v/>
      </c>
      <c r="BS262" s="794"/>
      <c r="BT262" s="800" t="str">
        <f t="array" ref="BT262:BU262">{"",'S-10 Оформление сделок Выборка'!BU262}</f>
        <v/>
      </c>
      <c r="BU262" s="794"/>
      <c r="BV262" s="800" t="str">
        <f t="array" ref="BV262:BW262">{"",'S-10 Оформление сделок Выборка'!BW262}</f>
        <v/>
      </c>
      <c r="BW262" s="803" t="s">
        <v>96</v>
      </c>
      <c r="BX262" s="804"/>
    </row>
    <row r="263">
      <c r="A263" s="779"/>
      <c r="B263" s="779"/>
      <c r="C263" s="780" t="str">
        <f>'5-1 Сбор КП Закупки'!C263</f>
        <v/>
      </c>
      <c r="D263" s="781"/>
      <c r="E263" s="780"/>
      <c r="F263" s="783"/>
      <c r="G263" s="783"/>
      <c r="H263" s="783"/>
      <c r="I263" s="783"/>
      <c r="J263" s="780"/>
      <c r="K263" s="786"/>
      <c r="L263" s="785"/>
      <c r="M263" s="786"/>
      <c r="N263" s="786"/>
      <c r="O263" s="780"/>
      <c r="P263" s="787"/>
      <c r="Q263" s="780"/>
      <c r="R263" s="780"/>
      <c r="S263" s="780"/>
      <c r="T263" s="780"/>
      <c r="U263" s="780"/>
      <c r="V263" s="780"/>
      <c r="W263" s="787"/>
      <c r="X263" s="780"/>
      <c r="Y263" s="780"/>
      <c r="Z263" s="780"/>
      <c r="AA263" s="780"/>
      <c r="AB263" s="788"/>
      <c r="AC263" s="781"/>
      <c r="AD263" s="780"/>
      <c r="AE263" s="789" t="str">
        <f t="array" ref="AE263:AF263">{"",'S-10 Оформление сделок Выборка'!AF263}</f>
        <v/>
      </c>
      <c r="AF263" s="790"/>
      <c r="AG263" s="781"/>
      <c r="AH263" s="781"/>
      <c r="AI263" s="785"/>
      <c r="AJ263" s="780"/>
      <c r="AK263" s="792" t="str">
        <f t="array" ref="AK263:AL263">{"",'S-10 Оформление сделок Выборка'!AL263}</f>
        <v/>
      </c>
      <c r="AL263" s="793"/>
      <c r="AM263" s="792" t="str">
        <f t="array" ref="AM263:AN263">{"",'S-10 Оформление сделок Выборка'!AN263}</f>
        <v/>
      </c>
      <c r="AN263" s="794"/>
      <c r="AO263" s="792" t="str">
        <f t="array" ref="AO263:AP263">{"",'S-10 Оформление сделок Выборка'!AP263}</f>
        <v/>
      </c>
      <c r="AP263" s="786"/>
      <c r="AQ263" s="786"/>
      <c r="AR263" s="779" t="str">
        <f t="array" ref="AR263:AS263">{"",'S-10 Оформление сделок Выборка'!AS263}</f>
        <v/>
      </c>
      <c r="AS263" s="795"/>
      <c r="AT263" s="779" t="str">
        <f t="array" ref="AT263:AU263">{"",'S-10 Оформление сделок Выборка'!AU263}</f>
        <v/>
      </c>
      <c r="AU263" s="805"/>
      <c r="AV263" s="779" t="str">
        <f t="array" ref="AV263:AW263">{"",'S-10 Оформление сделок Выборка'!AW263}</f>
        <v/>
      </c>
      <c r="AW263" s="797"/>
      <c r="AX263" s="786"/>
      <c r="AY263" s="786"/>
      <c r="AZ263" s="792" t="str">
        <f t="array" ref="AZ263:BA263">{"",'S-10 Оформление сделок Выборка'!BA263}</f>
        <v/>
      </c>
      <c r="BA263" s="798"/>
      <c r="BB263" s="792" t="str">
        <f t="array" ref="BB263:BC263">{"",'S-10 Оформление сделок Выборка'!BC263}</f>
        <v/>
      </c>
      <c r="BC263" s="799"/>
      <c r="BD263" s="792" t="str">
        <f t="array" ref="BD263:BE263">{"",'S-10 Оформление сделок Выборка'!BE263}</f>
        <v/>
      </c>
      <c r="BE263" s="793"/>
      <c r="BF263" s="800" t="str">
        <f t="array" ref="BF263:BG263">{"",'S-10 Оформление сделок Выборка'!BG263}</f>
        <v/>
      </c>
      <c r="BG263" s="794"/>
      <c r="BH263" s="794" t="str">
        <f t="array" ref="BH263:BI263">{"",'S-10 Оформление сделок Выборка'!BI263}</f>
        <v/>
      </c>
      <c r="BI263" s="794"/>
      <c r="BJ263" s="792" t="str">
        <f t="array" ref="BJ263:BK263">{"",'S-10 Оформление сделок Выборка'!BK263}</f>
        <v/>
      </c>
      <c r="BK263" s="793"/>
      <c r="BL263" s="792" t="str">
        <f t="array" ref="BL263:BM263">{"",'S-10 Оформление сделок Выборка'!BM263}</f>
        <v/>
      </c>
      <c r="BM263" s="801"/>
      <c r="BN263" s="792" t="str">
        <f t="array" ref="BN263:BO263">{"",'S-10 Оформление сделок Выборка'!BO263}</f>
        <v/>
      </c>
      <c r="BO263" s="793"/>
      <c r="BP263" s="792" t="str">
        <f t="array" ref="BP263:BQ263">{"",'S-10 Оформление сделок Выборка'!BQ263}</f>
        <v/>
      </c>
      <c r="BQ263" s="802"/>
      <c r="BR263" s="792" t="str">
        <f t="array" ref="BR263:BS263">{"",'S-10 Оформление сделок Выборка'!BS263}</f>
        <v/>
      </c>
      <c r="BS263" s="794"/>
      <c r="BT263" s="800" t="str">
        <f t="array" ref="BT263:BU263">{"",'S-10 Оформление сделок Выборка'!BU263}</f>
        <v/>
      </c>
      <c r="BU263" s="794"/>
      <c r="BV263" s="800" t="str">
        <f t="array" ref="BV263:BW263">{"",'S-10 Оформление сделок Выборка'!BW263}</f>
        <v/>
      </c>
      <c r="BW263" s="803" t="s">
        <v>96</v>
      </c>
      <c r="BX263" s="804"/>
    </row>
    <row r="264">
      <c r="A264" s="779"/>
      <c r="B264" s="779"/>
      <c r="C264" s="780" t="str">
        <f>'5-1 Сбор КП Закупки'!C264</f>
        <v/>
      </c>
      <c r="D264" s="781"/>
      <c r="E264" s="780"/>
      <c r="F264" s="783"/>
      <c r="G264" s="783"/>
      <c r="H264" s="783"/>
      <c r="I264" s="783"/>
      <c r="J264" s="780"/>
      <c r="K264" s="786"/>
      <c r="L264" s="785"/>
      <c r="M264" s="786"/>
      <c r="N264" s="786"/>
      <c r="O264" s="780"/>
      <c r="P264" s="787"/>
      <c r="Q264" s="780"/>
      <c r="R264" s="780"/>
      <c r="S264" s="780"/>
      <c r="T264" s="780"/>
      <c r="U264" s="780"/>
      <c r="V264" s="780"/>
      <c r="W264" s="787"/>
      <c r="X264" s="780"/>
      <c r="Y264" s="780"/>
      <c r="Z264" s="780"/>
      <c r="AA264" s="780"/>
      <c r="AB264" s="788"/>
      <c r="AC264" s="781"/>
      <c r="AD264" s="780"/>
      <c r="AE264" s="789" t="str">
        <f t="array" ref="AE264:AF264">{"",'S-10 Оформление сделок Выборка'!AF264}</f>
        <v/>
      </c>
      <c r="AF264" s="790"/>
      <c r="AG264" s="781"/>
      <c r="AH264" s="781"/>
      <c r="AI264" s="785"/>
      <c r="AJ264" s="780"/>
      <c r="AK264" s="792" t="str">
        <f t="array" ref="AK264:AL264">{"",'S-10 Оформление сделок Выборка'!AL264}</f>
        <v/>
      </c>
      <c r="AL264" s="793"/>
      <c r="AM264" s="792" t="str">
        <f t="array" ref="AM264:AN264">{"",'S-10 Оформление сделок Выборка'!AN264}</f>
        <v/>
      </c>
      <c r="AN264" s="794"/>
      <c r="AO264" s="792" t="str">
        <f t="array" ref="AO264:AP264">{"",'S-10 Оформление сделок Выборка'!AP264}</f>
        <v/>
      </c>
      <c r="AP264" s="786"/>
      <c r="AQ264" s="786"/>
      <c r="AR264" s="779" t="str">
        <f t="array" ref="AR264:AS264">{"",'S-10 Оформление сделок Выборка'!AS264}</f>
        <v/>
      </c>
      <c r="AS264" s="795"/>
      <c r="AT264" s="779" t="str">
        <f t="array" ref="AT264:AU264">{"",'S-10 Оформление сделок Выборка'!AU264}</f>
        <v/>
      </c>
      <c r="AU264" s="805"/>
      <c r="AV264" s="779" t="str">
        <f t="array" ref="AV264:AW264">{"",'S-10 Оформление сделок Выборка'!AW264}</f>
        <v/>
      </c>
      <c r="AW264" s="797"/>
      <c r="AX264" s="786"/>
      <c r="AY264" s="786"/>
      <c r="AZ264" s="792" t="str">
        <f t="array" ref="AZ264:BA264">{"",'S-10 Оформление сделок Выборка'!BA264}</f>
        <v/>
      </c>
      <c r="BA264" s="798"/>
      <c r="BB264" s="792" t="str">
        <f t="array" ref="BB264:BC264">{"",'S-10 Оформление сделок Выборка'!BC264}</f>
        <v/>
      </c>
      <c r="BC264" s="799"/>
      <c r="BD264" s="792" t="str">
        <f t="array" ref="BD264:BE264">{"",'S-10 Оформление сделок Выборка'!BE264}</f>
        <v/>
      </c>
      <c r="BE264" s="793"/>
      <c r="BF264" s="800" t="str">
        <f t="array" ref="BF264:BG264">{"",'S-10 Оформление сделок Выборка'!BG264}</f>
        <v/>
      </c>
      <c r="BG264" s="794"/>
      <c r="BH264" s="794" t="str">
        <f t="array" ref="BH264:BI264">{"",'S-10 Оформление сделок Выборка'!BI264}</f>
        <v/>
      </c>
      <c r="BI264" s="794"/>
      <c r="BJ264" s="792" t="str">
        <f t="array" ref="BJ264:BK264">{"",'S-10 Оформление сделок Выборка'!BK264}</f>
        <v/>
      </c>
      <c r="BK264" s="793"/>
      <c r="BL264" s="792" t="str">
        <f t="array" ref="BL264:BM264">{"",'S-10 Оформление сделок Выборка'!BM264}</f>
        <v/>
      </c>
      <c r="BM264" s="801"/>
      <c r="BN264" s="792" t="str">
        <f t="array" ref="BN264:BO264">{"",'S-10 Оформление сделок Выборка'!BO264}</f>
        <v/>
      </c>
      <c r="BO264" s="793"/>
      <c r="BP264" s="792" t="str">
        <f t="array" ref="BP264:BQ264">{"",'S-10 Оформление сделок Выборка'!BQ264}</f>
        <v/>
      </c>
      <c r="BQ264" s="802"/>
      <c r="BR264" s="792" t="str">
        <f t="array" ref="BR264:BS264">{"",'S-10 Оформление сделок Выборка'!BS264}</f>
        <v/>
      </c>
      <c r="BS264" s="794"/>
      <c r="BT264" s="800" t="str">
        <f t="array" ref="BT264:BU264">{"",'S-10 Оформление сделок Выборка'!BU264}</f>
        <v/>
      </c>
      <c r="BU264" s="794"/>
      <c r="BV264" s="800" t="str">
        <f t="array" ref="BV264:BW264">{"",'S-10 Оформление сделок Выборка'!BW264}</f>
        <v/>
      </c>
      <c r="BW264" s="803" t="s">
        <v>96</v>
      </c>
      <c r="BX264" s="804"/>
    </row>
    <row r="265">
      <c r="A265" s="779"/>
      <c r="B265" s="779"/>
      <c r="C265" s="780" t="str">
        <f>'5-1 Сбор КП Закупки'!C265</f>
        <v/>
      </c>
      <c r="D265" s="781"/>
      <c r="E265" s="780"/>
      <c r="F265" s="783"/>
      <c r="G265" s="783"/>
      <c r="H265" s="783"/>
      <c r="I265" s="783"/>
      <c r="J265" s="780"/>
      <c r="K265" s="786"/>
      <c r="L265" s="785"/>
      <c r="M265" s="786"/>
      <c r="N265" s="786"/>
      <c r="O265" s="780"/>
      <c r="P265" s="787"/>
      <c r="Q265" s="780"/>
      <c r="R265" s="780"/>
      <c r="S265" s="780"/>
      <c r="T265" s="780"/>
      <c r="U265" s="780"/>
      <c r="V265" s="780"/>
      <c r="W265" s="787"/>
      <c r="X265" s="780"/>
      <c r="Y265" s="780"/>
      <c r="Z265" s="780"/>
      <c r="AA265" s="780"/>
      <c r="AB265" s="788"/>
      <c r="AC265" s="781"/>
      <c r="AD265" s="780"/>
      <c r="AE265" s="789" t="str">
        <f t="array" ref="AE265:AF265">{"",'S-10 Оформление сделок Выборка'!AF265}</f>
        <v/>
      </c>
      <c r="AF265" s="790"/>
      <c r="AG265" s="781"/>
      <c r="AH265" s="781"/>
      <c r="AI265" s="785"/>
      <c r="AJ265" s="780"/>
      <c r="AK265" s="792" t="str">
        <f t="array" ref="AK265:AL265">{"",'S-10 Оформление сделок Выборка'!AL265}</f>
        <v/>
      </c>
      <c r="AL265" s="793"/>
      <c r="AM265" s="792" t="str">
        <f t="array" ref="AM265:AN265">{"",'S-10 Оформление сделок Выборка'!AN265}</f>
        <v/>
      </c>
      <c r="AN265" s="794"/>
      <c r="AO265" s="792" t="str">
        <f t="array" ref="AO265:AP265">{"",'S-10 Оформление сделок Выборка'!AP265}</f>
        <v/>
      </c>
      <c r="AP265" s="786"/>
      <c r="AQ265" s="786"/>
      <c r="AR265" s="779" t="str">
        <f t="array" ref="AR265:AS265">{"",'S-10 Оформление сделок Выборка'!AS265}</f>
        <v/>
      </c>
      <c r="AS265" s="795"/>
      <c r="AT265" s="779" t="str">
        <f t="array" ref="AT265:AU265">{"",'S-10 Оформление сделок Выборка'!AU265}</f>
        <v/>
      </c>
      <c r="AU265" s="805"/>
      <c r="AV265" s="779" t="str">
        <f t="array" ref="AV265:AW265">{"",'S-10 Оформление сделок Выборка'!AW265}</f>
        <v/>
      </c>
      <c r="AW265" s="797"/>
      <c r="AX265" s="786"/>
      <c r="AY265" s="786"/>
      <c r="AZ265" s="792" t="str">
        <f t="array" ref="AZ265:BA265">{"",'S-10 Оформление сделок Выборка'!BA265}</f>
        <v/>
      </c>
      <c r="BA265" s="798"/>
      <c r="BB265" s="792" t="str">
        <f t="array" ref="BB265:BC265">{"",'S-10 Оформление сделок Выборка'!BC265}</f>
        <v/>
      </c>
      <c r="BC265" s="799"/>
      <c r="BD265" s="792" t="str">
        <f t="array" ref="BD265:BE265">{"",'S-10 Оформление сделок Выборка'!BE265}</f>
        <v/>
      </c>
      <c r="BE265" s="793"/>
      <c r="BF265" s="800" t="str">
        <f t="array" ref="BF265:BG265">{"",'S-10 Оформление сделок Выборка'!BG265}</f>
        <v/>
      </c>
      <c r="BG265" s="794"/>
      <c r="BH265" s="794" t="str">
        <f t="array" ref="BH265:BI265">{"",'S-10 Оформление сделок Выборка'!BI265}</f>
        <v/>
      </c>
      <c r="BI265" s="794"/>
      <c r="BJ265" s="792" t="str">
        <f t="array" ref="BJ265:BK265">{"",'S-10 Оформление сделок Выборка'!BK265}</f>
        <v/>
      </c>
      <c r="BK265" s="793"/>
      <c r="BL265" s="792" t="str">
        <f t="array" ref="BL265:BM265">{"",'S-10 Оформление сделок Выборка'!BM265}</f>
        <v/>
      </c>
      <c r="BM265" s="801"/>
      <c r="BN265" s="792" t="str">
        <f t="array" ref="BN265:BO265">{"",'S-10 Оформление сделок Выборка'!BO265}</f>
        <v/>
      </c>
      <c r="BO265" s="793"/>
      <c r="BP265" s="792" t="str">
        <f t="array" ref="BP265:BQ265">{"",'S-10 Оформление сделок Выборка'!BQ265}</f>
        <v/>
      </c>
      <c r="BQ265" s="802"/>
      <c r="BR265" s="792" t="str">
        <f t="array" ref="BR265:BS265">{"",'S-10 Оформление сделок Выборка'!BS265}</f>
        <v/>
      </c>
      <c r="BS265" s="794"/>
      <c r="BT265" s="800" t="str">
        <f t="array" ref="BT265:BU265">{"",'S-10 Оформление сделок Выборка'!BU265}</f>
        <v/>
      </c>
      <c r="BU265" s="794"/>
      <c r="BV265" s="800" t="str">
        <f t="array" ref="BV265:BW265">{"",'S-10 Оформление сделок Выборка'!BW265}</f>
        <v/>
      </c>
      <c r="BW265" s="803" t="s">
        <v>96</v>
      </c>
      <c r="BX265" s="804"/>
    </row>
    <row r="266">
      <c r="A266" s="779"/>
      <c r="B266" s="779"/>
      <c r="C266" s="780" t="str">
        <f>'5-1 Сбор КП Закупки'!C266</f>
        <v/>
      </c>
      <c r="D266" s="781"/>
      <c r="E266" s="780"/>
      <c r="F266" s="783"/>
      <c r="G266" s="783"/>
      <c r="H266" s="783"/>
      <c r="I266" s="783"/>
      <c r="J266" s="780"/>
      <c r="K266" s="786"/>
      <c r="L266" s="785"/>
      <c r="M266" s="786"/>
      <c r="N266" s="786"/>
      <c r="O266" s="780"/>
      <c r="P266" s="787"/>
      <c r="Q266" s="780"/>
      <c r="R266" s="780"/>
      <c r="S266" s="780"/>
      <c r="T266" s="780"/>
      <c r="U266" s="780"/>
      <c r="V266" s="780"/>
      <c r="W266" s="787"/>
      <c r="X266" s="780"/>
      <c r="Y266" s="780"/>
      <c r="Z266" s="780"/>
      <c r="AA266" s="780"/>
      <c r="AB266" s="788"/>
      <c r="AC266" s="781"/>
      <c r="AD266" s="780"/>
      <c r="AE266" s="789" t="str">
        <f t="array" ref="AE266:AF266">{"",'S-10 Оформление сделок Выборка'!AF266}</f>
        <v/>
      </c>
      <c r="AF266" s="790"/>
      <c r="AG266" s="781"/>
      <c r="AH266" s="781"/>
      <c r="AI266" s="785"/>
      <c r="AJ266" s="780"/>
      <c r="AK266" s="792" t="str">
        <f t="array" ref="AK266:AL266">{"",'S-10 Оформление сделок Выборка'!AL266}</f>
        <v/>
      </c>
      <c r="AL266" s="793"/>
      <c r="AM266" s="792" t="str">
        <f t="array" ref="AM266:AN266">{"",'S-10 Оформление сделок Выборка'!AN266}</f>
        <v/>
      </c>
      <c r="AN266" s="794"/>
      <c r="AO266" s="792" t="str">
        <f t="array" ref="AO266:AP266">{"",'S-10 Оформление сделок Выборка'!AP266}</f>
        <v/>
      </c>
      <c r="AP266" s="786"/>
      <c r="AQ266" s="786"/>
      <c r="AR266" s="779" t="str">
        <f t="array" ref="AR266:AS266">{"",'S-10 Оформление сделок Выборка'!AS266}</f>
        <v/>
      </c>
      <c r="AS266" s="795"/>
      <c r="AT266" s="779" t="str">
        <f t="array" ref="AT266:AU266">{"",'S-10 Оформление сделок Выборка'!AU266}</f>
        <v/>
      </c>
      <c r="AU266" s="805"/>
      <c r="AV266" s="779" t="str">
        <f t="array" ref="AV266:AW266">{"",'S-10 Оформление сделок Выборка'!AW266}</f>
        <v/>
      </c>
      <c r="AW266" s="797"/>
      <c r="AX266" s="786"/>
      <c r="AY266" s="786"/>
      <c r="AZ266" s="792" t="str">
        <f t="array" ref="AZ266:BA266">{"",'S-10 Оформление сделок Выборка'!BA266}</f>
        <v/>
      </c>
      <c r="BA266" s="798"/>
      <c r="BB266" s="792" t="str">
        <f t="array" ref="BB266:BC266">{"",'S-10 Оформление сделок Выборка'!BC266}</f>
        <v/>
      </c>
      <c r="BC266" s="799"/>
      <c r="BD266" s="792" t="str">
        <f t="array" ref="BD266:BE266">{"",'S-10 Оформление сделок Выборка'!BE266}</f>
        <v/>
      </c>
      <c r="BE266" s="793"/>
      <c r="BF266" s="800" t="str">
        <f t="array" ref="BF266:BG266">{"",'S-10 Оформление сделок Выборка'!BG266}</f>
        <v/>
      </c>
      <c r="BG266" s="794"/>
      <c r="BH266" s="794" t="str">
        <f t="array" ref="BH266:BI266">{"",'S-10 Оформление сделок Выборка'!BI266}</f>
        <v/>
      </c>
      <c r="BI266" s="794"/>
      <c r="BJ266" s="792" t="str">
        <f t="array" ref="BJ266:BK266">{"",'S-10 Оформление сделок Выборка'!BK266}</f>
        <v/>
      </c>
      <c r="BK266" s="793"/>
      <c r="BL266" s="792" t="str">
        <f t="array" ref="BL266:BM266">{"",'S-10 Оформление сделок Выборка'!BM266}</f>
        <v/>
      </c>
      <c r="BM266" s="801"/>
      <c r="BN266" s="792" t="str">
        <f t="array" ref="BN266:BO266">{"",'S-10 Оформление сделок Выборка'!BO266}</f>
        <v/>
      </c>
      <c r="BO266" s="793"/>
      <c r="BP266" s="792" t="str">
        <f t="array" ref="BP266:BQ266">{"",'S-10 Оформление сделок Выборка'!BQ266}</f>
        <v/>
      </c>
      <c r="BQ266" s="802"/>
      <c r="BR266" s="792" t="str">
        <f t="array" ref="BR266:BS266">{"",'S-10 Оформление сделок Выборка'!BS266}</f>
        <v/>
      </c>
      <c r="BS266" s="794"/>
      <c r="BT266" s="800" t="str">
        <f t="array" ref="BT266:BU266">{"",'S-10 Оформление сделок Выборка'!BU266}</f>
        <v/>
      </c>
      <c r="BU266" s="794"/>
      <c r="BV266" s="800" t="str">
        <f t="array" ref="BV266:BW266">{"",'S-10 Оформление сделок Выборка'!BW266}</f>
        <v/>
      </c>
      <c r="BW266" s="803" t="s">
        <v>96</v>
      </c>
      <c r="BX266" s="804"/>
    </row>
    <row r="267">
      <c r="A267" s="779"/>
      <c r="B267" s="779"/>
      <c r="C267" s="780" t="str">
        <f>'5-1 Сбор КП Закупки'!C267</f>
        <v/>
      </c>
      <c r="D267" s="781"/>
      <c r="E267" s="780"/>
      <c r="F267" s="783"/>
      <c r="G267" s="783"/>
      <c r="H267" s="783"/>
      <c r="I267" s="783"/>
      <c r="J267" s="780"/>
      <c r="K267" s="786"/>
      <c r="L267" s="785"/>
      <c r="M267" s="786"/>
      <c r="N267" s="786"/>
      <c r="O267" s="780"/>
      <c r="P267" s="787"/>
      <c r="Q267" s="780"/>
      <c r="R267" s="780"/>
      <c r="S267" s="780"/>
      <c r="T267" s="780"/>
      <c r="U267" s="780"/>
      <c r="V267" s="780"/>
      <c r="W267" s="787"/>
      <c r="X267" s="780"/>
      <c r="Y267" s="780"/>
      <c r="Z267" s="780"/>
      <c r="AA267" s="780"/>
      <c r="AB267" s="788"/>
      <c r="AC267" s="781"/>
      <c r="AD267" s="780"/>
      <c r="AE267" s="789" t="str">
        <f t="array" ref="AE267:AF267">{"",'S-10 Оформление сделок Выборка'!AF267}</f>
        <v/>
      </c>
      <c r="AF267" s="790"/>
      <c r="AG267" s="781"/>
      <c r="AH267" s="781"/>
      <c r="AI267" s="785"/>
      <c r="AJ267" s="780"/>
      <c r="AK267" s="792" t="str">
        <f t="array" ref="AK267:AL267">{"",'S-10 Оформление сделок Выборка'!AL267}</f>
        <v/>
      </c>
      <c r="AL267" s="793"/>
      <c r="AM267" s="792" t="str">
        <f t="array" ref="AM267:AN267">{"",'S-10 Оформление сделок Выборка'!AN267}</f>
        <v/>
      </c>
      <c r="AN267" s="794"/>
      <c r="AO267" s="792" t="str">
        <f t="array" ref="AO267:AP267">{"",'S-10 Оформление сделок Выборка'!AP267}</f>
        <v/>
      </c>
      <c r="AP267" s="786"/>
      <c r="AQ267" s="786"/>
      <c r="AR267" s="779" t="str">
        <f t="array" ref="AR267:AS267">{"",'S-10 Оформление сделок Выборка'!AS267}</f>
        <v/>
      </c>
      <c r="AS267" s="795"/>
      <c r="AT267" s="779" t="str">
        <f t="array" ref="AT267:AU267">{"",'S-10 Оформление сделок Выборка'!AU267}</f>
        <v/>
      </c>
      <c r="AU267" s="805"/>
      <c r="AV267" s="779" t="str">
        <f t="array" ref="AV267:AW267">{"",'S-10 Оформление сделок Выборка'!AW267}</f>
        <v/>
      </c>
      <c r="AW267" s="797"/>
      <c r="AX267" s="786"/>
      <c r="AY267" s="786"/>
      <c r="AZ267" s="792" t="str">
        <f t="array" ref="AZ267:BA267">{"",'S-10 Оформление сделок Выборка'!BA267}</f>
        <v/>
      </c>
      <c r="BA267" s="798"/>
      <c r="BB267" s="792" t="str">
        <f t="array" ref="BB267:BC267">{"",'S-10 Оформление сделок Выборка'!BC267}</f>
        <v/>
      </c>
      <c r="BC267" s="799"/>
      <c r="BD267" s="792" t="str">
        <f t="array" ref="BD267:BE267">{"",'S-10 Оформление сделок Выборка'!BE267}</f>
        <v/>
      </c>
      <c r="BE267" s="793"/>
      <c r="BF267" s="800" t="str">
        <f t="array" ref="BF267:BG267">{"",'S-10 Оформление сделок Выборка'!BG267}</f>
        <v/>
      </c>
      <c r="BG267" s="794"/>
      <c r="BH267" s="794" t="str">
        <f t="array" ref="BH267:BI267">{"",'S-10 Оформление сделок Выборка'!BI267}</f>
        <v/>
      </c>
      <c r="BI267" s="794"/>
      <c r="BJ267" s="792" t="str">
        <f t="array" ref="BJ267:BK267">{"",'S-10 Оформление сделок Выборка'!BK267}</f>
        <v/>
      </c>
      <c r="BK267" s="793"/>
      <c r="BL267" s="792" t="str">
        <f t="array" ref="BL267:BM267">{"",'S-10 Оформление сделок Выборка'!BM267}</f>
        <v/>
      </c>
      <c r="BM267" s="801"/>
      <c r="BN267" s="792" t="str">
        <f t="array" ref="BN267:BO267">{"",'S-10 Оформление сделок Выборка'!BO267}</f>
        <v/>
      </c>
      <c r="BO267" s="793"/>
      <c r="BP267" s="792" t="str">
        <f t="array" ref="BP267:BQ267">{"",'S-10 Оформление сделок Выборка'!BQ267}</f>
        <v/>
      </c>
      <c r="BQ267" s="802"/>
      <c r="BR267" s="792" t="str">
        <f t="array" ref="BR267:BS267">{"",'S-10 Оформление сделок Выборка'!BS267}</f>
        <v/>
      </c>
      <c r="BS267" s="794"/>
      <c r="BT267" s="800" t="str">
        <f t="array" ref="BT267:BU267">{"",'S-10 Оформление сделок Выборка'!BU267}</f>
        <v/>
      </c>
      <c r="BU267" s="794"/>
      <c r="BV267" s="800" t="str">
        <f t="array" ref="BV267:BW267">{"",'S-10 Оформление сделок Выборка'!BW267}</f>
        <v/>
      </c>
      <c r="BW267" s="803" t="s">
        <v>96</v>
      </c>
      <c r="BX267" s="804"/>
    </row>
    <row r="268">
      <c r="A268" s="779"/>
      <c r="B268" s="779"/>
      <c r="C268" s="780" t="str">
        <f>'5-1 Сбор КП Закупки'!C268</f>
        <v/>
      </c>
      <c r="D268" s="781"/>
      <c r="E268" s="780"/>
      <c r="F268" s="783"/>
      <c r="G268" s="783"/>
      <c r="H268" s="783"/>
      <c r="I268" s="783"/>
      <c r="J268" s="780"/>
      <c r="K268" s="786"/>
      <c r="L268" s="785"/>
      <c r="M268" s="786"/>
      <c r="N268" s="786"/>
      <c r="O268" s="780"/>
      <c r="P268" s="787"/>
      <c r="Q268" s="780"/>
      <c r="R268" s="780"/>
      <c r="S268" s="780"/>
      <c r="T268" s="780"/>
      <c r="U268" s="780"/>
      <c r="V268" s="780"/>
      <c r="W268" s="787"/>
      <c r="X268" s="780"/>
      <c r="Y268" s="780"/>
      <c r="Z268" s="780"/>
      <c r="AA268" s="780"/>
      <c r="AB268" s="788"/>
      <c r="AC268" s="781"/>
      <c r="AD268" s="780"/>
      <c r="AE268" s="789" t="str">
        <f t="array" ref="AE268:AF268">{"",'S-10 Оформление сделок Выборка'!AF268}</f>
        <v/>
      </c>
      <c r="AF268" s="790"/>
      <c r="AG268" s="781"/>
      <c r="AH268" s="781"/>
      <c r="AI268" s="785"/>
      <c r="AJ268" s="780"/>
      <c r="AK268" s="792" t="str">
        <f t="array" ref="AK268:AL268">{"",'S-10 Оформление сделок Выборка'!AL268}</f>
        <v/>
      </c>
      <c r="AL268" s="793"/>
      <c r="AM268" s="792" t="str">
        <f t="array" ref="AM268:AN268">{"",'S-10 Оформление сделок Выборка'!AN268}</f>
        <v/>
      </c>
      <c r="AN268" s="794"/>
      <c r="AO268" s="792" t="str">
        <f t="array" ref="AO268:AP268">{"",'S-10 Оформление сделок Выборка'!AP268}</f>
        <v/>
      </c>
      <c r="AP268" s="786"/>
      <c r="AQ268" s="786"/>
      <c r="AR268" s="779" t="str">
        <f t="array" ref="AR268:AS268">{"",'S-10 Оформление сделок Выборка'!AS268}</f>
        <v/>
      </c>
      <c r="AS268" s="795"/>
      <c r="AT268" s="779" t="str">
        <f t="array" ref="AT268:AU268">{"",'S-10 Оформление сделок Выборка'!AU268}</f>
        <v/>
      </c>
      <c r="AU268" s="805"/>
      <c r="AV268" s="779" t="str">
        <f t="array" ref="AV268:AW268">{"",'S-10 Оформление сделок Выборка'!AW268}</f>
        <v/>
      </c>
      <c r="AW268" s="797"/>
      <c r="AX268" s="786"/>
      <c r="AY268" s="786"/>
      <c r="AZ268" s="792" t="str">
        <f t="array" ref="AZ268:BA268">{"",'S-10 Оформление сделок Выборка'!BA268}</f>
        <v/>
      </c>
      <c r="BA268" s="798"/>
      <c r="BB268" s="792" t="str">
        <f t="array" ref="BB268:BC268">{"",'S-10 Оформление сделок Выборка'!BC268}</f>
        <v/>
      </c>
      <c r="BC268" s="799"/>
      <c r="BD268" s="792" t="str">
        <f t="array" ref="BD268:BE268">{"",'S-10 Оформление сделок Выборка'!BE268}</f>
        <v/>
      </c>
      <c r="BE268" s="793"/>
      <c r="BF268" s="800" t="str">
        <f t="array" ref="BF268:BG268">{"",'S-10 Оформление сделок Выборка'!BG268}</f>
        <v/>
      </c>
      <c r="BG268" s="794"/>
      <c r="BH268" s="794" t="str">
        <f t="array" ref="BH268:BI268">{"",'S-10 Оформление сделок Выборка'!BI268}</f>
        <v/>
      </c>
      <c r="BI268" s="794"/>
      <c r="BJ268" s="792" t="str">
        <f t="array" ref="BJ268:BK268">{"",'S-10 Оформление сделок Выборка'!BK268}</f>
        <v/>
      </c>
      <c r="BK268" s="793"/>
      <c r="BL268" s="792" t="str">
        <f t="array" ref="BL268:BM268">{"",'S-10 Оформление сделок Выборка'!BM268}</f>
        <v/>
      </c>
      <c r="BM268" s="801"/>
      <c r="BN268" s="792" t="str">
        <f t="array" ref="BN268:BO268">{"",'S-10 Оформление сделок Выборка'!BO268}</f>
        <v/>
      </c>
      <c r="BO268" s="793"/>
      <c r="BP268" s="792" t="str">
        <f t="array" ref="BP268:BQ268">{"",'S-10 Оформление сделок Выборка'!BQ268}</f>
        <v/>
      </c>
      <c r="BQ268" s="802"/>
      <c r="BR268" s="792" t="str">
        <f t="array" ref="BR268:BS268">{"",'S-10 Оформление сделок Выборка'!BS268}</f>
        <v/>
      </c>
      <c r="BS268" s="794"/>
      <c r="BT268" s="800" t="str">
        <f t="array" ref="BT268:BU268">{"",'S-10 Оформление сделок Выборка'!BU268}</f>
        <v/>
      </c>
      <c r="BU268" s="794"/>
      <c r="BV268" s="800" t="str">
        <f t="array" ref="BV268:BW268">{"",'S-10 Оформление сделок Выборка'!BW268}</f>
        <v/>
      </c>
      <c r="BW268" s="803" t="s">
        <v>96</v>
      </c>
      <c r="BX268" s="804"/>
    </row>
    <row r="269">
      <c r="A269" s="779"/>
      <c r="B269" s="779"/>
      <c r="C269" s="780" t="str">
        <f>'5-1 Сбор КП Закупки'!C269</f>
        <v/>
      </c>
      <c r="D269" s="781"/>
      <c r="E269" s="780"/>
      <c r="F269" s="783"/>
      <c r="G269" s="783"/>
      <c r="H269" s="783"/>
      <c r="I269" s="783"/>
      <c r="J269" s="780"/>
      <c r="K269" s="786"/>
      <c r="L269" s="785"/>
      <c r="M269" s="786"/>
      <c r="N269" s="786"/>
      <c r="O269" s="780"/>
      <c r="P269" s="787"/>
      <c r="Q269" s="780"/>
      <c r="R269" s="780"/>
      <c r="S269" s="780"/>
      <c r="T269" s="780"/>
      <c r="U269" s="780"/>
      <c r="V269" s="780"/>
      <c r="W269" s="787"/>
      <c r="X269" s="780"/>
      <c r="Y269" s="780"/>
      <c r="Z269" s="780"/>
      <c r="AA269" s="780"/>
      <c r="AB269" s="788"/>
      <c r="AC269" s="781"/>
      <c r="AD269" s="780"/>
      <c r="AE269" s="789" t="str">
        <f t="array" ref="AE269:AF269">{"",'S-10 Оформление сделок Выборка'!AF269}</f>
        <v/>
      </c>
      <c r="AF269" s="790"/>
      <c r="AG269" s="781"/>
      <c r="AH269" s="781"/>
      <c r="AI269" s="785"/>
      <c r="AJ269" s="780"/>
      <c r="AK269" s="792" t="str">
        <f t="array" ref="AK269:AL269">{"",'S-10 Оформление сделок Выборка'!AL269}</f>
        <v/>
      </c>
      <c r="AL269" s="793"/>
      <c r="AM269" s="792" t="str">
        <f t="array" ref="AM269:AN269">{"",'S-10 Оформление сделок Выборка'!AN269}</f>
        <v/>
      </c>
      <c r="AN269" s="794"/>
      <c r="AO269" s="792" t="str">
        <f t="array" ref="AO269:AP269">{"",'S-10 Оформление сделок Выборка'!AP269}</f>
        <v/>
      </c>
      <c r="AP269" s="786"/>
      <c r="AQ269" s="786"/>
      <c r="AR269" s="779" t="str">
        <f t="array" ref="AR269:AS269">{"",'S-10 Оформление сделок Выборка'!AS269}</f>
        <v/>
      </c>
      <c r="AS269" s="795"/>
      <c r="AT269" s="779" t="str">
        <f t="array" ref="AT269:AU269">{"",'S-10 Оформление сделок Выборка'!AU269}</f>
        <v/>
      </c>
      <c r="AU269" s="805"/>
      <c r="AV269" s="779" t="str">
        <f t="array" ref="AV269:AW269">{"",'S-10 Оформление сделок Выборка'!AW269}</f>
        <v/>
      </c>
      <c r="AW269" s="797"/>
      <c r="AX269" s="786"/>
      <c r="AY269" s="786"/>
      <c r="AZ269" s="792" t="str">
        <f t="array" ref="AZ269:BA269">{"",'S-10 Оформление сделок Выборка'!BA269}</f>
        <v/>
      </c>
      <c r="BA269" s="798"/>
      <c r="BB269" s="792" t="str">
        <f t="array" ref="BB269:BC269">{"",'S-10 Оформление сделок Выборка'!BC269}</f>
        <v/>
      </c>
      <c r="BC269" s="799"/>
      <c r="BD269" s="792" t="str">
        <f t="array" ref="BD269:BE269">{"",'S-10 Оформление сделок Выборка'!BE269}</f>
        <v/>
      </c>
      <c r="BE269" s="793"/>
      <c r="BF269" s="800" t="str">
        <f t="array" ref="BF269:BG269">{"",'S-10 Оформление сделок Выборка'!BG269}</f>
        <v/>
      </c>
      <c r="BG269" s="794"/>
      <c r="BH269" s="794" t="str">
        <f t="array" ref="BH269:BI269">{"",'S-10 Оформление сделок Выборка'!BI269}</f>
        <v/>
      </c>
      <c r="BI269" s="794"/>
      <c r="BJ269" s="792" t="str">
        <f t="array" ref="BJ269:BK269">{"",'S-10 Оформление сделок Выборка'!BK269}</f>
        <v/>
      </c>
      <c r="BK269" s="793"/>
      <c r="BL269" s="792" t="str">
        <f t="array" ref="BL269:BM269">{"",'S-10 Оформление сделок Выборка'!BM269}</f>
        <v/>
      </c>
      <c r="BM269" s="801"/>
      <c r="BN269" s="792" t="str">
        <f t="array" ref="BN269:BO269">{"",'S-10 Оформление сделок Выборка'!BO269}</f>
        <v/>
      </c>
      <c r="BO269" s="793"/>
      <c r="BP269" s="792" t="str">
        <f t="array" ref="BP269:BQ269">{"",'S-10 Оформление сделок Выборка'!BQ269}</f>
        <v/>
      </c>
      <c r="BQ269" s="802"/>
      <c r="BR269" s="792" t="str">
        <f t="array" ref="BR269:BS269">{"",'S-10 Оформление сделок Выборка'!BS269}</f>
        <v/>
      </c>
      <c r="BS269" s="794"/>
      <c r="BT269" s="800" t="str">
        <f t="array" ref="BT269:BU269">{"",'S-10 Оформление сделок Выборка'!BU269}</f>
        <v/>
      </c>
      <c r="BU269" s="794"/>
      <c r="BV269" s="800" t="str">
        <f t="array" ref="BV269:BW269">{"",'S-10 Оформление сделок Выборка'!BW269}</f>
        <v/>
      </c>
      <c r="BW269" s="803" t="s">
        <v>96</v>
      </c>
      <c r="BX269" s="804"/>
    </row>
    <row r="270">
      <c r="A270" s="779"/>
      <c r="B270" s="779"/>
      <c r="C270" s="780" t="str">
        <f>'5-1 Сбор КП Закупки'!C270</f>
        <v/>
      </c>
      <c r="D270" s="781"/>
      <c r="E270" s="780"/>
      <c r="F270" s="783"/>
      <c r="G270" s="783"/>
      <c r="H270" s="783"/>
      <c r="I270" s="783"/>
      <c r="J270" s="780"/>
      <c r="K270" s="786"/>
      <c r="L270" s="785"/>
      <c r="M270" s="786"/>
      <c r="N270" s="786"/>
      <c r="O270" s="780"/>
      <c r="P270" s="787"/>
      <c r="Q270" s="780"/>
      <c r="R270" s="780"/>
      <c r="S270" s="780"/>
      <c r="T270" s="780"/>
      <c r="U270" s="780"/>
      <c r="V270" s="780"/>
      <c r="W270" s="787"/>
      <c r="X270" s="780"/>
      <c r="Y270" s="780"/>
      <c r="Z270" s="780"/>
      <c r="AA270" s="780"/>
      <c r="AB270" s="788"/>
      <c r="AC270" s="781"/>
      <c r="AD270" s="780"/>
      <c r="AE270" s="789" t="str">
        <f t="array" ref="AE270:AF270">{"",'S-10 Оформление сделок Выборка'!AF270}</f>
        <v/>
      </c>
      <c r="AF270" s="790"/>
      <c r="AG270" s="781"/>
      <c r="AH270" s="781"/>
      <c r="AI270" s="785"/>
      <c r="AJ270" s="780"/>
      <c r="AK270" s="792" t="str">
        <f t="array" ref="AK270:AL270">{"",'S-10 Оформление сделок Выборка'!AL270}</f>
        <v/>
      </c>
      <c r="AL270" s="793"/>
      <c r="AM270" s="792" t="str">
        <f t="array" ref="AM270:AN270">{"",'S-10 Оформление сделок Выборка'!AN270}</f>
        <v/>
      </c>
      <c r="AN270" s="794"/>
      <c r="AO270" s="792" t="str">
        <f t="array" ref="AO270:AP270">{"",'S-10 Оформление сделок Выборка'!AP270}</f>
        <v/>
      </c>
      <c r="AP270" s="786"/>
      <c r="AQ270" s="786"/>
      <c r="AR270" s="779" t="str">
        <f t="array" ref="AR270:AS270">{"",'S-10 Оформление сделок Выборка'!AS270}</f>
        <v/>
      </c>
      <c r="AS270" s="795"/>
      <c r="AT270" s="779" t="str">
        <f t="array" ref="AT270:AU270">{"",'S-10 Оформление сделок Выборка'!AU270}</f>
        <v/>
      </c>
      <c r="AU270" s="805"/>
      <c r="AV270" s="779" t="str">
        <f t="array" ref="AV270:AW270">{"",'S-10 Оформление сделок Выборка'!AW270}</f>
        <v/>
      </c>
      <c r="AW270" s="797"/>
      <c r="AX270" s="786"/>
      <c r="AY270" s="786"/>
      <c r="AZ270" s="792" t="str">
        <f t="array" ref="AZ270:BA270">{"",'S-10 Оформление сделок Выборка'!BA270}</f>
        <v/>
      </c>
      <c r="BA270" s="798"/>
      <c r="BB270" s="792" t="str">
        <f t="array" ref="BB270:BC270">{"",'S-10 Оформление сделок Выборка'!BC270}</f>
        <v/>
      </c>
      <c r="BC270" s="799"/>
      <c r="BD270" s="792" t="str">
        <f t="array" ref="BD270:BE270">{"",'S-10 Оформление сделок Выборка'!BE270}</f>
        <v/>
      </c>
      <c r="BE270" s="793"/>
      <c r="BF270" s="800" t="str">
        <f t="array" ref="BF270:BG270">{"",'S-10 Оформление сделок Выборка'!BG270}</f>
        <v/>
      </c>
      <c r="BG270" s="794"/>
      <c r="BH270" s="794" t="str">
        <f t="array" ref="BH270:BI270">{"",'S-10 Оформление сделок Выборка'!BI270}</f>
        <v/>
      </c>
      <c r="BI270" s="794"/>
      <c r="BJ270" s="792" t="str">
        <f t="array" ref="BJ270:BK270">{"",'S-10 Оформление сделок Выборка'!BK270}</f>
        <v/>
      </c>
      <c r="BK270" s="793"/>
      <c r="BL270" s="792" t="str">
        <f t="array" ref="BL270:BM270">{"",'S-10 Оформление сделок Выборка'!BM270}</f>
        <v/>
      </c>
      <c r="BM270" s="801"/>
      <c r="BN270" s="792" t="str">
        <f t="array" ref="BN270:BO270">{"",'S-10 Оформление сделок Выборка'!BO270}</f>
        <v/>
      </c>
      <c r="BO270" s="793"/>
      <c r="BP270" s="792" t="str">
        <f t="array" ref="BP270:BQ270">{"",'S-10 Оформление сделок Выборка'!BQ270}</f>
        <v/>
      </c>
      <c r="BQ270" s="802"/>
      <c r="BR270" s="792" t="str">
        <f t="array" ref="BR270:BS270">{"",'S-10 Оформление сделок Выборка'!BS270}</f>
        <v/>
      </c>
      <c r="BS270" s="794"/>
      <c r="BT270" s="800" t="str">
        <f t="array" ref="BT270:BU270">{"",'S-10 Оформление сделок Выборка'!BU270}</f>
        <v/>
      </c>
      <c r="BU270" s="794"/>
      <c r="BV270" s="800" t="str">
        <f t="array" ref="BV270:BW270">{"",'S-10 Оформление сделок Выборка'!BW270}</f>
        <v/>
      </c>
      <c r="BW270" s="803" t="s">
        <v>96</v>
      </c>
      <c r="BX270" s="804"/>
    </row>
    <row r="271">
      <c r="A271" s="779"/>
      <c r="B271" s="779"/>
      <c r="C271" s="780" t="str">
        <f>'5-1 Сбор КП Закупки'!C271</f>
        <v/>
      </c>
      <c r="D271" s="781"/>
      <c r="E271" s="780"/>
      <c r="F271" s="783"/>
      <c r="G271" s="783"/>
      <c r="H271" s="783"/>
      <c r="I271" s="783"/>
      <c r="J271" s="780"/>
      <c r="K271" s="786"/>
      <c r="L271" s="785"/>
      <c r="M271" s="786"/>
      <c r="N271" s="786"/>
      <c r="O271" s="780"/>
      <c r="P271" s="787"/>
      <c r="Q271" s="780"/>
      <c r="R271" s="780"/>
      <c r="S271" s="780"/>
      <c r="T271" s="780"/>
      <c r="U271" s="780"/>
      <c r="V271" s="780"/>
      <c r="W271" s="787"/>
      <c r="X271" s="780"/>
      <c r="Y271" s="780"/>
      <c r="Z271" s="780"/>
      <c r="AA271" s="780"/>
      <c r="AB271" s="788"/>
      <c r="AC271" s="781"/>
      <c r="AD271" s="780"/>
      <c r="AE271" s="789" t="str">
        <f t="array" ref="AE271:AF271">{"",'S-10 Оформление сделок Выборка'!AF271}</f>
        <v/>
      </c>
      <c r="AF271" s="790"/>
      <c r="AG271" s="781"/>
      <c r="AH271" s="781"/>
      <c r="AI271" s="785"/>
      <c r="AJ271" s="780"/>
      <c r="AK271" s="792" t="str">
        <f t="array" ref="AK271:AL271">{"",'S-10 Оформление сделок Выборка'!AL271}</f>
        <v/>
      </c>
      <c r="AL271" s="793"/>
      <c r="AM271" s="792" t="str">
        <f t="array" ref="AM271:AN271">{"",'S-10 Оформление сделок Выборка'!AN271}</f>
        <v/>
      </c>
      <c r="AN271" s="794"/>
      <c r="AO271" s="792" t="str">
        <f t="array" ref="AO271:AP271">{"",'S-10 Оформление сделок Выборка'!AP271}</f>
        <v/>
      </c>
      <c r="AP271" s="786"/>
      <c r="AQ271" s="786"/>
      <c r="AR271" s="779" t="str">
        <f t="array" ref="AR271:AS271">{"",'S-10 Оформление сделок Выборка'!AS271}</f>
        <v/>
      </c>
      <c r="AS271" s="795"/>
      <c r="AT271" s="779" t="str">
        <f t="array" ref="AT271:AU271">{"",'S-10 Оформление сделок Выборка'!AU271}</f>
        <v/>
      </c>
      <c r="AU271" s="805"/>
      <c r="AV271" s="779" t="str">
        <f t="array" ref="AV271:AW271">{"",'S-10 Оформление сделок Выборка'!AW271}</f>
        <v/>
      </c>
      <c r="AW271" s="797"/>
      <c r="AX271" s="786"/>
      <c r="AY271" s="786"/>
      <c r="AZ271" s="792" t="str">
        <f t="array" ref="AZ271:BA271">{"",'S-10 Оформление сделок Выборка'!BA271}</f>
        <v/>
      </c>
      <c r="BA271" s="798"/>
      <c r="BB271" s="792" t="str">
        <f t="array" ref="BB271:BC271">{"",'S-10 Оформление сделок Выборка'!BC271}</f>
        <v/>
      </c>
      <c r="BC271" s="799"/>
      <c r="BD271" s="792" t="str">
        <f t="array" ref="BD271:BE271">{"",'S-10 Оформление сделок Выборка'!BE271}</f>
        <v/>
      </c>
      <c r="BE271" s="793"/>
      <c r="BF271" s="800" t="str">
        <f t="array" ref="BF271:BG271">{"",'S-10 Оформление сделок Выборка'!BG271}</f>
        <v/>
      </c>
      <c r="BG271" s="794"/>
      <c r="BH271" s="794" t="str">
        <f t="array" ref="BH271:BI271">{"",'S-10 Оформление сделок Выборка'!BI271}</f>
        <v/>
      </c>
      <c r="BI271" s="794"/>
      <c r="BJ271" s="792" t="str">
        <f t="array" ref="BJ271:BK271">{"",'S-10 Оформление сделок Выборка'!BK271}</f>
        <v/>
      </c>
      <c r="BK271" s="793"/>
      <c r="BL271" s="792" t="str">
        <f t="array" ref="BL271:BM271">{"",'S-10 Оформление сделок Выборка'!BM271}</f>
        <v/>
      </c>
      <c r="BM271" s="801"/>
      <c r="BN271" s="792" t="str">
        <f t="array" ref="BN271:BO271">{"",'S-10 Оформление сделок Выборка'!BO271}</f>
        <v/>
      </c>
      <c r="BO271" s="793"/>
      <c r="BP271" s="792" t="str">
        <f t="array" ref="BP271:BQ271">{"",'S-10 Оформление сделок Выборка'!BQ271}</f>
        <v/>
      </c>
      <c r="BQ271" s="802"/>
      <c r="BR271" s="792" t="str">
        <f t="array" ref="BR271:BS271">{"",'S-10 Оформление сделок Выборка'!BS271}</f>
        <v/>
      </c>
      <c r="BS271" s="794"/>
      <c r="BT271" s="800" t="str">
        <f t="array" ref="BT271:BU271">{"",'S-10 Оформление сделок Выборка'!BU271}</f>
        <v/>
      </c>
      <c r="BU271" s="794"/>
      <c r="BV271" s="800" t="str">
        <f t="array" ref="BV271:BW271">{"",'S-10 Оформление сделок Выборка'!BW271}</f>
        <v/>
      </c>
      <c r="BW271" s="803" t="s">
        <v>96</v>
      </c>
      <c r="BX271" s="804"/>
    </row>
    <row r="272">
      <c r="A272" s="779"/>
      <c r="B272" s="779"/>
      <c r="C272" s="780" t="str">
        <f>'5-1 Сбор КП Закупки'!C272</f>
        <v/>
      </c>
      <c r="D272" s="781"/>
      <c r="E272" s="780"/>
      <c r="F272" s="783"/>
      <c r="G272" s="783"/>
      <c r="H272" s="783"/>
      <c r="I272" s="783"/>
      <c r="J272" s="780"/>
      <c r="K272" s="786"/>
      <c r="L272" s="785"/>
      <c r="M272" s="786"/>
      <c r="N272" s="786"/>
      <c r="O272" s="780"/>
      <c r="P272" s="787"/>
      <c r="Q272" s="780"/>
      <c r="R272" s="780"/>
      <c r="S272" s="780"/>
      <c r="T272" s="780"/>
      <c r="U272" s="780"/>
      <c r="V272" s="780"/>
      <c r="W272" s="787"/>
      <c r="X272" s="780"/>
      <c r="Y272" s="780"/>
      <c r="Z272" s="780"/>
      <c r="AA272" s="780"/>
      <c r="AB272" s="788"/>
      <c r="AC272" s="781"/>
      <c r="AD272" s="780"/>
      <c r="AE272" s="789" t="str">
        <f t="array" ref="AE272:AF272">{"",'S-10 Оформление сделок Выборка'!AF272}</f>
        <v/>
      </c>
      <c r="AF272" s="790"/>
      <c r="AG272" s="781"/>
      <c r="AH272" s="781"/>
      <c r="AI272" s="785"/>
      <c r="AJ272" s="780"/>
      <c r="AK272" s="792" t="str">
        <f t="array" ref="AK272:AL272">{"",'S-10 Оформление сделок Выборка'!AL272}</f>
        <v/>
      </c>
      <c r="AL272" s="793"/>
      <c r="AM272" s="792" t="str">
        <f t="array" ref="AM272:AN272">{"",'S-10 Оформление сделок Выборка'!AN272}</f>
        <v/>
      </c>
      <c r="AN272" s="794"/>
      <c r="AO272" s="792" t="str">
        <f t="array" ref="AO272:AP272">{"",'S-10 Оформление сделок Выборка'!AP272}</f>
        <v/>
      </c>
      <c r="AP272" s="786"/>
      <c r="AQ272" s="786"/>
      <c r="AR272" s="779" t="str">
        <f t="array" ref="AR272:AS272">{"",'S-10 Оформление сделок Выборка'!AS272}</f>
        <v/>
      </c>
      <c r="AS272" s="795"/>
      <c r="AT272" s="779" t="str">
        <f t="array" ref="AT272:AU272">{"",'S-10 Оформление сделок Выборка'!AU272}</f>
        <v/>
      </c>
      <c r="AU272" s="805"/>
      <c r="AV272" s="779" t="str">
        <f t="array" ref="AV272:AW272">{"",'S-10 Оформление сделок Выборка'!AW272}</f>
        <v/>
      </c>
      <c r="AW272" s="797"/>
      <c r="AX272" s="786"/>
      <c r="AY272" s="786"/>
      <c r="AZ272" s="792" t="str">
        <f t="array" ref="AZ272:BA272">{"",'S-10 Оформление сделок Выборка'!BA272}</f>
        <v/>
      </c>
      <c r="BA272" s="798"/>
      <c r="BB272" s="792" t="str">
        <f t="array" ref="BB272:BC272">{"",'S-10 Оформление сделок Выборка'!BC272}</f>
        <v/>
      </c>
      <c r="BC272" s="799"/>
      <c r="BD272" s="792" t="str">
        <f t="array" ref="BD272:BE272">{"",'S-10 Оформление сделок Выборка'!BE272}</f>
        <v/>
      </c>
      <c r="BE272" s="793"/>
      <c r="BF272" s="800" t="str">
        <f t="array" ref="BF272:BG272">{"",'S-10 Оформление сделок Выборка'!BG272}</f>
        <v/>
      </c>
      <c r="BG272" s="794"/>
      <c r="BH272" s="794" t="str">
        <f t="array" ref="BH272:BI272">{"",'S-10 Оформление сделок Выборка'!BI272}</f>
        <v/>
      </c>
      <c r="BI272" s="794"/>
      <c r="BJ272" s="792" t="str">
        <f t="array" ref="BJ272:BK272">{"",'S-10 Оформление сделок Выборка'!BK272}</f>
        <v/>
      </c>
      <c r="BK272" s="793"/>
      <c r="BL272" s="792" t="str">
        <f t="array" ref="BL272:BM272">{"",'S-10 Оформление сделок Выборка'!BM272}</f>
        <v/>
      </c>
      <c r="BM272" s="801"/>
      <c r="BN272" s="792" t="str">
        <f t="array" ref="BN272:BO272">{"",'S-10 Оформление сделок Выборка'!BO272}</f>
        <v/>
      </c>
      <c r="BO272" s="793"/>
      <c r="BP272" s="792" t="str">
        <f t="array" ref="BP272:BQ272">{"",'S-10 Оформление сделок Выборка'!BQ272}</f>
        <v/>
      </c>
      <c r="BQ272" s="802"/>
      <c r="BR272" s="792" t="str">
        <f t="array" ref="BR272:BS272">{"",'S-10 Оформление сделок Выборка'!BS272}</f>
        <v/>
      </c>
      <c r="BS272" s="794"/>
      <c r="BT272" s="800" t="str">
        <f t="array" ref="BT272:BU272">{"",'S-10 Оформление сделок Выборка'!BU272}</f>
        <v/>
      </c>
      <c r="BU272" s="794"/>
      <c r="BV272" s="800" t="str">
        <f t="array" ref="BV272:BW272">{"",'S-10 Оформление сделок Выборка'!BW272}</f>
        <v/>
      </c>
      <c r="BW272" s="803" t="s">
        <v>96</v>
      </c>
      <c r="BX272" s="804"/>
    </row>
    <row r="273">
      <c r="A273" s="779"/>
      <c r="B273" s="779"/>
      <c r="C273" s="780" t="str">
        <f>'5-1 Сбор КП Закупки'!C273</f>
        <v/>
      </c>
      <c r="D273" s="781"/>
      <c r="E273" s="780"/>
      <c r="F273" s="783"/>
      <c r="G273" s="783"/>
      <c r="H273" s="783"/>
      <c r="I273" s="783"/>
      <c r="J273" s="780"/>
      <c r="K273" s="786"/>
      <c r="L273" s="785"/>
      <c r="M273" s="786"/>
      <c r="N273" s="786"/>
      <c r="O273" s="780"/>
      <c r="P273" s="787"/>
      <c r="Q273" s="780"/>
      <c r="R273" s="780"/>
      <c r="S273" s="780"/>
      <c r="T273" s="780"/>
      <c r="U273" s="780"/>
      <c r="V273" s="780"/>
      <c r="W273" s="787"/>
      <c r="X273" s="780"/>
      <c r="Y273" s="780"/>
      <c r="Z273" s="780"/>
      <c r="AA273" s="780"/>
      <c r="AB273" s="788"/>
      <c r="AC273" s="781"/>
      <c r="AD273" s="780"/>
      <c r="AE273" s="789" t="str">
        <f t="array" ref="AE273:AF273">{"",'S-10 Оформление сделок Выборка'!AF273}</f>
        <v/>
      </c>
      <c r="AF273" s="790"/>
      <c r="AG273" s="781"/>
      <c r="AH273" s="781"/>
      <c r="AI273" s="785"/>
      <c r="AJ273" s="780"/>
      <c r="AK273" s="792" t="str">
        <f t="array" ref="AK273:AL273">{"",'S-10 Оформление сделок Выборка'!AL273}</f>
        <v/>
      </c>
      <c r="AL273" s="793"/>
      <c r="AM273" s="792" t="str">
        <f t="array" ref="AM273:AN273">{"",'S-10 Оформление сделок Выборка'!AN273}</f>
        <v/>
      </c>
      <c r="AN273" s="794"/>
      <c r="AO273" s="792" t="str">
        <f t="array" ref="AO273:AP273">{"",'S-10 Оформление сделок Выборка'!AP273}</f>
        <v/>
      </c>
      <c r="AP273" s="786"/>
      <c r="AQ273" s="786"/>
      <c r="AR273" s="779" t="str">
        <f t="array" ref="AR273:AS273">{"",'S-10 Оформление сделок Выборка'!AS273}</f>
        <v/>
      </c>
      <c r="AS273" s="795"/>
      <c r="AT273" s="779" t="str">
        <f t="array" ref="AT273:AU273">{"",'S-10 Оформление сделок Выборка'!AU273}</f>
        <v/>
      </c>
      <c r="AU273" s="805"/>
      <c r="AV273" s="779" t="str">
        <f t="array" ref="AV273:AW273">{"",'S-10 Оформление сделок Выборка'!AW273}</f>
        <v/>
      </c>
      <c r="AW273" s="797"/>
      <c r="AX273" s="786"/>
      <c r="AY273" s="786"/>
      <c r="AZ273" s="792" t="str">
        <f t="array" ref="AZ273:BA273">{"",'S-10 Оформление сделок Выборка'!BA273}</f>
        <v/>
      </c>
      <c r="BA273" s="798"/>
      <c r="BB273" s="792" t="str">
        <f t="array" ref="BB273:BC273">{"",'S-10 Оформление сделок Выборка'!BC273}</f>
        <v/>
      </c>
      <c r="BC273" s="799"/>
      <c r="BD273" s="792" t="str">
        <f t="array" ref="BD273:BE273">{"",'S-10 Оформление сделок Выборка'!BE273}</f>
        <v/>
      </c>
      <c r="BE273" s="793"/>
      <c r="BF273" s="800" t="str">
        <f t="array" ref="BF273:BG273">{"",'S-10 Оформление сделок Выборка'!BG273}</f>
        <v/>
      </c>
      <c r="BG273" s="794"/>
      <c r="BH273" s="794" t="str">
        <f t="array" ref="BH273:BI273">{"",'S-10 Оформление сделок Выборка'!BI273}</f>
        <v/>
      </c>
      <c r="BI273" s="794"/>
      <c r="BJ273" s="792" t="str">
        <f t="array" ref="BJ273:BK273">{"",'S-10 Оформление сделок Выборка'!BK273}</f>
        <v/>
      </c>
      <c r="BK273" s="793"/>
      <c r="BL273" s="792" t="str">
        <f t="array" ref="BL273:BM273">{"",'S-10 Оформление сделок Выборка'!BM273}</f>
        <v/>
      </c>
      <c r="BM273" s="801"/>
      <c r="BN273" s="792" t="str">
        <f t="array" ref="BN273:BO273">{"",'S-10 Оформление сделок Выборка'!BO273}</f>
        <v/>
      </c>
      <c r="BO273" s="793"/>
      <c r="BP273" s="792" t="str">
        <f t="array" ref="BP273:BQ273">{"",'S-10 Оформление сделок Выборка'!BQ273}</f>
        <v/>
      </c>
      <c r="BQ273" s="802"/>
      <c r="BR273" s="792" t="str">
        <f t="array" ref="BR273:BS273">{"",'S-10 Оформление сделок Выборка'!BS273}</f>
        <v/>
      </c>
      <c r="BS273" s="794"/>
      <c r="BT273" s="800" t="str">
        <f t="array" ref="BT273:BU273">{"",'S-10 Оформление сделок Выборка'!BU273}</f>
        <v/>
      </c>
      <c r="BU273" s="794"/>
      <c r="BV273" s="800" t="str">
        <f t="array" ref="BV273:BW273">{"",'S-10 Оформление сделок Выборка'!BW273}</f>
        <v/>
      </c>
      <c r="BW273" s="803" t="s">
        <v>96</v>
      </c>
      <c r="BX273" s="804"/>
    </row>
    <row r="274">
      <c r="A274" s="779"/>
      <c r="B274" s="779"/>
      <c r="C274" s="780" t="str">
        <f>'5-1 Сбор КП Закупки'!C274</f>
        <v/>
      </c>
      <c r="D274" s="781"/>
      <c r="E274" s="780"/>
      <c r="F274" s="783"/>
      <c r="G274" s="783"/>
      <c r="H274" s="783"/>
      <c r="I274" s="783"/>
      <c r="J274" s="780"/>
      <c r="K274" s="786"/>
      <c r="L274" s="785"/>
      <c r="M274" s="786"/>
      <c r="N274" s="786"/>
      <c r="O274" s="780"/>
      <c r="P274" s="787"/>
      <c r="Q274" s="780"/>
      <c r="R274" s="780"/>
      <c r="S274" s="780"/>
      <c r="T274" s="780"/>
      <c r="U274" s="780"/>
      <c r="V274" s="780"/>
      <c r="W274" s="787"/>
      <c r="X274" s="780"/>
      <c r="Y274" s="780"/>
      <c r="Z274" s="780"/>
      <c r="AA274" s="780"/>
      <c r="AB274" s="788"/>
      <c r="AC274" s="781"/>
      <c r="AD274" s="780"/>
      <c r="AE274" s="789" t="str">
        <f t="array" ref="AE274:AF274">{"",'S-10 Оформление сделок Выборка'!AF274}</f>
        <v/>
      </c>
      <c r="AF274" s="790"/>
      <c r="AG274" s="781"/>
      <c r="AH274" s="781"/>
      <c r="AI274" s="785"/>
      <c r="AJ274" s="780"/>
      <c r="AK274" s="792" t="str">
        <f t="array" ref="AK274:AL274">{"",'S-10 Оформление сделок Выборка'!AL274}</f>
        <v/>
      </c>
      <c r="AL274" s="793"/>
      <c r="AM274" s="792" t="str">
        <f t="array" ref="AM274:AN274">{"",'S-10 Оформление сделок Выборка'!AN274}</f>
        <v/>
      </c>
      <c r="AN274" s="794"/>
      <c r="AO274" s="792" t="str">
        <f t="array" ref="AO274:AP274">{"",'S-10 Оформление сделок Выборка'!AP274}</f>
        <v/>
      </c>
      <c r="AP274" s="786"/>
      <c r="AQ274" s="786"/>
      <c r="AR274" s="779" t="str">
        <f t="array" ref="AR274:AS274">{"",'S-10 Оформление сделок Выборка'!AS274}</f>
        <v/>
      </c>
      <c r="AS274" s="795"/>
      <c r="AT274" s="779" t="str">
        <f t="array" ref="AT274:AU274">{"",'S-10 Оформление сделок Выборка'!AU274}</f>
        <v/>
      </c>
      <c r="AU274" s="805"/>
      <c r="AV274" s="779" t="str">
        <f t="array" ref="AV274:AW274">{"",'S-10 Оформление сделок Выборка'!AW274}</f>
        <v/>
      </c>
      <c r="AW274" s="797"/>
      <c r="AX274" s="786"/>
      <c r="AY274" s="786"/>
      <c r="AZ274" s="792" t="str">
        <f t="array" ref="AZ274:BA274">{"",'S-10 Оформление сделок Выборка'!BA274}</f>
        <v/>
      </c>
      <c r="BA274" s="798"/>
      <c r="BB274" s="792" t="str">
        <f t="array" ref="BB274:BC274">{"",'S-10 Оформление сделок Выборка'!BC274}</f>
        <v/>
      </c>
      <c r="BC274" s="799"/>
      <c r="BD274" s="792" t="str">
        <f t="array" ref="BD274:BE274">{"",'S-10 Оформление сделок Выборка'!BE274}</f>
        <v/>
      </c>
      <c r="BE274" s="793"/>
      <c r="BF274" s="800" t="str">
        <f t="array" ref="BF274:BG274">{"",'S-10 Оформление сделок Выборка'!BG274}</f>
        <v/>
      </c>
      <c r="BG274" s="794"/>
      <c r="BH274" s="794" t="str">
        <f t="array" ref="BH274:BI274">{"",'S-10 Оформление сделок Выборка'!BI274}</f>
        <v/>
      </c>
      <c r="BI274" s="794"/>
      <c r="BJ274" s="792" t="str">
        <f t="array" ref="BJ274:BK274">{"",'S-10 Оформление сделок Выборка'!BK274}</f>
        <v/>
      </c>
      <c r="BK274" s="793"/>
      <c r="BL274" s="792" t="str">
        <f t="array" ref="BL274:BM274">{"",'S-10 Оформление сделок Выборка'!BM274}</f>
        <v/>
      </c>
      <c r="BM274" s="801"/>
      <c r="BN274" s="792" t="str">
        <f t="array" ref="BN274:BO274">{"",'S-10 Оформление сделок Выборка'!BO274}</f>
        <v/>
      </c>
      <c r="BO274" s="793"/>
      <c r="BP274" s="792" t="str">
        <f t="array" ref="BP274:BQ274">{"",'S-10 Оформление сделок Выборка'!BQ274}</f>
        <v/>
      </c>
      <c r="BQ274" s="802"/>
      <c r="BR274" s="792" t="str">
        <f t="array" ref="BR274:BS274">{"",'S-10 Оформление сделок Выборка'!BS274}</f>
        <v/>
      </c>
      <c r="BS274" s="794"/>
      <c r="BT274" s="800" t="str">
        <f t="array" ref="BT274:BU274">{"",'S-10 Оформление сделок Выборка'!BU274}</f>
        <v/>
      </c>
      <c r="BU274" s="794"/>
      <c r="BV274" s="800" t="str">
        <f t="array" ref="BV274:BW274">{"",'S-10 Оформление сделок Выборка'!BW274}</f>
        <v/>
      </c>
      <c r="BW274" s="803" t="s">
        <v>96</v>
      </c>
      <c r="BX274" s="804"/>
    </row>
    <row r="275">
      <c r="A275" s="779"/>
      <c r="B275" s="779"/>
      <c r="C275" s="780" t="str">
        <f>'5-1 Сбор КП Закупки'!C275</f>
        <v/>
      </c>
      <c r="D275" s="781"/>
      <c r="E275" s="780"/>
      <c r="F275" s="783"/>
      <c r="G275" s="783"/>
      <c r="H275" s="783"/>
      <c r="I275" s="783"/>
      <c r="J275" s="780"/>
      <c r="K275" s="786"/>
      <c r="L275" s="785"/>
      <c r="M275" s="786"/>
      <c r="N275" s="786"/>
      <c r="O275" s="780"/>
      <c r="P275" s="787"/>
      <c r="Q275" s="780"/>
      <c r="R275" s="780"/>
      <c r="S275" s="780"/>
      <c r="T275" s="780"/>
      <c r="U275" s="780"/>
      <c r="V275" s="780"/>
      <c r="W275" s="787"/>
      <c r="X275" s="780"/>
      <c r="Y275" s="780"/>
      <c r="Z275" s="780"/>
      <c r="AA275" s="780"/>
      <c r="AB275" s="788"/>
      <c r="AC275" s="781"/>
      <c r="AD275" s="780"/>
      <c r="AE275" s="789" t="str">
        <f t="array" ref="AE275:AF275">{"",'S-10 Оформление сделок Выборка'!AF275}</f>
        <v/>
      </c>
      <c r="AF275" s="790"/>
      <c r="AG275" s="781"/>
      <c r="AH275" s="781"/>
      <c r="AI275" s="785"/>
      <c r="AJ275" s="780"/>
      <c r="AK275" s="792" t="str">
        <f t="array" ref="AK275:AL275">{"",'S-10 Оформление сделок Выборка'!AL275}</f>
        <v/>
      </c>
      <c r="AL275" s="793"/>
      <c r="AM275" s="792" t="str">
        <f t="array" ref="AM275:AN275">{"",'S-10 Оформление сделок Выборка'!AN275}</f>
        <v/>
      </c>
      <c r="AN275" s="794"/>
      <c r="AO275" s="792" t="str">
        <f t="array" ref="AO275:AP275">{"",'S-10 Оформление сделок Выборка'!AP275}</f>
        <v/>
      </c>
      <c r="AP275" s="786"/>
      <c r="AQ275" s="786"/>
      <c r="AR275" s="779" t="str">
        <f t="array" ref="AR275:AS275">{"",'S-10 Оформление сделок Выборка'!AS275}</f>
        <v/>
      </c>
      <c r="AS275" s="795"/>
      <c r="AT275" s="779" t="str">
        <f t="array" ref="AT275:AU275">{"",'S-10 Оформление сделок Выборка'!AU275}</f>
        <v/>
      </c>
      <c r="AU275" s="805"/>
      <c r="AV275" s="779" t="str">
        <f t="array" ref="AV275:AW275">{"",'S-10 Оформление сделок Выборка'!AW275}</f>
        <v/>
      </c>
      <c r="AW275" s="797"/>
      <c r="AX275" s="786"/>
      <c r="AY275" s="786"/>
      <c r="AZ275" s="792" t="str">
        <f t="array" ref="AZ275:BA275">{"",'S-10 Оформление сделок Выборка'!BA275}</f>
        <v/>
      </c>
      <c r="BA275" s="798"/>
      <c r="BB275" s="792" t="str">
        <f t="array" ref="BB275:BC275">{"",'S-10 Оформление сделок Выборка'!BC275}</f>
        <v/>
      </c>
      <c r="BC275" s="799"/>
      <c r="BD275" s="792" t="str">
        <f t="array" ref="BD275:BE275">{"",'S-10 Оформление сделок Выборка'!BE275}</f>
        <v/>
      </c>
      <c r="BE275" s="793"/>
      <c r="BF275" s="800" t="str">
        <f t="array" ref="BF275:BG275">{"",'S-10 Оформление сделок Выборка'!BG275}</f>
        <v/>
      </c>
      <c r="BG275" s="794"/>
      <c r="BH275" s="794" t="str">
        <f t="array" ref="BH275:BI275">{"",'S-10 Оформление сделок Выборка'!BI275}</f>
        <v/>
      </c>
      <c r="BI275" s="794"/>
      <c r="BJ275" s="792" t="str">
        <f t="array" ref="BJ275:BK275">{"",'S-10 Оформление сделок Выборка'!BK275}</f>
        <v/>
      </c>
      <c r="BK275" s="793"/>
      <c r="BL275" s="792" t="str">
        <f t="array" ref="BL275:BM275">{"",'S-10 Оформление сделок Выборка'!BM275}</f>
        <v/>
      </c>
      <c r="BM275" s="801"/>
      <c r="BN275" s="792" t="str">
        <f t="array" ref="BN275:BO275">{"",'S-10 Оформление сделок Выборка'!BO275}</f>
        <v/>
      </c>
      <c r="BO275" s="793"/>
      <c r="BP275" s="792" t="str">
        <f t="array" ref="BP275:BQ275">{"",'S-10 Оформление сделок Выборка'!BQ275}</f>
        <v/>
      </c>
      <c r="BQ275" s="802"/>
      <c r="BR275" s="792" t="str">
        <f t="array" ref="BR275:BS275">{"",'S-10 Оформление сделок Выборка'!BS275}</f>
        <v/>
      </c>
      <c r="BS275" s="794"/>
      <c r="BT275" s="800" t="str">
        <f t="array" ref="BT275:BU275">{"",'S-10 Оформление сделок Выборка'!BU275}</f>
        <v/>
      </c>
      <c r="BU275" s="794"/>
      <c r="BV275" s="800" t="str">
        <f t="array" ref="BV275:BW275">{"",'S-10 Оформление сделок Выборка'!BW275}</f>
        <v/>
      </c>
      <c r="BW275" s="803" t="s">
        <v>96</v>
      </c>
      <c r="BX275" s="804"/>
    </row>
    <row r="276">
      <c r="A276" s="779"/>
      <c r="B276" s="779"/>
      <c r="C276" s="780" t="str">
        <f>'5-1 Сбор КП Закупки'!C276</f>
        <v/>
      </c>
      <c r="D276" s="781"/>
      <c r="E276" s="780"/>
      <c r="F276" s="783"/>
      <c r="G276" s="783"/>
      <c r="H276" s="783"/>
      <c r="I276" s="783"/>
      <c r="J276" s="780"/>
      <c r="K276" s="786"/>
      <c r="L276" s="785"/>
      <c r="M276" s="786"/>
      <c r="N276" s="786"/>
      <c r="O276" s="780"/>
      <c r="P276" s="787"/>
      <c r="Q276" s="780"/>
      <c r="R276" s="780"/>
      <c r="S276" s="780"/>
      <c r="T276" s="780"/>
      <c r="U276" s="780"/>
      <c r="V276" s="780"/>
      <c r="W276" s="787"/>
      <c r="X276" s="780"/>
      <c r="Y276" s="780"/>
      <c r="Z276" s="780"/>
      <c r="AA276" s="780"/>
      <c r="AB276" s="788"/>
      <c r="AC276" s="781"/>
      <c r="AD276" s="780"/>
      <c r="AE276" s="789" t="str">
        <f t="array" ref="AE276:AF276">{"",'S-10 Оформление сделок Выборка'!AF276}</f>
        <v/>
      </c>
      <c r="AF276" s="790"/>
      <c r="AG276" s="781"/>
      <c r="AH276" s="781"/>
      <c r="AI276" s="785"/>
      <c r="AJ276" s="780"/>
      <c r="AK276" s="792" t="str">
        <f t="array" ref="AK276:AL276">{"",'S-10 Оформление сделок Выборка'!AL276}</f>
        <v/>
      </c>
      <c r="AL276" s="793"/>
      <c r="AM276" s="792" t="str">
        <f t="array" ref="AM276:AN276">{"",'S-10 Оформление сделок Выборка'!AN276}</f>
        <v/>
      </c>
      <c r="AN276" s="794"/>
      <c r="AO276" s="792" t="str">
        <f t="array" ref="AO276:AP276">{"",'S-10 Оформление сделок Выборка'!AP276}</f>
        <v/>
      </c>
      <c r="AP276" s="786"/>
      <c r="AQ276" s="786"/>
      <c r="AR276" s="779" t="str">
        <f t="array" ref="AR276:AS276">{"",'S-10 Оформление сделок Выборка'!AS276}</f>
        <v/>
      </c>
      <c r="AS276" s="795"/>
      <c r="AT276" s="779" t="str">
        <f t="array" ref="AT276:AU276">{"",'S-10 Оформление сделок Выборка'!AU276}</f>
        <v/>
      </c>
      <c r="AU276" s="805"/>
      <c r="AV276" s="779" t="str">
        <f t="array" ref="AV276:AW276">{"",'S-10 Оформление сделок Выборка'!AW276}</f>
        <v/>
      </c>
      <c r="AW276" s="797"/>
      <c r="AX276" s="786"/>
      <c r="AY276" s="786"/>
      <c r="AZ276" s="792" t="str">
        <f t="array" ref="AZ276:BA276">{"",'S-10 Оформление сделок Выборка'!BA276}</f>
        <v/>
      </c>
      <c r="BA276" s="798"/>
      <c r="BB276" s="792" t="str">
        <f t="array" ref="BB276:BC276">{"",'S-10 Оформление сделок Выборка'!BC276}</f>
        <v/>
      </c>
      <c r="BC276" s="799"/>
      <c r="BD276" s="792" t="str">
        <f t="array" ref="BD276:BE276">{"",'S-10 Оформление сделок Выборка'!BE276}</f>
        <v/>
      </c>
      <c r="BE276" s="793"/>
      <c r="BF276" s="800" t="str">
        <f t="array" ref="BF276:BG276">{"",'S-10 Оформление сделок Выборка'!BG276}</f>
        <v/>
      </c>
      <c r="BG276" s="794"/>
      <c r="BH276" s="794" t="str">
        <f t="array" ref="BH276:BI276">{"",'S-10 Оформление сделок Выборка'!BI276}</f>
        <v/>
      </c>
      <c r="BI276" s="794"/>
      <c r="BJ276" s="792" t="str">
        <f t="array" ref="BJ276:BK276">{"",'S-10 Оформление сделок Выборка'!BK276}</f>
        <v/>
      </c>
      <c r="BK276" s="793"/>
      <c r="BL276" s="792" t="str">
        <f t="array" ref="BL276:BM276">{"",'S-10 Оформление сделок Выборка'!BM276}</f>
        <v/>
      </c>
      <c r="BM276" s="801"/>
      <c r="BN276" s="792" t="str">
        <f t="array" ref="BN276:BO276">{"",'S-10 Оформление сделок Выборка'!BO276}</f>
        <v/>
      </c>
      <c r="BO276" s="793"/>
      <c r="BP276" s="792" t="str">
        <f t="array" ref="BP276:BQ276">{"",'S-10 Оформление сделок Выборка'!BQ276}</f>
        <v/>
      </c>
      <c r="BQ276" s="802"/>
      <c r="BR276" s="792" t="str">
        <f t="array" ref="BR276:BS276">{"",'S-10 Оформление сделок Выборка'!BS276}</f>
        <v/>
      </c>
      <c r="BS276" s="794"/>
      <c r="BT276" s="800" t="str">
        <f t="array" ref="BT276:BU276">{"",'S-10 Оформление сделок Выборка'!BU276}</f>
        <v/>
      </c>
      <c r="BU276" s="794"/>
      <c r="BV276" s="800" t="str">
        <f t="array" ref="BV276:BW276">{"",'S-10 Оформление сделок Выборка'!BW276}</f>
        <v/>
      </c>
      <c r="BW276" s="803" t="s">
        <v>96</v>
      </c>
      <c r="BX276" s="804"/>
    </row>
    <row r="277">
      <c r="A277" s="779"/>
      <c r="B277" s="779"/>
      <c r="C277" s="780" t="str">
        <f>'5-1 Сбор КП Закупки'!C277</f>
        <v/>
      </c>
      <c r="D277" s="781"/>
      <c r="E277" s="780"/>
      <c r="F277" s="783"/>
      <c r="G277" s="783"/>
      <c r="H277" s="783"/>
      <c r="I277" s="783"/>
      <c r="J277" s="780"/>
      <c r="K277" s="786"/>
      <c r="L277" s="785"/>
      <c r="M277" s="786"/>
      <c r="N277" s="786"/>
      <c r="O277" s="780"/>
      <c r="P277" s="787"/>
      <c r="Q277" s="780"/>
      <c r="R277" s="780"/>
      <c r="S277" s="780"/>
      <c r="T277" s="780"/>
      <c r="U277" s="780"/>
      <c r="V277" s="780"/>
      <c r="W277" s="787"/>
      <c r="X277" s="780"/>
      <c r="Y277" s="780"/>
      <c r="Z277" s="780"/>
      <c r="AA277" s="780"/>
      <c r="AB277" s="788"/>
      <c r="AC277" s="781"/>
      <c r="AD277" s="780"/>
      <c r="AE277" s="789" t="str">
        <f t="array" ref="AE277:AF277">{"",'S-10 Оформление сделок Выборка'!AF277}</f>
        <v/>
      </c>
      <c r="AF277" s="790"/>
      <c r="AG277" s="781"/>
      <c r="AH277" s="781"/>
      <c r="AI277" s="785"/>
      <c r="AJ277" s="780"/>
      <c r="AK277" s="792" t="str">
        <f t="array" ref="AK277:AL277">{"",'S-10 Оформление сделок Выборка'!AL277}</f>
        <v/>
      </c>
      <c r="AL277" s="793"/>
      <c r="AM277" s="792" t="str">
        <f t="array" ref="AM277:AN277">{"",'S-10 Оформление сделок Выборка'!AN277}</f>
        <v/>
      </c>
      <c r="AN277" s="794"/>
      <c r="AO277" s="792" t="str">
        <f t="array" ref="AO277:AP277">{"",'S-10 Оформление сделок Выборка'!AP277}</f>
        <v/>
      </c>
      <c r="AP277" s="786"/>
      <c r="AQ277" s="786"/>
      <c r="AR277" s="779" t="str">
        <f t="array" ref="AR277:AS277">{"",'S-10 Оформление сделок Выборка'!AS277}</f>
        <v/>
      </c>
      <c r="AS277" s="795"/>
      <c r="AT277" s="779" t="str">
        <f t="array" ref="AT277:AU277">{"",'S-10 Оформление сделок Выборка'!AU277}</f>
        <v/>
      </c>
      <c r="AU277" s="805"/>
      <c r="AV277" s="779" t="str">
        <f t="array" ref="AV277:AW277">{"",'S-10 Оформление сделок Выборка'!AW277}</f>
        <v/>
      </c>
      <c r="AW277" s="797"/>
      <c r="AX277" s="786"/>
      <c r="AY277" s="786"/>
      <c r="AZ277" s="792" t="str">
        <f t="array" ref="AZ277:BA277">{"",'S-10 Оформление сделок Выборка'!BA277}</f>
        <v/>
      </c>
      <c r="BA277" s="798"/>
      <c r="BB277" s="792" t="str">
        <f t="array" ref="BB277:BC277">{"",'S-10 Оформление сделок Выборка'!BC277}</f>
        <v/>
      </c>
      <c r="BC277" s="799"/>
      <c r="BD277" s="792" t="str">
        <f t="array" ref="BD277:BE277">{"",'S-10 Оформление сделок Выборка'!BE277}</f>
        <v/>
      </c>
      <c r="BE277" s="793"/>
      <c r="BF277" s="800" t="str">
        <f t="array" ref="BF277:BG277">{"",'S-10 Оформление сделок Выборка'!BG277}</f>
        <v/>
      </c>
      <c r="BG277" s="794"/>
      <c r="BH277" s="794" t="str">
        <f t="array" ref="BH277:BI277">{"",'S-10 Оформление сделок Выборка'!BI277}</f>
        <v/>
      </c>
      <c r="BI277" s="794"/>
      <c r="BJ277" s="792" t="str">
        <f t="array" ref="BJ277:BK277">{"",'S-10 Оформление сделок Выборка'!BK277}</f>
        <v/>
      </c>
      <c r="BK277" s="793"/>
      <c r="BL277" s="792" t="str">
        <f t="array" ref="BL277:BM277">{"",'S-10 Оформление сделок Выборка'!BM277}</f>
        <v/>
      </c>
      <c r="BM277" s="801"/>
      <c r="BN277" s="792" t="str">
        <f t="array" ref="BN277:BO277">{"",'S-10 Оформление сделок Выборка'!BO277}</f>
        <v/>
      </c>
      <c r="BO277" s="793"/>
      <c r="BP277" s="792" t="str">
        <f t="array" ref="BP277:BQ277">{"",'S-10 Оформление сделок Выборка'!BQ277}</f>
        <v/>
      </c>
      <c r="BQ277" s="802"/>
      <c r="BR277" s="792" t="str">
        <f t="array" ref="BR277:BS277">{"",'S-10 Оформление сделок Выборка'!BS277}</f>
        <v/>
      </c>
      <c r="BS277" s="794"/>
      <c r="BT277" s="800" t="str">
        <f t="array" ref="BT277:BU277">{"",'S-10 Оформление сделок Выборка'!BU277}</f>
        <v/>
      </c>
      <c r="BU277" s="794"/>
      <c r="BV277" s="800" t="str">
        <f t="array" ref="BV277:BW277">{"",'S-10 Оформление сделок Выборка'!BW277}</f>
        <v/>
      </c>
      <c r="BW277" s="803" t="s">
        <v>96</v>
      </c>
      <c r="BX277" s="804"/>
    </row>
    <row r="278">
      <c r="A278" s="779"/>
      <c r="B278" s="779"/>
      <c r="C278" s="780" t="str">
        <f>'5-1 Сбор КП Закупки'!C278</f>
        <v/>
      </c>
      <c r="D278" s="781"/>
      <c r="E278" s="780"/>
      <c r="F278" s="783"/>
      <c r="G278" s="783"/>
      <c r="H278" s="783"/>
      <c r="I278" s="783"/>
      <c r="J278" s="780"/>
      <c r="K278" s="786"/>
      <c r="L278" s="785"/>
      <c r="M278" s="786"/>
      <c r="N278" s="786"/>
      <c r="O278" s="780"/>
      <c r="P278" s="787"/>
      <c r="Q278" s="780"/>
      <c r="R278" s="780"/>
      <c r="S278" s="780"/>
      <c r="T278" s="780"/>
      <c r="U278" s="780"/>
      <c r="V278" s="780"/>
      <c r="W278" s="787"/>
      <c r="X278" s="780"/>
      <c r="Y278" s="780"/>
      <c r="Z278" s="780"/>
      <c r="AA278" s="780"/>
      <c r="AB278" s="788"/>
      <c r="AC278" s="781"/>
      <c r="AD278" s="780"/>
      <c r="AE278" s="789" t="str">
        <f t="array" ref="AE278:AF278">{"",'S-10 Оформление сделок Выборка'!AF278}</f>
        <v/>
      </c>
      <c r="AF278" s="790"/>
      <c r="AG278" s="781"/>
      <c r="AH278" s="781"/>
      <c r="AI278" s="785"/>
      <c r="AJ278" s="780"/>
      <c r="AK278" s="792" t="str">
        <f t="array" ref="AK278:AL278">{"",'S-10 Оформление сделок Выборка'!AL278}</f>
        <v/>
      </c>
      <c r="AL278" s="793"/>
      <c r="AM278" s="792" t="str">
        <f t="array" ref="AM278:AN278">{"",'S-10 Оформление сделок Выборка'!AN278}</f>
        <v/>
      </c>
      <c r="AN278" s="794"/>
      <c r="AO278" s="792" t="str">
        <f t="array" ref="AO278:AP278">{"",'S-10 Оформление сделок Выборка'!AP278}</f>
        <v/>
      </c>
      <c r="AP278" s="786"/>
      <c r="AQ278" s="786"/>
      <c r="AR278" s="779" t="str">
        <f t="array" ref="AR278:AS278">{"",'S-10 Оформление сделок Выборка'!AS278}</f>
        <v/>
      </c>
      <c r="AS278" s="795"/>
      <c r="AT278" s="779" t="str">
        <f t="array" ref="AT278:AU278">{"",'S-10 Оформление сделок Выборка'!AU278}</f>
        <v/>
      </c>
      <c r="AU278" s="805"/>
      <c r="AV278" s="779" t="str">
        <f t="array" ref="AV278:AW278">{"",'S-10 Оформление сделок Выборка'!AW278}</f>
        <v/>
      </c>
      <c r="AW278" s="797"/>
      <c r="AX278" s="786"/>
      <c r="AY278" s="786"/>
      <c r="AZ278" s="792" t="str">
        <f t="array" ref="AZ278:BA278">{"",'S-10 Оформление сделок Выборка'!BA278}</f>
        <v/>
      </c>
      <c r="BA278" s="798"/>
      <c r="BB278" s="792" t="str">
        <f t="array" ref="BB278:BC278">{"",'S-10 Оформление сделок Выборка'!BC278}</f>
        <v/>
      </c>
      <c r="BC278" s="799"/>
      <c r="BD278" s="792" t="str">
        <f t="array" ref="BD278:BE278">{"",'S-10 Оформление сделок Выборка'!BE278}</f>
        <v/>
      </c>
      <c r="BE278" s="793"/>
      <c r="BF278" s="800" t="str">
        <f t="array" ref="BF278:BG278">{"",'S-10 Оформление сделок Выборка'!BG278}</f>
        <v/>
      </c>
      <c r="BG278" s="794"/>
      <c r="BH278" s="794" t="str">
        <f t="array" ref="BH278:BI278">{"",'S-10 Оформление сделок Выборка'!BI278}</f>
        <v/>
      </c>
      <c r="BI278" s="794"/>
      <c r="BJ278" s="792" t="str">
        <f t="array" ref="BJ278:BK278">{"",'S-10 Оформление сделок Выборка'!BK278}</f>
        <v/>
      </c>
      <c r="BK278" s="793"/>
      <c r="BL278" s="792" t="str">
        <f t="array" ref="BL278:BM278">{"",'S-10 Оформление сделок Выборка'!BM278}</f>
        <v/>
      </c>
      <c r="BM278" s="801"/>
      <c r="BN278" s="792" t="str">
        <f t="array" ref="BN278:BO278">{"",'S-10 Оформление сделок Выборка'!BO278}</f>
        <v/>
      </c>
      <c r="BO278" s="793"/>
      <c r="BP278" s="792" t="str">
        <f t="array" ref="BP278:BQ278">{"",'S-10 Оформление сделок Выборка'!BQ278}</f>
        <v/>
      </c>
      <c r="BQ278" s="802"/>
      <c r="BR278" s="792" t="str">
        <f t="array" ref="BR278:BS278">{"",'S-10 Оформление сделок Выборка'!BS278}</f>
        <v/>
      </c>
      <c r="BS278" s="794"/>
      <c r="BT278" s="800" t="str">
        <f t="array" ref="BT278:BU278">{"",'S-10 Оформление сделок Выборка'!BU278}</f>
        <v/>
      </c>
      <c r="BU278" s="794"/>
      <c r="BV278" s="800" t="str">
        <f t="array" ref="BV278:BW278">{"",'S-10 Оформление сделок Выборка'!BW278}</f>
        <v/>
      </c>
      <c r="BW278" s="803" t="s">
        <v>96</v>
      </c>
      <c r="BX278" s="804"/>
    </row>
    <row r="279">
      <c r="A279" s="779"/>
      <c r="B279" s="779"/>
      <c r="C279" s="780" t="str">
        <f>'5-1 Сбор КП Закупки'!C279</f>
        <v/>
      </c>
      <c r="D279" s="781"/>
      <c r="E279" s="780"/>
      <c r="F279" s="783"/>
      <c r="G279" s="783"/>
      <c r="H279" s="783"/>
      <c r="I279" s="783"/>
      <c r="J279" s="780"/>
      <c r="K279" s="786"/>
      <c r="L279" s="785"/>
      <c r="M279" s="786"/>
      <c r="N279" s="786"/>
      <c r="O279" s="780"/>
      <c r="P279" s="787"/>
      <c r="Q279" s="780"/>
      <c r="R279" s="780"/>
      <c r="S279" s="780"/>
      <c r="T279" s="780"/>
      <c r="U279" s="780"/>
      <c r="V279" s="780"/>
      <c r="W279" s="787"/>
      <c r="X279" s="780"/>
      <c r="Y279" s="780"/>
      <c r="Z279" s="780"/>
      <c r="AA279" s="780"/>
      <c r="AB279" s="788"/>
      <c r="AC279" s="781"/>
      <c r="AD279" s="780"/>
      <c r="AE279" s="789" t="str">
        <f t="array" ref="AE279:AF279">{"",'S-10 Оформление сделок Выборка'!AF279}</f>
        <v/>
      </c>
      <c r="AF279" s="790"/>
      <c r="AG279" s="781"/>
      <c r="AH279" s="781"/>
      <c r="AI279" s="785"/>
      <c r="AJ279" s="780"/>
      <c r="AK279" s="792" t="str">
        <f t="array" ref="AK279:AL279">{"",'S-10 Оформление сделок Выборка'!AL279}</f>
        <v/>
      </c>
      <c r="AL279" s="793"/>
      <c r="AM279" s="792" t="str">
        <f t="array" ref="AM279:AN279">{"",'S-10 Оформление сделок Выборка'!AN279}</f>
        <v/>
      </c>
      <c r="AN279" s="794"/>
      <c r="AO279" s="792" t="str">
        <f t="array" ref="AO279:AP279">{"",'S-10 Оформление сделок Выборка'!AP279}</f>
        <v/>
      </c>
      <c r="AP279" s="786"/>
      <c r="AQ279" s="786"/>
      <c r="AR279" s="779" t="str">
        <f t="array" ref="AR279:AS279">{"",'S-10 Оформление сделок Выборка'!AS279}</f>
        <v/>
      </c>
      <c r="AS279" s="795"/>
      <c r="AT279" s="779" t="str">
        <f t="array" ref="AT279:AU279">{"",'S-10 Оформление сделок Выборка'!AU279}</f>
        <v/>
      </c>
      <c r="AU279" s="805"/>
      <c r="AV279" s="779" t="str">
        <f t="array" ref="AV279:AW279">{"",'S-10 Оформление сделок Выборка'!AW279}</f>
        <v/>
      </c>
      <c r="AW279" s="797"/>
      <c r="AX279" s="786"/>
      <c r="AY279" s="786"/>
      <c r="AZ279" s="792" t="str">
        <f t="array" ref="AZ279:BA279">{"",'S-10 Оформление сделок Выборка'!BA279}</f>
        <v/>
      </c>
      <c r="BA279" s="798"/>
      <c r="BB279" s="792" t="str">
        <f t="array" ref="BB279:BC279">{"",'S-10 Оформление сделок Выборка'!BC279}</f>
        <v/>
      </c>
      <c r="BC279" s="799"/>
      <c r="BD279" s="792" t="str">
        <f t="array" ref="BD279:BE279">{"",'S-10 Оформление сделок Выборка'!BE279}</f>
        <v/>
      </c>
      <c r="BE279" s="793"/>
      <c r="BF279" s="800" t="str">
        <f t="array" ref="BF279:BG279">{"",'S-10 Оформление сделок Выборка'!BG279}</f>
        <v/>
      </c>
      <c r="BG279" s="794"/>
      <c r="BH279" s="794" t="str">
        <f t="array" ref="BH279:BI279">{"",'S-10 Оформление сделок Выборка'!BI279}</f>
        <v/>
      </c>
      <c r="BI279" s="794"/>
      <c r="BJ279" s="792" t="str">
        <f t="array" ref="BJ279:BK279">{"",'S-10 Оформление сделок Выборка'!BK279}</f>
        <v/>
      </c>
      <c r="BK279" s="793"/>
      <c r="BL279" s="792" t="str">
        <f t="array" ref="BL279:BM279">{"",'S-10 Оформление сделок Выборка'!BM279}</f>
        <v/>
      </c>
      <c r="BM279" s="801"/>
      <c r="BN279" s="792" t="str">
        <f t="array" ref="BN279:BO279">{"",'S-10 Оформление сделок Выборка'!BO279}</f>
        <v/>
      </c>
      <c r="BO279" s="793"/>
      <c r="BP279" s="792" t="str">
        <f t="array" ref="BP279:BQ279">{"",'S-10 Оформление сделок Выборка'!BQ279}</f>
        <v/>
      </c>
      <c r="BQ279" s="802"/>
      <c r="BR279" s="792" t="str">
        <f t="array" ref="BR279:BS279">{"",'S-10 Оформление сделок Выборка'!BS279}</f>
        <v/>
      </c>
      <c r="BS279" s="794"/>
      <c r="BT279" s="800" t="str">
        <f t="array" ref="BT279:BU279">{"",'S-10 Оформление сделок Выборка'!BU279}</f>
        <v/>
      </c>
      <c r="BU279" s="794"/>
      <c r="BV279" s="800" t="str">
        <f t="array" ref="BV279:BW279">{"",'S-10 Оформление сделок Выборка'!BW279}</f>
        <v/>
      </c>
      <c r="BW279" s="803" t="s">
        <v>96</v>
      </c>
      <c r="BX279" s="804"/>
    </row>
    <row r="280">
      <c r="A280" s="779"/>
      <c r="B280" s="779"/>
      <c r="C280" s="780" t="str">
        <f>'5-1 Сбор КП Закупки'!C280</f>
        <v/>
      </c>
      <c r="D280" s="781"/>
      <c r="E280" s="780"/>
      <c r="F280" s="783"/>
      <c r="G280" s="783"/>
      <c r="H280" s="783"/>
      <c r="I280" s="783"/>
      <c r="J280" s="780"/>
      <c r="K280" s="786"/>
      <c r="L280" s="785"/>
      <c r="M280" s="786"/>
      <c r="N280" s="786"/>
      <c r="O280" s="780"/>
      <c r="P280" s="787"/>
      <c r="Q280" s="780"/>
      <c r="R280" s="780"/>
      <c r="S280" s="780"/>
      <c r="T280" s="780"/>
      <c r="U280" s="780"/>
      <c r="V280" s="780"/>
      <c r="W280" s="787"/>
      <c r="X280" s="780"/>
      <c r="Y280" s="780"/>
      <c r="Z280" s="780"/>
      <c r="AA280" s="780"/>
      <c r="AB280" s="788"/>
      <c r="AC280" s="781"/>
      <c r="AD280" s="780"/>
      <c r="AE280" s="789" t="str">
        <f t="array" ref="AE280:AF280">{"",'S-10 Оформление сделок Выборка'!AF280}</f>
        <v/>
      </c>
      <c r="AF280" s="790"/>
      <c r="AG280" s="781"/>
      <c r="AH280" s="781"/>
      <c r="AI280" s="785"/>
      <c r="AJ280" s="780"/>
      <c r="AK280" s="792" t="str">
        <f t="array" ref="AK280:AL280">{"",'S-10 Оформление сделок Выборка'!AL280}</f>
        <v/>
      </c>
      <c r="AL280" s="793"/>
      <c r="AM280" s="792" t="str">
        <f t="array" ref="AM280:AN280">{"",'S-10 Оформление сделок Выборка'!AN280}</f>
        <v/>
      </c>
      <c r="AN280" s="794"/>
      <c r="AO280" s="792" t="str">
        <f t="array" ref="AO280:AP280">{"",'S-10 Оформление сделок Выборка'!AP280}</f>
        <v/>
      </c>
      <c r="AP280" s="786"/>
      <c r="AQ280" s="786"/>
      <c r="AR280" s="779" t="str">
        <f t="array" ref="AR280:AS280">{"",'S-10 Оформление сделок Выборка'!AS280}</f>
        <v/>
      </c>
      <c r="AS280" s="795"/>
      <c r="AT280" s="779" t="str">
        <f t="array" ref="AT280:AU280">{"",'S-10 Оформление сделок Выборка'!AU280}</f>
        <v/>
      </c>
      <c r="AU280" s="805"/>
      <c r="AV280" s="779" t="str">
        <f t="array" ref="AV280:AW280">{"",'S-10 Оформление сделок Выборка'!AW280}</f>
        <v/>
      </c>
      <c r="AW280" s="797"/>
      <c r="AX280" s="786"/>
      <c r="AY280" s="786"/>
      <c r="AZ280" s="792" t="str">
        <f t="array" ref="AZ280:BA280">{"",'S-10 Оформление сделок Выборка'!BA280}</f>
        <v/>
      </c>
      <c r="BA280" s="798"/>
      <c r="BB280" s="792" t="str">
        <f t="array" ref="BB280:BC280">{"",'S-10 Оформление сделок Выборка'!BC280}</f>
        <v/>
      </c>
      <c r="BC280" s="799"/>
      <c r="BD280" s="792" t="str">
        <f t="array" ref="BD280:BE280">{"",'S-10 Оформление сделок Выборка'!BE280}</f>
        <v/>
      </c>
      <c r="BE280" s="793"/>
      <c r="BF280" s="800" t="str">
        <f t="array" ref="BF280:BG280">{"",'S-10 Оформление сделок Выборка'!BG280}</f>
        <v/>
      </c>
      <c r="BG280" s="794"/>
      <c r="BH280" s="794" t="str">
        <f t="array" ref="BH280:BI280">{"",'S-10 Оформление сделок Выборка'!BI280}</f>
        <v/>
      </c>
      <c r="BI280" s="794"/>
      <c r="BJ280" s="792" t="str">
        <f t="array" ref="BJ280:BK280">{"",'S-10 Оформление сделок Выборка'!BK280}</f>
        <v/>
      </c>
      <c r="BK280" s="793"/>
      <c r="BL280" s="792" t="str">
        <f t="array" ref="BL280:BM280">{"",'S-10 Оформление сделок Выборка'!BM280}</f>
        <v/>
      </c>
      <c r="BM280" s="801"/>
      <c r="BN280" s="792" t="str">
        <f t="array" ref="BN280:BO280">{"",'S-10 Оформление сделок Выборка'!BO280}</f>
        <v/>
      </c>
      <c r="BO280" s="793"/>
      <c r="BP280" s="792" t="str">
        <f t="array" ref="BP280:BQ280">{"",'S-10 Оформление сделок Выборка'!BQ280}</f>
        <v/>
      </c>
      <c r="BQ280" s="802"/>
      <c r="BR280" s="792" t="str">
        <f t="array" ref="BR280:BS280">{"",'S-10 Оформление сделок Выборка'!BS280}</f>
        <v/>
      </c>
      <c r="BS280" s="794"/>
      <c r="BT280" s="800" t="str">
        <f t="array" ref="BT280:BU280">{"",'S-10 Оформление сделок Выборка'!BU280}</f>
        <v/>
      </c>
      <c r="BU280" s="794"/>
      <c r="BV280" s="800" t="str">
        <f t="array" ref="BV280:BW280">{"",'S-10 Оформление сделок Выборка'!BW280}</f>
        <v/>
      </c>
      <c r="BW280" s="803" t="s">
        <v>96</v>
      </c>
      <c r="BX280" s="804"/>
    </row>
    <row r="281">
      <c r="A281" s="779"/>
      <c r="B281" s="779"/>
      <c r="C281" s="780" t="str">
        <f>'5-1 Сбор КП Закупки'!C281</f>
        <v/>
      </c>
      <c r="D281" s="781"/>
      <c r="E281" s="780"/>
      <c r="F281" s="783"/>
      <c r="G281" s="783"/>
      <c r="H281" s="783"/>
      <c r="I281" s="783"/>
      <c r="J281" s="780"/>
      <c r="K281" s="786"/>
      <c r="L281" s="785"/>
      <c r="M281" s="786"/>
      <c r="N281" s="786"/>
      <c r="O281" s="780"/>
      <c r="P281" s="787"/>
      <c r="Q281" s="780"/>
      <c r="R281" s="780"/>
      <c r="S281" s="780"/>
      <c r="T281" s="780"/>
      <c r="U281" s="780"/>
      <c r="V281" s="780"/>
      <c r="W281" s="787"/>
      <c r="X281" s="780"/>
      <c r="Y281" s="780"/>
      <c r="Z281" s="780"/>
      <c r="AA281" s="780"/>
      <c r="AB281" s="788"/>
      <c r="AC281" s="781"/>
      <c r="AD281" s="780"/>
      <c r="AE281" s="789" t="str">
        <f t="array" ref="AE281:AF281">{"",'S-10 Оформление сделок Выборка'!AF281}</f>
        <v/>
      </c>
      <c r="AF281" s="790"/>
      <c r="AG281" s="781"/>
      <c r="AH281" s="781"/>
      <c r="AI281" s="785"/>
      <c r="AJ281" s="780"/>
      <c r="AK281" s="792" t="str">
        <f t="array" ref="AK281:AL281">{"",'S-10 Оформление сделок Выборка'!AL281}</f>
        <v/>
      </c>
      <c r="AL281" s="793"/>
      <c r="AM281" s="792" t="str">
        <f t="array" ref="AM281:AN281">{"",'S-10 Оформление сделок Выборка'!AN281}</f>
        <v/>
      </c>
      <c r="AN281" s="794"/>
      <c r="AO281" s="792" t="str">
        <f t="array" ref="AO281:AP281">{"",'S-10 Оформление сделок Выборка'!AP281}</f>
        <v/>
      </c>
      <c r="AP281" s="786"/>
      <c r="AQ281" s="786"/>
      <c r="AR281" s="779" t="str">
        <f t="array" ref="AR281:AS281">{"",'S-10 Оформление сделок Выборка'!AS281}</f>
        <v/>
      </c>
      <c r="AS281" s="795"/>
      <c r="AT281" s="779" t="str">
        <f t="array" ref="AT281:AU281">{"",'S-10 Оформление сделок Выборка'!AU281}</f>
        <v/>
      </c>
      <c r="AU281" s="805"/>
      <c r="AV281" s="779" t="str">
        <f t="array" ref="AV281:AW281">{"",'S-10 Оформление сделок Выборка'!AW281}</f>
        <v/>
      </c>
      <c r="AW281" s="797"/>
      <c r="AX281" s="786"/>
      <c r="AY281" s="786"/>
      <c r="AZ281" s="792" t="str">
        <f t="array" ref="AZ281:BA281">{"",'S-10 Оформление сделок Выборка'!BA281}</f>
        <v/>
      </c>
      <c r="BA281" s="798"/>
      <c r="BB281" s="792" t="str">
        <f t="array" ref="BB281:BC281">{"",'S-10 Оформление сделок Выборка'!BC281}</f>
        <v/>
      </c>
      <c r="BC281" s="799"/>
      <c r="BD281" s="792" t="str">
        <f t="array" ref="BD281:BE281">{"",'S-10 Оформление сделок Выборка'!BE281}</f>
        <v/>
      </c>
      <c r="BE281" s="793"/>
      <c r="BF281" s="800" t="str">
        <f t="array" ref="BF281:BG281">{"",'S-10 Оформление сделок Выборка'!BG281}</f>
        <v/>
      </c>
      <c r="BG281" s="794"/>
      <c r="BH281" s="794" t="str">
        <f t="array" ref="BH281:BI281">{"",'S-10 Оформление сделок Выборка'!BI281}</f>
        <v/>
      </c>
      <c r="BI281" s="794"/>
      <c r="BJ281" s="792" t="str">
        <f t="array" ref="BJ281:BK281">{"",'S-10 Оформление сделок Выборка'!BK281}</f>
        <v/>
      </c>
      <c r="BK281" s="793"/>
      <c r="BL281" s="792" t="str">
        <f t="array" ref="BL281:BM281">{"",'S-10 Оформление сделок Выборка'!BM281}</f>
        <v/>
      </c>
      <c r="BM281" s="801"/>
      <c r="BN281" s="792" t="str">
        <f t="array" ref="BN281:BO281">{"",'S-10 Оформление сделок Выборка'!BO281}</f>
        <v/>
      </c>
      <c r="BO281" s="793"/>
      <c r="BP281" s="792" t="str">
        <f t="array" ref="BP281:BQ281">{"",'S-10 Оформление сделок Выборка'!BQ281}</f>
        <v/>
      </c>
      <c r="BQ281" s="802"/>
      <c r="BR281" s="792" t="str">
        <f t="array" ref="BR281:BS281">{"",'S-10 Оформление сделок Выборка'!BS281}</f>
        <v/>
      </c>
      <c r="BS281" s="794"/>
      <c r="BT281" s="800" t="str">
        <f t="array" ref="BT281:BU281">{"",'S-10 Оформление сделок Выборка'!BU281}</f>
        <v/>
      </c>
      <c r="BU281" s="794"/>
      <c r="BV281" s="800" t="str">
        <f t="array" ref="BV281:BW281">{"",'S-10 Оформление сделок Выборка'!BW281}</f>
        <v/>
      </c>
      <c r="BW281" s="803" t="s">
        <v>96</v>
      </c>
      <c r="BX281" s="804"/>
    </row>
    <row r="282">
      <c r="A282" s="779"/>
      <c r="B282" s="779"/>
      <c r="C282" s="780" t="str">
        <f>'5-1 Сбор КП Закупки'!C282</f>
        <v/>
      </c>
      <c r="D282" s="781"/>
      <c r="E282" s="780"/>
      <c r="F282" s="783"/>
      <c r="G282" s="783"/>
      <c r="H282" s="783"/>
      <c r="I282" s="783"/>
      <c r="J282" s="780"/>
      <c r="K282" s="786"/>
      <c r="L282" s="785"/>
      <c r="M282" s="786"/>
      <c r="N282" s="786"/>
      <c r="O282" s="780"/>
      <c r="P282" s="787"/>
      <c r="Q282" s="780"/>
      <c r="R282" s="780"/>
      <c r="S282" s="780"/>
      <c r="T282" s="780"/>
      <c r="U282" s="780"/>
      <c r="V282" s="780"/>
      <c r="W282" s="787"/>
      <c r="X282" s="780"/>
      <c r="Y282" s="780"/>
      <c r="Z282" s="780"/>
      <c r="AA282" s="780"/>
      <c r="AB282" s="788"/>
      <c r="AC282" s="781"/>
      <c r="AD282" s="780"/>
      <c r="AE282" s="789" t="str">
        <f t="array" ref="AE282:AF282">{"",'S-10 Оформление сделок Выборка'!AF282}</f>
        <v/>
      </c>
      <c r="AF282" s="790"/>
      <c r="AG282" s="781"/>
      <c r="AH282" s="781"/>
      <c r="AI282" s="785"/>
      <c r="AJ282" s="780"/>
      <c r="AK282" s="792" t="str">
        <f t="array" ref="AK282:AL282">{"",'S-10 Оформление сделок Выборка'!AL282}</f>
        <v/>
      </c>
      <c r="AL282" s="793"/>
      <c r="AM282" s="792" t="str">
        <f t="array" ref="AM282:AN282">{"",'S-10 Оформление сделок Выборка'!AN282}</f>
        <v/>
      </c>
      <c r="AN282" s="794"/>
      <c r="AO282" s="792" t="str">
        <f t="array" ref="AO282:AP282">{"",'S-10 Оформление сделок Выборка'!AP282}</f>
        <v/>
      </c>
      <c r="AP282" s="786"/>
      <c r="AQ282" s="786"/>
      <c r="AR282" s="779" t="str">
        <f t="array" ref="AR282:AS282">{"",'S-10 Оформление сделок Выборка'!AS282}</f>
        <v/>
      </c>
      <c r="AS282" s="795"/>
      <c r="AT282" s="779" t="str">
        <f t="array" ref="AT282:AU282">{"",'S-10 Оформление сделок Выборка'!AU282}</f>
        <v/>
      </c>
      <c r="AU282" s="805"/>
      <c r="AV282" s="779" t="str">
        <f t="array" ref="AV282:AW282">{"",'S-10 Оформление сделок Выборка'!AW282}</f>
        <v/>
      </c>
      <c r="AW282" s="797"/>
      <c r="AX282" s="786"/>
      <c r="AY282" s="786"/>
      <c r="AZ282" s="792" t="str">
        <f t="array" ref="AZ282:BA282">{"",'S-10 Оформление сделок Выборка'!BA282}</f>
        <v/>
      </c>
      <c r="BA282" s="798"/>
      <c r="BB282" s="792" t="str">
        <f t="array" ref="BB282:BC282">{"",'S-10 Оформление сделок Выборка'!BC282}</f>
        <v/>
      </c>
      <c r="BC282" s="799"/>
      <c r="BD282" s="792" t="str">
        <f t="array" ref="BD282:BE282">{"",'S-10 Оформление сделок Выборка'!BE282}</f>
        <v/>
      </c>
      <c r="BE282" s="793"/>
      <c r="BF282" s="800" t="str">
        <f t="array" ref="BF282:BG282">{"",'S-10 Оформление сделок Выборка'!BG282}</f>
        <v/>
      </c>
      <c r="BG282" s="794"/>
      <c r="BH282" s="794" t="str">
        <f t="array" ref="BH282:BI282">{"",'S-10 Оформление сделок Выборка'!BI282}</f>
        <v/>
      </c>
      <c r="BI282" s="794"/>
      <c r="BJ282" s="792" t="str">
        <f t="array" ref="BJ282:BK282">{"",'S-10 Оформление сделок Выборка'!BK282}</f>
        <v/>
      </c>
      <c r="BK282" s="793"/>
      <c r="BL282" s="792" t="str">
        <f t="array" ref="BL282:BM282">{"",'S-10 Оформление сделок Выборка'!BM282}</f>
        <v/>
      </c>
      <c r="BM282" s="801"/>
      <c r="BN282" s="792" t="str">
        <f t="array" ref="BN282:BO282">{"",'S-10 Оформление сделок Выборка'!BO282}</f>
        <v/>
      </c>
      <c r="BO282" s="793"/>
      <c r="BP282" s="792" t="str">
        <f t="array" ref="BP282:BQ282">{"",'S-10 Оформление сделок Выборка'!BQ282}</f>
        <v/>
      </c>
      <c r="BQ282" s="802"/>
      <c r="BR282" s="792" t="str">
        <f t="array" ref="BR282:BS282">{"",'S-10 Оформление сделок Выборка'!BS282}</f>
        <v/>
      </c>
      <c r="BS282" s="794"/>
      <c r="BT282" s="800" t="str">
        <f t="array" ref="BT282:BU282">{"",'S-10 Оформление сделок Выборка'!BU282}</f>
        <v/>
      </c>
      <c r="BU282" s="794"/>
      <c r="BV282" s="800" t="str">
        <f t="array" ref="BV282:BW282">{"",'S-10 Оформление сделок Выборка'!BW282}</f>
        <v/>
      </c>
      <c r="BW282" s="803" t="s">
        <v>96</v>
      </c>
      <c r="BX282" s="804"/>
    </row>
    <row r="283">
      <c r="A283" s="779"/>
      <c r="B283" s="779"/>
      <c r="C283" s="780" t="str">
        <f>'5-1 Сбор КП Закупки'!C283</f>
        <v/>
      </c>
      <c r="D283" s="781"/>
      <c r="E283" s="780"/>
      <c r="F283" s="783"/>
      <c r="G283" s="783"/>
      <c r="H283" s="783"/>
      <c r="I283" s="783"/>
      <c r="J283" s="780"/>
      <c r="K283" s="786"/>
      <c r="L283" s="785"/>
      <c r="M283" s="786"/>
      <c r="N283" s="786"/>
      <c r="O283" s="780"/>
      <c r="P283" s="787"/>
      <c r="Q283" s="780"/>
      <c r="R283" s="780"/>
      <c r="S283" s="780"/>
      <c r="T283" s="780"/>
      <c r="U283" s="780"/>
      <c r="V283" s="780"/>
      <c r="W283" s="787"/>
      <c r="X283" s="780"/>
      <c r="Y283" s="780"/>
      <c r="Z283" s="780"/>
      <c r="AA283" s="780"/>
      <c r="AB283" s="788"/>
      <c r="AC283" s="781"/>
      <c r="AD283" s="780"/>
      <c r="AE283" s="789" t="str">
        <f t="array" ref="AE283:AF283">{"",'S-10 Оформление сделок Выборка'!AF283}</f>
        <v/>
      </c>
      <c r="AF283" s="790"/>
      <c r="AG283" s="781"/>
      <c r="AH283" s="781"/>
      <c r="AI283" s="785"/>
      <c r="AJ283" s="780"/>
      <c r="AK283" s="792" t="str">
        <f t="array" ref="AK283:AL283">{"",'S-10 Оформление сделок Выборка'!AL283}</f>
        <v/>
      </c>
      <c r="AL283" s="793"/>
      <c r="AM283" s="792" t="str">
        <f t="array" ref="AM283:AN283">{"",'S-10 Оформление сделок Выборка'!AN283}</f>
        <v/>
      </c>
      <c r="AN283" s="794"/>
      <c r="AO283" s="792" t="str">
        <f t="array" ref="AO283:AP283">{"",'S-10 Оформление сделок Выборка'!AP283}</f>
        <v/>
      </c>
      <c r="AP283" s="786"/>
      <c r="AQ283" s="786"/>
      <c r="AR283" s="779" t="str">
        <f t="array" ref="AR283:AS283">{"",'S-10 Оформление сделок Выборка'!AS283}</f>
        <v/>
      </c>
      <c r="AS283" s="795"/>
      <c r="AT283" s="779" t="str">
        <f t="array" ref="AT283:AU283">{"",'S-10 Оформление сделок Выборка'!AU283}</f>
        <v/>
      </c>
      <c r="AU283" s="805"/>
      <c r="AV283" s="779" t="str">
        <f t="array" ref="AV283:AW283">{"",'S-10 Оформление сделок Выборка'!AW283}</f>
        <v/>
      </c>
      <c r="AW283" s="797"/>
      <c r="AX283" s="786"/>
      <c r="AY283" s="786"/>
      <c r="AZ283" s="792" t="str">
        <f t="array" ref="AZ283:BA283">{"",'S-10 Оформление сделок Выборка'!BA283}</f>
        <v/>
      </c>
      <c r="BA283" s="798"/>
      <c r="BB283" s="792" t="str">
        <f t="array" ref="BB283:BC283">{"",'S-10 Оформление сделок Выборка'!BC283}</f>
        <v/>
      </c>
      <c r="BC283" s="799"/>
      <c r="BD283" s="792" t="str">
        <f t="array" ref="BD283:BE283">{"",'S-10 Оформление сделок Выборка'!BE283}</f>
        <v/>
      </c>
      <c r="BE283" s="793"/>
      <c r="BF283" s="800" t="str">
        <f t="array" ref="BF283:BG283">{"",'S-10 Оформление сделок Выборка'!BG283}</f>
        <v/>
      </c>
      <c r="BG283" s="794"/>
      <c r="BH283" s="794" t="str">
        <f t="array" ref="BH283:BI283">{"",'S-10 Оформление сделок Выборка'!BI283}</f>
        <v/>
      </c>
      <c r="BI283" s="794"/>
      <c r="BJ283" s="792" t="str">
        <f t="array" ref="BJ283:BK283">{"",'S-10 Оформление сделок Выборка'!BK283}</f>
        <v/>
      </c>
      <c r="BK283" s="793"/>
      <c r="BL283" s="792" t="str">
        <f t="array" ref="BL283:BM283">{"",'S-10 Оформление сделок Выборка'!BM283}</f>
        <v/>
      </c>
      <c r="BM283" s="801"/>
      <c r="BN283" s="792" t="str">
        <f t="array" ref="BN283:BO283">{"",'S-10 Оформление сделок Выборка'!BO283}</f>
        <v/>
      </c>
      <c r="BO283" s="793"/>
      <c r="BP283" s="792" t="str">
        <f t="array" ref="BP283:BQ283">{"",'S-10 Оформление сделок Выборка'!BQ283}</f>
        <v/>
      </c>
      <c r="BQ283" s="802"/>
      <c r="BR283" s="792" t="str">
        <f t="array" ref="BR283:BS283">{"",'S-10 Оформление сделок Выборка'!BS283}</f>
        <v/>
      </c>
      <c r="BS283" s="794"/>
      <c r="BT283" s="800" t="str">
        <f t="array" ref="BT283:BU283">{"",'S-10 Оформление сделок Выборка'!BU283}</f>
        <v/>
      </c>
      <c r="BU283" s="794"/>
      <c r="BV283" s="800" t="str">
        <f t="array" ref="BV283:BW283">{"",'S-10 Оформление сделок Выборка'!BW283}</f>
        <v/>
      </c>
      <c r="BW283" s="803" t="s">
        <v>96</v>
      </c>
      <c r="BX283" s="804"/>
    </row>
    <row r="284">
      <c r="A284" s="779"/>
      <c r="B284" s="779"/>
      <c r="C284" s="780" t="str">
        <f>'5-1 Сбор КП Закупки'!C284</f>
        <v/>
      </c>
      <c r="D284" s="781"/>
      <c r="E284" s="780"/>
      <c r="F284" s="783"/>
      <c r="G284" s="783"/>
      <c r="H284" s="783"/>
      <c r="I284" s="783"/>
      <c r="J284" s="780"/>
      <c r="K284" s="786"/>
      <c r="L284" s="785"/>
      <c r="M284" s="786"/>
      <c r="N284" s="786"/>
      <c r="O284" s="780"/>
      <c r="P284" s="787"/>
      <c r="Q284" s="780"/>
      <c r="R284" s="780"/>
      <c r="S284" s="780"/>
      <c r="T284" s="780"/>
      <c r="U284" s="780"/>
      <c r="V284" s="780"/>
      <c r="W284" s="787"/>
      <c r="X284" s="780"/>
      <c r="Y284" s="780"/>
      <c r="Z284" s="780"/>
      <c r="AA284" s="780"/>
      <c r="AB284" s="788"/>
      <c r="AC284" s="781"/>
      <c r="AD284" s="780"/>
      <c r="AE284" s="789" t="str">
        <f t="array" ref="AE284:AF284">{"",'S-10 Оформление сделок Выборка'!AF284}</f>
        <v/>
      </c>
      <c r="AF284" s="790"/>
      <c r="AG284" s="781"/>
      <c r="AH284" s="781"/>
      <c r="AI284" s="785"/>
      <c r="AJ284" s="780"/>
      <c r="AK284" s="792" t="str">
        <f t="array" ref="AK284:AL284">{"",'S-10 Оформление сделок Выборка'!AL284}</f>
        <v/>
      </c>
      <c r="AL284" s="793"/>
      <c r="AM284" s="792" t="str">
        <f t="array" ref="AM284:AN284">{"",'S-10 Оформление сделок Выборка'!AN284}</f>
        <v/>
      </c>
      <c r="AN284" s="794"/>
      <c r="AO284" s="792" t="str">
        <f t="array" ref="AO284:AP284">{"",'S-10 Оформление сделок Выборка'!AP284}</f>
        <v/>
      </c>
      <c r="AP284" s="786"/>
      <c r="AQ284" s="786"/>
      <c r="AR284" s="779" t="str">
        <f t="array" ref="AR284:AS284">{"",'S-10 Оформление сделок Выборка'!AS284}</f>
        <v/>
      </c>
      <c r="AS284" s="795"/>
      <c r="AT284" s="779" t="str">
        <f t="array" ref="AT284:AU284">{"",'S-10 Оформление сделок Выборка'!AU284}</f>
        <v/>
      </c>
      <c r="AU284" s="805"/>
      <c r="AV284" s="779" t="str">
        <f t="array" ref="AV284:AW284">{"",'S-10 Оформление сделок Выборка'!AW284}</f>
        <v/>
      </c>
      <c r="AW284" s="797"/>
      <c r="AX284" s="786"/>
      <c r="AY284" s="786"/>
      <c r="AZ284" s="792" t="str">
        <f t="array" ref="AZ284:BA284">{"",'S-10 Оформление сделок Выборка'!BA284}</f>
        <v/>
      </c>
      <c r="BA284" s="798"/>
      <c r="BB284" s="792" t="str">
        <f t="array" ref="BB284:BC284">{"",'S-10 Оформление сделок Выборка'!BC284}</f>
        <v/>
      </c>
      <c r="BC284" s="799"/>
      <c r="BD284" s="792" t="str">
        <f t="array" ref="BD284:BE284">{"",'S-10 Оформление сделок Выборка'!BE284}</f>
        <v/>
      </c>
      <c r="BE284" s="793"/>
      <c r="BF284" s="800" t="str">
        <f t="array" ref="BF284:BG284">{"",'S-10 Оформление сделок Выборка'!BG284}</f>
        <v/>
      </c>
      <c r="BG284" s="794"/>
      <c r="BH284" s="794" t="str">
        <f t="array" ref="BH284:BI284">{"",'S-10 Оформление сделок Выборка'!BI284}</f>
        <v/>
      </c>
      <c r="BI284" s="794"/>
      <c r="BJ284" s="792" t="str">
        <f t="array" ref="BJ284:BK284">{"",'S-10 Оформление сделок Выборка'!BK284}</f>
        <v/>
      </c>
      <c r="BK284" s="793"/>
      <c r="BL284" s="792" t="str">
        <f t="array" ref="BL284:BM284">{"",'S-10 Оформление сделок Выборка'!BM284}</f>
        <v/>
      </c>
      <c r="BM284" s="801"/>
      <c r="BN284" s="792" t="str">
        <f t="array" ref="BN284:BO284">{"",'S-10 Оформление сделок Выборка'!BO284}</f>
        <v/>
      </c>
      <c r="BO284" s="793"/>
      <c r="BP284" s="792" t="str">
        <f t="array" ref="BP284:BQ284">{"",'S-10 Оформление сделок Выборка'!BQ284}</f>
        <v/>
      </c>
      <c r="BQ284" s="802"/>
      <c r="BR284" s="792" t="str">
        <f t="array" ref="BR284:BS284">{"",'S-10 Оформление сделок Выборка'!BS284}</f>
        <v/>
      </c>
      <c r="BS284" s="794"/>
      <c r="BT284" s="800" t="str">
        <f t="array" ref="BT284:BU284">{"",'S-10 Оформление сделок Выборка'!BU284}</f>
        <v/>
      </c>
      <c r="BU284" s="794"/>
      <c r="BV284" s="800" t="str">
        <f t="array" ref="BV284:BW284">{"",'S-10 Оформление сделок Выборка'!BW284}</f>
        <v/>
      </c>
      <c r="BW284" s="803" t="s">
        <v>96</v>
      </c>
      <c r="BX284" s="804"/>
    </row>
    <row r="285">
      <c r="A285" s="779"/>
      <c r="B285" s="779"/>
      <c r="C285" s="780" t="str">
        <f>'5-1 Сбор КП Закупки'!C285</f>
        <v/>
      </c>
      <c r="D285" s="781"/>
      <c r="E285" s="780"/>
      <c r="F285" s="783"/>
      <c r="G285" s="783"/>
      <c r="H285" s="783"/>
      <c r="I285" s="783"/>
      <c r="J285" s="780"/>
      <c r="K285" s="786"/>
      <c r="L285" s="785"/>
      <c r="M285" s="786"/>
      <c r="N285" s="786"/>
      <c r="O285" s="780"/>
      <c r="P285" s="787"/>
      <c r="Q285" s="780"/>
      <c r="R285" s="780"/>
      <c r="S285" s="780"/>
      <c r="T285" s="780"/>
      <c r="U285" s="780"/>
      <c r="V285" s="780"/>
      <c r="W285" s="787"/>
      <c r="X285" s="780"/>
      <c r="Y285" s="780"/>
      <c r="Z285" s="780"/>
      <c r="AA285" s="780"/>
      <c r="AB285" s="788"/>
      <c r="AC285" s="781"/>
      <c r="AD285" s="780"/>
      <c r="AE285" s="789" t="str">
        <f t="array" ref="AE285:AF285">{"",'S-10 Оформление сделок Выборка'!AF285}</f>
        <v/>
      </c>
      <c r="AF285" s="790"/>
      <c r="AG285" s="781"/>
      <c r="AH285" s="781"/>
      <c r="AI285" s="785"/>
      <c r="AJ285" s="780"/>
      <c r="AK285" s="792" t="str">
        <f t="array" ref="AK285:AL285">{"",'S-10 Оформление сделок Выборка'!AL285}</f>
        <v/>
      </c>
      <c r="AL285" s="793"/>
      <c r="AM285" s="792" t="str">
        <f t="array" ref="AM285:AN285">{"",'S-10 Оформление сделок Выборка'!AN285}</f>
        <v/>
      </c>
      <c r="AN285" s="794"/>
      <c r="AO285" s="792" t="str">
        <f t="array" ref="AO285:AP285">{"",'S-10 Оформление сделок Выборка'!AP285}</f>
        <v/>
      </c>
      <c r="AP285" s="786"/>
      <c r="AQ285" s="786"/>
      <c r="AR285" s="779" t="str">
        <f t="array" ref="AR285:AS285">{"",'S-10 Оформление сделок Выборка'!AS285}</f>
        <v/>
      </c>
      <c r="AS285" s="795"/>
      <c r="AT285" s="779" t="str">
        <f t="array" ref="AT285:AU285">{"",'S-10 Оформление сделок Выборка'!AU285}</f>
        <v/>
      </c>
      <c r="AU285" s="805"/>
      <c r="AV285" s="779" t="str">
        <f t="array" ref="AV285:AW285">{"",'S-10 Оформление сделок Выборка'!AW285}</f>
        <v/>
      </c>
      <c r="AW285" s="797"/>
      <c r="AX285" s="786"/>
      <c r="AY285" s="786"/>
      <c r="AZ285" s="792" t="str">
        <f t="array" ref="AZ285:BA285">{"",'S-10 Оформление сделок Выборка'!BA285}</f>
        <v/>
      </c>
      <c r="BA285" s="798"/>
      <c r="BB285" s="792" t="str">
        <f t="array" ref="BB285:BC285">{"",'S-10 Оформление сделок Выборка'!BC285}</f>
        <v/>
      </c>
      <c r="BC285" s="799"/>
      <c r="BD285" s="792" t="str">
        <f t="array" ref="BD285:BE285">{"",'S-10 Оформление сделок Выборка'!BE285}</f>
        <v/>
      </c>
      <c r="BE285" s="793"/>
      <c r="BF285" s="800" t="str">
        <f t="array" ref="BF285:BG285">{"",'S-10 Оформление сделок Выборка'!BG285}</f>
        <v/>
      </c>
      <c r="BG285" s="794"/>
      <c r="BH285" s="794" t="str">
        <f t="array" ref="BH285:BI285">{"",'S-10 Оформление сделок Выборка'!BI285}</f>
        <v/>
      </c>
      <c r="BI285" s="794"/>
      <c r="BJ285" s="792" t="str">
        <f t="array" ref="BJ285:BK285">{"",'S-10 Оформление сделок Выборка'!BK285}</f>
        <v/>
      </c>
      <c r="BK285" s="793"/>
      <c r="BL285" s="792" t="str">
        <f t="array" ref="BL285:BM285">{"",'S-10 Оформление сделок Выборка'!BM285}</f>
        <v/>
      </c>
      <c r="BM285" s="801"/>
      <c r="BN285" s="792" t="str">
        <f t="array" ref="BN285:BO285">{"",'S-10 Оформление сделок Выборка'!BO285}</f>
        <v/>
      </c>
      <c r="BO285" s="793"/>
      <c r="BP285" s="792" t="str">
        <f t="array" ref="BP285:BQ285">{"",'S-10 Оформление сделок Выборка'!BQ285}</f>
        <v/>
      </c>
      <c r="BQ285" s="802"/>
      <c r="BR285" s="792" t="str">
        <f t="array" ref="BR285:BS285">{"",'S-10 Оформление сделок Выборка'!BS285}</f>
        <v/>
      </c>
      <c r="BS285" s="794"/>
      <c r="BT285" s="800" t="str">
        <f t="array" ref="BT285:BU285">{"",'S-10 Оформление сделок Выборка'!BU285}</f>
        <v/>
      </c>
      <c r="BU285" s="794"/>
      <c r="BV285" s="800" t="str">
        <f t="array" ref="BV285:BW285">{"",'S-10 Оформление сделок Выборка'!BW285}</f>
        <v/>
      </c>
      <c r="BW285" s="803" t="s">
        <v>96</v>
      </c>
      <c r="BX285" s="804"/>
    </row>
    <row r="286">
      <c r="A286" s="779"/>
      <c r="B286" s="779"/>
      <c r="C286" s="780" t="str">
        <f>'5-1 Сбор КП Закупки'!C286</f>
        <v/>
      </c>
      <c r="D286" s="781"/>
      <c r="E286" s="780"/>
      <c r="F286" s="783"/>
      <c r="G286" s="783"/>
      <c r="H286" s="783"/>
      <c r="I286" s="783"/>
      <c r="J286" s="780"/>
      <c r="K286" s="786"/>
      <c r="L286" s="785"/>
      <c r="M286" s="786"/>
      <c r="N286" s="786"/>
      <c r="O286" s="780"/>
      <c r="P286" s="787"/>
      <c r="Q286" s="780"/>
      <c r="R286" s="780"/>
      <c r="S286" s="780"/>
      <c r="T286" s="780"/>
      <c r="U286" s="780"/>
      <c r="V286" s="780"/>
      <c r="W286" s="787"/>
      <c r="X286" s="780"/>
      <c r="Y286" s="780"/>
      <c r="Z286" s="780"/>
      <c r="AA286" s="780"/>
      <c r="AB286" s="1173"/>
      <c r="AC286" s="781"/>
      <c r="AD286" s="780"/>
      <c r="AE286" s="789" t="str">
        <f t="array" ref="AE286:AF286">{"",'S-10 Оформление сделок Выборка'!AF286}</f>
        <v/>
      </c>
      <c r="AF286" s="790"/>
      <c r="AG286" s="781"/>
      <c r="AH286" s="781"/>
      <c r="AI286" s="785"/>
      <c r="AJ286" s="780"/>
      <c r="AK286" s="792" t="str">
        <f t="array" ref="AK286:AL286">{"",'S-10 Оформление сделок Выборка'!AL286}</f>
        <v/>
      </c>
      <c r="AL286" s="793"/>
      <c r="AM286" s="792" t="str">
        <f t="array" ref="AM286:AN286">{"",'S-10 Оформление сделок Выборка'!AN286}</f>
        <v/>
      </c>
      <c r="AN286" s="794"/>
      <c r="AO286" s="792" t="str">
        <f t="array" ref="AO286:AP286">{"",'S-10 Оформление сделок Выборка'!AP286}</f>
        <v/>
      </c>
      <c r="AP286" s="786"/>
      <c r="AQ286" s="786"/>
      <c r="AR286" s="779" t="str">
        <f t="array" ref="AR286:AS286">{"",'S-10 Оформление сделок Выборка'!AS286}</f>
        <v/>
      </c>
      <c r="AS286" s="795"/>
      <c r="AT286" s="779" t="str">
        <f t="array" ref="AT286:AU286">{"",'S-10 Оформление сделок Выборка'!AU286}</f>
        <v/>
      </c>
      <c r="AU286" s="805"/>
      <c r="AV286" s="779" t="str">
        <f t="array" ref="AV286:AW286">{"",'S-10 Оформление сделок Выборка'!AW286}</f>
        <v/>
      </c>
      <c r="AW286" s="797"/>
      <c r="AX286" s="786"/>
      <c r="AY286" s="786"/>
      <c r="AZ286" s="792" t="str">
        <f t="array" ref="AZ286:BA286">{"",'S-10 Оформление сделок Выборка'!BA286}</f>
        <v/>
      </c>
      <c r="BA286" s="798"/>
      <c r="BB286" s="792" t="str">
        <f t="array" ref="BB286:BC286">{"",'S-10 Оформление сделок Выборка'!BC286}</f>
        <v/>
      </c>
      <c r="BC286" s="799"/>
      <c r="BD286" s="792" t="str">
        <f t="array" ref="BD286:BE286">{"",'S-10 Оформление сделок Выборка'!BE286}</f>
        <v/>
      </c>
      <c r="BE286" s="793"/>
      <c r="BF286" s="800" t="str">
        <f t="array" ref="BF286:BG286">{"",'S-10 Оформление сделок Выборка'!BG286}</f>
        <v/>
      </c>
      <c r="BG286" s="794"/>
      <c r="BH286" s="794" t="str">
        <f t="array" ref="BH286:BI286">{"",'S-10 Оформление сделок Выборка'!BI286}</f>
        <v/>
      </c>
      <c r="BI286" s="794"/>
      <c r="BJ286" s="792" t="str">
        <f t="array" ref="BJ286:BK286">{"",'S-10 Оформление сделок Выборка'!BK286}</f>
        <v/>
      </c>
      <c r="BK286" s="793"/>
      <c r="BL286" s="792" t="str">
        <f t="array" ref="BL286:BM286">{"",'S-10 Оформление сделок Выборка'!BM286}</f>
        <v/>
      </c>
      <c r="BM286" s="801"/>
      <c r="BN286" s="792" t="str">
        <f t="array" ref="BN286:BO286">{"",'S-10 Оформление сделок Выборка'!BO286}</f>
        <v/>
      </c>
      <c r="BO286" s="793"/>
      <c r="BP286" s="792" t="str">
        <f t="array" ref="BP286:BQ286">{"",'S-10 Оформление сделок Выборка'!BQ286}</f>
        <v/>
      </c>
      <c r="BQ286" s="802"/>
      <c r="BR286" s="792" t="str">
        <f t="array" ref="BR286:BS286">{"",'S-10 Оформление сделок Выборка'!BS286}</f>
        <v/>
      </c>
      <c r="BS286" s="794"/>
      <c r="BT286" s="800" t="str">
        <f t="array" ref="BT286:BU286">{"",'S-10 Оформление сделок Выборка'!BU286}</f>
        <v/>
      </c>
      <c r="BU286" s="794"/>
      <c r="BV286" s="800" t="str">
        <f t="array" ref="BV286:BW286">{"",'S-10 Оформление сделок Выборка'!BW286}</f>
        <v/>
      </c>
      <c r="BW286" s="803" t="s">
        <v>96</v>
      </c>
      <c r="BX286" s="804"/>
    </row>
    <row r="287">
      <c r="A287" s="779"/>
      <c r="B287" s="779"/>
      <c r="C287" s="780" t="str">
        <f>'5-1 Сбор КП Закупки'!C287</f>
        <v/>
      </c>
      <c r="D287" s="781"/>
      <c r="E287" s="780"/>
      <c r="F287" s="783"/>
      <c r="G287" s="783"/>
      <c r="H287" s="783"/>
      <c r="I287" s="783"/>
      <c r="J287" s="780"/>
      <c r="K287" s="786"/>
      <c r="L287" s="785"/>
      <c r="M287" s="786"/>
      <c r="N287" s="786"/>
      <c r="O287" s="780"/>
      <c r="P287" s="787"/>
      <c r="Q287" s="780"/>
      <c r="R287" s="780"/>
      <c r="S287" s="780"/>
      <c r="T287" s="780"/>
      <c r="U287" s="780"/>
      <c r="V287" s="780"/>
      <c r="W287" s="787"/>
      <c r="X287" s="780"/>
      <c r="Y287" s="780"/>
      <c r="Z287" s="780"/>
      <c r="AA287" s="780"/>
      <c r="AB287" s="788"/>
      <c r="AC287" s="781"/>
      <c r="AD287" s="780"/>
      <c r="AE287" s="789" t="str">
        <f t="array" ref="AE287:AF287">{"",'S-10 Оформление сделок Выборка'!AF287}</f>
        <v/>
      </c>
      <c r="AF287" s="790"/>
      <c r="AG287" s="781"/>
      <c r="AH287" s="781"/>
      <c r="AI287" s="785"/>
      <c r="AJ287" s="780"/>
      <c r="AK287" s="792" t="str">
        <f t="array" ref="AK287:AL287">{"",'S-10 Оформление сделок Выборка'!AL287}</f>
        <v/>
      </c>
      <c r="AL287" s="793"/>
      <c r="AM287" s="792" t="str">
        <f t="array" ref="AM287:AN287">{"",'S-10 Оформление сделок Выборка'!AN287}</f>
        <v/>
      </c>
      <c r="AN287" s="794"/>
      <c r="AO287" s="792" t="str">
        <f t="array" ref="AO287:AP287">{"",'S-10 Оформление сделок Выборка'!AP287}</f>
        <v/>
      </c>
      <c r="AP287" s="786"/>
      <c r="AQ287" s="786"/>
      <c r="AR287" s="779" t="str">
        <f t="array" ref="AR287:AS287">{"",'S-10 Оформление сделок Выборка'!AS287}</f>
        <v/>
      </c>
      <c r="AS287" s="795"/>
      <c r="AT287" s="779" t="str">
        <f t="array" ref="AT287:AU287">{"",'S-10 Оформление сделок Выборка'!AU287}</f>
        <v/>
      </c>
      <c r="AU287" s="805"/>
      <c r="AV287" s="779" t="str">
        <f t="array" ref="AV287:AW287">{"",'S-10 Оформление сделок Выборка'!AW287}</f>
        <v/>
      </c>
      <c r="AW287" s="797"/>
      <c r="AX287" s="786"/>
      <c r="AY287" s="786"/>
      <c r="AZ287" s="792" t="str">
        <f t="array" ref="AZ287:BA287">{"",'S-10 Оформление сделок Выборка'!BA287}</f>
        <v/>
      </c>
      <c r="BA287" s="798"/>
      <c r="BB287" s="792" t="str">
        <f t="array" ref="BB287:BC287">{"",'S-10 Оформление сделок Выборка'!BC287}</f>
        <v/>
      </c>
      <c r="BC287" s="799"/>
      <c r="BD287" s="792" t="str">
        <f t="array" ref="BD287:BE287">{"",'S-10 Оформление сделок Выборка'!BE287}</f>
        <v/>
      </c>
      <c r="BE287" s="793"/>
      <c r="BF287" s="800" t="str">
        <f t="array" ref="BF287:BG287">{"",'S-10 Оформление сделок Выборка'!BG287}</f>
        <v/>
      </c>
      <c r="BG287" s="794"/>
      <c r="BH287" s="794" t="str">
        <f t="array" ref="BH287:BI287">{"",'S-10 Оформление сделок Выборка'!BI287}</f>
        <v/>
      </c>
      <c r="BI287" s="794"/>
      <c r="BJ287" s="792" t="str">
        <f t="array" ref="BJ287:BK287">{"",'S-10 Оформление сделок Выборка'!BK287}</f>
        <v/>
      </c>
      <c r="BK287" s="793"/>
      <c r="BL287" s="792" t="str">
        <f t="array" ref="BL287:BM287">{"",'S-10 Оформление сделок Выборка'!BM287}</f>
        <v/>
      </c>
      <c r="BM287" s="801"/>
      <c r="BN287" s="792" t="str">
        <f t="array" ref="BN287:BO287">{"",'S-10 Оформление сделок Выборка'!BO287}</f>
        <v/>
      </c>
      <c r="BO287" s="793"/>
      <c r="BP287" s="792" t="str">
        <f t="array" ref="BP287:BQ287">{"",'S-10 Оформление сделок Выборка'!BQ287}</f>
        <v/>
      </c>
      <c r="BQ287" s="802"/>
      <c r="BR287" s="792" t="str">
        <f t="array" ref="BR287:BS287">{"",'S-10 Оформление сделок Выборка'!BS287}</f>
        <v/>
      </c>
      <c r="BS287" s="794"/>
      <c r="BT287" s="800" t="str">
        <f t="array" ref="BT287:BU287">{"",'S-10 Оформление сделок Выборка'!BU287}</f>
        <v/>
      </c>
      <c r="BU287" s="794"/>
      <c r="BV287" s="800" t="str">
        <f t="array" ref="BV287:BW287">{"",'S-10 Оформление сделок Выборка'!BW287}</f>
        <v/>
      </c>
      <c r="BW287" s="803" t="s">
        <v>96</v>
      </c>
      <c r="BX287" s="804"/>
    </row>
    <row r="288">
      <c r="A288" s="779"/>
      <c r="B288" s="779"/>
      <c r="C288" s="780" t="str">
        <f>'5-1 Сбор КП Закупки'!C288</f>
        <v/>
      </c>
      <c r="D288" s="781"/>
      <c r="E288" s="780"/>
      <c r="F288" s="783"/>
      <c r="G288" s="783"/>
      <c r="H288" s="783"/>
      <c r="I288" s="783"/>
      <c r="J288" s="780"/>
      <c r="K288" s="786"/>
      <c r="L288" s="785"/>
      <c r="M288" s="786"/>
      <c r="N288" s="786"/>
      <c r="O288" s="780"/>
      <c r="P288" s="787"/>
      <c r="Q288" s="780"/>
      <c r="R288" s="780"/>
      <c r="S288" s="780"/>
      <c r="T288" s="780"/>
      <c r="U288" s="780"/>
      <c r="V288" s="780"/>
      <c r="W288" s="787"/>
      <c r="X288" s="780"/>
      <c r="Y288" s="780"/>
      <c r="Z288" s="780"/>
      <c r="AA288" s="780"/>
      <c r="AB288" s="788"/>
      <c r="AC288" s="781"/>
      <c r="AD288" s="780"/>
      <c r="AE288" s="789" t="str">
        <f t="array" ref="AE288:AF288">{"",'S-10 Оформление сделок Выборка'!AF288}</f>
        <v/>
      </c>
      <c r="AF288" s="790"/>
      <c r="AG288" s="781"/>
      <c r="AH288" s="781"/>
      <c r="AI288" s="785"/>
      <c r="AJ288" s="780"/>
      <c r="AK288" s="792" t="str">
        <f t="array" ref="AK288:AL288">{"",'S-10 Оформление сделок Выборка'!AL288}</f>
        <v/>
      </c>
      <c r="AL288" s="793"/>
      <c r="AM288" s="792" t="str">
        <f t="array" ref="AM288:AN288">{"",'S-10 Оформление сделок Выборка'!AN288}</f>
        <v/>
      </c>
      <c r="AN288" s="794"/>
      <c r="AO288" s="792" t="str">
        <f t="array" ref="AO288:AP288">{"",'S-10 Оформление сделок Выборка'!AP288}</f>
        <v/>
      </c>
      <c r="AP288" s="786"/>
      <c r="AQ288" s="786"/>
      <c r="AR288" s="779" t="str">
        <f t="array" ref="AR288:AS288">{"",'S-10 Оформление сделок Выборка'!AS288}</f>
        <v/>
      </c>
      <c r="AS288" s="795"/>
      <c r="AT288" s="779" t="str">
        <f t="array" ref="AT288:AU288">{"",'S-10 Оформление сделок Выборка'!AU288}</f>
        <v/>
      </c>
      <c r="AU288" s="805"/>
      <c r="AV288" s="779" t="str">
        <f t="array" ref="AV288:AW288">{"",'S-10 Оформление сделок Выборка'!AW288}</f>
        <v/>
      </c>
      <c r="AW288" s="797"/>
      <c r="AX288" s="786"/>
      <c r="AY288" s="786"/>
      <c r="AZ288" s="792" t="str">
        <f t="array" ref="AZ288:BA288">{"",'S-10 Оформление сделок Выборка'!BA288}</f>
        <v/>
      </c>
      <c r="BA288" s="798"/>
      <c r="BB288" s="792" t="str">
        <f t="array" ref="BB288:BC288">{"",'S-10 Оформление сделок Выборка'!BC288}</f>
        <v/>
      </c>
      <c r="BC288" s="799"/>
      <c r="BD288" s="792" t="str">
        <f t="array" ref="BD288:BE288">{"",'S-10 Оформление сделок Выборка'!BE288}</f>
        <v/>
      </c>
      <c r="BE288" s="793"/>
      <c r="BF288" s="800" t="str">
        <f t="array" ref="BF288:BG288">{"",'S-10 Оформление сделок Выборка'!BG288}</f>
        <v/>
      </c>
      <c r="BG288" s="794"/>
      <c r="BH288" s="794" t="str">
        <f t="array" ref="BH288:BI288">{"",'S-10 Оформление сделок Выборка'!BI288}</f>
        <v/>
      </c>
      <c r="BI288" s="794"/>
      <c r="BJ288" s="792" t="str">
        <f t="array" ref="BJ288:BK288">{"",'S-10 Оформление сделок Выборка'!BK288}</f>
        <v/>
      </c>
      <c r="BK288" s="793"/>
      <c r="BL288" s="792" t="str">
        <f t="array" ref="BL288:BM288">{"",'S-10 Оформление сделок Выборка'!BM288}</f>
        <v/>
      </c>
      <c r="BM288" s="801"/>
      <c r="BN288" s="792" t="str">
        <f t="array" ref="BN288:BO288">{"",'S-10 Оформление сделок Выборка'!BO288}</f>
        <v/>
      </c>
      <c r="BO288" s="793"/>
      <c r="BP288" s="792" t="str">
        <f t="array" ref="BP288:BQ288">{"",'S-10 Оформление сделок Выборка'!BQ288}</f>
        <v/>
      </c>
      <c r="BQ288" s="802"/>
      <c r="BR288" s="792" t="str">
        <f t="array" ref="BR288:BS288">{"",'S-10 Оформление сделок Выборка'!BS288}</f>
        <v/>
      </c>
      <c r="BS288" s="794"/>
      <c r="BT288" s="800" t="str">
        <f t="array" ref="BT288:BU288">{"",'S-10 Оформление сделок Выборка'!BU288}</f>
        <v/>
      </c>
      <c r="BU288" s="794"/>
      <c r="BV288" s="800" t="str">
        <f t="array" ref="BV288:BW288">{"",'S-10 Оформление сделок Выборка'!BW288}</f>
        <v/>
      </c>
      <c r="BW288" s="803" t="s">
        <v>96</v>
      </c>
      <c r="BX288" s="804"/>
    </row>
    <row r="289">
      <c r="A289" s="779"/>
      <c r="B289" s="779"/>
      <c r="C289" s="780" t="str">
        <f>'5-1 Сбор КП Закупки'!C289</f>
        <v/>
      </c>
      <c r="D289" s="781"/>
      <c r="E289" s="780"/>
      <c r="F289" s="783"/>
      <c r="G289" s="783"/>
      <c r="H289" s="783"/>
      <c r="I289" s="783"/>
      <c r="J289" s="780"/>
      <c r="K289" s="786"/>
      <c r="L289" s="785"/>
      <c r="M289" s="786"/>
      <c r="N289" s="786"/>
      <c r="O289" s="780"/>
      <c r="P289" s="787"/>
      <c r="Q289" s="780"/>
      <c r="R289" s="780"/>
      <c r="S289" s="780"/>
      <c r="T289" s="780"/>
      <c r="U289" s="780"/>
      <c r="V289" s="780"/>
      <c r="W289" s="787"/>
      <c r="X289" s="780"/>
      <c r="Y289" s="780"/>
      <c r="Z289" s="780"/>
      <c r="AA289" s="780"/>
      <c r="AB289" s="788"/>
      <c r="AC289" s="781"/>
      <c r="AD289" s="780"/>
      <c r="AE289" s="789" t="str">
        <f t="array" ref="AE289:AF289">{"",'S-10 Оформление сделок Выборка'!AF289}</f>
        <v/>
      </c>
      <c r="AF289" s="790"/>
      <c r="AG289" s="781"/>
      <c r="AH289" s="781"/>
      <c r="AI289" s="785"/>
      <c r="AJ289" s="780"/>
      <c r="AK289" s="792" t="str">
        <f t="array" ref="AK289:AL289">{"",'S-10 Оформление сделок Выборка'!AL289}</f>
        <v/>
      </c>
      <c r="AL289" s="793"/>
      <c r="AM289" s="792" t="str">
        <f t="array" ref="AM289:AN289">{"",'S-10 Оформление сделок Выборка'!AN289}</f>
        <v/>
      </c>
      <c r="AN289" s="794"/>
      <c r="AO289" s="792" t="str">
        <f t="array" ref="AO289:AP289">{"",'S-10 Оформление сделок Выборка'!AP289}</f>
        <v/>
      </c>
      <c r="AP289" s="786"/>
      <c r="AQ289" s="786"/>
      <c r="AR289" s="779" t="str">
        <f t="array" ref="AR289:AS289">{"",'S-10 Оформление сделок Выборка'!AS289}</f>
        <v/>
      </c>
      <c r="AS289" s="795"/>
      <c r="AT289" s="779" t="str">
        <f t="array" ref="AT289:AU289">{"",'S-10 Оформление сделок Выборка'!AU289}</f>
        <v/>
      </c>
      <c r="AU289" s="805"/>
      <c r="AV289" s="779" t="str">
        <f t="array" ref="AV289:AW289">{"",'S-10 Оформление сделок Выборка'!AW289}</f>
        <v/>
      </c>
      <c r="AW289" s="797"/>
      <c r="AX289" s="786"/>
      <c r="AY289" s="786"/>
      <c r="AZ289" s="792" t="str">
        <f t="array" ref="AZ289:BA289">{"",'S-10 Оформление сделок Выборка'!BA289}</f>
        <v/>
      </c>
      <c r="BA289" s="798"/>
      <c r="BB289" s="792" t="str">
        <f t="array" ref="BB289:BC289">{"",'S-10 Оформление сделок Выборка'!BC289}</f>
        <v/>
      </c>
      <c r="BC289" s="799"/>
      <c r="BD289" s="792" t="str">
        <f t="array" ref="BD289:BE289">{"",'S-10 Оформление сделок Выборка'!BE289}</f>
        <v/>
      </c>
      <c r="BE289" s="793"/>
      <c r="BF289" s="800" t="str">
        <f t="array" ref="BF289:BG289">{"",'S-10 Оформление сделок Выборка'!BG289}</f>
        <v/>
      </c>
      <c r="BG289" s="794"/>
      <c r="BH289" s="794" t="str">
        <f t="array" ref="BH289:BI289">{"",'S-10 Оформление сделок Выборка'!BI289}</f>
        <v/>
      </c>
      <c r="BI289" s="794"/>
      <c r="BJ289" s="792" t="str">
        <f t="array" ref="BJ289:BK289">{"",'S-10 Оформление сделок Выборка'!BK289}</f>
        <v/>
      </c>
      <c r="BK289" s="793"/>
      <c r="BL289" s="792" t="str">
        <f t="array" ref="BL289:BM289">{"",'S-10 Оформление сделок Выборка'!BM289}</f>
        <v/>
      </c>
      <c r="BM289" s="801"/>
      <c r="BN289" s="792" t="str">
        <f t="array" ref="BN289:BO289">{"",'S-10 Оформление сделок Выборка'!BO289}</f>
        <v/>
      </c>
      <c r="BO289" s="793"/>
      <c r="BP289" s="792" t="str">
        <f t="array" ref="BP289:BQ289">{"",'S-10 Оформление сделок Выборка'!BQ289}</f>
        <v/>
      </c>
      <c r="BQ289" s="802"/>
      <c r="BR289" s="792" t="str">
        <f t="array" ref="BR289:BS289">{"",'S-10 Оформление сделок Выборка'!BS289}</f>
        <v/>
      </c>
      <c r="BS289" s="794"/>
      <c r="BT289" s="800" t="str">
        <f t="array" ref="BT289:BU289">{"",'S-10 Оформление сделок Выборка'!BU289}</f>
        <v/>
      </c>
      <c r="BU289" s="794"/>
      <c r="BV289" s="800" t="str">
        <f t="array" ref="BV289:BW289">{"",'S-10 Оформление сделок Выборка'!BW289}</f>
        <v/>
      </c>
      <c r="BW289" s="803" t="s">
        <v>96</v>
      </c>
      <c r="BX289" s="804"/>
    </row>
    <row r="290">
      <c r="A290" s="779"/>
      <c r="B290" s="779"/>
      <c r="C290" s="780" t="str">
        <f>'5-1 Сбор КП Закупки'!C290</f>
        <v/>
      </c>
      <c r="D290" s="781"/>
      <c r="E290" s="780"/>
      <c r="F290" s="783"/>
      <c r="G290" s="783"/>
      <c r="H290" s="783"/>
      <c r="I290" s="783"/>
      <c r="J290" s="780"/>
      <c r="K290" s="786"/>
      <c r="L290" s="785"/>
      <c r="M290" s="786"/>
      <c r="N290" s="786"/>
      <c r="O290" s="780"/>
      <c r="P290" s="787"/>
      <c r="Q290" s="780"/>
      <c r="R290" s="780"/>
      <c r="S290" s="780"/>
      <c r="T290" s="780"/>
      <c r="U290" s="780"/>
      <c r="V290" s="780"/>
      <c r="W290" s="787"/>
      <c r="X290" s="780"/>
      <c r="Y290" s="780"/>
      <c r="Z290" s="780"/>
      <c r="AA290" s="780"/>
      <c r="AB290" s="788"/>
      <c r="AC290" s="781"/>
      <c r="AD290" s="780"/>
      <c r="AE290" s="789" t="str">
        <f t="array" ref="AE290:AF290">{"",'S-10 Оформление сделок Выборка'!AF290}</f>
        <v/>
      </c>
      <c r="AF290" s="790"/>
      <c r="AG290" s="781"/>
      <c r="AH290" s="781"/>
      <c r="AI290" s="785"/>
      <c r="AJ290" s="780"/>
      <c r="AK290" s="792" t="str">
        <f t="array" ref="AK290:AL290">{"",'S-10 Оформление сделок Выборка'!AL290}</f>
        <v/>
      </c>
      <c r="AL290" s="793"/>
      <c r="AM290" s="792" t="str">
        <f t="array" ref="AM290:AN290">{"",'S-10 Оформление сделок Выборка'!AN290}</f>
        <v/>
      </c>
      <c r="AN290" s="794"/>
      <c r="AO290" s="792" t="str">
        <f t="array" ref="AO290:AP290">{"",'S-10 Оформление сделок Выборка'!AP290}</f>
        <v/>
      </c>
      <c r="AP290" s="786"/>
      <c r="AQ290" s="786"/>
      <c r="AR290" s="779" t="str">
        <f t="array" ref="AR290:AS290">{"",'S-10 Оформление сделок Выборка'!AS290}</f>
        <v/>
      </c>
      <c r="AS290" s="795"/>
      <c r="AT290" s="779" t="str">
        <f t="array" ref="AT290:AU290">{"",'S-10 Оформление сделок Выборка'!AU290}</f>
        <v/>
      </c>
      <c r="AU290" s="805"/>
      <c r="AV290" s="779" t="str">
        <f t="array" ref="AV290:AW290">{"",'S-10 Оформление сделок Выборка'!AW290}</f>
        <v/>
      </c>
      <c r="AW290" s="797"/>
      <c r="AX290" s="786"/>
      <c r="AY290" s="786"/>
      <c r="AZ290" s="792" t="str">
        <f t="array" ref="AZ290:BA290">{"",'S-10 Оформление сделок Выборка'!BA290}</f>
        <v/>
      </c>
      <c r="BA290" s="798"/>
      <c r="BB290" s="792" t="str">
        <f t="array" ref="BB290:BC290">{"",'S-10 Оформление сделок Выборка'!BC290}</f>
        <v/>
      </c>
      <c r="BC290" s="799"/>
      <c r="BD290" s="792" t="str">
        <f t="array" ref="BD290:BE290">{"",'S-10 Оформление сделок Выборка'!BE290}</f>
        <v/>
      </c>
      <c r="BE290" s="793"/>
      <c r="BF290" s="800" t="str">
        <f t="array" ref="BF290:BG290">{"",'S-10 Оформление сделок Выборка'!BG290}</f>
        <v/>
      </c>
      <c r="BG290" s="794"/>
      <c r="BH290" s="794" t="str">
        <f t="array" ref="BH290:BI290">{"",'S-10 Оформление сделок Выборка'!BI290}</f>
        <v/>
      </c>
      <c r="BI290" s="794"/>
      <c r="BJ290" s="792" t="str">
        <f t="array" ref="BJ290:BK290">{"",'S-10 Оформление сделок Выборка'!BK290}</f>
        <v/>
      </c>
      <c r="BK290" s="793"/>
      <c r="BL290" s="792" t="str">
        <f t="array" ref="BL290:BM290">{"",'S-10 Оформление сделок Выборка'!BM290}</f>
        <v/>
      </c>
      <c r="BM290" s="801"/>
      <c r="BN290" s="792" t="str">
        <f t="array" ref="BN290:BO290">{"",'S-10 Оформление сделок Выборка'!BO290}</f>
        <v/>
      </c>
      <c r="BO290" s="793"/>
      <c r="BP290" s="792" t="str">
        <f t="array" ref="BP290:BQ290">{"",'S-10 Оформление сделок Выборка'!BQ290}</f>
        <v/>
      </c>
      <c r="BQ290" s="802"/>
      <c r="BR290" s="792" t="str">
        <f t="array" ref="BR290:BS290">{"",'S-10 Оформление сделок Выборка'!BS290}</f>
        <v/>
      </c>
      <c r="BS290" s="794"/>
      <c r="BT290" s="800" t="str">
        <f t="array" ref="BT290:BU290">{"",'S-10 Оформление сделок Выборка'!BU290}</f>
        <v/>
      </c>
      <c r="BU290" s="794"/>
      <c r="BV290" s="800" t="str">
        <f t="array" ref="BV290:BW290">{"",'S-10 Оформление сделок Выборка'!BW290}</f>
        <v/>
      </c>
      <c r="BW290" s="803" t="s">
        <v>96</v>
      </c>
      <c r="BX290" s="804"/>
    </row>
    <row r="291">
      <c r="A291" s="779"/>
      <c r="B291" s="779"/>
      <c r="C291" s="780" t="str">
        <f>'5-1 Сбор КП Закупки'!C291</f>
        <v/>
      </c>
      <c r="D291" s="781"/>
      <c r="E291" s="780"/>
      <c r="F291" s="783"/>
      <c r="G291" s="783"/>
      <c r="H291" s="783"/>
      <c r="I291" s="783"/>
      <c r="J291" s="780"/>
      <c r="K291" s="786"/>
      <c r="L291" s="785"/>
      <c r="M291" s="786"/>
      <c r="N291" s="786"/>
      <c r="O291" s="780"/>
      <c r="P291" s="787"/>
      <c r="Q291" s="780"/>
      <c r="R291" s="780"/>
      <c r="S291" s="780"/>
      <c r="T291" s="780"/>
      <c r="U291" s="780"/>
      <c r="V291" s="780"/>
      <c r="W291" s="787"/>
      <c r="X291" s="780"/>
      <c r="Y291" s="780"/>
      <c r="Z291" s="780"/>
      <c r="AA291" s="780"/>
      <c r="AB291" s="788"/>
      <c r="AC291" s="781"/>
      <c r="AD291" s="780"/>
      <c r="AE291" s="789" t="str">
        <f t="array" ref="AE291:AF291">{"",'S-10 Оформление сделок Выборка'!AF291}</f>
        <v/>
      </c>
      <c r="AF291" s="790"/>
      <c r="AG291" s="781"/>
      <c r="AH291" s="781"/>
      <c r="AI291" s="785"/>
      <c r="AJ291" s="780"/>
      <c r="AK291" s="792" t="str">
        <f t="array" ref="AK291:AL291">{"",'S-10 Оформление сделок Выборка'!AL291}</f>
        <v/>
      </c>
      <c r="AL291" s="793"/>
      <c r="AM291" s="792" t="str">
        <f t="array" ref="AM291:AN291">{"",'S-10 Оформление сделок Выборка'!AN291}</f>
        <v/>
      </c>
      <c r="AN291" s="794"/>
      <c r="AO291" s="792" t="str">
        <f t="array" ref="AO291:AP291">{"",'S-10 Оформление сделок Выборка'!AP291}</f>
        <v/>
      </c>
      <c r="AP291" s="786"/>
      <c r="AQ291" s="786"/>
      <c r="AR291" s="779" t="str">
        <f t="array" ref="AR291:AS291">{"",'S-10 Оформление сделок Выборка'!AS291}</f>
        <v/>
      </c>
      <c r="AS291" s="795"/>
      <c r="AT291" s="779" t="str">
        <f t="array" ref="AT291:AU291">{"",'S-10 Оформление сделок Выборка'!AU291}</f>
        <v/>
      </c>
      <c r="AU291" s="805"/>
      <c r="AV291" s="779" t="str">
        <f t="array" ref="AV291:AW291">{"",'S-10 Оформление сделок Выборка'!AW291}</f>
        <v/>
      </c>
      <c r="AW291" s="797"/>
      <c r="AX291" s="786"/>
      <c r="AY291" s="786"/>
      <c r="AZ291" s="792" t="str">
        <f t="array" ref="AZ291:BA291">{"",'S-10 Оформление сделок Выборка'!BA291}</f>
        <v/>
      </c>
      <c r="BA291" s="798"/>
      <c r="BB291" s="792" t="str">
        <f t="array" ref="BB291:BC291">{"",'S-10 Оформление сделок Выборка'!BC291}</f>
        <v/>
      </c>
      <c r="BC291" s="799"/>
      <c r="BD291" s="792" t="str">
        <f t="array" ref="BD291:BE291">{"",'S-10 Оформление сделок Выборка'!BE291}</f>
        <v/>
      </c>
      <c r="BE291" s="793"/>
      <c r="BF291" s="800" t="str">
        <f t="array" ref="BF291:BG291">{"",'S-10 Оформление сделок Выборка'!BG291}</f>
        <v/>
      </c>
      <c r="BG291" s="794"/>
      <c r="BH291" s="794" t="str">
        <f t="array" ref="BH291:BI291">{"",'S-10 Оформление сделок Выборка'!BI291}</f>
        <v/>
      </c>
      <c r="BI291" s="794"/>
      <c r="BJ291" s="792" t="str">
        <f t="array" ref="BJ291:BK291">{"",'S-10 Оформление сделок Выборка'!BK291}</f>
        <v/>
      </c>
      <c r="BK291" s="793"/>
      <c r="BL291" s="792" t="str">
        <f t="array" ref="BL291:BM291">{"",'S-10 Оформление сделок Выборка'!BM291}</f>
        <v/>
      </c>
      <c r="BM291" s="801"/>
      <c r="BN291" s="792" t="str">
        <f t="array" ref="BN291:BO291">{"",'S-10 Оформление сделок Выборка'!BO291}</f>
        <v/>
      </c>
      <c r="BO291" s="793"/>
      <c r="BP291" s="792" t="str">
        <f t="array" ref="BP291:BQ291">{"",'S-10 Оформление сделок Выборка'!BQ291}</f>
        <v/>
      </c>
      <c r="BQ291" s="802"/>
      <c r="BR291" s="792" t="str">
        <f t="array" ref="BR291:BS291">{"",'S-10 Оформление сделок Выборка'!BS291}</f>
        <v/>
      </c>
      <c r="BS291" s="794"/>
      <c r="BT291" s="800" t="str">
        <f t="array" ref="BT291:BU291">{"",'S-10 Оформление сделок Выборка'!BU291}</f>
        <v/>
      </c>
      <c r="BU291" s="794"/>
      <c r="BV291" s="800" t="str">
        <f t="array" ref="BV291:BW291">{"",'S-10 Оформление сделок Выборка'!BW291}</f>
        <v/>
      </c>
      <c r="BW291" s="803" t="s">
        <v>96</v>
      </c>
      <c r="BX291" s="804"/>
    </row>
    <row r="292">
      <c r="A292" s="779"/>
      <c r="B292" s="779"/>
      <c r="C292" s="780" t="str">
        <f>'5-1 Сбор КП Закупки'!C292</f>
        <v/>
      </c>
      <c r="D292" s="781"/>
      <c r="E292" s="780"/>
      <c r="F292" s="783"/>
      <c r="G292" s="783"/>
      <c r="H292" s="783"/>
      <c r="I292" s="783"/>
      <c r="J292" s="780"/>
      <c r="K292" s="786"/>
      <c r="L292" s="785"/>
      <c r="M292" s="786"/>
      <c r="N292" s="786"/>
      <c r="O292" s="780"/>
      <c r="P292" s="787"/>
      <c r="Q292" s="780"/>
      <c r="R292" s="780"/>
      <c r="S292" s="780"/>
      <c r="T292" s="780"/>
      <c r="U292" s="780"/>
      <c r="V292" s="780"/>
      <c r="W292" s="787"/>
      <c r="X292" s="780"/>
      <c r="Y292" s="780"/>
      <c r="Z292" s="780"/>
      <c r="AA292" s="780"/>
      <c r="AB292" s="788"/>
      <c r="AC292" s="781"/>
      <c r="AD292" s="780"/>
      <c r="AE292" s="789" t="str">
        <f t="array" ref="AE292:AF292">{"",'S-10 Оформление сделок Выборка'!AF292}</f>
        <v/>
      </c>
      <c r="AF292" s="790"/>
      <c r="AG292" s="781"/>
      <c r="AH292" s="781"/>
      <c r="AI292" s="785"/>
      <c r="AJ292" s="780"/>
      <c r="AK292" s="792" t="str">
        <f t="array" ref="AK292:AL292">{"",'S-10 Оформление сделок Выборка'!AL292}</f>
        <v/>
      </c>
      <c r="AL292" s="793"/>
      <c r="AM292" s="792" t="str">
        <f t="array" ref="AM292:AN292">{"",'S-10 Оформление сделок Выборка'!AN292}</f>
        <v/>
      </c>
      <c r="AN292" s="794"/>
      <c r="AO292" s="792" t="str">
        <f t="array" ref="AO292:AP292">{"",'S-10 Оформление сделок Выборка'!AP292}</f>
        <v/>
      </c>
      <c r="AP292" s="786"/>
      <c r="AQ292" s="786"/>
      <c r="AR292" s="779" t="str">
        <f t="array" ref="AR292:AS292">{"",'S-10 Оформление сделок Выборка'!AS292}</f>
        <v/>
      </c>
      <c r="AS292" s="795"/>
      <c r="AT292" s="779" t="str">
        <f t="array" ref="AT292:AU292">{"",'S-10 Оформление сделок Выборка'!AU292}</f>
        <v/>
      </c>
      <c r="AU292" s="805"/>
      <c r="AV292" s="779" t="str">
        <f t="array" ref="AV292:AW292">{"",'S-10 Оформление сделок Выборка'!AW292}</f>
        <v/>
      </c>
      <c r="AW292" s="797"/>
      <c r="AX292" s="786"/>
      <c r="AY292" s="786"/>
      <c r="AZ292" s="792" t="str">
        <f t="array" ref="AZ292:BA292">{"",'S-10 Оформление сделок Выборка'!BA292}</f>
        <v/>
      </c>
      <c r="BA292" s="798"/>
      <c r="BB292" s="792" t="str">
        <f t="array" ref="BB292:BC292">{"",'S-10 Оформление сделок Выборка'!BC292}</f>
        <v/>
      </c>
      <c r="BC292" s="799"/>
      <c r="BD292" s="792" t="str">
        <f t="array" ref="BD292:BE292">{"",'S-10 Оформление сделок Выборка'!BE292}</f>
        <v/>
      </c>
      <c r="BE292" s="793"/>
      <c r="BF292" s="800" t="str">
        <f t="array" ref="BF292:BG292">{"",'S-10 Оформление сделок Выборка'!BG292}</f>
        <v/>
      </c>
      <c r="BG292" s="794"/>
      <c r="BH292" s="794" t="str">
        <f t="array" ref="BH292:BI292">{"",'S-10 Оформление сделок Выборка'!BI292}</f>
        <v/>
      </c>
      <c r="BI292" s="794"/>
      <c r="BJ292" s="792" t="str">
        <f t="array" ref="BJ292:BK292">{"",'S-10 Оформление сделок Выборка'!BK292}</f>
        <v/>
      </c>
      <c r="BK292" s="793"/>
      <c r="BL292" s="792" t="str">
        <f t="array" ref="BL292:BM292">{"",'S-10 Оформление сделок Выборка'!BM292}</f>
        <v/>
      </c>
      <c r="BM292" s="801"/>
      <c r="BN292" s="792" t="str">
        <f t="array" ref="BN292:BO292">{"",'S-10 Оформление сделок Выборка'!BO292}</f>
        <v/>
      </c>
      <c r="BO292" s="793"/>
      <c r="BP292" s="792" t="str">
        <f t="array" ref="BP292:BQ292">{"",'S-10 Оформление сделок Выборка'!BQ292}</f>
        <v/>
      </c>
      <c r="BQ292" s="802"/>
      <c r="BR292" s="792" t="str">
        <f t="array" ref="BR292:BS292">{"",'S-10 Оформление сделок Выборка'!BS292}</f>
        <v/>
      </c>
      <c r="BS292" s="794"/>
      <c r="BT292" s="800" t="str">
        <f t="array" ref="BT292:BU292">{"",'S-10 Оформление сделок Выборка'!BU292}</f>
        <v/>
      </c>
      <c r="BU292" s="794"/>
      <c r="BV292" s="800" t="str">
        <f t="array" ref="BV292:BW292">{"",'S-10 Оформление сделок Выборка'!BW292}</f>
        <v/>
      </c>
      <c r="BW292" s="803" t="s">
        <v>96</v>
      </c>
      <c r="BX292" s="804"/>
    </row>
    <row r="293">
      <c r="A293" s="779"/>
      <c r="B293" s="779"/>
      <c r="C293" s="780" t="str">
        <f>'5-1 Сбор КП Закупки'!C293</f>
        <v/>
      </c>
      <c r="D293" s="781"/>
      <c r="E293" s="780"/>
      <c r="F293" s="783"/>
      <c r="G293" s="783"/>
      <c r="H293" s="783"/>
      <c r="I293" s="783"/>
      <c r="J293" s="780"/>
      <c r="K293" s="786"/>
      <c r="L293" s="785"/>
      <c r="M293" s="786"/>
      <c r="N293" s="786"/>
      <c r="O293" s="780"/>
      <c r="P293" s="787"/>
      <c r="Q293" s="780"/>
      <c r="R293" s="780"/>
      <c r="S293" s="780"/>
      <c r="T293" s="780"/>
      <c r="U293" s="780"/>
      <c r="V293" s="780"/>
      <c r="W293" s="787"/>
      <c r="X293" s="780"/>
      <c r="Y293" s="780"/>
      <c r="Z293" s="780"/>
      <c r="AA293" s="780"/>
      <c r="AB293" s="788"/>
      <c r="AC293" s="781"/>
      <c r="AD293" s="780"/>
      <c r="AE293" s="789" t="str">
        <f t="array" ref="AE293:AF293">{"",'S-10 Оформление сделок Выборка'!AF293}</f>
        <v/>
      </c>
      <c r="AF293" s="790"/>
      <c r="AG293" s="781"/>
      <c r="AH293" s="781"/>
      <c r="AI293" s="785"/>
      <c r="AJ293" s="780"/>
      <c r="AK293" s="792" t="str">
        <f t="array" ref="AK293:AL293">{"",'S-10 Оформление сделок Выборка'!AL293}</f>
        <v/>
      </c>
      <c r="AL293" s="793"/>
      <c r="AM293" s="792" t="str">
        <f t="array" ref="AM293:AN293">{"",'S-10 Оформление сделок Выборка'!AN293}</f>
        <v/>
      </c>
      <c r="AN293" s="794"/>
      <c r="AO293" s="792" t="str">
        <f t="array" ref="AO293:AP293">{"",'S-10 Оформление сделок Выборка'!AP293}</f>
        <v/>
      </c>
      <c r="AP293" s="786"/>
      <c r="AQ293" s="786"/>
      <c r="AR293" s="779" t="str">
        <f t="array" ref="AR293:AS293">{"",'S-10 Оформление сделок Выборка'!AS293}</f>
        <v/>
      </c>
      <c r="AS293" s="795"/>
      <c r="AT293" s="779" t="str">
        <f t="array" ref="AT293:AU293">{"",'S-10 Оформление сделок Выборка'!AU293}</f>
        <v/>
      </c>
      <c r="AU293" s="805"/>
      <c r="AV293" s="779" t="str">
        <f t="array" ref="AV293:AW293">{"",'S-10 Оформление сделок Выборка'!AW293}</f>
        <v/>
      </c>
      <c r="AW293" s="797"/>
      <c r="AX293" s="786"/>
      <c r="AY293" s="786"/>
      <c r="AZ293" s="792" t="str">
        <f t="array" ref="AZ293:BA293">{"",'S-10 Оформление сделок Выборка'!BA293}</f>
        <v/>
      </c>
      <c r="BA293" s="798"/>
      <c r="BB293" s="792" t="str">
        <f t="array" ref="BB293:BC293">{"",'S-10 Оформление сделок Выборка'!BC293}</f>
        <v/>
      </c>
      <c r="BC293" s="799"/>
      <c r="BD293" s="792" t="str">
        <f t="array" ref="BD293:BE293">{"",'S-10 Оформление сделок Выборка'!BE293}</f>
        <v/>
      </c>
      <c r="BE293" s="793"/>
      <c r="BF293" s="800" t="str">
        <f t="array" ref="BF293:BG293">{"",'S-10 Оформление сделок Выборка'!BG293}</f>
        <v/>
      </c>
      <c r="BG293" s="794"/>
      <c r="BH293" s="794" t="str">
        <f t="array" ref="BH293:BI293">{"",'S-10 Оформление сделок Выборка'!BI293}</f>
        <v/>
      </c>
      <c r="BI293" s="794"/>
      <c r="BJ293" s="792" t="str">
        <f t="array" ref="BJ293:BK293">{"",'S-10 Оформление сделок Выборка'!BK293}</f>
        <v/>
      </c>
      <c r="BK293" s="793"/>
      <c r="BL293" s="792" t="str">
        <f t="array" ref="BL293:BM293">{"",'S-10 Оформление сделок Выборка'!BM293}</f>
        <v/>
      </c>
      <c r="BM293" s="801"/>
      <c r="BN293" s="792" t="str">
        <f t="array" ref="BN293:BO293">{"",'S-10 Оформление сделок Выборка'!BO293}</f>
        <v/>
      </c>
      <c r="BO293" s="793"/>
      <c r="BP293" s="792" t="str">
        <f t="array" ref="BP293:BQ293">{"",'S-10 Оформление сделок Выборка'!BQ293}</f>
        <v/>
      </c>
      <c r="BQ293" s="802"/>
      <c r="BR293" s="792" t="str">
        <f t="array" ref="BR293:BS293">{"",'S-10 Оформление сделок Выборка'!BS293}</f>
        <v/>
      </c>
      <c r="BS293" s="794"/>
      <c r="BT293" s="800" t="str">
        <f t="array" ref="BT293:BU293">{"",'S-10 Оформление сделок Выборка'!BU293}</f>
        <v/>
      </c>
      <c r="BU293" s="794"/>
      <c r="BV293" s="800" t="str">
        <f t="array" ref="BV293:BW293">{"",'S-10 Оформление сделок Выборка'!BW293}</f>
        <v/>
      </c>
      <c r="BW293" s="803" t="s">
        <v>96</v>
      </c>
      <c r="BX293" s="804"/>
    </row>
    <row r="294">
      <c r="A294" s="779"/>
      <c r="B294" s="779"/>
      <c r="C294" s="780" t="str">
        <f>'5-1 Сбор КП Закупки'!C294</f>
        <v/>
      </c>
      <c r="D294" s="781"/>
      <c r="E294" s="780"/>
      <c r="F294" s="783"/>
      <c r="G294" s="783"/>
      <c r="H294" s="783"/>
      <c r="I294" s="783"/>
      <c r="J294" s="780"/>
      <c r="K294" s="786"/>
      <c r="L294" s="785"/>
      <c r="M294" s="786"/>
      <c r="N294" s="786"/>
      <c r="O294" s="780"/>
      <c r="P294" s="787"/>
      <c r="Q294" s="780"/>
      <c r="R294" s="780"/>
      <c r="S294" s="780"/>
      <c r="T294" s="780"/>
      <c r="U294" s="780"/>
      <c r="V294" s="780"/>
      <c r="W294" s="787"/>
      <c r="X294" s="780"/>
      <c r="Y294" s="780"/>
      <c r="Z294" s="780"/>
      <c r="AA294" s="780"/>
      <c r="AB294" s="788"/>
      <c r="AC294" s="781"/>
      <c r="AD294" s="780"/>
      <c r="AE294" s="789" t="str">
        <f t="array" ref="AE294:AF294">{"",'S-10 Оформление сделок Выборка'!AF294}</f>
        <v/>
      </c>
      <c r="AF294" s="790"/>
      <c r="AG294" s="781"/>
      <c r="AH294" s="781"/>
      <c r="AI294" s="785"/>
      <c r="AJ294" s="780"/>
      <c r="AK294" s="792" t="str">
        <f t="array" ref="AK294:AL294">{"",'S-10 Оформление сделок Выборка'!AL294}</f>
        <v/>
      </c>
      <c r="AL294" s="793"/>
      <c r="AM294" s="792" t="str">
        <f t="array" ref="AM294:AN294">{"",'S-10 Оформление сделок Выборка'!AN294}</f>
        <v/>
      </c>
      <c r="AN294" s="794"/>
      <c r="AO294" s="792" t="str">
        <f t="array" ref="AO294:AP294">{"",'S-10 Оформление сделок Выборка'!AP294}</f>
        <v/>
      </c>
      <c r="AP294" s="786"/>
      <c r="AQ294" s="786"/>
      <c r="AR294" s="779" t="str">
        <f t="array" ref="AR294:AS294">{"",'S-10 Оформление сделок Выборка'!AS294}</f>
        <v/>
      </c>
      <c r="AS294" s="795"/>
      <c r="AT294" s="779" t="str">
        <f t="array" ref="AT294:AU294">{"",'S-10 Оформление сделок Выборка'!AU294}</f>
        <v/>
      </c>
      <c r="AU294" s="805"/>
      <c r="AV294" s="779" t="str">
        <f t="array" ref="AV294:AW294">{"",'S-10 Оформление сделок Выборка'!AW294}</f>
        <v/>
      </c>
      <c r="AW294" s="797"/>
      <c r="AX294" s="786"/>
      <c r="AY294" s="786"/>
      <c r="AZ294" s="792" t="str">
        <f t="array" ref="AZ294:BA294">{"",'S-10 Оформление сделок Выборка'!BA294}</f>
        <v/>
      </c>
      <c r="BA294" s="798"/>
      <c r="BB294" s="792" t="str">
        <f t="array" ref="BB294:BC294">{"",'S-10 Оформление сделок Выборка'!BC294}</f>
        <v/>
      </c>
      <c r="BC294" s="799"/>
      <c r="BD294" s="792" t="str">
        <f t="array" ref="BD294:BE294">{"",'S-10 Оформление сделок Выборка'!BE294}</f>
        <v/>
      </c>
      <c r="BE294" s="793"/>
      <c r="BF294" s="800" t="str">
        <f t="array" ref="BF294:BG294">{"",'S-10 Оформление сделок Выборка'!BG294}</f>
        <v/>
      </c>
      <c r="BG294" s="794"/>
      <c r="BH294" s="794" t="str">
        <f t="array" ref="BH294:BI294">{"",'S-10 Оформление сделок Выборка'!BI294}</f>
        <v/>
      </c>
      <c r="BI294" s="794"/>
      <c r="BJ294" s="792" t="str">
        <f t="array" ref="BJ294:BK294">{"",'S-10 Оформление сделок Выборка'!BK294}</f>
        <v/>
      </c>
      <c r="BK294" s="793"/>
      <c r="BL294" s="792" t="str">
        <f t="array" ref="BL294:BM294">{"",'S-10 Оформление сделок Выборка'!BM294}</f>
        <v/>
      </c>
      <c r="BM294" s="801"/>
      <c r="BN294" s="792" t="str">
        <f t="array" ref="BN294:BO294">{"",'S-10 Оформление сделок Выборка'!BO294}</f>
        <v/>
      </c>
      <c r="BO294" s="793"/>
      <c r="BP294" s="792" t="str">
        <f t="array" ref="BP294:BQ294">{"",'S-10 Оформление сделок Выборка'!BQ294}</f>
        <v/>
      </c>
      <c r="BQ294" s="802"/>
      <c r="BR294" s="792" t="str">
        <f t="array" ref="BR294:BS294">{"",'S-10 Оформление сделок Выборка'!BS294}</f>
        <v/>
      </c>
      <c r="BS294" s="794"/>
      <c r="BT294" s="800" t="str">
        <f t="array" ref="BT294:BU294">{"",'S-10 Оформление сделок Выборка'!BU294}</f>
        <v/>
      </c>
      <c r="BU294" s="794"/>
      <c r="BV294" s="800" t="str">
        <f t="array" ref="BV294:BW294">{"",'S-10 Оформление сделок Выборка'!BW294}</f>
        <v/>
      </c>
      <c r="BW294" s="803" t="s">
        <v>96</v>
      </c>
      <c r="BX294" s="804"/>
    </row>
    <row r="295">
      <c r="A295" s="779"/>
      <c r="B295" s="779"/>
      <c r="C295" s="780" t="str">
        <f>'5-1 Сбор КП Закупки'!C295</f>
        <v/>
      </c>
      <c r="D295" s="781"/>
      <c r="E295" s="780"/>
      <c r="F295" s="783"/>
      <c r="G295" s="783"/>
      <c r="H295" s="783"/>
      <c r="I295" s="783"/>
      <c r="J295" s="780"/>
      <c r="K295" s="786"/>
      <c r="L295" s="785"/>
      <c r="M295" s="786"/>
      <c r="N295" s="786"/>
      <c r="O295" s="780"/>
      <c r="P295" s="787"/>
      <c r="Q295" s="780"/>
      <c r="R295" s="780"/>
      <c r="S295" s="780"/>
      <c r="T295" s="780"/>
      <c r="U295" s="780"/>
      <c r="V295" s="780"/>
      <c r="W295" s="787"/>
      <c r="X295" s="780"/>
      <c r="Y295" s="780"/>
      <c r="Z295" s="780"/>
      <c r="AA295" s="780"/>
      <c r="AB295" s="788"/>
      <c r="AC295" s="781"/>
      <c r="AD295" s="780"/>
      <c r="AE295" s="789" t="str">
        <f t="array" ref="AE295:AF295">{"",'S-10 Оформление сделок Выборка'!AF295}</f>
        <v/>
      </c>
      <c r="AF295" s="790"/>
      <c r="AG295" s="781"/>
      <c r="AH295" s="781"/>
      <c r="AI295" s="785"/>
      <c r="AJ295" s="780"/>
      <c r="AK295" s="792" t="str">
        <f t="array" ref="AK295:AL295">{"",'S-10 Оформление сделок Выборка'!AL295}</f>
        <v/>
      </c>
      <c r="AL295" s="793"/>
      <c r="AM295" s="792" t="str">
        <f t="array" ref="AM295:AN295">{"",'S-10 Оформление сделок Выборка'!AN295}</f>
        <v/>
      </c>
      <c r="AN295" s="794"/>
      <c r="AO295" s="792" t="str">
        <f t="array" ref="AO295:AP295">{"",'S-10 Оформление сделок Выборка'!AP295}</f>
        <v/>
      </c>
      <c r="AP295" s="786"/>
      <c r="AQ295" s="786"/>
      <c r="AR295" s="779" t="str">
        <f t="array" ref="AR295:AS295">{"",'S-10 Оформление сделок Выборка'!AS295}</f>
        <v/>
      </c>
      <c r="AS295" s="795"/>
      <c r="AT295" s="779" t="str">
        <f t="array" ref="AT295:AU295">{"",'S-10 Оформление сделок Выборка'!AU295}</f>
        <v/>
      </c>
      <c r="AU295" s="805"/>
      <c r="AV295" s="779" t="str">
        <f t="array" ref="AV295:AW295">{"",'S-10 Оформление сделок Выборка'!AW295}</f>
        <v/>
      </c>
      <c r="AW295" s="797"/>
      <c r="AX295" s="786"/>
      <c r="AY295" s="786"/>
      <c r="AZ295" s="792" t="str">
        <f t="array" ref="AZ295:BA295">{"",'S-10 Оформление сделок Выборка'!BA295}</f>
        <v/>
      </c>
      <c r="BA295" s="798"/>
      <c r="BB295" s="792" t="str">
        <f t="array" ref="BB295:BC295">{"",'S-10 Оформление сделок Выборка'!BC295}</f>
        <v/>
      </c>
      <c r="BC295" s="799"/>
      <c r="BD295" s="792" t="str">
        <f t="array" ref="BD295:BE295">{"",'S-10 Оформление сделок Выборка'!BE295}</f>
        <v/>
      </c>
      <c r="BE295" s="793"/>
      <c r="BF295" s="800" t="str">
        <f t="array" ref="BF295:BG295">{"",'S-10 Оформление сделок Выборка'!BG295}</f>
        <v/>
      </c>
      <c r="BG295" s="794"/>
      <c r="BH295" s="794" t="str">
        <f t="array" ref="BH295:BI295">{"",'S-10 Оформление сделок Выборка'!BI295}</f>
        <v/>
      </c>
      <c r="BI295" s="794"/>
      <c r="BJ295" s="792" t="str">
        <f t="array" ref="BJ295:BK295">{"",'S-10 Оформление сделок Выборка'!BK295}</f>
        <v/>
      </c>
      <c r="BK295" s="793"/>
      <c r="BL295" s="792" t="str">
        <f t="array" ref="BL295:BM295">{"",'S-10 Оформление сделок Выборка'!BM295}</f>
        <v/>
      </c>
      <c r="BM295" s="801"/>
      <c r="BN295" s="792" t="str">
        <f t="array" ref="BN295:BO295">{"",'S-10 Оформление сделок Выборка'!BO295}</f>
        <v/>
      </c>
      <c r="BO295" s="793"/>
      <c r="BP295" s="792" t="str">
        <f t="array" ref="BP295:BQ295">{"",'S-10 Оформление сделок Выборка'!BQ295}</f>
        <v/>
      </c>
      <c r="BQ295" s="802"/>
      <c r="BR295" s="792" t="str">
        <f t="array" ref="BR295:BS295">{"",'S-10 Оформление сделок Выборка'!BS295}</f>
        <v/>
      </c>
      <c r="BS295" s="794"/>
      <c r="BT295" s="800" t="str">
        <f t="array" ref="BT295:BU295">{"",'S-10 Оформление сделок Выборка'!BU295}</f>
        <v/>
      </c>
      <c r="BU295" s="794"/>
      <c r="BV295" s="800" t="str">
        <f t="array" ref="BV295:BW295">{"",'S-10 Оформление сделок Выборка'!BW295}</f>
        <v/>
      </c>
      <c r="BW295" s="803" t="s">
        <v>96</v>
      </c>
      <c r="BX295" s="804"/>
    </row>
    <row r="296">
      <c r="A296" s="779"/>
      <c r="B296" s="779"/>
      <c r="C296" s="780" t="str">
        <f>'5-1 Сбор КП Закупки'!C296</f>
        <v/>
      </c>
      <c r="D296" s="781"/>
      <c r="E296" s="780"/>
      <c r="F296" s="783"/>
      <c r="G296" s="783"/>
      <c r="H296" s="783"/>
      <c r="I296" s="783"/>
      <c r="J296" s="780"/>
      <c r="K296" s="786"/>
      <c r="L296" s="785"/>
      <c r="M296" s="786"/>
      <c r="N296" s="786"/>
      <c r="O296" s="780"/>
      <c r="P296" s="787"/>
      <c r="Q296" s="780"/>
      <c r="R296" s="780"/>
      <c r="S296" s="780"/>
      <c r="T296" s="780"/>
      <c r="U296" s="780"/>
      <c r="V296" s="780"/>
      <c r="W296" s="787"/>
      <c r="X296" s="780"/>
      <c r="Y296" s="780"/>
      <c r="Z296" s="780"/>
      <c r="AA296" s="780"/>
      <c r="AB296" s="788"/>
      <c r="AC296" s="781"/>
      <c r="AD296" s="780"/>
      <c r="AE296" s="789" t="str">
        <f t="array" ref="AE296:AF296">{"",'S-10 Оформление сделок Выборка'!AF296}</f>
        <v/>
      </c>
      <c r="AF296" s="790"/>
      <c r="AG296" s="781"/>
      <c r="AH296" s="781"/>
      <c r="AI296" s="785"/>
      <c r="AJ296" s="780"/>
      <c r="AK296" s="792" t="str">
        <f t="array" ref="AK296:AL296">{"",'S-10 Оформление сделок Выборка'!AL296}</f>
        <v/>
      </c>
      <c r="AL296" s="793"/>
      <c r="AM296" s="792" t="str">
        <f t="array" ref="AM296:AN296">{"",'S-10 Оформление сделок Выборка'!AN296}</f>
        <v/>
      </c>
      <c r="AN296" s="794"/>
      <c r="AO296" s="792" t="str">
        <f t="array" ref="AO296:AP296">{"",'S-10 Оформление сделок Выборка'!AP296}</f>
        <v/>
      </c>
      <c r="AP296" s="786"/>
      <c r="AQ296" s="786"/>
      <c r="AR296" s="779" t="str">
        <f t="array" ref="AR296:AS296">{"",'S-10 Оформление сделок Выборка'!AS296}</f>
        <v/>
      </c>
      <c r="AS296" s="795"/>
      <c r="AT296" s="779" t="str">
        <f t="array" ref="AT296:AU296">{"",'S-10 Оформление сделок Выборка'!AU296}</f>
        <v/>
      </c>
      <c r="AU296" s="805"/>
      <c r="AV296" s="779" t="str">
        <f t="array" ref="AV296:AW296">{"",'S-10 Оформление сделок Выборка'!AW296}</f>
        <v/>
      </c>
      <c r="AW296" s="797"/>
      <c r="AX296" s="786"/>
      <c r="AY296" s="786"/>
      <c r="AZ296" s="792" t="str">
        <f t="array" ref="AZ296:BA296">{"",'S-10 Оформление сделок Выборка'!BA296}</f>
        <v/>
      </c>
      <c r="BA296" s="798"/>
      <c r="BB296" s="792" t="str">
        <f t="array" ref="BB296:BC296">{"",'S-10 Оформление сделок Выборка'!BC296}</f>
        <v/>
      </c>
      <c r="BC296" s="799"/>
      <c r="BD296" s="792" t="str">
        <f t="array" ref="BD296:BE296">{"",'S-10 Оформление сделок Выборка'!BE296}</f>
        <v/>
      </c>
      <c r="BE296" s="793"/>
      <c r="BF296" s="800" t="str">
        <f t="array" ref="BF296:BG296">{"",'S-10 Оформление сделок Выборка'!BG296}</f>
        <v/>
      </c>
      <c r="BG296" s="794"/>
      <c r="BH296" s="794" t="str">
        <f t="array" ref="BH296:BI296">{"",'S-10 Оформление сделок Выборка'!BI296}</f>
        <v/>
      </c>
      <c r="BI296" s="794"/>
      <c r="BJ296" s="792" t="str">
        <f t="array" ref="BJ296:BK296">{"",'S-10 Оформление сделок Выборка'!BK296}</f>
        <v/>
      </c>
      <c r="BK296" s="793"/>
      <c r="BL296" s="792" t="str">
        <f t="array" ref="BL296:BM296">{"",'S-10 Оформление сделок Выборка'!BM296}</f>
        <v/>
      </c>
      <c r="BM296" s="801"/>
      <c r="BN296" s="792" t="str">
        <f t="array" ref="BN296:BO296">{"",'S-10 Оформление сделок Выборка'!BO296}</f>
        <v/>
      </c>
      <c r="BO296" s="793"/>
      <c r="BP296" s="792" t="str">
        <f t="array" ref="BP296:BQ296">{"",'S-10 Оформление сделок Выборка'!BQ296}</f>
        <v/>
      </c>
      <c r="BQ296" s="802"/>
      <c r="BR296" s="792" t="str">
        <f t="array" ref="BR296:BS296">{"",'S-10 Оформление сделок Выборка'!BS296}</f>
        <v/>
      </c>
      <c r="BS296" s="794"/>
      <c r="BT296" s="800" t="str">
        <f t="array" ref="BT296:BU296">{"",'S-10 Оформление сделок Выборка'!BU296}</f>
        <v/>
      </c>
      <c r="BU296" s="794"/>
      <c r="BV296" s="800" t="str">
        <f t="array" ref="BV296:BW296">{"",'S-10 Оформление сделок Выборка'!BW296}</f>
        <v/>
      </c>
      <c r="BW296" s="803" t="s">
        <v>96</v>
      </c>
      <c r="BX296" s="804"/>
    </row>
    <row r="297">
      <c r="A297" s="779"/>
      <c r="B297" s="779"/>
      <c r="C297" s="780" t="str">
        <f>'5-1 Сбор КП Закупки'!C297</f>
        <v/>
      </c>
      <c r="D297" s="781"/>
      <c r="E297" s="780"/>
      <c r="F297" s="783"/>
      <c r="G297" s="783"/>
      <c r="H297" s="783"/>
      <c r="I297" s="783"/>
      <c r="J297" s="780"/>
      <c r="K297" s="786"/>
      <c r="L297" s="785"/>
      <c r="M297" s="786"/>
      <c r="N297" s="786"/>
      <c r="O297" s="780"/>
      <c r="P297" s="787"/>
      <c r="Q297" s="780"/>
      <c r="R297" s="780"/>
      <c r="S297" s="780"/>
      <c r="T297" s="780"/>
      <c r="U297" s="780"/>
      <c r="V297" s="780"/>
      <c r="W297" s="787"/>
      <c r="X297" s="780"/>
      <c r="Y297" s="780"/>
      <c r="Z297" s="780"/>
      <c r="AA297" s="780"/>
      <c r="AB297" s="788"/>
      <c r="AC297" s="781"/>
      <c r="AD297" s="780"/>
      <c r="AE297" s="789" t="str">
        <f t="array" ref="AE297:AF297">{"",'S-10 Оформление сделок Выборка'!AF297}</f>
        <v/>
      </c>
      <c r="AF297" s="790"/>
      <c r="AG297" s="781"/>
      <c r="AH297" s="781"/>
      <c r="AI297" s="785"/>
      <c r="AJ297" s="780"/>
      <c r="AK297" s="792" t="str">
        <f t="array" ref="AK297:AL297">{"",'S-10 Оформление сделок Выборка'!AL297}</f>
        <v/>
      </c>
      <c r="AL297" s="793"/>
      <c r="AM297" s="792" t="str">
        <f t="array" ref="AM297:AN297">{"",'S-10 Оформление сделок Выборка'!AN297}</f>
        <v/>
      </c>
      <c r="AN297" s="794"/>
      <c r="AO297" s="792" t="str">
        <f t="array" ref="AO297:AP297">{"",'S-10 Оформление сделок Выборка'!AP297}</f>
        <v/>
      </c>
      <c r="AP297" s="786"/>
      <c r="AQ297" s="786"/>
      <c r="AR297" s="779" t="str">
        <f t="array" ref="AR297:AS297">{"",'S-10 Оформление сделок Выборка'!AS297}</f>
        <v/>
      </c>
      <c r="AS297" s="795"/>
      <c r="AT297" s="779" t="str">
        <f t="array" ref="AT297:AU297">{"",'S-10 Оформление сделок Выборка'!AU297}</f>
        <v/>
      </c>
      <c r="AU297" s="805"/>
      <c r="AV297" s="779" t="str">
        <f t="array" ref="AV297:AW297">{"",'S-10 Оформление сделок Выборка'!AW297}</f>
        <v/>
      </c>
      <c r="AW297" s="797"/>
      <c r="AX297" s="786"/>
      <c r="AY297" s="786"/>
      <c r="AZ297" s="792" t="str">
        <f t="array" ref="AZ297:BA297">{"",'S-10 Оформление сделок Выборка'!BA297}</f>
        <v/>
      </c>
      <c r="BA297" s="798"/>
      <c r="BB297" s="792" t="str">
        <f t="array" ref="BB297:BC297">{"",'S-10 Оформление сделок Выборка'!BC297}</f>
        <v/>
      </c>
      <c r="BC297" s="799"/>
      <c r="BD297" s="792" t="str">
        <f t="array" ref="BD297:BE297">{"",'S-10 Оформление сделок Выборка'!BE297}</f>
        <v/>
      </c>
      <c r="BE297" s="793"/>
      <c r="BF297" s="800" t="str">
        <f t="array" ref="BF297:BG297">{"",'S-10 Оформление сделок Выборка'!BG297}</f>
        <v/>
      </c>
      <c r="BG297" s="794"/>
      <c r="BH297" s="794" t="str">
        <f t="array" ref="BH297:BI297">{"",'S-10 Оформление сделок Выборка'!BI297}</f>
        <v/>
      </c>
      <c r="BI297" s="794"/>
      <c r="BJ297" s="792" t="str">
        <f t="array" ref="BJ297:BK297">{"",'S-10 Оформление сделок Выборка'!BK297}</f>
        <v/>
      </c>
      <c r="BK297" s="793"/>
      <c r="BL297" s="792" t="str">
        <f t="array" ref="BL297:BM297">{"",'S-10 Оформление сделок Выборка'!BM297}</f>
        <v/>
      </c>
      <c r="BM297" s="801"/>
      <c r="BN297" s="792" t="str">
        <f t="array" ref="BN297:BO297">{"",'S-10 Оформление сделок Выборка'!BO297}</f>
        <v/>
      </c>
      <c r="BO297" s="793"/>
      <c r="BP297" s="792" t="str">
        <f t="array" ref="BP297:BQ297">{"",'S-10 Оформление сделок Выборка'!BQ297}</f>
        <v/>
      </c>
      <c r="BQ297" s="802"/>
      <c r="BR297" s="792" t="str">
        <f t="array" ref="BR297:BS297">{"",'S-10 Оформление сделок Выборка'!BS297}</f>
        <v/>
      </c>
      <c r="BS297" s="794"/>
      <c r="BT297" s="800" t="str">
        <f t="array" ref="BT297:BU297">{"",'S-10 Оформление сделок Выборка'!BU297}</f>
        <v/>
      </c>
      <c r="BU297" s="794"/>
      <c r="BV297" s="800" t="str">
        <f t="array" ref="BV297:BW297">{"",'S-10 Оформление сделок Выборка'!BW297}</f>
        <v/>
      </c>
      <c r="BW297" s="803" t="s">
        <v>96</v>
      </c>
      <c r="BX297" s="804"/>
    </row>
    <row r="298">
      <c r="A298" s="779"/>
      <c r="B298" s="779"/>
      <c r="C298" s="780" t="str">
        <f>'5-1 Сбор КП Закупки'!C298</f>
        <v/>
      </c>
      <c r="D298" s="781"/>
      <c r="E298" s="780"/>
      <c r="F298" s="783"/>
      <c r="G298" s="783"/>
      <c r="H298" s="783"/>
      <c r="I298" s="783"/>
      <c r="J298" s="780"/>
      <c r="K298" s="786"/>
      <c r="L298" s="785"/>
      <c r="M298" s="786"/>
      <c r="N298" s="786"/>
      <c r="O298" s="780"/>
      <c r="P298" s="787"/>
      <c r="Q298" s="780"/>
      <c r="R298" s="780"/>
      <c r="S298" s="780"/>
      <c r="T298" s="780"/>
      <c r="U298" s="780"/>
      <c r="V298" s="780"/>
      <c r="W298" s="787"/>
      <c r="X298" s="780"/>
      <c r="Y298" s="780"/>
      <c r="Z298" s="780"/>
      <c r="AA298" s="780"/>
      <c r="AB298" s="788"/>
      <c r="AC298" s="781"/>
      <c r="AD298" s="780"/>
      <c r="AE298" s="789" t="str">
        <f t="array" ref="AE298:AF298">{"",'S-10 Оформление сделок Выборка'!AF298}</f>
        <v/>
      </c>
      <c r="AF298" s="790"/>
      <c r="AG298" s="781"/>
      <c r="AH298" s="781"/>
      <c r="AI298" s="785"/>
      <c r="AJ298" s="780"/>
      <c r="AK298" s="792" t="str">
        <f t="array" ref="AK298:AL298">{"",'S-10 Оформление сделок Выборка'!AL298}</f>
        <v/>
      </c>
      <c r="AL298" s="793"/>
      <c r="AM298" s="792" t="str">
        <f t="array" ref="AM298:AN298">{"",'S-10 Оформление сделок Выборка'!AN298}</f>
        <v/>
      </c>
      <c r="AN298" s="794"/>
      <c r="AO298" s="792" t="str">
        <f t="array" ref="AO298:AP298">{"",'S-10 Оформление сделок Выборка'!AP298}</f>
        <v/>
      </c>
      <c r="AP298" s="786"/>
      <c r="AQ298" s="786"/>
      <c r="AR298" s="779" t="str">
        <f t="array" ref="AR298:AS298">{"",'S-10 Оформление сделок Выборка'!AS298}</f>
        <v/>
      </c>
      <c r="AS298" s="795"/>
      <c r="AT298" s="779" t="str">
        <f t="array" ref="AT298:AU298">{"",'S-10 Оформление сделок Выборка'!AU298}</f>
        <v/>
      </c>
      <c r="AU298" s="805"/>
      <c r="AV298" s="779" t="str">
        <f t="array" ref="AV298:AW298">{"",'S-10 Оформление сделок Выборка'!AW298}</f>
        <v/>
      </c>
      <c r="AW298" s="797"/>
      <c r="AX298" s="786"/>
      <c r="AY298" s="786"/>
      <c r="AZ298" s="792" t="str">
        <f t="array" ref="AZ298:BA298">{"",'S-10 Оформление сделок Выборка'!BA298}</f>
        <v/>
      </c>
      <c r="BA298" s="798"/>
      <c r="BB298" s="792" t="str">
        <f t="array" ref="BB298:BC298">{"",'S-10 Оформление сделок Выборка'!BC298}</f>
        <v/>
      </c>
      <c r="BC298" s="799"/>
      <c r="BD298" s="792" t="str">
        <f t="array" ref="BD298:BE298">{"",'S-10 Оформление сделок Выборка'!BE298}</f>
        <v/>
      </c>
      <c r="BE298" s="793"/>
      <c r="BF298" s="800" t="str">
        <f t="array" ref="BF298:BG298">{"",'S-10 Оформление сделок Выборка'!BG298}</f>
        <v/>
      </c>
      <c r="BG298" s="794"/>
      <c r="BH298" s="794" t="str">
        <f t="array" ref="BH298:BI298">{"",'S-10 Оформление сделок Выборка'!BI298}</f>
        <v/>
      </c>
      <c r="BI298" s="794"/>
      <c r="BJ298" s="792" t="str">
        <f t="array" ref="BJ298:BK298">{"",'S-10 Оформление сделок Выборка'!BK298}</f>
        <v/>
      </c>
      <c r="BK298" s="793"/>
      <c r="BL298" s="792" t="str">
        <f t="array" ref="BL298:BM298">{"",'S-10 Оформление сделок Выборка'!BM298}</f>
        <v/>
      </c>
      <c r="BM298" s="801"/>
      <c r="BN298" s="792" t="str">
        <f t="array" ref="BN298:BO298">{"",'S-10 Оформление сделок Выборка'!BO298}</f>
        <v/>
      </c>
      <c r="BO298" s="793"/>
      <c r="BP298" s="792" t="str">
        <f t="array" ref="BP298:BQ298">{"",'S-10 Оформление сделок Выборка'!BQ298}</f>
        <v/>
      </c>
      <c r="BQ298" s="802"/>
      <c r="BR298" s="792" t="str">
        <f t="array" ref="BR298:BS298">{"",'S-10 Оформление сделок Выборка'!BS298}</f>
        <v/>
      </c>
      <c r="BS298" s="794"/>
      <c r="BT298" s="800" t="str">
        <f t="array" ref="BT298:BU298">{"",'S-10 Оформление сделок Выборка'!BU298}</f>
        <v/>
      </c>
      <c r="BU298" s="794"/>
      <c r="BV298" s="800" t="str">
        <f t="array" ref="BV298:BW298">{"",'S-10 Оформление сделок Выборка'!BW298}</f>
        <v/>
      </c>
      <c r="BW298" s="803" t="s">
        <v>96</v>
      </c>
      <c r="BX298" s="804"/>
    </row>
    <row r="299">
      <c r="A299" s="779"/>
      <c r="B299" s="779"/>
      <c r="C299" s="780" t="str">
        <f>'5-1 Сбор КП Закупки'!C299</f>
        <v/>
      </c>
      <c r="D299" s="781"/>
      <c r="E299" s="780"/>
      <c r="F299" s="783"/>
      <c r="G299" s="783"/>
      <c r="H299" s="783"/>
      <c r="I299" s="783"/>
      <c r="J299" s="780"/>
      <c r="K299" s="786"/>
      <c r="L299" s="785"/>
      <c r="M299" s="786"/>
      <c r="N299" s="786"/>
      <c r="O299" s="780"/>
      <c r="P299" s="787"/>
      <c r="Q299" s="780"/>
      <c r="R299" s="780"/>
      <c r="S299" s="780"/>
      <c r="T299" s="780"/>
      <c r="U299" s="780"/>
      <c r="V299" s="780"/>
      <c r="W299" s="787"/>
      <c r="X299" s="780"/>
      <c r="Y299" s="780"/>
      <c r="Z299" s="780"/>
      <c r="AA299" s="780"/>
      <c r="AB299" s="788"/>
      <c r="AC299" s="781"/>
      <c r="AD299" s="780"/>
      <c r="AE299" s="789" t="str">
        <f t="array" ref="AE299:AF299">{"",'S-10 Оформление сделок Выборка'!AF299}</f>
        <v/>
      </c>
      <c r="AF299" s="790"/>
      <c r="AG299" s="781"/>
      <c r="AH299" s="781"/>
      <c r="AI299" s="785"/>
      <c r="AJ299" s="780"/>
      <c r="AK299" s="792" t="str">
        <f t="array" ref="AK299:AL299">{"",'S-10 Оформление сделок Выборка'!AL299}</f>
        <v/>
      </c>
      <c r="AL299" s="793"/>
      <c r="AM299" s="792" t="str">
        <f t="array" ref="AM299:AN299">{"",'S-10 Оформление сделок Выборка'!AN299}</f>
        <v/>
      </c>
      <c r="AN299" s="794"/>
      <c r="AO299" s="792" t="str">
        <f t="array" ref="AO299:AP299">{"",'S-10 Оформление сделок Выборка'!AP299}</f>
        <v/>
      </c>
      <c r="AP299" s="786"/>
      <c r="AQ299" s="786"/>
      <c r="AR299" s="779" t="str">
        <f t="array" ref="AR299:AS299">{"",'S-10 Оформление сделок Выборка'!AS299}</f>
        <v/>
      </c>
      <c r="AS299" s="795"/>
      <c r="AT299" s="779" t="str">
        <f t="array" ref="AT299:AU299">{"",'S-10 Оформление сделок Выборка'!AU299}</f>
        <v/>
      </c>
      <c r="AU299" s="805"/>
      <c r="AV299" s="779" t="str">
        <f t="array" ref="AV299:AW299">{"",'S-10 Оформление сделок Выборка'!AW299}</f>
        <v/>
      </c>
      <c r="AW299" s="797"/>
      <c r="AX299" s="786"/>
      <c r="AY299" s="786"/>
      <c r="AZ299" s="792" t="str">
        <f t="array" ref="AZ299:BA299">{"",'S-10 Оформление сделок Выборка'!BA299}</f>
        <v/>
      </c>
      <c r="BA299" s="798"/>
      <c r="BB299" s="792" t="str">
        <f t="array" ref="BB299:BC299">{"",'S-10 Оформление сделок Выборка'!BC299}</f>
        <v/>
      </c>
      <c r="BC299" s="799"/>
      <c r="BD299" s="792" t="str">
        <f t="array" ref="BD299:BE299">{"",'S-10 Оформление сделок Выборка'!BE299}</f>
        <v/>
      </c>
      <c r="BE299" s="793"/>
      <c r="BF299" s="800" t="str">
        <f t="array" ref="BF299:BG299">{"",'S-10 Оформление сделок Выборка'!BG299}</f>
        <v/>
      </c>
      <c r="BG299" s="794"/>
      <c r="BH299" s="794" t="str">
        <f t="array" ref="BH299:BI299">{"",'S-10 Оформление сделок Выборка'!BI299}</f>
        <v/>
      </c>
      <c r="BI299" s="794"/>
      <c r="BJ299" s="792" t="str">
        <f t="array" ref="BJ299:BK299">{"",'S-10 Оформление сделок Выборка'!BK299}</f>
        <v/>
      </c>
      <c r="BK299" s="793"/>
      <c r="BL299" s="792" t="str">
        <f t="array" ref="BL299:BM299">{"",'S-10 Оформление сделок Выборка'!BM299}</f>
        <v/>
      </c>
      <c r="BM299" s="801"/>
      <c r="BN299" s="792" t="str">
        <f t="array" ref="BN299:BO299">{"",'S-10 Оформление сделок Выборка'!BO299}</f>
        <v/>
      </c>
      <c r="BO299" s="793"/>
      <c r="BP299" s="792" t="str">
        <f t="array" ref="BP299:BQ299">{"",'S-10 Оформление сделок Выборка'!BQ299}</f>
        <v/>
      </c>
      <c r="BQ299" s="802"/>
      <c r="BR299" s="792" t="str">
        <f t="array" ref="BR299:BS299">{"",'S-10 Оформление сделок Выборка'!BS299}</f>
        <v/>
      </c>
      <c r="BS299" s="794"/>
      <c r="BT299" s="800" t="str">
        <f t="array" ref="BT299:BU299">{"",'S-10 Оформление сделок Выборка'!BU299}</f>
        <v/>
      </c>
      <c r="BU299" s="794"/>
      <c r="BV299" s="800" t="str">
        <f t="array" ref="BV299:BW299">{"",'S-10 Оформление сделок Выборка'!BW299}</f>
        <v/>
      </c>
      <c r="BW299" s="803" t="s">
        <v>96</v>
      </c>
      <c r="BX299" s="804"/>
    </row>
    <row r="300">
      <c r="A300" s="779"/>
      <c r="B300" s="779"/>
      <c r="C300" s="780" t="str">
        <f>'5-1 Сбор КП Закупки'!C300</f>
        <v/>
      </c>
      <c r="D300" s="781"/>
      <c r="E300" s="780"/>
      <c r="F300" s="783"/>
      <c r="G300" s="783"/>
      <c r="H300" s="783"/>
      <c r="I300" s="783"/>
      <c r="J300" s="780"/>
      <c r="K300" s="786"/>
      <c r="L300" s="785"/>
      <c r="M300" s="786"/>
      <c r="N300" s="786"/>
      <c r="O300" s="780"/>
      <c r="P300" s="787"/>
      <c r="Q300" s="780"/>
      <c r="R300" s="780"/>
      <c r="S300" s="780"/>
      <c r="T300" s="780"/>
      <c r="U300" s="780"/>
      <c r="V300" s="780"/>
      <c r="W300" s="787"/>
      <c r="X300" s="780"/>
      <c r="Y300" s="780"/>
      <c r="Z300" s="780"/>
      <c r="AA300" s="780"/>
      <c r="AB300" s="788"/>
      <c r="AC300" s="781"/>
      <c r="AD300" s="780"/>
      <c r="AE300" s="789" t="str">
        <f t="array" ref="AE300:AF300">{"",'S-10 Оформление сделок Выборка'!AF300}</f>
        <v/>
      </c>
      <c r="AF300" s="790"/>
      <c r="AG300" s="781"/>
      <c r="AH300" s="781"/>
      <c r="AI300" s="785"/>
      <c r="AJ300" s="780"/>
      <c r="AK300" s="792" t="str">
        <f t="array" ref="AK300:AL300">{"",'S-10 Оформление сделок Выборка'!AL300}</f>
        <v/>
      </c>
      <c r="AL300" s="793"/>
      <c r="AM300" s="792" t="str">
        <f t="array" ref="AM300:AN300">{"",'S-10 Оформление сделок Выборка'!AN300}</f>
        <v/>
      </c>
      <c r="AN300" s="794"/>
      <c r="AO300" s="792" t="str">
        <f t="array" ref="AO300:AP300">{"",'S-10 Оформление сделок Выборка'!AP300}</f>
        <v/>
      </c>
      <c r="AP300" s="786"/>
      <c r="AQ300" s="786"/>
      <c r="AR300" s="779" t="str">
        <f t="array" ref="AR300:AS300">{"",'S-10 Оформление сделок Выборка'!AS300}</f>
        <v/>
      </c>
      <c r="AS300" s="795"/>
      <c r="AT300" s="779" t="str">
        <f t="array" ref="AT300:AU300">{"",'S-10 Оформление сделок Выборка'!AU300}</f>
        <v/>
      </c>
      <c r="AU300" s="805"/>
      <c r="AV300" s="779" t="str">
        <f t="array" ref="AV300:AW300">{"",'S-10 Оформление сделок Выборка'!AW300}</f>
        <v/>
      </c>
      <c r="AW300" s="797"/>
      <c r="AX300" s="786"/>
      <c r="AY300" s="786"/>
      <c r="AZ300" s="792" t="str">
        <f t="array" ref="AZ300:BA300">{"",'S-10 Оформление сделок Выборка'!BA300}</f>
        <v/>
      </c>
      <c r="BA300" s="798"/>
      <c r="BB300" s="792" t="str">
        <f t="array" ref="BB300:BC300">{"",'S-10 Оформление сделок Выборка'!BC300}</f>
        <v/>
      </c>
      <c r="BC300" s="799"/>
      <c r="BD300" s="792" t="str">
        <f t="array" ref="BD300:BE300">{"",'S-10 Оформление сделок Выборка'!BE300}</f>
        <v/>
      </c>
      <c r="BE300" s="793"/>
      <c r="BF300" s="800" t="str">
        <f t="array" ref="BF300:BG300">{"",'S-10 Оформление сделок Выборка'!BG300}</f>
        <v/>
      </c>
      <c r="BG300" s="794"/>
      <c r="BH300" s="794" t="str">
        <f t="array" ref="BH300:BI300">{"",'S-10 Оформление сделок Выборка'!BI300}</f>
        <v/>
      </c>
      <c r="BI300" s="794"/>
      <c r="BJ300" s="792" t="str">
        <f t="array" ref="BJ300:BK300">{"",'S-10 Оформление сделок Выборка'!BK300}</f>
        <v/>
      </c>
      <c r="BK300" s="793"/>
      <c r="BL300" s="792" t="str">
        <f t="array" ref="BL300:BM300">{"",'S-10 Оформление сделок Выборка'!BM300}</f>
        <v/>
      </c>
      <c r="BM300" s="801"/>
      <c r="BN300" s="792" t="str">
        <f t="array" ref="BN300:BO300">{"",'S-10 Оформление сделок Выборка'!BO300}</f>
        <v/>
      </c>
      <c r="BO300" s="793"/>
      <c r="BP300" s="792" t="str">
        <f t="array" ref="BP300:BQ300">{"",'S-10 Оформление сделок Выборка'!BQ300}</f>
        <v/>
      </c>
      <c r="BQ300" s="802"/>
      <c r="BR300" s="792" t="str">
        <f t="array" ref="BR300:BS300">{"",'S-10 Оформление сделок Выборка'!BS300}</f>
        <v/>
      </c>
      <c r="BS300" s="794"/>
      <c r="BT300" s="800" t="str">
        <f t="array" ref="BT300:BU300">{"",'S-10 Оформление сделок Выборка'!BU300}</f>
        <v/>
      </c>
      <c r="BU300" s="794"/>
      <c r="BV300" s="800" t="str">
        <f t="array" ref="BV300:BW300">{"",'S-10 Оформление сделок Выборка'!BW300}</f>
        <v/>
      </c>
      <c r="BW300" s="1174" t="s">
        <v>96</v>
      </c>
      <c r="BX300" s="804"/>
    </row>
    <row r="301">
      <c r="A301" s="779"/>
      <c r="B301" s="779"/>
      <c r="C301" s="780" t="str">
        <f>'5-1 Сбор КП Закупки'!C301</f>
        <v/>
      </c>
      <c r="D301" s="781"/>
      <c r="E301" s="780"/>
      <c r="F301" s="783"/>
      <c r="G301" s="783"/>
      <c r="H301" s="783"/>
      <c r="I301" s="783"/>
      <c r="J301" s="780"/>
      <c r="K301" s="786"/>
      <c r="L301" s="785"/>
      <c r="M301" s="786"/>
      <c r="N301" s="786"/>
      <c r="O301" s="780"/>
      <c r="P301" s="787"/>
      <c r="Q301" s="780"/>
      <c r="R301" s="780"/>
      <c r="S301" s="780"/>
      <c r="T301" s="780"/>
      <c r="U301" s="780"/>
      <c r="V301" s="780"/>
      <c r="W301" s="787"/>
      <c r="X301" s="780"/>
      <c r="Y301" s="780"/>
      <c r="Z301" s="780"/>
      <c r="AA301" s="780"/>
      <c r="AB301" s="788"/>
      <c r="AC301" s="781"/>
      <c r="AD301" s="780"/>
      <c r="AE301" s="789" t="str">
        <f t="array" ref="AE301:AF301">{"",'S-10 Оформление сделок Выборка'!AF301}</f>
        <v/>
      </c>
      <c r="AF301" s="790"/>
      <c r="AG301" s="781"/>
      <c r="AH301" s="781"/>
      <c r="AI301" s="785"/>
      <c r="AJ301" s="780"/>
      <c r="AK301" s="792" t="str">
        <f t="array" ref="AK301:AL301">{"",'S-10 Оформление сделок Выборка'!AL301}</f>
        <v/>
      </c>
      <c r="AL301" s="793"/>
      <c r="AM301" s="792" t="str">
        <f t="array" ref="AM301:AN301">{"",'S-10 Оформление сделок Выборка'!AN301}</f>
        <v/>
      </c>
      <c r="AN301" s="794"/>
      <c r="AO301" s="792" t="str">
        <f t="array" ref="AO301:AP301">{"",'S-10 Оформление сделок Выборка'!AP301}</f>
        <v/>
      </c>
      <c r="AP301" s="786"/>
      <c r="AQ301" s="786"/>
      <c r="AR301" s="779" t="str">
        <f t="array" ref="AR301:AS301">{"",'S-10 Оформление сделок Выборка'!AS301}</f>
        <v/>
      </c>
      <c r="AS301" s="795"/>
      <c r="AT301" s="779" t="str">
        <f t="array" ref="AT301:AU301">{"",'S-10 Оформление сделок Выборка'!AU301}</f>
        <v/>
      </c>
      <c r="AU301" s="805"/>
      <c r="AV301" s="779" t="str">
        <f t="array" ref="AV301:AW301">{"",'S-10 Оформление сделок Выборка'!AW301}</f>
        <v/>
      </c>
      <c r="AW301" s="797"/>
      <c r="AX301" s="786"/>
      <c r="AY301" s="786"/>
      <c r="AZ301" s="792" t="str">
        <f t="array" ref="AZ301:BA301">{"",'S-10 Оформление сделок Выборка'!BA301}</f>
        <v/>
      </c>
      <c r="BA301" s="798"/>
      <c r="BB301" s="792" t="str">
        <f t="array" ref="BB301:BC301">{"",'S-10 Оформление сделок Выборка'!BC301}</f>
        <v/>
      </c>
      <c r="BC301" s="799"/>
      <c r="BD301" s="792" t="str">
        <f t="array" ref="BD301:BE301">{"",'S-10 Оформление сделок Выборка'!BE301}</f>
        <v/>
      </c>
      <c r="BE301" s="793"/>
      <c r="BF301" s="800" t="str">
        <f t="array" ref="BF301:BG301">{"",'S-10 Оформление сделок Выборка'!BG301}</f>
        <v/>
      </c>
      <c r="BG301" s="794"/>
      <c r="BH301" s="794" t="str">
        <f t="array" ref="BH301:BI301">{"",'S-10 Оформление сделок Выборка'!BI301}</f>
        <v/>
      </c>
      <c r="BI301" s="794"/>
      <c r="BJ301" s="792" t="str">
        <f t="array" ref="BJ301:BK301">{"",'S-10 Оформление сделок Выборка'!BK301}</f>
        <v/>
      </c>
      <c r="BK301" s="793"/>
      <c r="BL301" s="792" t="str">
        <f t="array" ref="BL301:BM301">{"",'S-10 Оформление сделок Выборка'!BM301}</f>
        <v/>
      </c>
      <c r="BM301" s="801"/>
      <c r="BN301" s="792" t="str">
        <f t="array" ref="BN301:BO301">{"",'S-10 Оформление сделок Выборка'!BO301}</f>
        <v/>
      </c>
      <c r="BO301" s="793"/>
      <c r="BP301" s="792" t="str">
        <f t="array" ref="BP301:BQ301">{"",'S-10 Оформление сделок Выборка'!BQ301}</f>
        <v/>
      </c>
      <c r="BQ301" s="802"/>
      <c r="BR301" s="792" t="str">
        <f t="array" ref="BR301:BS301">{"",'S-10 Оформление сделок Выборка'!BS301}</f>
        <v/>
      </c>
      <c r="BS301" s="794"/>
      <c r="BT301" s="800" t="str">
        <f t="array" ref="BT301:BU301">{"",'S-10 Оформление сделок Выборка'!BU301}</f>
        <v/>
      </c>
      <c r="BU301" s="794"/>
      <c r="BV301" s="800" t="str">
        <f t="array" ref="BV301:BW301">{"",'S-10 Оформление сделок Выборка'!BW301}</f>
        <v/>
      </c>
      <c r="BW301" s="803" t="s">
        <v>96</v>
      </c>
      <c r="BX301" s="804"/>
    </row>
    <row r="302">
      <c r="A302" s="779"/>
      <c r="B302" s="779"/>
      <c r="C302" s="780" t="str">
        <f>'5-1 Сбор КП Закупки'!C302</f>
        <v/>
      </c>
      <c r="D302" s="781"/>
      <c r="E302" s="780"/>
      <c r="F302" s="783"/>
      <c r="G302" s="783"/>
      <c r="H302" s="783"/>
      <c r="I302" s="783"/>
      <c r="J302" s="780"/>
      <c r="K302" s="786"/>
      <c r="L302" s="785"/>
      <c r="M302" s="786"/>
      <c r="N302" s="786"/>
      <c r="O302" s="780"/>
      <c r="P302" s="787"/>
      <c r="Q302" s="780"/>
      <c r="R302" s="780"/>
      <c r="S302" s="780"/>
      <c r="T302" s="780"/>
      <c r="U302" s="780"/>
      <c r="V302" s="780"/>
      <c r="W302" s="787"/>
      <c r="X302" s="780"/>
      <c r="Y302" s="780"/>
      <c r="Z302" s="780"/>
      <c r="AA302" s="780"/>
      <c r="AB302" s="788"/>
      <c r="AC302" s="781"/>
      <c r="AD302" s="780"/>
      <c r="AE302" s="789" t="str">
        <f t="array" ref="AE302:AF302">{"",'S-10 Оформление сделок Выборка'!AF302}</f>
        <v/>
      </c>
      <c r="AF302" s="790"/>
      <c r="AG302" s="781"/>
      <c r="AH302" s="781"/>
      <c r="AI302" s="785"/>
      <c r="AJ302" s="780"/>
      <c r="AK302" s="792" t="str">
        <f t="array" ref="AK302:AL302">{"",'S-10 Оформление сделок Выборка'!AL302}</f>
        <v/>
      </c>
      <c r="AL302" s="793"/>
      <c r="AM302" s="792" t="str">
        <f t="array" ref="AM302:AN302">{"",'S-10 Оформление сделок Выборка'!AN302}</f>
        <v/>
      </c>
      <c r="AN302" s="794"/>
      <c r="AO302" s="792" t="str">
        <f t="array" ref="AO302:AP302">{"",'S-10 Оформление сделок Выборка'!AP302}</f>
        <v/>
      </c>
      <c r="AP302" s="786"/>
      <c r="AQ302" s="786"/>
      <c r="AR302" s="779" t="str">
        <f t="array" ref="AR302:AS302">{"",'S-10 Оформление сделок Выборка'!AS302}</f>
        <v/>
      </c>
      <c r="AS302" s="795"/>
      <c r="AT302" s="779" t="str">
        <f t="array" ref="AT302:AU302">{"",'S-10 Оформление сделок Выборка'!AU302}</f>
        <v/>
      </c>
      <c r="AU302" s="805"/>
      <c r="AV302" s="779" t="str">
        <f t="array" ref="AV302:AW302">{"",'S-10 Оформление сделок Выборка'!AW302}</f>
        <v/>
      </c>
      <c r="AW302" s="797"/>
      <c r="AX302" s="786"/>
      <c r="AY302" s="786"/>
      <c r="AZ302" s="792" t="str">
        <f t="array" ref="AZ302:BA302">{"",'S-10 Оформление сделок Выборка'!BA302}</f>
        <v/>
      </c>
      <c r="BA302" s="798"/>
      <c r="BB302" s="792" t="str">
        <f t="array" ref="BB302:BC302">{"",'S-10 Оформление сделок Выборка'!BC302}</f>
        <v/>
      </c>
      <c r="BC302" s="799"/>
      <c r="BD302" s="792" t="str">
        <f t="array" ref="BD302:BE302">{"",'S-10 Оформление сделок Выборка'!BE302}</f>
        <v/>
      </c>
      <c r="BE302" s="793"/>
      <c r="BF302" s="800" t="str">
        <f t="array" ref="BF302:BG302">{"",'S-10 Оформление сделок Выборка'!BG302}</f>
        <v/>
      </c>
      <c r="BG302" s="794"/>
      <c r="BH302" s="794" t="str">
        <f t="array" ref="BH302:BI302">{"",'S-10 Оформление сделок Выборка'!BI302}</f>
        <v/>
      </c>
      <c r="BI302" s="794"/>
      <c r="BJ302" s="792" t="str">
        <f t="array" ref="BJ302:BK302">{"",'S-10 Оформление сделок Выборка'!BK302}</f>
        <v/>
      </c>
      <c r="BK302" s="793"/>
      <c r="BL302" s="792" t="str">
        <f t="array" ref="BL302:BM302">{"",'S-10 Оформление сделок Выборка'!BM302}</f>
        <v/>
      </c>
      <c r="BM302" s="801"/>
      <c r="BN302" s="792" t="str">
        <f t="array" ref="BN302:BO302">{"",'S-10 Оформление сделок Выборка'!BO302}</f>
        <v/>
      </c>
      <c r="BO302" s="793"/>
      <c r="BP302" s="792" t="str">
        <f t="array" ref="BP302:BQ302">{"",'S-10 Оформление сделок Выборка'!BQ302}</f>
        <v/>
      </c>
      <c r="BQ302" s="802"/>
      <c r="BR302" s="792" t="str">
        <f t="array" ref="BR302:BS302">{"",'S-10 Оформление сделок Выборка'!BS302}</f>
        <v/>
      </c>
      <c r="BS302" s="794"/>
      <c r="BT302" s="800" t="str">
        <f t="array" ref="BT302:BU302">{"",'S-10 Оформление сделок Выборка'!BU302}</f>
        <v/>
      </c>
      <c r="BU302" s="794"/>
      <c r="BV302" s="800" t="str">
        <f t="array" ref="BV302:BW302">{"",'S-10 Оформление сделок Выборка'!BW302}</f>
        <v/>
      </c>
      <c r="BW302" s="803" t="s">
        <v>96</v>
      </c>
      <c r="BX302" s="804"/>
    </row>
    <row r="303">
      <c r="A303" s="779"/>
      <c r="B303" s="779"/>
      <c r="C303" s="780" t="str">
        <f>'5-1 Сбор КП Закупки'!C303</f>
        <v/>
      </c>
      <c r="D303" s="781"/>
      <c r="E303" s="780"/>
      <c r="F303" s="783"/>
      <c r="G303" s="783"/>
      <c r="H303" s="783"/>
      <c r="I303" s="783"/>
      <c r="J303" s="780"/>
      <c r="K303" s="786"/>
      <c r="L303" s="785"/>
      <c r="M303" s="786"/>
      <c r="N303" s="786"/>
      <c r="O303" s="780"/>
      <c r="P303" s="787"/>
      <c r="Q303" s="780"/>
      <c r="R303" s="780"/>
      <c r="S303" s="780"/>
      <c r="T303" s="780"/>
      <c r="U303" s="780"/>
      <c r="V303" s="780"/>
      <c r="W303" s="787"/>
      <c r="X303" s="780"/>
      <c r="Y303" s="780"/>
      <c r="Z303" s="780"/>
      <c r="AA303" s="780"/>
      <c r="AB303" s="788"/>
      <c r="AC303" s="781"/>
      <c r="AD303" s="780"/>
      <c r="AE303" s="789" t="str">
        <f t="array" ref="AE303:AF303">{"",'S-10 Оформление сделок Выборка'!AF303}</f>
        <v/>
      </c>
      <c r="AF303" s="790"/>
      <c r="AG303" s="781"/>
      <c r="AH303" s="781"/>
      <c r="AI303" s="785"/>
      <c r="AJ303" s="780"/>
      <c r="AK303" s="792" t="str">
        <f t="array" ref="AK303:AL303">{"",'S-10 Оформление сделок Выборка'!AL303}</f>
        <v/>
      </c>
      <c r="AL303" s="793"/>
      <c r="AM303" s="792" t="str">
        <f t="array" ref="AM303:AN303">{"",'S-10 Оформление сделок Выборка'!AN303}</f>
        <v/>
      </c>
      <c r="AN303" s="794"/>
      <c r="AO303" s="792" t="str">
        <f t="array" ref="AO303:AP303">{"",'S-10 Оформление сделок Выборка'!AP303}</f>
        <v/>
      </c>
      <c r="AP303" s="786"/>
      <c r="AQ303" s="786"/>
      <c r="AR303" s="779" t="str">
        <f t="array" ref="AR303:AS303">{"",'S-10 Оформление сделок Выборка'!AS303}</f>
        <v/>
      </c>
      <c r="AS303" s="795"/>
      <c r="AT303" s="779" t="str">
        <f t="array" ref="AT303:AU303">{"",'S-10 Оформление сделок Выборка'!AU303}</f>
        <v/>
      </c>
      <c r="AU303" s="805"/>
      <c r="AV303" s="779" t="str">
        <f t="array" ref="AV303:AW303">{"",'S-10 Оформление сделок Выборка'!AW303}</f>
        <v/>
      </c>
      <c r="AW303" s="797"/>
      <c r="AX303" s="786"/>
      <c r="AY303" s="786"/>
      <c r="AZ303" s="792" t="str">
        <f t="array" ref="AZ303:BA303">{"",'S-10 Оформление сделок Выборка'!BA303}</f>
        <v/>
      </c>
      <c r="BA303" s="798"/>
      <c r="BB303" s="792" t="str">
        <f t="array" ref="BB303:BC303">{"",'S-10 Оформление сделок Выборка'!BC303}</f>
        <v/>
      </c>
      <c r="BC303" s="799"/>
      <c r="BD303" s="792" t="str">
        <f t="array" ref="BD303:BE303">{"",'S-10 Оформление сделок Выборка'!BE303}</f>
        <v/>
      </c>
      <c r="BE303" s="793"/>
      <c r="BF303" s="800" t="str">
        <f t="array" ref="BF303:BG303">{"",'S-10 Оформление сделок Выборка'!BG303}</f>
        <v/>
      </c>
      <c r="BG303" s="794"/>
      <c r="BH303" s="794" t="str">
        <f t="array" ref="BH303:BI303">{"",'S-10 Оформление сделок Выборка'!BI303}</f>
        <v/>
      </c>
      <c r="BI303" s="794"/>
      <c r="BJ303" s="792" t="str">
        <f t="array" ref="BJ303:BK303">{"",'S-10 Оформление сделок Выборка'!BK303}</f>
        <v/>
      </c>
      <c r="BK303" s="793"/>
      <c r="BL303" s="792" t="str">
        <f t="array" ref="BL303:BM303">{"",'S-10 Оформление сделок Выборка'!BM303}</f>
        <v/>
      </c>
      <c r="BM303" s="801"/>
      <c r="BN303" s="792" t="str">
        <f t="array" ref="BN303:BO303">{"",'S-10 Оформление сделок Выборка'!BO303}</f>
        <v/>
      </c>
      <c r="BO303" s="793"/>
      <c r="BP303" s="792" t="str">
        <f t="array" ref="BP303:BQ303">{"",'S-10 Оформление сделок Выборка'!BQ303}</f>
        <v/>
      </c>
      <c r="BQ303" s="802"/>
      <c r="BR303" s="792" t="str">
        <f t="array" ref="BR303:BS303">{"",'S-10 Оформление сделок Выборка'!BS303}</f>
        <v/>
      </c>
      <c r="BS303" s="794"/>
      <c r="BT303" s="800" t="str">
        <f t="array" ref="BT303:BU303">{"",'S-10 Оформление сделок Выборка'!BU303}</f>
        <v/>
      </c>
      <c r="BU303" s="794"/>
      <c r="BV303" s="800" t="str">
        <f t="array" ref="BV303:BW303">{"",'S-10 Оформление сделок Выборка'!BW303}</f>
        <v/>
      </c>
      <c r="BW303" s="803" t="s">
        <v>96</v>
      </c>
      <c r="BX303" s="804"/>
    </row>
    <row r="304">
      <c r="A304" s="779"/>
      <c r="B304" s="779"/>
      <c r="C304" s="780" t="str">
        <f>'5-1 Сбор КП Закупки'!C304</f>
        <v/>
      </c>
      <c r="D304" s="781"/>
      <c r="E304" s="780"/>
      <c r="F304" s="783"/>
      <c r="G304" s="783"/>
      <c r="H304" s="783"/>
      <c r="I304" s="783"/>
      <c r="J304" s="780"/>
      <c r="K304" s="786"/>
      <c r="L304" s="785"/>
      <c r="M304" s="786"/>
      <c r="N304" s="786"/>
      <c r="O304" s="780"/>
      <c r="P304" s="787"/>
      <c r="Q304" s="780"/>
      <c r="R304" s="780"/>
      <c r="S304" s="780"/>
      <c r="T304" s="780"/>
      <c r="U304" s="780"/>
      <c r="V304" s="780"/>
      <c r="W304" s="787"/>
      <c r="X304" s="780"/>
      <c r="Y304" s="780"/>
      <c r="Z304" s="780"/>
      <c r="AA304" s="780"/>
      <c r="AB304" s="788"/>
      <c r="AC304" s="781"/>
      <c r="AD304" s="780"/>
      <c r="AE304" s="789" t="str">
        <f t="array" ref="AE304:AF304">{"",'S-10 Оформление сделок Выборка'!AF304}</f>
        <v/>
      </c>
      <c r="AF304" s="790"/>
      <c r="AG304" s="781"/>
      <c r="AH304" s="781"/>
      <c r="AI304" s="785"/>
      <c r="AJ304" s="780"/>
      <c r="AK304" s="792" t="str">
        <f t="array" ref="AK304:AL304">{"",'S-10 Оформление сделок Выборка'!AL304}</f>
        <v/>
      </c>
      <c r="AL304" s="793"/>
      <c r="AM304" s="792" t="str">
        <f t="array" ref="AM304:AN304">{"",'S-10 Оформление сделок Выборка'!AN304}</f>
        <v/>
      </c>
      <c r="AN304" s="794"/>
      <c r="AO304" s="792" t="str">
        <f t="array" ref="AO304:AP304">{"",'S-10 Оформление сделок Выборка'!AP304}</f>
        <v/>
      </c>
      <c r="AP304" s="786"/>
      <c r="AQ304" s="786"/>
      <c r="AR304" s="779" t="str">
        <f t="array" ref="AR304:AS304">{"",'S-10 Оформление сделок Выборка'!AS304}</f>
        <v/>
      </c>
      <c r="AS304" s="795"/>
      <c r="AT304" s="779" t="str">
        <f t="array" ref="AT304:AU304">{"",'S-10 Оформление сделок Выборка'!AU304}</f>
        <v/>
      </c>
      <c r="AU304" s="805"/>
      <c r="AV304" s="779" t="str">
        <f t="array" ref="AV304:AW304">{"",'S-10 Оформление сделок Выборка'!AW304}</f>
        <v/>
      </c>
      <c r="AW304" s="797"/>
      <c r="AX304" s="786"/>
      <c r="AY304" s="786"/>
      <c r="AZ304" s="792" t="str">
        <f t="array" ref="AZ304:BA304">{"",'S-10 Оформление сделок Выборка'!BA304}</f>
        <v/>
      </c>
      <c r="BA304" s="798"/>
      <c r="BB304" s="792" t="str">
        <f t="array" ref="BB304:BC304">{"",'S-10 Оформление сделок Выборка'!BC304}</f>
        <v/>
      </c>
      <c r="BC304" s="799"/>
      <c r="BD304" s="792" t="str">
        <f t="array" ref="BD304:BE304">{"",'S-10 Оформление сделок Выборка'!BE304}</f>
        <v/>
      </c>
      <c r="BE304" s="793"/>
      <c r="BF304" s="800" t="str">
        <f t="array" ref="BF304:BG304">{"",'S-10 Оформление сделок Выборка'!BG304}</f>
        <v/>
      </c>
      <c r="BG304" s="794"/>
      <c r="BH304" s="794" t="str">
        <f t="array" ref="BH304:BI304">{"",'S-10 Оформление сделок Выборка'!BI304}</f>
        <v/>
      </c>
      <c r="BI304" s="794"/>
      <c r="BJ304" s="792" t="str">
        <f t="array" ref="BJ304:BK304">{"",'S-10 Оформление сделок Выборка'!BK304}</f>
        <v/>
      </c>
      <c r="BK304" s="793"/>
      <c r="BL304" s="792" t="str">
        <f t="array" ref="BL304:BM304">{"",'S-10 Оформление сделок Выборка'!BM304}</f>
        <v/>
      </c>
      <c r="BM304" s="801"/>
      <c r="BN304" s="792" t="str">
        <f t="array" ref="BN304:BO304">{"",'S-10 Оформление сделок Выборка'!BO304}</f>
        <v/>
      </c>
      <c r="BO304" s="793"/>
      <c r="BP304" s="792" t="str">
        <f t="array" ref="BP304:BQ304">{"",'S-10 Оформление сделок Выборка'!BQ304}</f>
        <v/>
      </c>
      <c r="BQ304" s="802"/>
      <c r="BR304" s="792" t="str">
        <f t="array" ref="BR304:BS304">{"",'S-10 Оформление сделок Выборка'!BS304}</f>
        <v/>
      </c>
      <c r="BS304" s="794"/>
      <c r="BT304" s="800" t="str">
        <f t="array" ref="BT304:BU304">{"",'S-10 Оформление сделок Выборка'!BU304}</f>
        <v/>
      </c>
      <c r="BU304" s="794"/>
      <c r="BV304" s="800" t="str">
        <f t="array" ref="BV304:BW304">{"",'S-10 Оформление сделок Выборка'!BW304}</f>
        <v/>
      </c>
      <c r="BW304" s="803" t="s">
        <v>96</v>
      </c>
      <c r="BX304" s="804"/>
    </row>
    <row r="305">
      <c r="A305" s="779"/>
      <c r="B305" s="779"/>
      <c r="C305" s="780" t="str">
        <f>'5-1 Сбор КП Закупки'!C305</f>
        <v/>
      </c>
      <c r="D305" s="781"/>
      <c r="E305" s="780"/>
      <c r="F305" s="783"/>
      <c r="G305" s="783"/>
      <c r="H305" s="783"/>
      <c r="I305" s="783"/>
      <c r="J305" s="780"/>
      <c r="K305" s="786"/>
      <c r="L305" s="785"/>
      <c r="M305" s="786"/>
      <c r="N305" s="786"/>
      <c r="O305" s="780"/>
      <c r="P305" s="787"/>
      <c r="Q305" s="780"/>
      <c r="R305" s="780"/>
      <c r="S305" s="780"/>
      <c r="T305" s="780"/>
      <c r="U305" s="780"/>
      <c r="V305" s="780"/>
      <c r="W305" s="787"/>
      <c r="X305" s="780"/>
      <c r="Y305" s="780"/>
      <c r="Z305" s="780"/>
      <c r="AA305" s="780"/>
      <c r="AB305" s="788"/>
      <c r="AC305" s="781"/>
      <c r="AD305" s="780"/>
      <c r="AE305" s="789" t="str">
        <f t="array" ref="AE305:AF305">{"",'S-10 Оформление сделок Выборка'!AF305}</f>
        <v/>
      </c>
      <c r="AF305" s="790"/>
      <c r="AG305" s="781"/>
      <c r="AH305" s="781"/>
      <c r="AI305" s="785"/>
      <c r="AJ305" s="780"/>
      <c r="AK305" s="792" t="str">
        <f t="array" ref="AK305:AL305">{"",'S-10 Оформление сделок Выборка'!AL305}</f>
        <v/>
      </c>
      <c r="AL305" s="793"/>
      <c r="AM305" s="792" t="str">
        <f t="array" ref="AM305:AN305">{"",'S-10 Оформление сделок Выборка'!AN305}</f>
        <v/>
      </c>
      <c r="AN305" s="794"/>
      <c r="AO305" s="792" t="str">
        <f t="array" ref="AO305:AP305">{"",'S-10 Оформление сделок Выборка'!AP305}</f>
        <v/>
      </c>
      <c r="AP305" s="786"/>
      <c r="AQ305" s="786"/>
      <c r="AR305" s="779" t="str">
        <f t="array" ref="AR305:AS305">{"",'S-10 Оформление сделок Выборка'!AS305}</f>
        <v/>
      </c>
      <c r="AS305" s="795"/>
      <c r="AT305" s="779" t="str">
        <f t="array" ref="AT305:AU305">{"",'S-10 Оформление сделок Выборка'!AU305}</f>
        <v/>
      </c>
      <c r="AU305" s="805"/>
      <c r="AV305" s="779" t="str">
        <f t="array" ref="AV305:AW305">{"",'S-10 Оформление сделок Выборка'!AW305}</f>
        <v/>
      </c>
      <c r="AW305" s="797"/>
      <c r="AX305" s="786"/>
      <c r="AY305" s="786"/>
      <c r="AZ305" s="792" t="str">
        <f t="array" ref="AZ305:BA305">{"",'S-10 Оформление сделок Выборка'!BA305}</f>
        <v/>
      </c>
      <c r="BA305" s="798"/>
      <c r="BB305" s="792" t="str">
        <f t="array" ref="BB305:BC305">{"",'S-10 Оформление сделок Выборка'!BC305}</f>
        <v/>
      </c>
      <c r="BC305" s="799"/>
      <c r="BD305" s="792" t="str">
        <f t="array" ref="BD305:BE305">{"",'S-10 Оформление сделок Выборка'!BE305}</f>
        <v/>
      </c>
      <c r="BE305" s="793"/>
      <c r="BF305" s="800" t="str">
        <f t="array" ref="BF305:BG305">{"",'S-10 Оформление сделок Выборка'!BG305}</f>
        <v/>
      </c>
      <c r="BG305" s="794"/>
      <c r="BH305" s="794" t="str">
        <f t="array" ref="BH305:BI305">{"",'S-10 Оформление сделок Выборка'!BI305}</f>
        <v/>
      </c>
      <c r="BI305" s="794"/>
      <c r="BJ305" s="792" t="str">
        <f t="array" ref="BJ305:BK305">{"",'S-10 Оформление сделок Выборка'!BK305}</f>
        <v/>
      </c>
      <c r="BK305" s="793"/>
      <c r="BL305" s="792" t="str">
        <f t="array" ref="BL305:BM305">{"",'S-10 Оформление сделок Выборка'!BM305}</f>
        <v/>
      </c>
      <c r="BM305" s="801"/>
      <c r="BN305" s="792" t="str">
        <f t="array" ref="BN305:BO305">{"",'S-10 Оформление сделок Выборка'!BO305}</f>
        <v/>
      </c>
      <c r="BO305" s="793"/>
      <c r="BP305" s="792" t="str">
        <f t="array" ref="BP305:BQ305">{"",'S-10 Оформление сделок Выборка'!BQ305}</f>
        <v/>
      </c>
      <c r="BQ305" s="802"/>
      <c r="BR305" s="792" t="str">
        <f t="array" ref="BR305:BS305">{"",'S-10 Оформление сделок Выборка'!BS305}</f>
        <v/>
      </c>
      <c r="BS305" s="794"/>
      <c r="BT305" s="800" t="str">
        <f t="array" ref="BT305:BU305">{"",'S-10 Оформление сделок Выборка'!BU305}</f>
        <v/>
      </c>
      <c r="BU305" s="794"/>
      <c r="BV305" s="800" t="str">
        <f t="array" ref="BV305:BW305">{"",'S-10 Оформление сделок Выборка'!BW305}</f>
        <v/>
      </c>
      <c r="BW305" s="803" t="s">
        <v>96</v>
      </c>
      <c r="BX305" s="804"/>
    </row>
    <row r="306">
      <c r="A306" s="779"/>
      <c r="B306" s="779"/>
      <c r="C306" s="780" t="str">
        <f>'5-1 Сбор КП Закупки'!C306</f>
        <v/>
      </c>
      <c r="D306" s="781"/>
      <c r="E306" s="780"/>
      <c r="F306" s="783"/>
      <c r="G306" s="783"/>
      <c r="H306" s="783"/>
      <c r="I306" s="783"/>
      <c r="J306" s="780"/>
      <c r="K306" s="786"/>
      <c r="L306" s="785"/>
      <c r="M306" s="786"/>
      <c r="N306" s="786"/>
      <c r="O306" s="780"/>
      <c r="P306" s="787"/>
      <c r="Q306" s="780"/>
      <c r="R306" s="780"/>
      <c r="S306" s="780"/>
      <c r="T306" s="780"/>
      <c r="U306" s="780"/>
      <c r="V306" s="780"/>
      <c r="W306" s="787"/>
      <c r="X306" s="780"/>
      <c r="Y306" s="780"/>
      <c r="Z306" s="780"/>
      <c r="AA306" s="780"/>
      <c r="AB306" s="788"/>
      <c r="AC306" s="781"/>
      <c r="AD306" s="780"/>
      <c r="AE306" s="789" t="str">
        <f t="array" ref="AE306:AF306">{"",'S-10 Оформление сделок Выборка'!AF306}</f>
        <v/>
      </c>
      <c r="AF306" s="790"/>
      <c r="AG306" s="781"/>
      <c r="AH306" s="781"/>
      <c r="AI306" s="785"/>
      <c r="AJ306" s="780"/>
      <c r="AK306" s="792" t="str">
        <f t="array" ref="AK306:AL306">{"",'S-10 Оформление сделок Выборка'!AL306}</f>
        <v/>
      </c>
      <c r="AL306" s="793"/>
      <c r="AM306" s="792" t="str">
        <f t="array" ref="AM306:AN306">{"",'S-10 Оформление сделок Выборка'!AN306}</f>
        <v/>
      </c>
      <c r="AN306" s="794"/>
      <c r="AO306" s="792" t="str">
        <f t="array" ref="AO306:AP306">{"",'S-10 Оформление сделок Выборка'!AP306}</f>
        <v/>
      </c>
      <c r="AP306" s="786"/>
      <c r="AQ306" s="786"/>
      <c r="AR306" s="779" t="str">
        <f t="array" ref="AR306:AS306">{"",'S-10 Оформление сделок Выборка'!AS306}</f>
        <v/>
      </c>
      <c r="AS306" s="795"/>
      <c r="AT306" s="779" t="str">
        <f t="array" ref="AT306:AU306">{"",'S-10 Оформление сделок Выборка'!AU306}</f>
        <v/>
      </c>
      <c r="AU306" s="805"/>
      <c r="AV306" s="779" t="str">
        <f t="array" ref="AV306:AW306">{"",'S-10 Оформление сделок Выборка'!AW306}</f>
        <v/>
      </c>
      <c r="AW306" s="797"/>
      <c r="AX306" s="786"/>
      <c r="AY306" s="786"/>
      <c r="AZ306" s="792" t="str">
        <f t="array" ref="AZ306:BA306">{"",'S-10 Оформление сделок Выборка'!BA306}</f>
        <v/>
      </c>
      <c r="BA306" s="798"/>
      <c r="BB306" s="792" t="str">
        <f t="array" ref="BB306:BC306">{"",'S-10 Оформление сделок Выборка'!BC306}</f>
        <v/>
      </c>
      <c r="BC306" s="799"/>
      <c r="BD306" s="792" t="str">
        <f t="array" ref="BD306:BE306">{"",'S-10 Оформление сделок Выборка'!BE306}</f>
        <v/>
      </c>
      <c r="BE306" s="793"/>
      <c r="BF306" s="800" t="str">
        <f t="array" ref="BF306:BG306">{"",'S-10 Оформление сделок Выборка'!BG306}</f>
        <v/>
      </c>
      <c r="BG306" s="794"/>
      <c r="BH306" s="794" t="str">
        <f t="array" ref="BH306:BI306">{"",'S-10 Оформление сделок Выборка'!BI306}</f>
        <v/>
      </c>
      <c r="BI306" s="794"/>
      <c r="BJ306" s="792" t="str">
        <f t="array" ref="BJ306:BK306">{"",'S-10 Оформление сделок Выборка'!BK306}</f>
        <v/>
      </c>
      <c r="BK306" s="793"/>
      <c r="BL306" s="792" t="str">
        <f t="array" ref="BL306:BM306">{"",'S-10 Оформление сделок Выборка'!BM306}</f>
        <v/>
      </c>
      <c r="BM306" s="801"/>
      <c r="BN306" s="792" t="str">
        <f t="array" ref="BN306:BO306">{"",'S-10 Оформление сделок Выборка'!BO306}</f>
        <v/>
      </c>
      <c r="BO306" s="793"/>
      <c r="BP306" s="792" t="str">
        <f t="array" ref="BP306:BQ306">{"",'S-10 Оформление сделок Выборка'!BQ306}</f>
        <v/>
      </c>
      <c r="BQ306" s="802"/>
      <c r="BR306" s="792" t="str">
        <f t="array" ref="BR306:BS306">{"",'S-10 Оформление сделок Выборка'!BS306}</f>
        <v/>
      </c>
      <c r="BS306" s="794"/>
      <c r="BT306" s="800" t="str">
        <f t="array" ref="BT306:BU306">{"",'S-10 Оформление сделок Выборка'!BU306}</f>
        <v/>
      </c>
      <c r="BU306" s="794"/>
      <c r="BV306" s="800" t="str">
        <f t="array" ref="BV306:BW306">{"",'S-10 Оформление сделок Выборка'!BW306}</f>
        <v/>
      </c>
      <c r="BW306" s="803" t="s">
        <v>96</v>
      </c>
      <c r="BX306" s="804"/>
    </row>
    <row r="307">
      <c r="A307" s="779"/>
      <c r="B307" s="779"/>
      <c r="C307" s="780" t="str">
        <f>'5-1 Сбор КП Закупки'!C307</f>
        <v/>
      </c>
      <c r="D307" s="781"/>
      <c r="E307" s="780"/>
      <c r="F307" s="783"/>
      <c r="G307" s="783"/>
      <c r="H307" s="783"/>
      <c r="I307" s="783"/>
      <c r="J307" s="780"/>
      <c r="K307" s="786"/>
      <c r="L307" s="785"/>
      <c r="M307" s="786"/>
      <c r="N307" s="786"/>
      <c r="O307" s="780"/>
      <c r="P307" s="787"/>
      <c r="Q307" s="780"/>
      <c r="R307" s="780"/>
      <c r="S307" s="780"/>
      <c r="T307" s="780"/>
      <c r="U307" s="780"/>
      <c r="V307" s="780"/>
      <c r="W307" s="787"/>
      <c r="X307" s="780"/>
      <c r="Y307" s="780"/>
      <c r="Z307" s="780"/>
      <c r="AA307" s="780"/>
      <c r="AB307" s="788"/>
      <c r="AC307" s="781"/>
      <c r="AD307" s="780"/>
      <c r="AE307" s="789" t="str">
        <f t="array" ref="AE307:AF307">{"",'S-10 Оформление сделок Выборка'!AF307}</f>
        <v/>
      </c>
      <c r="AF307" s="790"/>
      <c r="AG307" s="781"/>
      <c r="AH307" s="781"/>
      <c r="AI307" s="785"/>
      <c r="AJ307" s="780"/>
      <c r="AK307" s="792" t="str">
        <f t="array" ref="AK307:AL307">{"",'S-10 Оформление сделок Выборка'!AL307}</f>
        <v/>
      </c>
      <c r="AL307" s="793"/>
      <c r="AM307" s="792" t="str">
        <f t="array" ref="AM307:AN307">{"",'S-10 Оформление сделок Выборка'!AN307}</f>
        <v/>
      </c>
      <c r="AN307" s="794"/>
      <c r="AO307" s="792" t="str">
        <f t="array" ref="AO307:AP307">{"",'S-10 Оформление сделок Выборка'!AP307}</f>
        <v/>
      </c>
      <c r="AP307" s="786"/>
      <c r="AQ307" s="786"/>
      <c r="AR307" s="779" t="str">
        <f t="array" ref="AR307:AS307">{"",'S-10 Оформление сделок Выборка'!AS307}</f>
        <v/>
      </c>
      <c r="AS307" s="795"/>
      <c r="AT307" s="779" t="str">
        <f t="array" ref="AT307:AU307">{"",'S-10 Оформление сделок Выборка'!AU307}</f>
        <v/>
      </c>
      <c r="AU307" s="805"/>
      <c r="AV307" s="779" t="str">
        <f t="array" ref="AV307:AW307">{"",'S-10 Оформление сделок Выборка'!AW307}</f>
        <v/>
      </c>
      <c r="AW307" s="797"/>
      <c r="AX307" s="786"/>
      <c r="AY307" s="786"/>
      <c r="AZ307" s="792" t="str">
        <f t="array" ref="AZ307:BA307">{"",'S-10 Оформление сделок Выборка'!BA307}</f>
        <v/>
      </c>
      <c r="BA307" s="798"/>
      <c r="BB307" s="792" t="str">
        <f t="array" ref="BB307:BC307">{"",'S-10 Оформление сделок Выборка'!BC307}</f>
        <v/>
      </c>
      <c r="BC307" s="799"/>
      <c r="BD307" s="792" t="str">
        <f t="array" ref="BD307:BE307">{"",'S-10 Оформление сделок Выборка'!BE307}</f>
        <v/>
      </c>
      <c r="BE307" s="793"/>
      <c r="BF307" s="800" t="str">
        <f t="array" ref="BF307:BG307">{"",'S-10 Оформление сделок Выборка'!BG307}</f>
        <v/>
      </c>
      <c r="BG307" s="794"/>
      <c r="BH307" s="794" t="str">
        <f t="array" ref="BH307:BI307">{"",'S-10 Оформление сделок Выборка'!BI307}</f>
        <v/>
      </c>
      <c r="BI307" s="794"/>
      <c r="BJ307" s="792" t="str">
        <f t="array" ref="BJ307:BK307">{"",'S-10 Оформление сделок Выборка'!BK307}</f>
        <v/>
      </c>
      <c r="BK307" s="793"/>
      <c r="BL307" s="792" t="str">
        <f t="array" ref="BL307:BM307">{"",'S-10 Оформление сделок Выборка'!BM307}</f>
        <v/>
      </c>
      <c r="BM307" s="801"/>
      <c r="BN307" s="792" t="str">
        <f t="array" ref="BN307:BO307">{"",'S-10 Оформление сделок Выборка'!BO307}</f>
        <v/>
      </c>
      <c r="BO307" s="793"/>
      <c r="BP307" s="792" t="str">
        <f t="array" ref="BP307:BQ307">{"",'S-10 Оформление сделок Выборка'!BQ307}</f>
        <v/>
      </c>
      <c r="BQ307" s="802"/>
      <c r="BR307" s="792" t="str">
        <f t="array" ref="BR307:BS307">{"",'S-10 Оформление сделок Выборка'!BS307}</f>
        <v/>
      </c>
      <c r="BS307" s="794"/>
      <c r="BT307" s="800" t="str">
        <f t="array" ref="BT307:BU307">{"",'S-10 Оформление сделок Выборка'!BU307}</f>
        <v/>
      </c>
      <c r="BU307" s="794"/>
      <c r="BV307" s="800" t="str">
        <f t="array" ref="BV307:BW307">{"",'S-10 Оформление сделок Выборка'!BW307}</f>
        <v/>
      </c>
      <c r="BW307" s="803" t="s">
        <v>96</v>
      </c>
      <c r="BX307" s="804"/>
    </row>
    <row r="308">
      <c r="A308" s="779"/>
      <c r="B308" s="779"/>
      <c r="C308" s="780" t="str">
        <f>'5-1 Сбор КП Закупки'!C308</f>
        <v/>
      </c>
      <c r="D308" s="781"/>
      <c r="E308" s="780"/>
      <c r="F308" s="783"/>
      <c r="G308" s="783"/>
      <c r="H308" s="783"/>
      <c r="I308" s="783"/>
      <c r="J308" s="780"/>
      <c r="K308" s="786"/>
      <c r="L308" s="785"/>
      <c r="M308" s="786"/>
      <c r="N308" s="786"/>
      <c r="O308" s="780"/>
      <c r="P308" s="787"/>
      <c r="Q308" s="780"/>
      <c r="R308" s="780"/>
      <c r="S308" s="780"/>
      <c r="T308" s="780"/>
      <c r="U308" s="780"/>
      <c r="V308" s="780"/>
      <c r="W308" s="787"/>
      <c r="X308" s="780"/>
      <c r="Y308" s="780"/>
      <c r="Z308" s="780"/>
      <c r="AA308" s="780"/>
      <c r="AB308" s="788"/>
      <c r="AC308" s="781"/>
      <c r="AD308" s="780"/>
      <c r="AE308" s="789" t="str">
        <f t="array" ref="AE308:AF308">{"",'S-10 Оформление сделок Выборка'!AF308}</f>
        <v/>
      </c>
      <c r="AF308" s="790"/>
      <c r="AG308" s="781"/>
      <c r="AH308" s="781"/>
      <c r="AI308" s="785"/>
      <c r="AJ308" s="780"/>
      <c r="AK308" s="792" t="str">
        <f t="array" ref="AK308:AL308">{"",'S-10 Оформление сделок Выборка'!AL308}</f>
        <v/>
      </c>
      <c r="AL308" s="793"/>
      <c r="AM308" s="792" t="str">
        <f t="array" ref="AM308:AN308">{"",'S-10 Оформление сделок Выборка'!AN308}</f>
        <v/>
      </c>
      <c r="AN308" s="794"/>
      <c r="AO308" s="792" t="str">
        <f t="array" ref="AO308:AP308">{"",'S-10 Оформление сделок Выборка'!AP308}</f>
        <v/>
      </c>
      <c r="AP308" s="786"/>
      <c r="AQ308" s="786"/>
      <c r="AR308" s="779" t="str">
        <f t="array" ref="AR308:AS308">{"",'S-10 Оформление сделок Выборка'!AS308}</f>
        <v/>
      </c>
      <c r="AS308" s="795"/>
      <c r="AT308" s="779" t="str">
        <f t="array" ref="AT308:AU308">{"",'S-10 Оформление сделок Выборка'!AU308}</f>
        <v/>
      </c>
      <c r="AU308" s="805"/>
      <c r="AV308" s="779" t="str">
        <f t="array" ref="AV308:AW308">{"",'S-10 Оформление сделок Выборка'!AW308}</f>
        <v/>
      </c>
      <c r="AW308" s="797"/>
      <c r="AX308" s="786"/>
      <c r="AY308" s="786"/>
      <c r="AZ308" s="792" t="str">
        <f t="array" ref="AZ308:BA308">{"",'S-10 Оформление сделок Выборка'!BA308}</f>
        <v/>
      </c>
      <c r="BA308" s="798"/>
      <c r="BB308" s="792" t="str">
        <f t="array" ref="BB308:BC308">{"",'S-10 Оформление сделок Выборка'!BC308}</f>
        <v/>
      </c>
      <c r="BC308" s="799"/>
      <c r="BD308" s="792" t="str">
        <f t="array" ref="BD308:BE308">{"",'S-10 Оформление сделок Выборка'!BE308}</f>
        <v/>
      </c>
      <c r="BE308" s="793"/>
      <c r="BF308" s="800" t="str">
        <f t="array" ref="BF308:BG308">{"",'S-10 Оформление сделок Выборка'!BG308}</f>
        <v/>
      </c>
      <c r="BG308" s="794"/>
      <c r="BH308" s="794" t="str">
        <f t="array" ref="BH308:BI308">{"",'S-10 Оформление сделок Выборка'!BI308}</f>
        <v/>
      </c>
      <c r="BI308" s="794"/>
      <c r="BJ308" s="792" t="str">
        <f t="array" ref="BJ308:BK308">{"",'S-10 Оформление сделок Выборка'!BK308}</f>
        <v/>
      </c>
      <c r="BK308" s="793"/>
      <c r="BL308" s="792" t="str">
        <f t="array" ref="BL308:BM308">{"",'S-10 Оформление сделок Выборка'!BM308}</f>
        <v/>
      </c>
      <c r="BM308" s="801"/>
      <c r="BN308" s="792" t="str">
        <f t="array" ref="BN308:BO308">{"",'S-10 Оформление сделок Выборка'!BO308}</f>
        <v/>
      </c>
      <c r="BO308" s="793"/>
      <c r="BP308" s="792" t="str">
        <f t="array" ref="BP308:BQ308">{"",'S-10 Оформление сделок Выборка'!BQ308}</f>
        <v/>
      </c>
      <c r="BQ308" s="802"/>
      <c r="BR308" s="792" t="str">
        <f t="array" ref="BR308:BS308">{"",'S-10 Оформление сделок Выборка'!BS308}</f>
        <v/>
      </c>
      <c r="BS308" s="794"/>
      <c r="BT308" s="800" t="str">
        <f t="array" ref="BT308:BU308">{"",'S-10 Оформление сделок Выборка'!BU308}</f>
        <v/>
      </c>
      <c r="BU308" s="794"/>
      <c r="BV308" s="800" t="str">
        <f t="array" ref="BV308:BW308">{"",'S-10 Оформление сделок Выборка'!BW308}</f>
        <v/>
      </c>
      <c r="BW308" s="803" t="s">
        <v>96</v>
      </c>
      <c r="BX308" s="804"/>
    </row>
    <row r="309">
      <c r="A309" s="779"/>
      <c r="B309" s="779"/>
      <c r="C309" s="780" t="str">
        <f>'5-1 Сбор КП Закупки'!C309</f>
        <v/>
      </c>
      <c r="D309" s="781"/>
      <c r="E309" s="780"/>
      <c r="F309" s="783"/>
      <c r="G309" s="783"/>
      <c r="H309" s="783"/>
      <c r="I309" s="783"/>
      <c r="J309" s="780"/>
      <c r="K309" s="786"/>
      <c r="L309" s="785"/>
      <c r="M309" s="786"/>
      <c r="N309" s="786"/>
      <c r="O309" s="780"/>
      <c r="P309" s="787"/>
      <c r="Q309" s="780"/>
      <c r="R309" s="780"/>
      <c r="S309" s="780"/>
      <c r="T309" s="780"/>
      <c r="U309" s="780"/>
      <c r="V309" s="780"/>
      <c r="W309" s="787"/>
      <c r="X309" s="780"/>
      <c r="Y309" s="780"/>
      <c r="Z309" s="780"/>
      <c r="AA309" s="780"/>
      <c r="AB309" s="788"/>
      <c r="AC309" s="781"/>
      <c r="AD309" s="780"/>
      <c r="AE309" s="789" t="str">
        <f t="array" ref="AE309:AF309">{"",'S-10 Оформление сделок Выборка'!AF309}</f>
        <v/>
      </c>
      <c r="AF309" s="790"/>
      <c r="AG309" s="781"/>
      <c r="AH309" s="781"/>
      <c r="AI309" s="785"/>
      <c r="AJ309" s="780"/>
      <c r="AK309" s="792" t="str">
        <f t="array" ref="AK309:AL309">{"",'S-10 Оформление сделок Выборка'!AL309}</f>
        <v/>
      </c>
      <c r="AL309" s="793"/>
      <c r="AM309" s="792" t="str">
        <f t="array" ref="AM309:AN309">{"",'S-10 Оформление сделок Выборка'!AN309}</f>
        <v/>
      </c>
      <c r="AN309" s="794"/>
      <c r="AO309" s="792" t="str">
        <f t="array" ref="AO309:AP309">{"",'S-10 Оформление сделок Выборка'!AP309}</f>
        <v/>
      </c>
      <c r="AP309" s="786"/>
      <c r="AQ309" s="786"/>
      <c r="AR309" s="779" t="str">
        <f t="array" ref="AR309:AS309">{"",'S-10 Оформление сделок Выборка'!AS309}</f>
        <v/>
      </c>
      <c r="AS309" s="795"/>
      <c r="AT309" s="779" t="str">
        <f t="array" ref="AT309:AU309">{"",'S-10 Оформление сделок Выборка'!AU309}</f>
        <v/>
      </c>
      <c r="AU309" s="805"/>
      <c r="AV309" s="779" t="str">
        <f t="array" ref="AV309:AW309">{"",'S-10 Оформление сделок Выборка'!AW309}</f>
        <v/>
      </c>
      <c r="AW309" s="797"/>
      <c r="AX309" s="786"/>
      <c r="AY309" s="786"/>
      <c r="AZ309" s="792" t="str">
        <f t="array" ref="AZ309:BA309">{"",'S-10 Оформление сделок Выборка'!BA309}</f>
        <v/>
      </c>
      <c r="BA309" s="798"/>
      <c r="BB309" s="792" t="str">
        <f t="array" ref="BB309:BC309">{"",'S-10 Оформление сделок Выборка'!BC309}</f>
        <v/>
      </c>
      <c r="BC309" s="799"/>
      <c r="BD309" s="792" t="str">
        <f t="array" ref="BD309:BE309">{"",'S-10 Оформление сделок Выборка'!BE309}</f>
        <v/>
      </c>
      <c r="BE309" s="793"/>
      <c r="BF309" s="800" t="str">
        <f t="array" ref="BF309:BG309">{"",'S-10 Оформление сделок Выборка'!BG309}</f>
        <v/>
      </c>
      <c r="BG309" s="794"/>
      <c r="BH309" s="794" t="str">
        <f t="array" ref="BH309:BI309">{"",'S-10 Оформление сделок Выборка'!BI309}</f>
        <v/>
      </c>
      <c r="BI309" s="794"/>
      <c r="BJ309" s="792" t="str">
        <f t="array" ref="BJ309:BK309">{"",'S-10 Оформление сделок Выборка'!BK309}</f>
        <v/>
      </c>
      <c r="BK309" s="793"/>
      <c r="BL309" s="792" t="str">
        <f t="array" ref="BL309:BM309">{"",'S-10 Оформление сделок Выборка'!BM309}</f>
        <v/>
      </c>
      <c r="BM309" s="801"/>
      <c r="BN309" s="792" t="str">
        <f t="array" ref="BN309:BO309">{"",'S-10 Оформление сделок Выборка'!BO309}</f>
        <v/>
      </c>
      <c r="BO309" s="793"/>
      <c r="BP309" s="792" t="str">
        <f t="array" ref="BP309:BQ309">{"",'S-10 Оформление сделок Выборка'!BQ309}</f>
        <v/>
      </c>
      <c r="BQ309" s="802"/>
      <c r="BR309" s="792" t="str">
        <f t="array" ref="BR309:BS309">{"",'S-10 Оформление сделок Выборка'!BS309}</f>
        <v/>
      </c>
      <c r="BS309" s="794"/>
      <c r="BT309" s="800" t="str">
        <f t="array" ref="BT309:BU309">{"",'S-10 Оформление сделок Выборка'!BU309}</f>
        <v/>
      </c>
      <c r="BU309" s="794"/>
      <c r="BV309" s="800" t="str">
        <f t="array" ref="BV309:BW309">{"",'S-10 Оформление сделок Выборка'!BW309}</f>
        <v/>
      </c>
      <c r="BW309" s="803" t="s">
        <v>96</v>
      </c>
      <c r="BX309" s="804"/>
    </row>
    <row r="310">
      <c r="A310" s="779"/>
      <c r="B310" s="779"/>
      <c r="C310" s="780" t="str">
        <f>'5-1 Сбор КП Закупки'!C310</f>
        <v/>
      </c>
      <c r="D310" s="781"/>
      <c r="E310" s="780"/>
      <c r="F310" s="783"/>
      <c r="G310" s="783"/>
      <c r="H310" s="783"/>
      <c r="I310" s="783"/>
      <c r="J310" s="780"/>
      <c r="K310" s="786"/>
      <c r="L310" s="785"/>
      <c r="M310" s="786"/>
      <c r="N310" s="786"/>
      <c r="O310" s="780"/>
      <c r="P310" s="787"/>
      <c r="Q310" s="780"/>
      <c r="R310" s="780"/>
      <c r="S310" s="780"/>
      <c r="T310" s="780"/>
      <c r="U310" s="780"/>
      <c r="V310" s="780"/>
      <c r="W310" s="787"/>
      <c r="X310" s="780"/>
      <c r="Y310" s="780"/>
      <c r="Z310" s="780"/>
      <c r="AA310" s="780"/>
      <c r="AB310" s="788"/>
      <c r="AC310" s="781"/>
      <c r="AD310" s="780"/>
      <c r="AE310" s="789" t="str">
        <f t="array" ref="AE310:AF310">{"",'S-10 Оформление сделок Выборка'!AF310}</f>
        <v/>
      </c>
      <c r="AF310" s="790"/>
      <c r="AG310" s="781"/>
      <c r="AH310" s="781"/>
      <c r="AI310" s="785"/>
      <c r="AJ310" s="780"/>
      <c r="AK310" s="792" t="str">
        <f t="array" ref="AK310:AL310">{"",'S-10 Оформление сделок Выборка'!AL310}</f>
        <v/>
      </c>
      <c r="AL310" s="793"/>
      <c r="AM310" s="792" t="str">
        <f t="array" ref="AM310:AN310">{"",'S-10 Оформление сделок Выборка'!AN310}</f>
        <v/>
      </c>
      <c r="AN310" s="794"/>
      <c r="AO310" s="792" t="str">
        <f t="array" ref="AO310:AP310">{"",'S-10 Оформление сделок Выборка'!AP310}</f>
        <v/>
      </c>
      <c r="AP310" s="786"/>
      <c r="AQ310" s="786"/>
      <c r="AR310" s="779" t="str">
        <f t="array" ref="AR310:AS310">{"",'S-10 Оформление сделок Выборка'!AS310}</f>
        <v/>
      </c>
      <c r="AS310" s="795"/>
      <c r="AT310" s="779" t="str">
        <f t="array" ref="AT310:AU310">{"",'S-10 Оформление сделок Выборка'!AU310}</f>
        <v/>
      </c>
      <c r="AU310" s="796"/>
      <c r="AV310" s="779" t="str">
        <f t="array" ref="AV310:AW310">{"",'S-10 Оформление сделок Выборка'!AW310}</f>
        <v/>
      </c>
      <c r="AW310" s="797"/>
      <c r="AX310" s="786"/>
      <c r="AY310" s="786"/>
      <c r="AZ310" s="792" t="str">
        <f t="array" ref="AZ310:BA310">{"",'S-10 Оформление сделок Выборка'!BA310}</f>
        <v/>
      </c>
      <c r="BA310" s="798"/>
      <c r="BB310" s="792" t="str">
        <f t="array" ref="BB310:BC310">{"",'S-10 Оформление сделок Выборка'!BC310}</f>
        <v/>
      </c>
      <c r="BC310" s="799"/>
      <c r="BD310" s="792" t="str">
        <f t="array" ref="BD310:BE310">{"",'S-10 Оформление сделок Выборка'!BE310}</f>
        <v/>
      </c>
      <c r="BE310" s="793"/>
      <c r="BF310" s="800" t="str">
        <f t="array" ref="BF310:BG310">{"",'S-10 Оформление сделок Выборка'!BG310}</f>
        <v/>
      </c>
      <c r="BG310" s="794"/>
      <c r="BH310" s="794" t="str">
        <f t="array" ref="BH310:BI310">{"",'S-10 Оформление сделок Выборка'!BI310}</f>
        <v/>
      </c>
      <c r="BI310" s="794"/>
      <c r="BJ310" s="792" t="str">
        <f t="array" ref="BJ310:BK310">{"",'S-10 Оформление сделок Выборка'!BK310}</f>
        <v/>
      </c>
      <c r="BK310" s="793"/>
      <c r="BL310" s="792" t="str">
        <f t="array" ref="BL310:BM310">{"",'S-10 Оформление сделок Выборка'!BM310}</f>
        <v/>
      </c>
      <c r="BM310" s="801"/>
      <c r="BN310" s="792" t="str">
        <f t="array" ref="BN310:BO310">{"",'S-10 Оформление сделок Выборка'!BO310}</f>
        <v/>
      </c>
      <c r="BO310" s="793"/>
      <c r="BP310" s="792" t="str">
        <f t="array" ref="BP310:BQ310">{"",'S-10 Оформление сделок Выборка'!BQ310}</f>
        <v/>
      </c>
      <c r="BQ310" s="802"/>
      <c r="BR310" s="792" t="str">
        <f t="array" ref="BR310:BS310">{"",'S-10 Оформление сделок Выборка'!BS310}</f>
        <v/>
      </c>
      <c r="BS310" s="794"/>
      <c r="BT310" s="800" t="str">
        <f t="array" ref="BT310:BU310">{"",'S-10 Оформление сделок Выборка'!BU310}</f>
        <v/>
      </c>
      <c r="BU310" s="794"/>
      <c r="BV310" s="800" t="str">
        <f t="array" ref="BV310:BW310">{"",'S-10 Оформление сделок Выборка'!BW310}</f>
        <v/>
      </c>
      <c r="BW310" s="803" t="s">
        <v>96</v>
      </c>
      <c r="BX310" s="804"/>
    </row>
    <row r="311">
      <c r="A311" s="470"/>
      <c r="B311" s="470"/>
      <c r="C311" s="669" t="s">
        <v>607</v>
      </c>
      <c r="D311" s="1175"/>
      <c r="E311" s="1176"/>
      <c r="F311" s="281"/>
      <c r="G311" s="281"/>
      <c r="H311" s="281"/>
      <c r="I311" s="281"/>
      <c r="J311" s="1177"/>
      <c r="K311" s="1178"/>
      <c r="L311" s="666"/>
      <c r="M311" s="1179"/>
      <c r="N311" s="1179"/>
      <c r="O311" s="1176"/>
      <c r="P311" s="1180"/>
      <c r="Q311" s="1177"/>
      <c r="R311" s="1177"/>
      <c r="S311" s="1177"/>
      <c r="T311" s="1177"/>
      <c r="U311" s="1177"/>
      <c r="V311" s="1177"/>
      <c r="W311" s="1180"/>
      <c r="X311" s="1177"/>
      <c r="Y311" s="1177"/>
      <c r="Z311" s="1177"/>
      <c r="AA311" s="1177"/>
      <c r="AB311" s="345"/>
      <c r="AC311" s="1181"/>
      <c r="AD311" s="1176"/>
      <c r="AE311" s="1182"/>
      <c r="AF311" s="157"/>
      <c r="AG311" s="1175"/>
      <c r="AH311" s="1175"/>
      <c r="AI311" s="666"/>
      <c r="AJ311" s="1176"/>
      <c r="AK311" s="281"/>
      <c r="AL311" s="468"/>
      <c r="AM311" s="281"/>
      <c r="AN311" s="804"/>
      <c r="AO311" s="281"/>
      <c r="AP311" s="1183" t="str">
        <f>"Итого"</f>
        <v>Итого</v>
      </c>
      <c r="AQ311" s="1184">
        <v>0.0</v>
      </c>
      <c r="AR311" s="144"/>
      <c r="AS311" s="156"/>
      <c r="AT311" s="144"/>
      <c r="AU311" s="1185"/>
      <c r="AV311" s="1186"/>
      <c r="AW311" s="1186"/>
      <c r="AX311" s="1183" t="str">
        <f>"Итого"</f>
        <v>Итого</v>
      </c>
      <c r="AY311" s="1183">
        <v>0.0</v>
      </c>
      <c r="AZ311" s="146"/>
      <c r="BA311" s="1187"/>
      <c r="BB311" s="281"/>
      <c r="BC311" s="1188"/>
      <c r="BD311" s="281"/>
      <c r="BE311" s="468"/>
      <c r="BF311" s="804"/>
      <c r="BG311" s="804"/>
      <c r="BH311" s="804"/>
      <c r="BI311" s="804"/>
      <c r="BJ311" s="1189"/>
      <c r="BK311" s="468"/>
      <c r="BL311" s="1189"/>
      <c r="BM311" s="1190"/>
      <c r="BN311" s="1189"/>
      <c r="BO311" s="468"/>
      <c r="BP311" s="1189"/>
      <c r="BQ311" s="468"/>
      <c r="BR311" s="281"/>
      <c r="BS311" s="804"/>
      <c r="BT311" s="664"/>
      <c r="BU311" s="804"/>
      <c r="BV311" s="804"/>
      <c r="BW311" s="1191"/>
      <c r="BX311" s="804"/>
    </row>
    <row r="312">
      <c r="A312" s="470"/>
      <c r="B312" s="470"/>
      <c r="C312" s="669" t="s">
        <v>608</v>
      </c>
      <c r="D312" s="1175"/>
      <c r="E312" s="1176"/>
      <c r="F312" s="281"/>
      <c r="G312" s="281"/>
      <c r="H312" s="281"/>
      <c r="I312" s="281"/>
      <c r="J312" s="1177"/>
      <c r="K312" s="1178"/>
      <c r="L312" s="666"/>
      <c r="M312" s="1179"/>
      <c r="N312" s="1179"/>
      <c r="O312" s="1176"/>
      <c r="P312" s="1180"/>
      <c r="Q312" s="1177"/>
      <c r="R312" s="1177"/>
      <c r="S312" s="1177"/>
      <c r="T312" s="1177"/>
      <c r="U312" s="1177"/>
      <c r="V312" s="1177"/>
      <c r="W312" s="1180"/>
      <c r="X312" s="1177"/>
      <c r="Y312" s="1177"/>
      <c r="Z312" s="1177"/>
      <c r="AA312" s="1177"/>
      <c r="AB312" s="345"/>
      <c r="AC312" s="1181"/>
      <c r="AD312" s="1176"/>
      <c r="AE312" s="1182"/>
      <c r="AF312" s="157"/>
      <c r="AG312" s="1175"/>
      <c r="AH312" s="1175"/>
      <c r="AI312" s="666"/>
      <c r="AJ312" s="1176"/>
      <c r="AK312" s="281"/>
      <c r="AL312" s="468"/>
      <c r="AM312" s="281"/>
      <c r="AN312" s="804"/>
      <c r="AO312" s="281"/>
      <c r="AP312" s="1192" t="s">
        <v>933</v>
      </c>
      <c r="AQ312" s="1183">
        <f t="array" ref="AQ312">COUNTA(UNIQUE(AB11:AB310))</f>
        <v>0</v>
      </c>
      <c r="AR312" s="144"/>
      <c r="AS312" s="156"/>
      <c r="AT312" s="144"/>
      <c r="AU312" s="1185"/>
      <c r="AV312" s="1186"/>
      <c r="AW312" s="1186"/>
      <c r="AX312" s="1183"/>
      <c r="AY312" s="1183"/>
      <c r="AZ312" s="146"/>
      <c r="BA312" s="1187"/>
      <c r="BB312" s="281"/>
      <c r="BC312" s="1188"/>
      <c r="BD312" s="281"/>
      <c r="BE312" s="468"/>
      <c r="BF312" s="804"/>
      <c r="BG312" s="804"/>
      <c r="BH312" s="804"/>
      <c r="BI312" s="804"/>
      <c r="BJ312" s="1189"/>
      <c r="BK312" s="468"/>
      <c r="BL312" s="1189"/>
      <c r="BM312" s="1190"/>
      <c r="BN312" s="1189"/>
      <c r="BO312" s="468"/>
      <c r="BP312" s="1189"/>
      <c r="BQ312" s="468"/>
      <c r="BR312" s="281"/>
      <c r="BS312" s="804"/>
      <c r="BT312" s="664"/>
      <c r="BU312" s="804"/>
      <c r="BV312" s="804"/>
      <c r="BW312" s="1191"/>
      <c r="BX312" s="804"/>
    </row>
    <row r="313">
      <c r="A313" s="470"/>
      <c r="B313" s="470"/>
      <c r="C313" s="669" t="s">
        <v>609</v>
      </c>
      <c r="D313" s="1175"/>
      <c r="E313" s="1176"/>
      <c r="F313" s="281"/>
      <c r="G313" s="281"/>
      <c r="H313" s="281"/>
      <c r="I313" s="281"/>
      <c r="J313" s="1177"/>
      <c r="K313" s="1178"/>
      <c r="L313" s="666"/>
      <c r="M313" s="1179"/>
      <c r="N313" s="1179"/>
      <c r="O313" s="1176"/>
      <c r="P313" s="1180"/>
      <c r="Q313" s="1177"/>
      <c r="R313" s="1177"/>
      <c r="S313" s="1177"/>
      <c r="T313" s="1177"/>
      <c r="U313" s="1177"/>
      <c r="V313" s="1177"/>
      <c r="W313" s="1180"/>
      <c r="X313" s="1177"/>
      <c r="Y313" s="1177"/>
      <c r="Z313" s="1177"/>
      <c r="AA313" s="1177"/>
      <c r="AB313" s="345"/>
      <c r="AC313" s="1181"/>
      <c r="AD313" s="1176"/>
      <c r="AE313" s="1182"/>
      <c r="AF313" s="157"/>
      <c r="AG313" s="1175"/>
      <c r="AH313" s="1175"/>
      <c r="AI313" s="666"/>
      <c r="AJ313" s="1176"/>
      <c r="AK313" s="281"/>
      <c r="AL313" s="468"/>
      <c r="AM313" s="281"/>
      <c r="AN313" s="804"/>
      <c r="AO313" s="281"/>
      <c r="AP313" s="1183"/>
      <c r="AQ313" s="1183"/>
      <c r="AR313" s="144"/>
      <c r="AS313" s="156"/>
      <c r="AT313" s="144"/>
      <c r="AU313" s="1185"/>
      <c r="AV313" s="1186"/>
      <c r="AW313" s="1186"/>
      <c r="AX313" s="1183"/>
      <c r="AY313" s="1183"/>
      <c r="AZ313" s="146"/>
      <c r="BA313" s="1187"/>
      <c r="BB313" s="281"/>
      <c r="BC313" s="1188"/>
      <c r="BD313" s="281"/>
      <c r="BE313" s="468"/>
      <c r="BF313" s="804"/>
      <c r="BG313" s="804"/>
      <c r="BH313" s="804"/>
      <c r="BI313" s="804"/>
      <c r="BJ313" s="1189"/>
      <c r="BK313" s="468"/>
      <c r="BL313" s="1189"/>
      <c r="BM313" s="1190"/>
      <c r="BN313" s="1189"/>
      <c r="BO313" s="468"/>
      <c r="BP313" s="1189"/>
      <c r="BQ313" s="468"/>
      <c r="BR313" s="281"/>
      <c r="BS313" s="804"/>
      <c r="BT313" s="664"/>
      <c r="BU313" s="804"/>
      <c r="BV313" s="804"/>
      <c r="BW313" s="1191"/>
      <c r="BX313" s="804"/>
    </row>
    <row r="314">
      <c r="A314" s="470"/>
      <c r="B314" s="470"/>
      <c r="C314" s="669" t="s">
        <v>610</v>
      </c>
      <c r="D314" s="1175"/>
      <c r="E314" s="1176"/>
      <c r="F314" s="281"/>
      <c r="G314" s="281"/>
      <c r="H314" s="281"/>
      <c r="I314" s="281"/>
      <c r="J314" s="1177"/>
      <c r="K314" s="1178"/>
      <c r="L314" s="666"/>
      <c r="M314" s="1179"/>
      <c r="N314" s="1179"/>
      <c r="O314" s="1176"/>
      <c r="P314" s="1180"/>
      <c r="Q314" s="1177"/>
      <c r="R314" s="1177"/>
      <c r="S314" s="1177"/>
      <c r="T314" s="1177"/>
      <c r="U314" s="1177"/>
      <c r="V314" s="1177"/>
      <c r="W314" s="1180"/>
      <c r="X314" s="1177"/>
      <c r="Y314" s="1177"/>
      <c r="Z314" s="1177"/>
      <c r="AA314" s="1177"/>
      <c r="AB314" s="345"/>
      <c r="AC314" s="1181"/>
      <c r="AD314" s="1176"/>
      <c r="AE314" s="1182"/>
      <c r="AF314" s="157"/>
      <c r="AG314" s="1175"/>
      <c r="AH314" s="1175"/>
      <c r="AI314" s="666"/>
      <c r="AJ314" s="1176"/>
      <c r="AK314" s="281"/>
      <c r="AL314" s="468"/>
      <c r="AM314" s="281"/>
      <c r="AN314" s="804"/>
      <c r="AO314" s="281"/>
      <c r="AP314" s="1193" t="s">
        <v>934</v>
      </c>
      <c r="AQ314" s="1194" t="str">
        <f>'3-3 Выбор поставщиков'!F22-AQ311</f>
        <v>#REF!</v>
      </c>
      <c r="AR314" s="144"/>
      <c r="AS314" s="156"/>
      <c r="AT314" s="144"/>
      <c r="AU314" s="1185"/>
      <c r="AV314" s="1186"/>
      <c r="AW314" s="1186"/>
      <c r="AX314" s="1183"/>
      <c r="AY314" s="1183"/>
      <c r="AZ314" s="146"/>
      <c r="BA314" s="1187"/>
      <c r="BB314" s="281"/>
      <c r="BC314" s="1188"/>
      <c r="BD314" s="281"/>
      <c r="BE314" s="468"/>
      <c r="BF314" s="804"/>
      <c r="BG314" s="804"/>
      <c r="BH314" s="804"/>
      <c r="BI314" s="804"/>
      <c r="BJ314" s="1189"/>
      <c r="BK314" s="468"/>
      <c r="BL314" s="1189"/>
      <c r="BM314" s="1190"/>
      <c r="BN314" s="1189"/>
      <c r="BO314" s="468"/>
      <c r="BP314" s="1189"/>
      <c r="BQ314" s="468"/>
      <c r="BR314" s="281"/>
      <c r="BS314" s="804"/>
      <c r="BT314" s="664"/>
      <c r="BU314" s="804"/>
      <c r="BV314" s="804"/>
      <c r="BW314" s="1191"/>
      <c r="BX314" s="804"/>
    </row>
    <row r="315">
      <c r="A315" s="470"/>
      <c r="B315" s="470"/>
      <c r="C315" s="669" t="s">
        <v>611</v>
      </c>
      <c r="D315" s="1175"/>
      <c r="E315" s="1176"/>
      <c r="F315" s="281"/>
      <c r="G315" s="281"/>
      <c r="H315" s="281"/>
      <c r="I315" s="281"/>
      <c r="J315" s="1177"/>
      <c r="K315" s="1178"/>
      <c r="L315" s="666"/>
      <c r="M315" s="1179"/>
      <c r="N315" s="1179"/>
      <c r="O315" s="1176"/>
      <c r="P315" s="1180"/>
      <c r="Q315" s="1177"/>
      <c r="R315" s="1177"/>
      <c r="S315" s="1177"/>
      <c r="T315" s="1177"/>
      <c r="U315" s="1177"/>
      <c r="V315" s="1177"/>
      <c r="W315" s="1180"/>
      <c r="X315" s="1177"/>
      <c r="Y315" s="1177"/>
      <c r="Z315" s="1177"/>
      <c r="AA315" s="1177"/>
      <c r="AB315" s="345"/>
      <c r="AC315" s="1181"/>
      <c r="AD315" s="1176"/>
      <c r="AE315" s="1182"/>
      <c r="AF315" s="157"/>
      <c r="AG315" s="1175"/>
      <c r="AH315" s="1175"/>
      <c r="AI315" s="666"/>
      <c r="AJ315" s="1176"/>
      <c r="AK315" s="281"/>
      <c r="AL315" s="468"/>
      <c r="AM315" s="281"/>
      <c r="AN315" s="804"/>
      <c r="AO315" s="281"/>
      <c r="AP315" s="1184"/>
      <c r="AQ315" s="1183"/>
      <c r="AR315" s="144"/>
      <c r="AS315" s="156"/>
      <c r="AT315" s="144"/>
      <c r="AU315" s="1185"/>
      <c r="AV315" s="1186"/>
      <c r="AW315" s="1186"/>
      <c r="AX315" s="1183"/>
      <c r="AY315" s="1183"/>
      <c r="AZ315" s="146"/>
      <c r="BA315" s="1187"/>
      <c r="BB315" s="281"/>
      <c r="BC315" s="1188"/>
      <c r="BD315" s="281"/>
      <c r="BE315" s="468"/>
      <c r="BF315" s="804"/>
      <c r="BG315" s="804"/>
      <c r="BH315" s="804"/>
      <c r="BI315" s="804"/>
      <c r="BJ315" s="1189"/>
      <c r="BK315" s="468"/>
      <c r="BL315" s="1189"/>
      <c r="BM315" s="1190"/>
      <c r="BN315" s="1189"/>
      <c r="BO315" s="468"/>
      <c r="BP315" s="1189"/>
      <c r="BQ315" s="468"/>
      <c r="BR315" s="281"/>
      <c r="BS315" s="804"/>
      <c r="BT315" s="664"/>
      <c r="BU315" s="804"/>
      <c r="BV315" s="804"/>
      <c r="BW315" s="1191"/>
      <c r="BX315" s="804"/>
    </row>
    <row r="316">
      <c r="A316" s="470"/>
      <c r="B316" s="470"/>
      <c r="C316" s="669" t="s">
        <v>612</v>
      </c>
      <c r="D316" s="1175"/>
      <c r="E316" s="1176"/>
      <c r="F316" s="281"/>
      <c r="G316" s="281"/>
      <c r="H316" s="281"/>
      <c r="I316" s="281"/>
      <c r="J316" s="1177"/>
      <c r="K316" s="1178"/>
      <c r="L316" s="666"/>
      <c r="M316" s="1179"/>
      <c r="N316" s="1179"/>
      <c r="O316" s="1176"/>
      <c r="P316" s="1180"/>
      <c r="Q316" s="1177"/>
      <c r="R316" s="1177"/>
      <c r="S316" s="1177"/>
      <c r="T316" s="1177"/>
      <c r="U316" s="1177"/>
      <c r="V316" s="1177"/>
      <c r="W316" s="1180"/>
      <c r="X316" s="1177"/>
      <c r="Y316" s="1177"/>
      <c r="Z316" s="1177"/>
      <c r="AA316" s="1177"/>
      <c r="AB316" s="345"/>
      <c r="AC316" s="1181"/>
      <c r="AD316" s="1176"/>
      <c r="AE316" s="1182"/>
      <c r="AF316" s="157"/>
      <c r="AG316" s="1175"/>
      <c r="AH316" s="1175"/>
      <c r="AI316" s="666"/>
      <c r="AJ316" s="1176"/>
      <c r="AK316" s="281"/>
      <c r="AL316" s="468"/>
      <c r="AM316" s="281"/>
      <c r="AN316" s="804"/>
      <c r="AO316" s="281"/>
      <c r="AP316" s="1183"/>
      <c r="AQ316" s="1183"/>
      <c r="AR316" s="144"/>
      <c r="AS316" s="156"/>
      <c r="AT316" s="144"/>
      <c r="AU316" s="1185"/>
      <c r="AV316" s="1186"/>
      <c r="AW316" s="1186"/>
      <c r="AX316" s="1183"/>
      <c r="AY316" s="1183"/>
      <c r="AZ316" s="146"/>
      <c r="BA316" s="1187"/>
      <c r="BB316" s="281"/>
      <c r="BC316" s="1188"/>
      <c r="BD316" s="281"/>
      <c r="BE316" s="468"/>
      <c r="BF316" s="804"/>
      <c r="BG316" s="804"/>
      <c r="BH316" s="804"/>
      <c r="BI316" s="804"/>
      <c r="BJ316" s="1189"/>
      <c r="BK316" s="468"/>
      <c r="BL316" s="1189"/>
      <c r="BM316" s="1190"/>
      <c r="BN316" s="1189"/>
      <c r="BO316" s="468"/>
      <c r="BP316" s="1189"/>
      <c r="BQ316" s="468"/>
      <c r="BR316" s="281"/>
      <c r="BS316" s="804"/>
      <c r="BT316" s="664"/>
      <c r="BU316" s="804"/>
      <c r="BV316" s="804"/>
      <c r="BW316" s="1191"/>
      <c r="BX316" s="804"/>
    </row>
    <row r="317">
      <c r="A317" s="470"/>
      <c r="B317" s="470"/>
      <c r="C317" s="669" t="s">
        <v>613</v>
      </c>
      <c r="D317" s="1175"/>
      <c r="E317" s="1176"/>
      <c r="F317" s="281"/>
      <c r="G317" s="281"/>
      <c r="H317" s="281"/>
      <c r="I317" s="281"/>
      <c r="J317" s="1177"/>
      <c r="K317" s="1178"/>
      <c r="L317" s="666"/>
      <c r="M317" s="1179"/>
      <c r="N317" s="1179"/>
      <c r="O317" s="1176"/>
      <c r="P317" s="1180"/>
      <c r="Q317" s="1177"/>
      <c r="R317" s="1177"/>
      <c r="S317" s="1177"/>
      <c r="T317" s="1177"/>
      <c r="U317" s="1177"/>
      <c r="V317" s="1177"/>
      <c r="W317" s="1180"/>
      <c r="X317" s="1177"/>
      <c r="Y317" s="1177"/>
      <c r="Z317" s="1177"/>
      <c r="AA317" s="1177"/>
      <c r="AB317" s="345"/>
      <c r="AC317" s="1181"/>
      <c r="AD317" s="1176"/>
      <c r="AE317" s="1182"/>
      <c r="AF317" s="157"/>
      <c r="AG317" s="1175"/>
      <c r="AH317" s="1175"/>
      <c r="AI317" s="666"/>
      <c r="AJ317" s="1176"/>
      <c r="AK317" s="281"/>
      <c r="AL317" s="468"/>
      <c r="AM317" s="281"/>
      <c r="AN317" s="804"/>
      <c r="AO317" s="281"/>
      <c r="AP317" s="1183"/>
      <c r="AQ317" s="1183"/>
      <c r="AR317" s="144"/>
      <c r="AS317" s="156"/>
      <c r="AT317" s="144"/>
      <c r="AU317" s="1185"/>
      <c r="AV317" s="1186"/>
      <c r="AW317" s="1186"/>
      <c r="AX317" s="1183"/>
      <c r="AY317" s="1183"/>
      <c r="AZ317" s="146"/>
      <c r="BA317" s="1187"/>
      <c r="BB317" s="281"/>
      <c r="BC317" s="1188"/>
      <c r="BD317" s="281"/>
      <c r="BE317" s="468"/>
      <c r="BF317" s="804"/>
      <c r="BG317" s="804"/>
      <c r="BH317" s="804"/>
      <c r="BI317" s="804"/>
      <c r="BJ317" s="1189"/>
      <c r="BK317" s="468"/>
      <c r="BL317" s="1189"/>
      <c r="BM317" s="1190"/>
      <c r="BN317" s="1189"/>
      <c r="BO317" s="468"/>
      <c r="BP317" s="1189"/>
      <c r="BQ317" s="468"/>
      <c r="BR317" s="281"/>
      <c r="BS317" s="804"/>
      <c r="BT317" s="664"/>
      <c r="BU317" s="804"/>
      <c r="BV317" s="804"/>
      <c r="BW317" s="1191"/>
      <c r="BX317" s="804"/>
    </row>
    <row r="318">
      <c r="A318" s="470"/>
      <c r="B318" s="470"/>
      <c r="C318" s="669" t="s">
        <v>614</v>
      </c>
      <c r="D318" s="1175"/>
      <c r="E318" s="1176"/>
      <c r="F318" s="281"/>
      <c r="G318" s="281"/>
      <c r="H318" s="281"/>
      <c r="I318" s="281"/>
      <c r="J318" s="1177"/>
      <c r="K318" s="1178"/>
      <c r="L318" s="666"/>
      <c r="M318" s="1179"/>
      <c r="N318" s="1179"/>
      <c r="O318" s="1176"/>
      <c r="P318" s="1180"/>
      <c r="Q318" s="1177"/>
      <c r="R318" s="1177"/>
      <c r="S318" s="1177"/>
      <c r="T318" s="1177"/>
      <c r="U318" s="1177"/>
      <c r="V318" s="1177"/>
      <c r="W318" s="1180"/>
      <c r="X318" s="1177"/>
      <c r="Y318" s="1177"/>
      <c r="Z318" s="1177"/>
      <c r="AA318" s="1177"/>
      <c r="AB318" s="345"/>
      <c r="AC318" s="1181"/>
      <c r="AD318" s="1176"/>
      <c r="AE318" s="1182"/>
      <c r="AF318" s="157"/>
      <c r="AG318" s="1175"/>
      <c r="AH318" s="1175"/>
      <c r="AI318" s="666"/>
      <c r="AJ318" s="1176"/>
      <c r="AK318" s="281"/>
      <c r="AL318" s="468"/>
      <c r="AM318" s="281"/>
      <c r="AN318" s="804"/>
      <c r="AO318" s="281"/>
      <c r="AP318" s="1183"/>
      <c r="AQ318" s="1183"/>
      <c r="AR318" s="144"/>
      <c r="AS318" s="156"/>
      <c r="AT318" s="144"/>
      <c r="AU318" s="1185"/>
      <c r="AV318" s="1186"/>
      <c r="AW318" s="1186"/>
      <c r="AX318" s="1183"/>
      <c r="AY318" s="1183"/>
      <c r="AZ318" s="146"/>
      <c r="BA318" s="1187"/>
      <c r="BB318" s="281"/>
      <c r="BC318" s="1188"/>
      <c r="BD318" s="281"/>
      <c r="BE318" s="468"/>
      <c r="BF318" s="804"/>
      <c r="BG318" s="804"/>
      <c r="BH318" s="804"/>
      <c r="BI318" s="804"/>
      <c r="BJ318" s="1189"/>
      <c r="BK318" s="468"/>
      <c r="BL318" s="1189"/>
      <c r="BM318" s="1190"/>
      <c r="BN318" s="1189"/>
      <c r="BO318" s="468"/>
      <c r="BP318" s="1189"/>
      <c r="BQ318" s="468"/>
      <c r="BR318" s="281"/>
      <c r="BS318" s="804"/>
      <c r="BT318" s="664"/>
      <c r="BU318" s="804"/>
      <c r="BV318" s="804"/>
      <c r="BW318" s="1191"/>
      <c r="BX318" s="804"/>
    </row>
    <row r="319">
      <c r="A319" s="470"/>
      <c r="B319" s="470"/>
      <c r="C319" s="669" t="s">
        <v>615</v>
      </c>
      <c r="D319" s="1175"/>
      <c r="E319" s="1176"/>
      <c r="F319" s="281"/>
      <c r="G319" s="281"/>
      <c r="H319" s="281"/>
      <c r="I319" s="281"/>
      <c r="J319" s="1177"/>
      <c r="K319" s="1178"/>
      <c r="L319" s="666"/>
      <c r="M319" s="1179"/>
      <c r="N319" s="1179"/>
      <c r="O319" s="1176"/>
      <c r="P319" s="1180"/>
      <c r="Q319" s="1177"/>
      <c r="R319" s="1177"/>
      <c r="S319" s="1177"/>
      <c r="T319" s="1177"/>
      <c r="U319" s="1177"/>
      <c r="V319" s="1177"/>
      <c r="W319" s="1180"/>
      <c r="X319" s="1177"/>
      <c r="Y319" s="1177"/>
      <c r="Z319" s="1177"/>
      <c r="AA319" s="1177"/>
      <c r="AB319" s="345"/>
      <c r="AC319" s="1181"/>
      <c r="AD319" s="1176"/>
      <c r="AE319" s="1182"/>
      <c r="AF319" s="157"/>
      <c r="AG319" s="1175"/>
      <c r="AH319" s="1175"/>
      <c r="AI319" s="666"/>
      <c r="AJ319" s="1176"/>
      <c r="AK319" s="281"/>
      <c r="AL319" s="468"/>
      <c r="AM319" s="281"/>
      <c r="AN319" s="804"/>
      <c r="AO319" s="281"/>
      <c r="AP319" s="1183"/>
      <c r="AQ319" s="1183"/>
      <c r="AR319" s="144"/>
      <c r="AS319" s="156"/>
      <c r="AT319" s="144"/>
      <c r="AU319" s="1185"/>
      <c r="AV319" s="1186"/>
      <c r="AW319" s="1186"/>
      <c r="AX319" s="1183"/>
      <c r="AY319" s="1183"/>
      <c r="AZ319" s="146"/>
      <c r="BA319" s="1187"/>
      <c r="BB319" s="281"/>
      <c r="BC319" s="1188"/>
      <c r="BD319" s="281"/>
      <c r="BE319" s="468"/>
      <c r="BF319" s="804"/>
      <c r="BG319" s="804"/>
      <c r="BH319" s="804"/>
      <c r="BI319" s="804"/>
      <c r="BJ319" s="1189"/>
      <c r="BK319" s="468"/>
      <c r="BL319" s="1189"/>
      <c r="BM319" s="1190"/>
      <c r="BN319" s="1189"/>
      <c r="BO319" s="468"/>
      <c r="BP319" s="1189"/>
      <c r="BQ319" s="468"/>
      <c r="BR319" s="281"/>
      <c r="BS319" s="804"/>
      <c r="BT319" s="664"/>
      <c r="BU319" s="804"/>
      <c r="BV319" s="804"/>
      <c r="BW319" s="1191"/>
      <c r="BX319" s="804"/>
    </row>
  </sheetData>
  <autoFilter ref="$A$10:$BW$310"/>
  <mergeCells count="1">
    <mergeCell ref="AB9:AC9"/>
  </mergeCells>
  <conditionalFormatting sqref="AQ314">
    <cfRule type="cellIs" dxfId="0" priority="1" operator="greaterThan">
      <formula>0</formula>
    </cfRule>
  </conditionalFormatting>
  <conditionalFormatting sqref="AQ314">
    <cfRule type="cellIs" dxfId="1" priority="2" operator="lessThan">
      <formula>0</formula>
    </cfRule>
  </conditionalFormatting>
  <conditionalFormatting sqref="BW11:BW319">
    <cfRule type="expression" dxfId="17" priority="3">
      <formula>ISERROR(BV11)</formula>
    </cfRule>
  </conditionalFormatting>
  <conditionalFormatting sqref="BW11:BW310">
    <cfRule type="expression" dxfId="12" priority="4">
      <formula>LAMBDA(theErr, IFERROR( FIND("ошибка",theErr,1),0)&lt;&gt;0 )($BW11)</formula>
    </cfRule>
  </conditionalFormatting>
  <conditionalFormatting sqref="A11:BX310">
    <cfRule type="expression" dxfId="18" priority="5">
      <formula>$AA11&lt;&gt;$AB11</formula>
    </cfRule>
  </conditionalFormatting>
  <conditionalFormatting sqref="D11:BU310">
    <cfRule type="expression" dxfId="3" priority="6">
      <formula>LAMBDA(theHader,theMs,ifs(theMs="",FALSE,theHader="",FALSE,IFERROR(FIND(theHader,theMs,1),0)=0,FALSE,TRUE,TRUE))(D$10,$BW11)</formula>
    </cfRule>
  </conditionalFormatting>
  <conditionalFormatting sqref="AP11:AP319">
    <cfRule type="expression" dxfId="1" priority="7">
      <formula>AND(IFERROR(SEARCH($AF11,$D$6,1),0)&gt;0,NOT(ISNUMBER($AP11)),NOT(ISBLANK($AF11)))</formula>
    </cfRule>
  </conditionalFormatting>
  <conditionalFormatting sqref="AS11:AW319">
    <cfRule type="expression" dxfId="1" priority="8">
      <formula>AND(IFERROR(SEARCH($AF11,$E$6,1),0)&gt;0,ISBLANK(AS11),NOT(ISBLANK($AF11)))</formula>
    </cfRule>
  </conditionalFormatting>
  <conditionalFormatting sqref="BK11:BK319">
    <cfRule type="expression" dxfId="1" priority="9">
      <formula>AND(IFERROR(SEARCH($AF11,$F$6,1),0)&gt;0,ISBLANK($BK11),NOT(ISBLANK($AF11)))</formula>
    </cfRule>
  </conditionalFormatting>
  <conditionalFormatting sqref="BA11:BE319 BJ11:BM319">
    <cfRule type="expression" dxfId="1" priority="10">
      <formula>AND(IFERROR(SEARCH($AF11,$F$6,1),0)&gt;0,ISBLANK(BA11),NOT(ISBLANK($AF11)))</formula>
    </cfRule>
  </conditionalFormatting>
  <conditionalFormatting sqref="AX11:AY319">
    <cfRule type="cellIs" dxfId="19" priority="11" operator="lessThan">
      <formula>0</formula>
    </cfRule>
  </conditionalFormatting>
  <conditionalFormatting sqref="AX11:AY319">
    <cfRule type="cellIs" dxfId="14" priority="12" operator="greaterThan">
      <formula>0</formula>
    </cfRule>
  </conditionalFormatting>
  <conditionalFormatting sqref="M11:BW310">
    <cfRule type="expression" dxfId="20" priority="13">
      <formula>AND( $BQ11&lt;&gt;1,$BQ11&lt;&gt;"")</formula>
    </cfRule>
  </conditionalFormatting>
  <conditionalFormatting sqref="M11:BX310">
    <cfRule type="expression" dxfId="21" priority="14">
      <formula>$BQ11=1</formula>
    </cfRule>
  </conditionalFormatting>
  <conditionalFormatting sqref="P11:AS319">
    <cfRule type="expression" dxfId="2" priority="15">
      <formula>$AF11="Счет готов к оплате"</formula>
    </cfRule>
  </conditionalFormatting>
  <conditionalFormatting sqref="P11:AS319">
    <cfRule type="expression" dxfId="2" priority="16">
      <formula>$AF11="Скан подписанного договора получен"</formula>
    </cfRule>
  </conditionalFormatting>
  <conditionalFormatting sqref="A9:BX9">
    <cfRule type="expression" dxfId="10" priority="17">
      <formula>$N$9="&lt;&lt; Откройте доступ ошибка"</formula>
    </cfRule>
  </conditionalFormatting>
  <conditionalFormatting sqref="BI11:BI310">
    <cfRule type="expression" dxfId="3" priority="18">
      <formula>AND($BE11="Острочка",BI11="")</formula>
    </cfRule>
  </conditionalFormatting>
  <conditionalFormatting sqref="M9">
    <cfRule type="expression" dxfId="14" priority="19">
      <formula>$M$9="Есть Доступ"</formula>
    </cfRule>
  </conditionalFormatting>
  <conditionalFormatting sqref="P11:AS319">
    <cfRule type="expression" dxfId="13" priority="20">
      <formula>$AF11="Счет передан в оплату с доп пунктами"</formula>
    </cfRule>
  </conditionalFormatting>
  <conditionalFormatting sqref="P11:AS319">
    <cfRule type="expression" dxfId="13" priority="21">
      <formula>$AF11="Договор передан в оплату Наша версия договора"</formula>
    </cfRule>
  </conditionalFormatting>
  <conditionalFormatting sqref="P11:AS319">
    <cfRule type="expression" dxfId="1" priority="22">
      <formula>$AF11="Счет передан в оплату без доп пунктов"</formula>
    </cfRule>
  </conditionalFormatting>
  <conditionalFormatting sqref="P11:AS319">
    <cfRule type="expression" dxfId="1" priority="23">
      <formula>$AF11="Договор передан в оплату Версия поставщика"</formula>
    </cfRule>
  </conditionalFormatting>
  <conditionalFormatting sqref="A9:BX9">
    <cfRule type="expression" dxfId="10" priority="24">
      <formula>$AB$9="Не запущены триггеры проекта"</formula>
    </cfRule>
  </conditionalFormatting>
  <dataValidations>
    <dataValidation type="list" allowBlank="1" sqref="AF11:AF310">
      <formula1>'Настройки писем'!$AX$2:$AX$25</formula1>
    </dataValidation>
    <dataValidation type="list" allowBlank="1" sqref="AW11:AW310">
      <formula1>'Настройки писем'!$BQ$2:$BQ$10</formula1>
    </dataValidation>
    <dataValidation type="list" allowBlank="1" sqref="BE11:BE310">
      <formula1>'Настройки писем'!$AU$2:$AU319</formula1>
    </dataValidation>
    <dataValidation type="list" allowBlank="1" sqref="BM11:BM310">
      <formula1>'Настройки писем'!$AW$2:$AW319</formula1>
    </dataValidation>
    <dataValidation type="list" allowBlank="1" showErrorMessage="1" sqref="AU11:AU310">
      <formula1>'Настройки писем'!$BG$2:$BG$8</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354"/>
      <c r="B1" s="354"/>
      <c r="C1" s="740" t="s">
        <v>0</v>
      </c>
      <c r="D1" s="741"/>
      <c r="E1" s="741"/>
      <c r="F1" s="354"/>
      <c r="G1" s="354"/>
      <c r="H1" s="741"/>
      <c r="I1" s="742"/>
      <c r="J1" s="742"/>
    </row>
    <row r="2">
      <c r="A2" s="355" t="s">
        <v>5</v>
      </c>
      <c r="B2" s="352" t="s">
        <v>234</v>
      </c>
      <c r="C2" s="743" t="s">
        <v>7</v>
      </c>
      <c r="D2" s="355" t="s">
        <v>2</v>
      </c>
      <c r="E2" s="744" t="s">
        <v>8</v>
      </c>
      <c r="F2" s="744" t="s">
        <v>17</v>
      </c>
      <c r="G2" s="744" t="s">
        <v>20</v>
      </c>
      <c r="H2" s="744" t="s">
        <v>10</v>
      </c>
      <c r="I2" s="742"/>
      <c r="J2" s="742"/>
    </row>
    <row r="3">
      <c r="A3" s="352" t="s">
        <v>25</v>
      </c>
      <c r="B3" s="355" t="s">
        <v>25</v>
      </c>
      <c r="C3" s="745" t="s">
        <v>236</v>
      </c>
      <c r="D3" s="745" t="s">
        <v>236</v>
      </c>
      <c r="E3" s="746" t="s">
        <v>236</v>
      </c>
      <c r="F3" s="354"/>
      <c r="G3" s="354"/>
      <c r="H3" s="746" t="s">
        <v>236</v>
      </c>
      <c r="I3" s="742"/>
      <c r="J3" s="742"/>
    </row>
    <row r="4">
      <c r="A4" s="354"/>
      <c r="B4" s="354"/>
      <c r="C4" s="747" t="s">
        <v>28</v>
      </c>
      <c r="D4" s="354"/>
      <c r="E4" s="354"/>
      <c r="F4" s="354"/>
      <c r="G4" s="354"/>
      <c r="H4" s="354"/>
      <c r="I4" s="742"/>
      <c r="J4" s="742"/>
    </row>
    <row r="5">
      <c r="A5" s="354"/>
      <c r="B5" s="354"/>
      <c r="C5" s="747" t="s">
        <v>31</v>
      </c>
      <c r="D5" s="354"/>
      <c r="E5" s="354"/>
      <c r="F5" s="354"/>
      <c r="G5" s="354"/>
      <c r="H5" s="354"/>
      <c r="I5" s="742"/>
      <c r="J5" s="742"/>
    </row>
    <row r="6">
      <c r="A6" s="354"/>
      <c r="B6" s="354"/>
      <c r="C6" s="747" t="s">
        <v>35</v>
      </c>
      <c r="D6" s="354"/>
      <c r="E6" s="354"/>
      <c r="F6" s="354"/>
      <c r="G6" s="741"/>
      <c r="H6" s="354"/>
      <c r="I6" s="742"/>
      <c r="J6" s="742"/>
    </row>
    <row r="7">
      <c r="A7" s="355" t="s">
        <v>237</v>
      </c>
      <c r="B7" s="352" t="s">
        <v>237</v>
      </c>
      <c r="C7" s="352" t="s">
        <v>37</v>
      </c>
      <c r="D7" s="356"/>
      <c r="E7" s="356"/>
      <c r="F7" s="356"/>
      <c r="G7" s="356"/>
      <c r="H7" s="356"/>
      <c r="I7" s="742"/>
      <c r="J7" s="742"/>
    </row>
    <row r="8">
      <c r="A8" s="354"/>
      <c r="B8" s="354"/>
      <c r="C8" s="352" t="s">
        <v>39</v>
      </c>
      <c r="D8" s="354"/>
      <c r="E8" s="354"/>
      <c r="F8" s="354"/>
      <c r="G8" s="354"/>
      <c r="H8" s="354"/>
      <c r="I8" s="742"/>
      <c r="J8" s="742"/>
    </row>
    <row r="9">
      <c r="A9" s="354"/>
      <c r="B9" s="354"/>
      <c r="C9" s="740" t="s">
        <v>44</v>
      </c>
      <c r="D9" s="354"/>
      <c r="E9" s="354"/>
      <c r="F9" s="354"/>
      <c r="G9" s="354"/>
      <c r="H9" s="354"/>
      <c r="I9" s="742"/>
      <c r="J9" s="742"/>
    </row>
    <row r="10">
      <c r="A10" s="748"/>
      <c r="B10" s="748"/>
      <c r="C10" s="749" t="str">
        <f>IFERROR(__xludf.DUMMYFUNCTION("{'5-3 Выбор поставщиков Закупки'!C10;
FILTER('5-3 Выбор поставщиков Закупки'!C11:C310,'5-3 Выбор поставщиков Закупки'!A11:A310=""Да"")
}"),"ID_Товара")</f>
        <v>ID_Товара</v>
      </c>
      <c r="D10" s="750" t="str">
        <f>'5-1 Сбор КП Закупки'!D10</f>
        <v>№</v>
      </c>
      <c r="E10" s="750" t="str">
        <f>'5-1 Сбор КП Закупки'!E10</f>
        <v>Номенклатура</v>
      </c>
      <c r="F10" s="750" t="str">
        <f>'5-1 Сбор КП Закупки'!F10</f>
        <v>Название товара по договору</v>
      </c>
      <c r="G10" s="750" t="str">
        <f>'5-1 Сбор КП Закупки'!G10</f>
        <v>Изготовитель товара по договору</v>
      </c>
      <c r="H10" s="750" t="str">
        <f>'5-1 Сбор КП Закупки'!H10</f>
        <v>Характеристики</v>
      </c>
      <c r="I10" s="748"/>
      <c r="J10" s="748"/>
    </row>
    <row r="11">
      <c r="A11" s="742"/>
      <c r="B11" s="742"/>
      <c r="C11" s="751" t="str">
        <f>IFERROR(__xludf.DUMMYFUNCTION("""COMPUTED_VALUE"""),"ID_T001")</f>
        <v>ID_T001</v>
      </c>
      <c r="D11" s="742"/>
      <c r="E11" s="742"/>
      <c r="F11" s="742"/>
      <c r="G11" s="742"/>
      <c r="H11" s="742"/>
      <c r="I11" s="742"/>
      <c r="J11" s="742"/>
    </row>
    <row r="12">
      <c r="A12" s="742"/>
      <c r="B12" s="742"/>
      <c r="C12" s="751" t="str">
        <f>IFERROR(__xludf.DUMMYFUNCTION("""COMPUTED_VALUE"""),"ID_T002")</f>
        <v>ID_T002</v>
      </c>
      <c r="D12" s="742"/>
      <c r="E12" s="742"/>
      <c r="F12" s="742"/>
      <c r="G12" s="742"/>
      <c r="H12" s="742"/>
      <c r="I12" s="742"/>
      <c r="J12" s="742"/>
    </row>
    <row r="13">
      <c r="A13" s="742"/>
      <c r="B13" s="742"/>
      <c r="C13" s="751" t="str">
        <f>IFERROR(__xludf.DUMMYFUNCTION("""COMPUTED_VALUE"""),"ID_T003")</f>
        <v>ID_T003</v>
      </c>
      <c r="D13" s="742"/>
      <c r="E13" s="742"/>
      <c r="F13" s="742"/>
      <c r="G13" s="742"/>
      <c r="H13" s="742"/>
      <c r="I13" s="742"/>
      <c r="J13" s="742"/>
    </row>
    <row r="14">
      <c r="A14" s="742"/>
      <c r="B14" s="742"/>
      <c r="C14" s="751" t="str">
        <f>IFERROR(__xludf.DUMMYFUNCTION("""COMPUTED_VALUE"""),"ID_T004")</f>
        <v>ID_T004</v>
      </c>
      <c r="D14" s="742"/>
      <c r="E14" s="742"/>
      <c r="F14" s="742"/>
      <c r="G14" s="742"/>
      <c r="H14" s="742"/>
      <c r="I14" s="742"/>
      <c r="J14" s="742"/>
    </row>
    <row r="15">
      <c r="A15" s="742"/>
      <c r="B15" s="742"/>
      <c r="C15" s="751" t="str">
        <f>IFERROR(__xludf.DUMMYFUNCTION("""COMPUTED_VALUE"""),"ID_T005")</f>
        <v>ID_T005</v>
      </c>
      <c r="D15" s="742"/>
      <c r="E15" s="742"/>
      <c r="F15" s="742"/>
      <c r="G15" s="742"/>
      <c r="H15" s="742"/>
      <c r="I15" s="742"/>
      <c r="J15" s="742"/>
    </row>
    <row r="16">
      <c r="A16" s="742"/>
      <c r="B16" s="742"/>
      <c r="C16" s="751" t="str">
        <f>IFERROR(__xludf.DUMMYFUNCTION("""COMPUTED_VALUE"""),"ID_T006")</f>
        <v>ID_T006</v>
      </c>
      <c r="D16" s="742"/>
      <c r="E16" s="742"/>
      <c r="F16" s="742"/>
      <c r="G16" s="742"/>
      <c r="H16" s="742"/>
      <c r="I16" s="742"/>
      <c r="J16" s="742"/>
    </row>
    <row r="17">
      <c r="A17" s="742"/>
      <c r="B17" s="742"/>
      <c r="C17" s="751" t="str">
        <f>IFERROR(__xludf.DUMMYFUNCTION("""COMPUTED_VALUE"""),"ID_T007")</f>
        <v>ID_T007</v>
      </c>
      <c r="D17" s="742"/>
      <c r="E17" s="742"/>
      <c r="F17" s="742"/>
      <c r="G17" s="742"/>
      <c r="H17" s="742"/>
      <c r="I17" s="742"/>
      <c r="J17" s="742"/>
    </row>
    <row r="18">
      <c r="A18" s="742"/>
      <c r="B18" s="742"/>
      <c r="C18" s="751" t="str">
        <f>IFERROR(__xludf.DUMMYFUNCTION("""COMPUTED_VALUE"""),"ID_T008")</f>
        <v>ID_T008</v>
      </c>
      <c r="D18" s="742"/>
      <c r="E18" s="742"/>
      <c r="F18" s="742"/>
      <c r="G18" s="742"/>
      <c r="H18" s="742"/>
      <c r="I18" s="742"/>
      <c r="J18" s="742"/>
    </row>
    <row r="19">
      <c r="A19" s="742"/>
      <c r="B19" s="742"/>
      <c r="C19" s="751" t="str">
        <f>IFERROR(__xludf.DUMMYFUNCTION("""COMPUTED_VALUE"""),"ID_T009")</f>
        <v>ID_T009</v>
      </c>
      <c r="D19" s="742"/>
      <c r="E19" s="742"/>
      <c r="F19" s="742"/>
      <c r="G19" s="742"/>
      <c r="H19" s="742"/>
      <c r="I19" s="742"/>
      <c r="J19" s="742"/>
    </row>
    <row r="20">
      <c r="A20" s="742"/>
      <c r="B20" s="742"/>
      <c r="C20" s="751" t="str">
        <f>IFERROR(__xludf.DUMMYFUNCTION("""COMPUTED_VALUE"""),"ID_T010")</f>
        <v>ID_T010</v>
      </c>
      <c r="D20" s="742"/>
      <c r="E20" s="742"/>
      <c r="F20" s="742"/>
      <c r="G20" s="742"/>
      <c r="H20" s="742"/>
      <c r="I20" s="742"/>
      <c r="J20" s="742"/>
    </row>
    <row r="21">
      <c r="A21" s="742"/>
      <c r="B21" s="742"/>
      <c r="C21" s="751" t="str">
        <f>IFERROR(__xludf.DUMMYFUNCTION("""COMPUTED_VALUE"""),"ID_T011")</f>
        <v>ID_T011</v>
      </c>
      <c r="D21" s="742"/>
      <c r="E21" s="742"/>
      <c r="F21" s="742"/>
      <c r="G21" s="742"/>
      <c r="H21" s="742"/>
      <c r="I21" s="742"/>
      <c r="J21" s="742"/>
    </row>
    <row r="22">
      <c r="A22" s="742"/>
      <c r="B22" s="742"/>
      <c r="C22" s="751" t="str">
        <f>IFERROR(__xludf.DUMMYFUNCTION("""COMPUTED_VALUE"""),"ID_T012")</f>
        <v>ID_T012</v>
      </c>
      <c r="D22" s="742"/>
      <c r="E22" s="742"/>
      <c r="F22" s="742"/>
      <c r="G22" s="742"/>
      <c r="H22" s="742"/>
      <c r="I22" s="742"/>
      <c r="J22" s="742"/>
    </row>
    <row r="23">
      <c r="A23" s="742"/>
      <c r="B23" s="742"/>
      <c r="C23" s="751" t="str">
        <f>IFERROR(__xludf.DUMMYFUNCTION("""COMPUTED_VALUE"""),"ID_T013")</f>
        <v>ID_T013</v>
      </c>
      <c r="D23" s="742"/>
      <c r="E23" s="742"/>
      <c r="F23" s="742"/>
      <c r="G23" s="742"/>
      <c r="H23" s="742"/>
      <c r="I23" s="742"/>
      <c r="J23" s="742"/>
    </row>
    <row r="24">
      <c r="A24" s="742"/>
      <c r="B24" s="742"/>
      <c r="C24" s="751" t="str">
        <f>IFERROR(__xludf.DUMMYFUNCTION("""COMPUTED_VALUE"""),"ID_T014")</f>
        <v>ID_T014</v>
      </c>
      <c r="D24" s="742"/>
      <c r="E24" s="742"/>
      <c r="F24" s="742"/>
      <c r="G24" s="742"/>
      <c r="H24" s="742"/>
      <c r="I24" s="742"/>
      <c r="J24" s="742"/>
    </row>
    <row r="25">
      <c r="A25" s="742"/>
      <c r="B25" s="742"/>
      <c r="C25" s="751" t="str">
        <f>IFERROR(__xludf.DUMMYFUNCTION("""COMPUTED_VALUE"""),"ID_T015")</f>
        <v>ID_T015</v>
      </c>
      <c r="D25" s="742"/>
      <c r="E25" s="742"/>
      <c r="F25" s="742"/>
      <c r="G25" s="742"/>
      <c r="H25" s="742"/>
      <c r="I25" s="742"/>
      <c r="J25" s="742"/>
    </row>
    <row r="26">
      <c r="A26" s="742"/>
      <c r="B26" s="742"/>
      <c r="C26" s="751" t="str">
        <f>IFERROR(__xludf.DUMMYFUNCTION("""COMPUTED_VALUE"""),"ID_T016")</f>
        <v>ID_T016</v>
      </c>
      <c r="D26" s="742"/>
      <c r="E26" s="742"/>
      <c r="F26" s="742"/>
      <c r="G26" s="742"/>
      <c r="H26" s="742"/>
      <c r="I26" s="742"/>
      <c r="J26" s="742"/>
    </row>
    <row r="27">
      <c r="A27" s="742"/>
      <c r="B27" s="742"/>
      <c r="C27" s="751" t="str">
        <f>IFERROR(__xludf.DUMMYFUNCTION("""COMPUTED_VALUE"""),"ID_T017")</f>
        <v>ID_T017</v>
      </c>
      <c r="D27" s="742"/>
      <c r="E27" s="742"/>
      <c r="F27" s="742"/>
      <c r="G27" s="742"/>
      <c r="H27" s="742"/>
      <c r="I27" s="742"/>
      <c r="J27" s="742"/>
    </row>
    <row r="28">
      <c r="A28" s="742"/>
      <c r="B28" s="742"/>
      <c r="C28" s="751" t="str">
        <f>IFERROR(__xludf.DUMMYFUNCTION("""COMPUTED_VALUE"""),"ID_T018")</f>
        <v>ID_T018</v>
      </c>
      <c r="D28" s="742"/>
      <c r="E28" s="742"/>
      <c r="F28" s="742"/>
      <c r="G28" s="742"/>
      <c r="H28" s="742"/>
      <c r="I28" s="742"/>
      <c r="J28" s="742"/>
    </row>
    <row r="29">
      <c r="A29" s="742"/>
      <c r="B29" s="742"/>
      <c r="C29" s="751" t="str">
        <f>IFERROR(__xludf.DUMMYFUNCTION("""COMPUTED_VALUE"""),"ID_T019")</f>
        <v>ID_T019</v>
      </c>
      <c r="D29" s="742"/>
      <c r="E29" s="742"/>
      <c r="F29" s="742"/>
      <c r="G29" s="742"/>
      <c r="H29" s="742"/>
      <c r="I29" s="742"/>
      <c r="J29" s="742"/>
    </row>
    <row r="30">
      <c r="A30" s="742"/>
      <c r="B30" s="742"/>
      <c r="C30" s="751" t="str">
        <f>IFERROR(__xludf.DUMMYFUNCTION("""COMPUTED_VALUE"""),"ID_T020")</f>
        <v>ID_T020</v>
      </c>
      <c r="D30" s="742"/>
      <c r="E30" s="742"/>
      <c r="F30" s="742"/>
      <c r="G30" s="742"/>
      <c r="H30" s="742"/>
      <c r="I30" s="742"/>
      <c r="J30" s="742"/>
    </row>
    <row r="31">
      <c r="A31" s="742"/>
      <c r="B31" s="742"/>
      <c r="C31" s="751"/>
      <c r="D31" s="742"/>
      <c r="E31" s="742"/>
      <c r="F31" s="742"/>
      <c r="G31" s="742"/>
      <c r="H31" s="742"/>
      <c r="I31" s="742"/>
      <c r="J31" s="742"/>
    </row>
    <row r="32">
      <c r="A32" s="742"/>
      <c r="B32" s="742"/>
      <c r="C32" s="751"/>
      <c r="D32" s="742"/>
      <c r="E32" s="742"/>
      <c r="F32" s="742"/>
      <c r="G32" s="742"/>
      <c r="H32" s="742"/>
      <c r="I32" s="742"/>
      <c r="J32" s="742"/>
    </row>
    <row r="33">
      <c r="A33" s="742"/>
      <c r="B33" s="742"/>
      <c r="C33" s="751"/>
      <c r="D33" s="742"/>
      <c r="E33" s="742"/>
      <c r="F33" s="742"/>
      <c r="G33" s="742"/>
      <c r="H33" s="742"/>
      <c r="I33" s="742"/>
      <c r="J33" s="742"/>
    </row>
    <row r="34">
      <c r="A34" s="742"/>
      <c r="B34" s="742"/>
      <c r="C34" s="751"/>
      <c r="D34" s="742"/>
      <c r="E34" s="742"/>
      <c r="F34" s="742"/>
      <c r="G34" s="742"/>
      <c r="H34" s="742"/>
      <c r="I34" s="742"/>
      <c r="J34" s="742"/>
    </row>
    <row r="35">
      <c r="A35" s="742"/>
      <c r="B35" s="742"/>
      <c r="C35" s="751"/>
      <c r="D35" s="742"/>
      <c r="E35" s="742"/>
      <c r="F35" s="742"/>
      <c r="G35" s="742"/>
      <c r="H35" s="742"/>
      <c r="I35" s="742"/>
      <c r="J35" s="742"/>
    </row>
    <row r="36">
      <c r="A36" s="742"/>
      <c r="B36" s="742"/>
      <c r="C36" s="751"/>
      <c r="D36" s="742"/>
      <c r="E36" s="742"/>
      <c r="F36" s="742"/>
      <c r="G36" s="742"/>
      <c r="H36" s="742"/>
      <c r="I36" s="742"/>
      <c r="J36" s="742"/>
    </row>
    <row r="37">
      <c r="A37" s="742"/>
      <c r="B37" s="742"/>
      <c r="C37" s="751"/>
      <c r="D37" s="742"/>
      <c r="E37" s="742"/>
      <c r="F37" s="742"/>
      <c r="G37" s="742"/>
      <c r="H37" s="742"/>
      <c r="I37" s="742"/>
      <c r="J37" s="742"/>
    </row>
    <row r="38">
      <c r="A38" s="742"/>
      <c r="B38" s="742"/>
      <c r="C38" s="751"/>
      <c r="D38" s="742"/>
      <c r="E38" s="742"/>
      <c r="F38" s="742"/>
      <c r="G38" s="742"/>
      <c r="H38" s="742"/>
      <c r="I38" s="742"/>
      <c r="J38" s="742"/>
    </row>
    <row r="39">
      <c r="A39" s="742"/>
      <c r="B39" s="742"/>
      <c r="C39" s="751"/>
      <c r="D39" s="742"/>
      <c r="E39" s="742"/>
      <c r="F39" s="742"/>
      <c r="G39" s="742"/>
      <c r="H39" s="742"/>
      <c r="I39" s="742"/>
      <c r="J39" s="742"/>
    </row>
    <row r="40">
      <c r="A40" s="742"/>
      <c r="B40" s="742"/>
      <c r="C40" s="751"/>
      <c r="D40" s="742"/>
      <c r="E40" s="742"/>
      <c r="F40" s="742"/>
      <c r="G40" s="742"/>
      <c r="H40" s="742"/>
      <c r="I40" s="742"/>
      <c r="J40" s="742"/>
    </row>
    <row r="41">
      <c r="A41" s="742"/>
      <c r="B41" s="742"/>
      <c r="C41" s="751"/>
      <c r="D41" s="742"/>
      <c r="E41" s="742"/>
      <c r="F41" s="742"/>
      <c r="G41" s="742"/>
      <c r="H41" s="742"/>
      <c r="I41" s="742"/>
      <c r="J41" s="742"/>
    </row>
    <row r="42">
      <c r="A42" s="742"/>
      <c r="B42" s="742"/>
      <c r="C42" s="751"/>
      <c r="D42" s="742"/>
      <c r="E42" s="742"/>
      <c r="F42" s="742"/>
      <c r="G42" s="742"/>
      <c r="H42" s="742"/>
      <c r="I42" s="742"/>
      <c r="J42" s="742"/>
    </row>
    <row r="43">
      <c r="A43" s="742"/>
      <c r="B43" s="742"/>
      <c r="C43" s="751"/>
      <c r="D43" s="742"/>
      <c r="E43" s="742"/>
      <c r="F43" s="742"/>
      <c r="G43" s="742"/>
      <c r="H43" s="742"/>
      <c r="I43" s="742"/>
      <c r="J43" s="742"/>
    </row>
    <row r="44">
      <c r="A44" s="742"/>
      <c r="B44" s="742"/>
      <c r="C44" s="751"/>
      <c r="D44" s="742"/>
      <c r="E44" s="742"/>
      <c r="F44" s="742"/>
      <c r="G44" s="742"/>
      <c r="H44" s="742"/>
      <c r="I44" s="742"/>
      <c r="J44" s="742"/>
    </row>
    <row r="45">
      <c r="A45" s="742"/>
      <c r="B45" s="742"/>
      <c r="C45" s="751"/>
      <c r="D45" s="742"/>
      <c r="E45" s="742"/>
      <c r="F45" s="742"/>
      <c r="G45" s="742"/>
      <c r="H45" s="742"/>
      <c r="I45" s="742"/>
      <c r="J45" s="742"/>
    </row>
    <row r="46">
      <c r="A46" s="742"/>
      <c r="B46" s="742"/>
      <c r="C46" s="751"/>
      <c r="D46" s="742"/>
      <c r="E46" s="742"/>
      <c r="F46" s="742"/>
      <c r="G46" s="742"/>
      <c r="H46" s="742"/>
      <c r="I46" s="742"/>
      <c r="J46" s="742"/>
    </row>
    <row r="47">
      <c r="A47" s="742"/>
      <c r="B47" s="742"/>
      <c r="C47" s="751"/>
      <c r="D47" s="742"/>
      <c r="E47" s="742"/>
      <c r="F47" s="742"/>
      <c r="G47" s="742"/>
      <c r="H47" s="742"/>
      <c r="I47" s="742"/>
      <c r="J47" s="742"/>
    </row>
    <row r="48">
      <c r="A48" s="742"/>
      <c r="B48" s="742"/>
      <c r="C48" s="742"/>
      <c r="D48" s="742"/>
      <c r="E48" s="742"/>
      <c r="F48" s="742"/>
      <c r="G48" s="742"/>
      <c r="H48" s="742"/>
      <c r="I48" s="742"/>
      <c r="J48" s="742"/>
    </row>
    <row r="49">
      <c r="A49" s="742"/>
      <c r="B49" s="742"/>
      <c r="C49" s="742"/>
      <c r="D49" s="742"/>
      <c r="E49" s="742"/>
      <c r="F49" s="742"/>
      <c r="G49" s="742"/>
      <c r="H49" s="742"/>
      <c r="I49" s="742"/>
      <c r="J49" s="742"/>
    </row>
    <row r="50">
      <c r="A50" s="742"/>
      <c r="B50" s="742"/>
      <c r="C50" s="742"/>
      <c r="D50" s="742"/>
      <c r="E50" s="742"/>
      <c r="F50" s="742"/>
      <c r="G50" s="742"/>
      <c r="H50" s="742"/>
      <c r="I50" s="742"/>
      <c r="J50" s="742"/>
    </row>
    <row r="51">
      <c r="A51" s="742"/>
      <c r="B51" s="742"/>
      <c r="C51" s="742"/>
      <c r="D51" s="742"/>
      <c r="E51" s="742"/>
      <c r="F51" s="742"/>
      <c r="G51" s="742"/>
      <c r="H51" s="742"/>
      <c r="I51" s="742"/>
      <c r="J51" s="742"/>
    </row>
    <row r="52">
      <c r="A52" s="742"/>
      <c r="B52" s="742"/>
      <c r="C52" s="742"/>
      <c r="D52" s="742"/>
      <c r="E52" s="742"/>
      <c r="F52" s="742"/>
      <c r="G52" s="742"/>
      <c r="H52" s="742"/>
      <c r="I52" s="742"/>
      <c r="J52" s="742"/>
    </row>
    <row r="53">
      <c r="A53" s="742"/>
      <c r="B53" s="742"/>
      <c r="C53" s="742"/>
      <c r="D53" s="742"/>
      <c r="E53" s="742"/>
      <c r="F53" s="742"/>
      <c r="G53" s="742"/>
      <c r="H53" s="742"/>
      <c r="I53" s="742"/>
      <c r="J53" s="742"/>
    </row>
    <row r="54">
      <c r="A54" s="742"/>
      <c r="B54" s="742"/>
      <c r="C54" s="742"/>
      <c r="D54" s="742"/>
      <c r="E54" s="742"/>
      <c r="F54" s="742"/>
      <c r="G54" s="742"/>
      <c r="H54" s="742"/>
      <c r="I54" s="742"/>
      <c r="J54" s="742"/>
    </row>
    <row r="55">
      <c r="A55" s="742"/>
      <c r="B55" s="742"/>
      <c r="C55" s="742"/>
      <c r="D55" s="742"/>
      <c r="E55" s="742"/>
      <c r="F55" s="742"/>
      <c r="G55" s="742"/>
      <c r="H55" s="742"/>
      <c r="I55" s="742"/>
      <c r="J55" s="742"/>
    </row>
    <row r="56">
      <c r="A56" s="742"/>
      <c r="B56" s="742"/>
      <c r="C56" s="742"/>
      <c r="D56" s="742"/>
      <c r="E56" s="742"/>
      <c r="F56" s="742"/>
      <c r="G56" s="742"/>
      <c r="H56" s="742"/>
      <c r="I56" s="742"/>
      <c r="J56" s="742"/>
    </row>
    <row r="57">
      <c r="A57" s="742"/>
      <c r="B57" s="742"/>
      <c r="C57" s="742"/>
      <c r="D57" s="742"/>
      <c r="E57" s="742"/>
      <c r="F57" s="742"/>
      <c r="G57" s="742"/>
      <c r="H57" s="742"/>
      <c r="I57" s="742"/>
      <c r="J57" s="742"/>
    </row>
    <row r="58">
      <c r="A58" s="742"/>
      <c r="B58" s="742"/>
      <c r="C58" s="742"/>
      <c r="D58" s="742"/>
      <c r="E58" s="742"/>
      <c r="F58" s="742"/>
      <c r="G58" s="742"/>
      <c r="H58" s="742"/>
      <c r="I58" s="742"/>
      <c r="J58" s="742"/>
    </row>
    <row r="59">
      <c r="A59" s="742"/>
      <c r="B59" s="742"/>
      <c r="C59" s="742"/>
      <c r="D59" s="742"/>
      <c r="E59" s="742"/>
      <c r="F59" s="742"/>
      <c r="G59" s="742"/>
      <c r="H59" s="742"/>
      <c r="I59" s="742"/>
      <c r="J59" s="742"/>
    </row>
    <row r="60">
      <c r="A60" s="742"/>
      <c r="B60" s="742"/>
      <c r="C60" s="742"/>
      <c r="D60" s="742"/>
      <c r="E60" s="742"/>
      <c r="F60" s="742"/>
      <c r="G60" s="742"/>
      <c r="H60" s="742"/>
      <c r="I60" s="742"/>
      <c r="J60" s="742"/>
    </row>
    <row r="61">
      <c r="A61" s="742"/>
      <c r="B61" s="742"/>
      <c r="C61" s="742"/>
      <c r="D61" s="742"/>
      <c r="E61" s="742"/>
      <c r="F61" s="742"/>
      <c r="G61" s="742"/>
      <c r="H61" s="742"/>
      <c r="I61" s="742"/>
      <c r="J61" s="742"/>
    </row>
    <row r="62">
      <c r="A62" s="742"/>
      <c r="B62" s="742"/>
      <c r="C62" s="742"/>
      <c r="D62" s="742"/>
      <c r="E62" s="742"/>
      <c r="F62" s="742"/>
      <c r="G62" s="742"/>
      <c r="H62" s="742"/>
      <c r="I62" s="742"/>
      <c r="J62" s="742"/>
    </row>
    <row r="63">
      <c r="A63" s="742"/>
      <c r="B63" s="742"/>
      <c r="C63" s="742"/>
      <c r="D63" s="742"/>
      <c r="E63" s="742"/>
      <c r="F63" s="742"/>
      <c r="G63" s="742"/>
      <c r="H63" s="742"/>
      <c r="I63" s="742"/>
      <c r="J63" s="742"/>
    </row>
    <row r="64">
      <c r="A64" s="742"/>
      <c r="B64" s="742"/>
      <c r="C64" s="742"/>
      <c r="D64" s="742"/>
      <c r="E64" s="742"/>
      <c r="F64" s="742"/>
      <c r="G64" s="742"/>
      <c r="H64" s="742"/>
      <c r="I64" s="742"/>
      <c r="J64" s="742"/>
    </row>
    <row r="65">
      <c r="A65" s="742"/>
      <c r="B65" s="742"/>
      <c r="C65" s="742"/>
      <c r="D65" s="742"/>
      <c r="E65" s="742"/>
      <c r="F65" s="742"/>
      <c r="G65" s="742"/>
      <c r="H65" s="742"/>
      <c r="I65" s="742"/>
      <c r="J65" s="742"/>
    </row>
    <row r="66">
      <c r="A66" s="742"/>
      <c r="B66" s="742"/>
      <c r="C66" s="742"/>
      <c r="D66" s="742"/>
      <c r="E66" s="742"/>
      <c r="F66" s="742"/>
      <c r="G66" s="742"/>
      <c r="H66" s="742"/>
      <c r="I66" s="742"/>
      <c r="J66" s="742"/>
    </row>
    <row r="67">
      <c r="A67" s="742"/>
      <c r="B67" s="742"/>
      <c r="C67" s="742"/>
      <c r="D67" s="742"/>
      <c r="E67" s="742"/>
      <c r="F67" s="742"/>
      <c r="G67" s="742"/>
      <c r="H67" s="742"/>
      <c r="I67" s="742"/>
      <c r="J67" s="742"/>
    </row>
    <row r="68">
      <c r="A68" s="742"/>
      <c r="B68" s="742"/>
      <c r="C68" s="742"/>
      <c r="D68" s="742"/>
      <c r="E68" s="742"/>
      <c r="F68" s="742"/>
      <c r="G68" s="742"/>
      <c r="H68" s="742"/>
      <c r="I68" s="742"/>
      <c r="J68" s="742"/>
    </row>
    <row r="69">
      <c r="A69" s="742"/>
      <c r="B69" s="742"/>
      <c r="C69" s="742"/>
      <c r="D69" s="742"/>
      <c r="E69" s="742"/>
      <c r="F69" s="742"/>
      <c r="G69" s="742"/>
      <c r="H69" s="742"/>
      <c r="I69" s="742"/>
      <c r="J69" s="742"/>
    </row>
    <row r="70">
      <c r="A70" s="742"/>
      <c r="B70" s="742"/>
      <c r="C70" s="742"/>
      <c r="D70" s="742"/>
      <c r="E70" s="742"/>
      <c r="F70" s="742"/>
      <c r="G70" s="742"/>
      <c r="H70" s="742"/>
      <c r="I70" s="742"/>
      <c r="J70" s="742"/>
    </row>
    <row r="71">
      <c r="A71" s="742"/>
      <c r="B71" s="742"/>
      <c r="C71" s="742"/>
      <c r="D71" s="742"/>
      <c r="E71" s="742"/>
      <c r="F71" s="742"/>
      <c r="G71" s="742"/>
      <c r="H71" s="742"/>
      <c r="I71" s="742"/>
      <c r="J71" s="742"/>
    </row>
    <row r="72">
      <c r="A72" s="742"/>
      <c r="B72" s="742"/>
      <c r="C72" s="742"/>
      <c r="D72" s="742"/>
      <c r="E72" s="742"/>
      <c r="F72" s="742"/>
      <c r="G72" s="742"/>
      <c r="H72" s="742"/>
      <c r="I72" s="742"/>
      <c r="J72" s="742"/>
    </row>
    <row r="73">
      <c r="A73" s="742"/>
      <c r="B73" s="742"/>
      <c r="C73" s="742"/>
      <c r="D73" s="742"/>
      <c r="E73" s="742"/>
      <c r="F73" s="742"/>
      <c r="G73" s="742"/>
      <c r="H73" s="742"/>
      <c r="I73" s="742"/>
      <c r="J73" s="742"/>
    </row>
    <row r="74">
      <c r="A74" s="742"/>
      <c r="B74" s="742"/>
      <c r="C74" s="742"/>
      <c r="D74" s="742"/>
      <c r="E74" s="742"/>
      <c r="F74" s="742"/>
      <c r="G74" s="742"/>
      <c r="H74" s="742"/>
      <c r="I74" s="742"/>
      <c r="J74" s="742"/>
    </row>
    <row r="75">
      <c r="A75" s="742"/>
      <c r="B75" s="742"/>
      <c r="C75" s="742"/>
      <c r="D75" s="742"/>
      <c r="E75" s="742"/>
      <c r="F75" s="742"/>
      <c r="G75" s="742"/>
      <c r="H75" s="742"/>
      <c r="I75" s="742"/>
      <c r="J75" s="742"/>
    </row>
    <row r="76">
      <c r="A76" s="742"/>
      <c r="B76" s="742"/>
      <c r="C76" s="742"/>
      <c r="D76" s="742"/>
      <c r="E76" s="742"/>
      <c r="F76" s="742"/>
      <c r="G76" s="742"/>
      <c r="H76" s="742"/>
      <c r="I76" s="742"/>
      <c r="J76" s="742"/>
    </row>
    <row r="77">
      <c r="A77" s="742"/>
      <c r="B77" s="742"/>
      <c r="C77" s="742"/>
      <c r="D77" s="742"/>
      <c r="E77" s="742"/>
      <c r="F77" s="742"/>
      <c r="G77" s="742"/>
      <c r="H77" s="742"/>
      <c r="I77" s="742"/>
      <c r="J77" s="742"/>
    </row>
    <row r="78">
      <c r="A78" s="742"/>
      <c r="B78" s="742"/>
      <c r="C78" s="742"/>
      <c r="D78" s="742"/>
      <c r="E78" s="742"/>
      <c r="F78" s="742"/>
      <c r="G78" s="742"/>
      <c r="H78" s="742"/>
      <c r="I78" s="742"/>
      <c r="J78" s="742"/>
    </row>
    <row r="79">
      <c r="A79" s="742"/>
      <c r="B79" s="742"/>
      <c r="C79" s="742"/>
      <c r="D79" s="742"/>
      <c r="E79" s="742"/>
      <c r="F79" s="742"/>
      <c r="G79" s="742"/>
      <c r="H79" s="742"/>
      <c r="I79" s="742"/>
      <c r="J79" s="742"/>
    </row>
    <row r="80">
      <c r="A80" s="742"/>
      <c r="B80" s="742"/>
      <c r="C80" s="742"/>
      <c r="D80" s="742"/>
      <c r="E80" s="742"/>
      <c r="F80" s="742"/>
      <c r="G80" s="742"/>
      <c r="H80" s="742"/>
      <c r="I80" s="742"/>
      <c r="J80" s="742"/>
    </row>
    <row r="81">
      <c r="A81" s="742"/>
      <c r="B81" s="742"/>
      <c r="C81" s="742"/>
      <c r="D81" s="742"/>
      <c r="E81" s="742"/>
      <c r="F81" s="742"/>
      <c r="G81" s="742"/>
      <c r="H81" s="742"/>
      <c r="I81" s="742"/>
      <c r="J81" s="742"/>
    </row>
    <row r="82">
      <c r="A82" s="742"/>
      <c r="B82" s="742"/>
      <c r="C82" s="742"/>
      <c r="D82" s="742"/>
      <c r="E82" s="742"/>
      <c r="F82" s="742"/>
      <c r="G82" s="742"/>
      <c r="H82" s="742"/>
      <c r="I82" s="742"/>
      <c r="J82" s="742"/>
    </row>
    <row r="83">
      <c r="A83" s="742"/>
      <c r="B83" s="742"/>
      <c r="C83" s="742"/>
      <c r="D83" s="742"/>
      <c r="E83" s="742"/>
      <c r="F83" s="742"/>
      <c r="G83" s="742"/>
      <c r="H83" s="742"/>
      <c r="I83" s="742"/>
      <c r="J83" s="742"/>
    </row>
    <row r="84">
      <c r="A84" s="742"/>
      <c r="B84" s="742"/>
      <c r="C84" s="742"/>
      <c r="D84" s="742"/>
      <c r="E84" s="742"/>
      <c r="F84" s="742"/>
      <c r="G84" s="742"/>
      <c r="H84" s="742"/>
      <c r="I84" s="742"/>
      <c r="J84" s="742"/>
    </row>
    <row r="85">
      <c r="A85" s="742"/>
      <c r="B85" s="742"/>
      <c r="C85" s="742"/>
      <c r="D85" s="742"/>
      <c r="E85" s="742"/>
      <c r="F85" s="742"/>
      <c r="G85" s="742"/>
      <c r="H85" s="742"/>
      <c r="I85" s="742"/>
      <c r="J85" s="742"/>
    </row>
    <row r="86">
      <c r="A86" s="742"/>
      <c r="B86" s="742"/>
      <c r="C86" s="742"/>
      <c r="D86" s="742"/>
      <c r="E86" s="742"/>
      <c r="F86" s="742"/>
      <c r="G86" s="742"/>
      <c r="H86" s="742"/>
      <c r="I86" s="742"/>
      <c r="J86" s="742"/>
    </row>
    <row r="87">
      <c r="A87" s="742"/>
      <c r="B87" s="742"/>
      <c r="C87" s="742"/>
      <c r="D87" s="742"/>
      <c r="E87" s="742"/>
      <c r="F87" s="742"/>
      <c r="G87" s="742"/>
      <c r="H87" s="742"/>
      <c r="I87" s="742"/>
      <c r="J87" s="742"/>
    </row>
    <row r="88">
      <c r="A88" s="742"/>
      <c r="B88" s="742"/>
      <c r="C88" s="742"/>
      <c r="D88" s="742"/>
      <c r="E88" s="742"/>
      <c r="F88" s="742"/>
      <c r="G88" s="742"/>
      <c r="H88" s="742"/>
      <c r="I88" s="742"/>
      <c r="J88" s="742"/>
    </row>
    <row r="89">
      <c r="A89" s="742"/>
      <c r="B89" s="742"/>
      <c r="C89" s="742"/>
      <c r="D89" s="742"/>
      <c r="E89" s="742"/>
      <c r="F89" s="742"/>
      <c r="G89" s="742"/>
      <c r="H89" s="742"/>
      <c r="I89" s="742"/>
      <c r="J89" s="742"/>
    </row>
    <row r="90">
      <c r="A90" s="742"/>
      <c r="B90" s="742"/>
      <c r="C90" s="742"/>
      <c r="D90" s="742"/>
      <c r="E90" s="742"/>
      <c r="F90" s="742"/>
      <c r="G90" s="742"/>
      <c r="H90" s="742"/>
      <c r="I90" s="742"/>
      <c r="J90" s="742"/>
    </row>
    <row r="91">
      <c r="A91" s="742"/>
      <c r="B91" s="742"/>
      <c r="C91" s="742"/>
      <c r="D91" s="742"/>
      <c r="E91" s="742"/>
      <c r="F91" s="742"/>
      <c r="G91" s="742"/>
      <c r="H91" s="742"/>
      <c r="I91" s="742"/>
      <c r="J91" s="742"/>
    </row>
    <row r="92">
      <c r="A92" s="742"/>
      <c r="B92" s="742"/>
      <c r="C92" s="742"/>
      <c r="D92" s="742"/>
      <c r="E92" s="742"/>
      <c r="F92" s="742"/>
      <c r="G92" s="742"/>
      <c r="H92" s="742"/>
      <c r="I92" s="742"/>
      <c r="J92" s="742"/>
    </row>
    <row r="93">
      <c r="A93" s="742"/>
      <c r="B93" s="742"/>
      <c r="C93" s="742"/>
      <c r="D93" s="742"/>
      <c r="E93" s="742"/>
      <c r="F93" s="742"/>
      <c r="G93" s="742"/>
      <c r="H93" s="742"/>
      <c r="I93" s="742"/>
      <c r="J93" s="742"/>
    </row>
    <row r="94">
      <c r="A94" s="742"/>
      <c r="B94" s="742"/>
      <c r="C94" s="742"/>
      <c r="D94" s="742"/>
      <c r="E94" s="742"/>
      <c r="F94" s="742"/>
      <c r="G94" s="742"/>
      <c r="H94" s="742"/>
      <c r="I94" s="742"/>
      <c r="J94" s="742"/>
    </row>
    <row r="95">
      <c r="A95" s="742"/>
      <c r="B95" s="742"/>
      <c r="C95" s="742"/>
      <c r="D95" s="742"/>
      <c r="E95" s="742"/>
      <c r="F95" s="742"/>
      <c r="G95" s="742"/>
      <c r="H95" s="742"/>
      <c r="I95" s="742"/>
      <c r="J95" s="742"/>
    </row>
    <row r="96">
      <c r="A96" s="742"/>
      <c r="B96" s="742"/>
      <c r="C96" s="742"/>
      <c r="D96" s="742"/>
      <c r="E96" s="742"/>
      <c r="F96" s="742"/>
      <c r="G96" s="742"/>
      <c r="H96" s="742"/>
      <c r="I96" s="742"/>
      <c r="J96" s="742"/>
    </row>
    <row r="97">
      <c r="A97" s="742"/>
      <c r="B97" s="742"/>
      <c r="C97" s="742"/>
      <c r="D97" s="742"/>
      <c r="E97" s="742"/>
      <c r="F97" s="742"/>
      <c r="G97" s="742"/>
      <c r="H97" s="742"/>
      <c r="I97" s="742"/>
      <c r="J97" s="742"/>
    </row>
    <row r="98">
      <c r="A98" s="742"/>
      <c r="B98" s="742"/>
      <c r="C98" s="742"/>
      <c r="D98" s="742"/>
      <c r="E98" s="742"/>
      <c r="F98" s="742"/>
      <c r="G98" s="742"/>
      <c r="H98" s="742"/>
      <c r="I98" s="742"/>
      <c r="J98" s="742"/>
    </row>
    <row r="99">
      <c r="A99" s="742"/>
      <c r="B99" s="742"/>
      <c r="C99" s="742"/>
      <c r="D99" s="742"/>
      <c r="E99" s="742"/>
      <c r="F99" s="742"/>
      <c r="G99" s="742"/>
      <c r="H99" s="742"/>
      <c r="I99" s="742"/>
      <c r="J99" s="742"/>
    </row>
    <row r="100">
      <c r="A100" s="742"/>
      <c r="B100" s="742"/>
      <c r="C100" s="742"/>
      <c r="D100" s="742"/>
      <c r="E100" s="742"/>
      <c r="F100" s="742"/>
      <c r="G100" s="742"/>
      <c r="H100" s="742"/>
      <c r="I100" s="742"/>
      <c r="J100" s="742"/>
    </row>
    <row r="101">
      <c r="A101" s="742"/>
      <c r="B101" s="742"/>
      <c r="C101" s="742"/>
      <c r="D101" s="742"/>
      <c r="E101" s="742"/>
      <c r="F101" s="742"/>
      <c r="G101" s="742"/>
      <c r="H101" s="742"/>
      <c r="I101" s="742"/>
      <c r="J101" s="742"/>
    </row>
    <row r="102">
      <c r="A102" s="742"/>
      <c r="B102" s="742"/>
      <c r="C102" s="742"/>
      <c r="D102" s="742"/>
      <c r="E102" s="742"/>
      <c r="F102" s="742"/>
      <c r="G102" s="742"/>
      <c r="H102" s="742"/>
      <c r="I102" s="742"/>
      <c r="J102" s="742"/>
    </row>
    <row r="103">
      <c r="A103" s="742"/>
      <c r="B103" s="742"/>
      <c r="C103" s="742"/>
      <c r="D103" s="742"/>
      <c r="E103" s="742"/>
      <c r="F103" s="742"/>
      <c r="G103" s="742"/>
      <c r="H103" s="742"/>
      <c r="I103" s="742"/>
      <c r="J103" s="742"/>
    </row>
    <row r="104">
      <c r="A104" s="742"/>
      <c r="B104" s="742"/>
      <c r="C104" s="742"/>
      <c r="D104" s="742"/>
      <c r="E104" s="742"/>
      <c r="F104" s="742"/>
      <c r="G104" s="742"/>
      <c r="H104" s="742"/>
      <c r="I104" s="742"/>
      <c r="J104" s="742"/>
    </row>
    <row r="105">
      <c r="A105" s="742"/>
      <c r="B105" s="742"/>
      <c r="C105" s="742"/>
      <c r="D105" s="742"/>
      <c r="E105" s="742"/>
      <c r="F105" s="742"/>
      <c r="G105" s="742"/>
      <c r="H105" s="742"/>
      <c r="I105" s="742"/>
      <c r="J105" s="742"/>
    </row>
    <row r="106">
      <c r="A106" s="742"/>
      <c r="B106" s="742"/>
      <c r="C106" s="742"/>
      <c r="D106" s="742"/>
      <c r="E106" s="742"/>
      <c r="F106" s="742"/>
      <c r="G106" s="742"/>
      <c r="H106" s="742"/>
      <c r="I106" s="742"/>
      <c r="J106" s="742"/>
    </row>
    <row r="107">
      <c r="A107" s="742"/>
      <c r="B107" s="742"/>
      <c r="C107" s="742"/>
      <c r="D107" s="742"/>
      <c r="E107" s="742"/>
      <c r="F107" s="742"/>
      <c r="G107" s="742"/>
      <c r="H107" s="742"/>
      <c r="I107" s="742"/>
      <c r="J107" s="742"/>
    </row>
    <row r="108">
      <c r="A108" s="742"/>
      <c r="B108" s="742"/>
      <c r="C108" s="742"/>
      <c r="D108" s="742"/>
      <c r="E108" s="742"/>
      <c r="F108" s="742"/>
      <c r="G108" s="742"/>
      <c r="H108" s="742"/>
      <c r="I108" s="742"/>
      <c r="J108" s="742"/>
    </row>
    <row r="109">
      <c r="A109" s="742"/>
      <c r="B109" s="742"/>
      <c r="C109" s="742"/>
      <c r="D109" s="742"/>
      <c r="E109" s="742"/>
      <c r="F109" s="742"/>
      <c r="G109" s="742"/>
      <c r="H109" s="742"/>
      <c r="I109" s="742"/>
      <c r="J109" s="742"/>
    </row>
    <row r="110">
      <c r="A110" s="742"/>
      <c r="B110" s="742"/>
      <c r="C110" s="742"/>
      <c r="D110" s="742"/>
      <c r="E110" s="742"/>
      <c r="F110" s="742"/>
      <c r="G110" s="742"/>
      <c r="H110" s="742"/>
      <c r="I110" s="742"/>
      <c r="J110" s="742"/>
    </row>
    <row r="111">
      <c r="A111" s="742"/>
      <c r="B111" s="742"/>
      <c r="C111" s="742"/>
      <c r="D111" s="742"/>
      <c r="E111" s="742"/>
      <c r="F111" s="742"/>
      <c r="G111" s="742"/>
      <c r="H111" s="742"/>
      <c r="I111" s="742"/>
      <c r="J111" s="742"/>
    </row>
    <row r="112">
      <c r="A112" s="742"/>
      <c r="B112" s="742"/>
      <c r="C112" s="742"/>
      <c r="D112" s="742"/>
      <c r="E112" s="742"/>
      <c r="F112" s="742"/>
      <c r="G112" s="742"/>
      <c r="H112" s="742"/>
      <c r="I112" s="742"/>
      <c r="J112" s="742"/>
    </row>
    <row r="113">
      <c r="A113" s="742"/>
      <c r="B113" s="742"/>
      <c r="C113" s="742"/>
      <c r="D113" s="742"/>
      <c r="E113" s="742"/>
      <c r="F113" s="742"/>
      <c r="G113" s="742"/>
      <c r="H113" s="742"/>
      <c r="I113" s="742"/>
      <c r="J113" s="742"/>
    </row>
    <row r="114">
      <c r="A114" s="742"/>
      <c r="B114" s="742"/>
      <c r="C114" s="742"/>
      <c r="D114" s="742"/>
      <c r="E114" s="742"/>
      <c r="F114" s="742"/>
      <c r="G114" s="742"/>
      <c r="H114" s="742"/>
      <c r="I114" s="742"/>
      <c r="J114" s="742"/>
    </row>
    <row r="115">
      <c r="A115" s="742"/>
      <c r="B115" s="742"/>
      <c r="C115" s="742"/>
      <c r="D115" s="742"/>
      <c r="E115" s="742"/>
      <c r="F115" s="742"/>
      <c r="G115" s="742"/>
      <c r="H115" s="742"/>
      <c r="I115" s="742"/>
      <c r="J115" s="742"/>
    </row>
    <row r="116">
      <c r="A116" s="742"/>
      <c r="B116" s="742"/>
      <c r="C116" s="742"/>
      <c r="D116" s="742"/>
      <c r="E116" s="742"/>
      <c r="F116" s="742"/>
      <c r="G116" s="742"/>
      <c r="H116" s="742"/>
      <c r="I116" s="742"/>
      <c r="J116" s="742"/>
    </row>
    <row r="117">
      <c r="A117" s="742"/>
      <c r="B117" s="742"/>
      <c r="C117" s="742"/>
      <c r="D117" s="742"/>
      <c r="E117" s="742"/>
      <c r="F117" s="742"/>
      <c r="G117" s="742"/>
      <c r="H117" s="742"/>
      <c r="I117" s="742"/>
      <c r="J117" s="742"/>
    </row>
    <row r="118">
      <c r="A118" s="742"/>
      <c r="B118" s="742"/>
      <c r="C118" s="742"/>
      <c r="D118" s="742"/>
      <c r="E118" s="742"/>
      <c r="F118" s="742"/>
      <c r="G118" s="742"/>
      <c r="H118" s="742"/>
      <c r="I118" s="742"/>
      <c r="J118" s="742"/>
    </row>
    <row r="119">
      <c r="A119" s="742"/>
      <c r="B119" s="742"/>
      <c r="C119" s="742"/>
      <c r="D119" s="742"/>
      <c r="E119" s="742"/>
      <c r="F119" s="742"/>
      <c r="G119" s="742"/>
      <c r="H119" s="742"/>
      <c r="I119" s="742"/>
      <c r="J119" s="742"/>
    </row>
    <row r="120">
      <c r="A120" s="742"/>
      <c r="B120" s="742"/>
      <c r="C120" s="742"/>
      <c r="D120" s="742"/>
      <c r="E120" s="742"/>
      <c r="F120" s="742"/>
      <c r="G120" s="742"/>
      <c r="H120" s="742"/>
      <c r="I120" s="742"/>
      <c r="J120" s="742"/>
    </row>
    <row r="121">
      <c r="A121" s="742"/>
      <c r="B121" s="742"/>
      <c r="C121" s="742"/>
      <c r="D121" s="742"/>
      <c r="E121" s="742"/>
      <c r="F121" s="742"/>
      <c r="G121" s="742"/>
      <c r="H121" s="742"/>
      <c r="I121" s="742"/>
      <c r="J121" s="742"/>
    </row>
    <row r="122">
      <c r="A122" s="742"/>
      <c r="B122" s="742"/>
      <c r="C122" s="742"/>
      <c r="D122" s="742"/>
      <c r="E122" s="742"/>
      <c r="F122" s="742"/>
      <c r="G122" s="742"/>
      <c r="H122" s="742"/>
      <c r="I122" s="742"/>
      <c r="J122" s="742"/>
    </row>
    <row r="123">
      <c r="A123" s="742"/>
      <c r="B123" s="742"/>
      <c r="C123" s="742"/>
      <c r="D123" s="742"/>
      <c r="E123" s="742"/>
      <c r="F123" s="742"/>
      <c r="G123" s="742"/>
      <c r="H123" s="742"/>
      <c r="I123" s="742"/>
      <c r="J123" s="742"/>
    </row>
    <row r="124">
      <c r="A124" s="742"/>
      <c r="B124" s="742"/>
      <c r="C124" s="742"/>
      <c r="D124" s="742"/>
      <c r="E124" s="742"/>
      <c r="F124" s="742"/>
      <c r="G124" s="742"/>
      <c r="H124" s="742"/>
      <c r="I124" s="742"/>
      <c r="J124" s="742"/>
    </row>
    <row r="125">
      <c r="A125" s="742"/>
      <c r="B125" s="742"/>
      <c r="C125" s="742"/>
      <c r="D125" s="742"/>
      <c r="E125" s="742"/>
      <c r="F125" s="742"/>
      <c r="G125" s="742"/>
      <c r="H125" s="742"/>
      <c r="I125" s="742"/>
      <c r="J125" s="742"/>
    </row>
    <row r="126">
      <c r="A126" s="742"/>
      <c r="B126" s="742"/>
      <c r="C126" s="742"/>
      <c r="D126" s="742"/>
      <c r="E126" s="742"/>
      <c r="F126" s="742"/>
      <c r="G126" s="742"/>
      <c r="H126" s="742"/>
      <c r="I126" s="742"/>
      <c r="J126" s="742"/>
    </row>
    <row r="127">
      <c r="A127" s="742"/>
      <c r="B127" s="742"/>
      <c r="C127" s="742"/>
      <c r="D127" s="742"/>
      <c r="E127" s="742"/>
      <c r="F127" s="742"/>
      <c r="G127" s="742"/>
      <c r="H127" s="742"/>
      <c r="I127" s="742"/>
      <c r="J127" s="742"/>
    </row>
    <row r="128">
      <c r="A128" s="742"/>
      <c r="B128" s="742"/>
      <c r="C128" s="742"/>
      <c r="D128" s="742"/>
      <c r="E128" s="742"/>
      <c r="F128" s="742"/>
      <c r="G128" s="742"/>
      <c r="H128" s="742"/>
      <c r="I128" s="742"/>
      <c r="J128" s="742"/>
    </row>
    <row r="129">
      <c r="A129" s="742"/>
      <c r="B129" s="742"/>
      <c r="C129" s="742"/>
      <c r="D129" s="742"/>
      <c r="E129" s="742"/>
      <c r="F129" s="742"/>
      <c r="G129" s="742"/>
      <c r="H129" s="742"/>
      <c r="I129" s="742"/>
      <c r="J129" s="742"/>
    </row>
    <row r="130">
      <c r="A130" s="742"/>
      <c r="B130" s="742"/>
      <c r="C130" s="742"/>
      <c r="D130" s="742"/>
      <c r="E130" s="742"/>
      <c r="F130" s="742"/>
      <c r="G130" s="742"/>
      <c r="H130" s="742"/>
      <c r="I130" s="742"/>
      <c r="J130" s="742"/>
    </row>
    <row r="131">
      <c r="A131" s="742"/>
      <c r="B131" s="742"/>
      <c r="C131" s="742"/>
      <c r="D131" s="742"/>
      <c r="E131" s="742"/>
      <c r="F131" s="742"/>
      <c r="G131" s="742"/>
      <c r="H131" s="742"/>
      <c r="I131" s="742"/>
      <c r="J131" s="742"/>
    </row>
    <row r="132">
      <c r="A132" s="742"/>
      <c r="B132" s="742"/>
      <c r="C132" s="742"/>
      <c r="D132" s="742"/>
      <c r="E132" s="742"/>
      <c r="F132" s="742"/>
      <c r="G132" s="742"/>
      <c r="H132" s="742"/>
      <c r="I132" s="742"/>
      <c r="J132" s="742"/>
    </row>
    <row r="133">
      <c r="A133" s="742"/>
      <c r="B133" s="742"/>
      <c r="C133" s="742"/>
      <c r="D133" s="742"/>
      <c r="E133" s="742"/>
      <c r="F133" s="742"/>
      <c r="G133" s="742"/>
      <c r="H133" s="742"/>
      <c r="I133" s="742"/>
      <c r="J133" s="742"/>
    </row>
    <row r="134">
      <c r="A134" s="742"/>
      <c r="B134" s="742"/>
      <c r="C134" s="742"/>
      <c r="D134" s="742"/>
      <c r="E134" s="742"/>
      <c r="F134" s="742"/>
      <c r="G134" s="742"/>
      <c r="H134" s="742"/>
      <c r="I134" s="742"/>
      <c r="J134" s="742"/>
    </row>
    <row r="135">
      <c r="A135" s="742"/>
      <c r="B135" s="742"/>
      <c r="C135" s="742"/>
      <c r="D135" s="742"/>
      <c r="E135" s="742"/>
      <c r="F135" s="742"/>
      <c r="G135" s="742"/>
      <c r="H135" s="742"/>
      <c r="I135" s="742"/>
      <c r="J135" s="742"/>
    </row>
    <row r="136">
      <c r="A136" s="742"/>
      <c r="B136" s="742"/>
      <c r="C136" s="742"/>
      <c r="D136" s="742"/>
      <c r="E136" s="742"/>
      <c r="F136" s="742"/>
      <c r="G136" s="742"/>
      <c r="H136" s="742"/>
      <c r="I136" s="742"/>
      <c r="J136" s="742"/>
    </row>
    <row r="137">
      <c r="A137" s="742"/>
      <c r="B137" s="742"/>
      <c r="C137" s="742"/>
      <c r="D137" s="742"/>
      <c r="E137" s="742"/>
      <c r="F137" s="742"/>
      <c r="G137" s="742"/>
      <c r="H137" s="742"/>
      <c r="I137" s="742"/>
      <c r="J137" s="742"/>
    </row>
    <row r="138">
      <c r="A138" s="742"/>
      <c r="B138" s="742"/>
      <c r="C138" s="742"/>
      <c r="D138" s="742"/>
      <c r="E138" s="742"/>
      <c r="F138" s="742"/>
      <c r="G138" s="742"/>
      <c r="H138" s="742"/>
      <c r="I138" s="742"/>
      <c r="J138" s="742"/>
    </row>
    <row r="139">
      <c r="A139" s="742"/>
      <c r="B139" s="742"/>
      <c r="C139" s="742"/>
      <c r="D139" s="742"/>
      <c r="E139" s="742"/>
      <c r="F139" s="742"/>
      <c r="G139" s="742"/>
      <c r="H139" s="742"/>
      <c r="I139" s="742"/>
      <c r="J139" s="742"/>
    </row>
    <row r="140">
      <c r="A140" s="742"/>
      <c r="B140" s="742"/>
      <c r="C140" s="742"/>
      <c r="D140" s="742"/>
      <c r="E140" s="742"/>
      <c r="F140" s="742"/>
      <c r="G140" s="742"/>
      <c r="H140" s="742"/>
      <c r="I140" s="742"/>
      <c r="J140" s="742"/>
    </row>
    <row r="141">
      <c r="A141" s="742"/>
      <c r="B141" s="742"/>
      <c r="C141" s="742"/>
      <c r="D141" s="742"/>
      <c r="E141" s="742"/>
      <c r="F141" s="742"/>
      <c r="G141" s="742"/>
      <c r="H141" s="742"/>
      <c r="I141" s="742"/>
      <c r="J141" s="742"/>
    </row>
    <row r="142">
      <c r="A142" s="742"/>
      <c r="B142" s="742"/>
      <c r="C142" s="742"/>
      <c r="D142" s="742"/>
      <c r="E142" s="742"/>
      <c r="F142" s="742"/>
      <c r="G142" s="742"/>
      <c r="H142" s="742"/>
      <c r="I142" s="742"/>
      <c r="J142" s="742"/>
    </row>
    <row r="143">
      <c r="A143" s="742"/>
      <c r="B143" s="742"/>
      <c r="C143" s="742"/>
      <c r="D143" s="742"/>
      <c r="E143" s="742"/>
      <c r="F143" s="742"/>
      <c r="G143" s="742"/>
      <c r="H143" s="742"/>
      <c r="I143" s="742"/>
      <c r="J143" s="742"/>
    </row>
    <row r="144">
      <c r="A144" s="742"/>
      <c r="B144" s="742"/>
      <c r="C144" s="742"/>
      <c r="D144" s="742"/>
      <c r="E144" s="742"/>
      <c r="F144" s="742"/>
      <c r="G144" s="742"/>
      <c r="H144" s="742"/>
      <c r="I144" s="742"/>
      <c r="J144" s="742"/>
    </row>
    <row r="145">
      <c r="A145" s="742"/>
      <c r="B145" s="742"/>
      <c r="C145" s="742"/>
      <c r="D145" s="742"/>
      <c r="E145" s="742"/>
      <c r="F145" s="742"/>
      <c r="G145" s="742"/>
      <c r="H145" s="742"/>
      <c r="I145" s="742"/>
      <c r="J145" s="742"/>
    </row>
    <row r="146">
      <c r="A146" s="742"/>
      <c r="B146" s="742"/>
      <c r="C146" s="742"/>
      <c r="D146" s="742"/>
      <c r="E146" s="742"/>
      <c r="F146" s="742"/>
      <c r="G146" s="742"/>
      <c r="H146" s="742"/>
      <c r="I146" s="742"/>
      <c r="J146" s="742"/>
    </row>
    <row r="147">
      <c r="A147" s="742"/>
      <c r="B147" s="742"/>
      <c r="C147" s="742"/>
      <c r="D147" s="742"/>
      <c r="E147" s="742"/>
      <c r="F147" s="742"/>
      <c r="G147" s="742"/>
      <c r="H147" s="742"/>
      <c r="I147" s="742"/>
      <c r="J147" s="742"/>
    </row>
    <row r="148">
      <c r="A148" s="742"/>
      <c r="B148" s="742"/>
      <c r="C148" s="742"/>
      <c r="D148" s="742"/>
      <c r="E148" s="742"/>
      <c r="F148" s="742"/>
      <c r="G148" s="742"/>
      <c r="H148" s="742"/>
      <c r="I148" s="742"/>
      <c r="J148" s="742"/>
    </row>
    <row r="149">
      <c r="A149" s="742"/>
      <c r="B149" s="742"/>
      <c r="C149" s="742"/>
      <c r="D149" s="742"/>
      <c r="E149" s="742"/>
      <c r="F149" s="742"/>
      <c r="G149" s="742"/>
      <c r="H149" s="742"/>
      <c r="I149" s="742"/>
      <c r="J149" s="742"/>
    </row>
    <row r="150">
      <c r="A150" s="742"/>
      <c r="B150" s="742"/>
      <c r="C150" s="742"/>
      <c r="D150" s="742"/>
      <c r="E150" s="742"/>
      <c r="F150" s="742"/>
      <c r="G150" s="742"/>
      <c r="H150" s="742"/>
      <c r="I150" s="742"/>
      <c r="J150" s="742"/>
    </row>
    <row r="151">
      <c r="A151" s="742"/>
      <c r="B151" s="742"/>
      <c r="C151" s="742"/>
      <c r="D151" s="742"/>
      <c r="E151" s="742"/>
      <c r="F151" s="742"/>
      <c r="G151" s="742"/>
      <c r="H151" s="742"/>
      <c r="I151" s="742"/>
      <c r="J151" s="742"/>
    </row>
    <row r="152">
      <c r="A152" s="742"/>
      <c r="B152" s="742"/>
      <c r="C152" s="742"/>
      <c r="D152" s="742"/>
      <c r="E152" s="742"/>
      <c r="F152" s="742"/>
      <c r="G152" s="742"/>
      <c r="H152" s="742"/>
      <c r="I152" s="742"/>
      <c r="J152" s="742"/>
    </row>
    <row r="153">
      <c r="A153" s="742"/>
      <c r="B153" s="742"/>
      <c r="C153" s="742"/>
      <c r="D153" s="742"/>
      <c r="E153" s="742"/>
      <c r="F153" s="742"/>
      <c r="G153" s="742"/>
      <c r="H153" s="742"/>
      <c r="I153" s="742"/>
      <c r="J153" s="742"/>
    </row>
    <row r="154">
      <c r="A154" s="742"/>
      <c r="B154" s="742"/>
      <c r="C154" s="742"/>
      <c r="D154" s="742"/>
      <c r="E154" s="742"/>
      <c r="F154" s="742"/>
      <c r="G154" s="742"/>
      <c r="H154" s="742"/>
      <c r="I154" s="742"/>
      <c r="J154" s="742"/>
    </row>
    <row r="155">
      <c r="A155" s="742"/>
      <c r="B155" s="742"/>
      <c r="C155" s="742"/>
      <c r="D155" s="742"/>
      <c r="E155" s="742"/>
      <c r="F155" s="742"/>
      <c r="G155" s="742"/>
      <c r="H155" s="742"/>
      <c r="I155" s="742"/>
      <c r="J155" s="742"/>
    </row>
    <row r="156">
      <c r="A156" s="742"/>
      <c r="B156" s="742"/>
      <c r="C156" s="742"/>
      <c r="D156" s="742"/>
      <c r="E156" s="742"/>
      <c r="F156" s="742"/>
      <c r="G156" s="742"/>
      <c r="H156" s="742"/>
      <c r="I156" s="742"/>
      <c r="J156" s="742"/>
    </row>
    <row r="157">
      <c r="A157" s="742"/>
      <c r="B157" s="742"/>
      <c r="C157" s="742"/>
      <c r="D157" s="742"/>
      <c r="E157" s="742"/>
      <c r="F157" s="742"/>
      <c r="G157" s="742"/>
      <c r="H157" s="742"/>
      <c r="I157" s="742"/>
      <c r="J157" s="742"/>
    </row>
    <row r="158">
      <c r="A158" s="742"/>
      <c r="B158" s="742"/>
      <c r="C158" s="742"/>
      <c r="D158" s="742"/>
      <c r="E158" s="742"/>
      <c r="F158" s="742"/>
      <c r="G158" s="742"/>
      <c r="H158" s="742"/>
      <c r="I158" s="742"/>
      <c r="J158" s="742"/>
    </row>
    <row r="159">
      <c r="A159" s="742"/>
      <c r="B159" s="742"/>
      <c r="C159" s="742"/>
      <c r="D159" s="742"/>
      <c r="E159" s="742"/>
      <c r="F159" s="742"/>
      <c r="G159" s="742"/>
      <c r="H159" s="742"/>
      <c r="I159" s="742"/>
      <c r="J159" s="742"/>
    </row>
    <row r="160">
      <c r="A160" s="742"/>
      <c r="B160" s="742"/>
      <c r="C160" s="742"/>
      <c r="D160" s="742"/>
      <c r="E160" s="742"/>
      <c r="F160" s="742"/>
      <c r="G160" s="742"/>
      <c r="H160" s="742"/>
      <c r="I160" s="742"/>
      <c r="J160" s="742"/>
    </row>
    <row r="161">
      <c r="A161" s="742"/>
      <c r="B161" s="742"/>
      <c r="C161" s="742"/>
      <c r="D161" s="742"/>
      <c r="E161" s="742"/>
      <c r="F161" s="742"/>
      <c r="G161" s="742"/>
      <c r="H161" s="742"/>
      <c r="I161" s="742"/>
      <c r="J161" s="742"/>
    </row>
    <row r="162">
      <c r="A162" s="742"/>
      <c r="B162" s="742"/>
      <c r="C162" s="742"/>
      <c r="D162" s="742"/>
      <c r="E162" s="742"/>
      <c r="F162" s="742"/>
      <c r="G162" s="742"/>
      <c r="H162" s="742"/>
      <c r="I162" s="742"/>
      <c r="J162" s="742"/>
    </row>
    <row r="163">
      <c r="A163" s="742"/>
      <c r="B163" s="742"/>
      <c r="C163" s="742"/>
      <c r="D163" s="742"/>
      <c r="E163" s="742"/>
      <c r="F163" s="742"/>
      <c r="G163" s="742"/>
      <c r="H163" s="742"/>
      <c r="I163" s="742"/>
      <c r="J163" s="742"/>
    </row>
    <row r="164">
      <c r="A164" s="742"/>
      <c r="B164" s="742"/>
      <c r="C164" s="742"/>
      <c r="D164" s="742"/>
      <c r="E164" s="742"/>
      <c r="F164" s="742"/>
      <c r="G164" s="742"/>
      <c r="H164" s="742"/>
      <c r="I164" s="742"/>
      <c r="J164" s="742"/>
    </row>
    <row r="165">
      <c r="A165" s="742"/>
      <c r="B165" s="742"/>
      <c r="C165" s="742"/>
      <c r="D165" s="742"/>
      <c r="E165" s="742"/>
      <c r="F165" s="742"/>
      <c r="G165" s="742"/>
      <c r="H165" s="742"/>
      <c r="I165" s="742"/>
      <c r="J165" s="742"/>
    </row>
    <row r="166">
      <c r="A166" s="742"/>
      <c r="B166" s="742"/>
      <c r="C166" s="742"/>
      <c r="D166" s="742"/>
      <c r="E166" s="742"/>
      <c r="F166" s="742"/>
      <c r="G166" s="742"/>
      <c r="H166" s="742"/>
      <c r="I166" s="742"/>
      <c r="J166" s="742"/>
    </row>
    <row r="167">
      <c r="A167" s="742"/>
      <c r="B167" s="742"/>
      <c r="C167" s="742"/>
      <c r="D167" s="742"/>
      <c r="E167" s="742"/>
      <c r="F167" s="742"/>
      <c r="G167" s="742"/>
      <c r="H167" s="742"/>
      <c r="I167" s="742"/>
      <c r="J167" s="742"/>
    </row>
    <row r="168">
      <c r="A168" s="742"/>
      <c r="B168" s="742"/>
      <c r="C168" s="742"/>
      <c r="D168" s="742"/>
      <c r="E168" s="742"/>
      <c r="F168" s="742"/>
      <c r="G168" s="742"/>
      <c r="H168" s="742"/>
      <c r="I168" s="742"/>
      <c r="J168" s="742"/>
    </row>
    <row r="169">
      <c r="A169" s="742"/>
      <c r="B169" s="742"/>
      <c r="C169" s="742"/>
      <c r="D169" s="742"/>
      <c r="E169" s="742"/>
      <c r="F169" s="742"/>
      <c r="G169" s="742"/>
      <c r="H169" s="742"/>
      <c r="I169" s="742"/>
      <c r="J169" s="742"/>
    </row>
    <row r="170">
      <c r="A170" s="742"/>
      <c r="B170" s="742"/>
      <c r="C170" s="742"/>
      <c r="D170" s="742"/>
      <c r="E170" s="742"/>
      <c r="F170" s="742"/>
      <c r="G170" s="742"/>
      <c r="H170" s="742"/>
      <c r="I170" s="742"/>
      <c r="J170" s="742"/>
    </row>
    <row r="171">
      <c r="A171" s="742"/>
      <c r="B171" s="742"/>
      <c r="C171" s="742"/>
      <c r="D171" s="742"/>
      <c r="E171" s="742"/>
      <c r="F171" s="742"/>
      <c r="G171" s="742"/>
      <c r="H171" s="742"/>
      <c r="I171" s="742"/>
      <c r="J171" s="742"/>
    </row>
    <row r="172">
      <c r="A172" s="742"/>
      <c r="B172" s="742"/>
      <c r="C172" s="742"/>
      <c r="D172" s="742"/>
      <c r="E172" s="742"/>
      <c r="F172" s="742"/>
      <c r="G172" s="742"/>
      <c r="H172" s="742"/>
      <c r="I172" s="742"/>
      <c r="J172" s="742"/>
    </row>
    <row r="173">
      <c r="A173" s="742"/>
      <c r="B173" s="742"/>
      <c r="C173" s="742"/>
      <c r="D173" s="742"/>
      <c r="E173" s="742"/>
      <c r="F173" s="742"/>
      <c r="G173" s="742"/>
      <c r="H173" s="742"/>
      <c r="I173" s="742"/>
      <c r="J173" s="742"/>
    </row>
    <row r="174">
      <c r="A174" s="742"/>
      <c r="B174" s="742"/>
      <c r="C174" s="742"/>
      <c r="D174" s="742"/>
      <c r="E174" s="742"/>
      <c r="F174" s="742"/>
      <c r="G174" s="742"/>
      <c r="H174" s="742"/>
      <c r="I174" s="742"/>
      <c r="J174" s="742"/>
    </row>
    <row r="175">
      <c r="A175" s="742"/>
      <c r="B175" s="742"/>
      <c r="C175" s="742"/>
      <c r="D175" s="742"/>
      <c r="E175" s="742"/>
      <c r="F175" s="742"/>
      <c r="G175" s="742"/>
      <c r="H175" s="742"/>
      <c r="I175" s="742"/>
      <c r="J175" s="742"/>
    </row>
    <row r="176">
      <c r="A176" s="742"/>
      <c r="B176" s="742"/>
      <c r="C176" s="742"/>
      <c r="D176" s="742"/>
      <c r="E176" s="742"/>
      <c r="F176" s="742"/>
      <c r="G176" s="742"/>
      <c r="H176" s="742"/>
      <c r="I176" s="742"/>
      <c r="J176" s="742"/>
    </row>
    <row r="177">
      <c r="A177" s="742"/>
      <c r="B177" s="742"/>
      <c r="C177" s="742"/>
      <c r="D177" s="742"/>
      <c r="E177" s="742"/>
      <c r="F177" s="742"/>
      <c r="G177" s="742"/>
      <c r="H177" s="742"/>
      <c r="I177" s="742"/>
      <c r="J177" s="742"/>
    </row>
    <row r="178">
      <c r="A178" s="742"/>
      <c r="B178" s="742"/>
      <c r="C178" s="742"/>
      <c r="D178" s="742"/>
      <c r="E178" s="742"/>
      <c r="F178" s="742"/>
      <c r="G178" s="742"/>
      <c r="H178" s="742"/>
      <c r="I178" s="742"/>
      <c r="J178" s="742"/>
    </row>
    <row r="179">
      <c r="A179" s="742"/>
      <c r="B179" s="742"/>
      <c r="C179" s="742"/>
      <c r="D179" s="742"/>
      <c r="E179" s="742"/>
      <c r="F179" s="742"/>
      <c r="G179" s="742"/>
      <c r="H179" s="742"/>
      <c r="I179" s="742"/>
      <c r="J179" s="742"/>
    </row>
    <row r="180">
      <c r="A180" s="742"/>
      <c r="B180" s="742"/>
      <c r="C180" s="742"/>
      <c r="D180" s="742"/>
      <c r="E180" s="742"/>
      <c r="F180" s="742"/>
      <c r="G180" s="742"/>
      <c r="H180" s="742"/>
      <c r="I180" s="742"/>
      <c r="J180" s="742"/>
    </row>
    <row r="181">
      <c r="A181" s="742"/>
      <c r="B181" s="742"/>
      <c r="C181" s="742"/>
      <c r="D181" s="742"/>
      <c r="E181" s="742"/>
      <c r="F181" s="742"/>
      <c r="G181" s="742"/>
      <c r="H181" s="742"/>
      <c r="I181" s="742"/>
      <c r="J181" s="742"/>
    </row>
    <row r="182">
      <c r="A182" s="742"/>
      <c r="B182" s="742"/>
      <c r="C182" s="742"/>
      <c r="D182" s="742"/>
      <c r="E182" s="742"/>
      <c r="F182" s="742"/>
      <c r="G182" s="742"/>
      <c r="H182" s="742"/>
      <c r="I182" s="742"/>
      <c r="J182" s="742"/>
    </row>
    <row r="183">
      <c r="A183" s="742"/>
      <c r="B183" s="742"/>
      <c r="C183" s="742"/>
      <c r="D183" s="742"/>
      <c r="E183" s="742"/>
      <c r="F183" s="742"/>
      <c r="G183" s="742"/>
      <c r="H183" s="742"/>
      <c r="I183" s="742"/>
      <c r="J183" s="742"/>
    </row>
    <row r="184">
      <c r="A184" s="742"/>
      <c r="B184" s="742"/>
      <c r="C184" s="742"/>
      <c r="D184" s="742"/>
      <c r="E184" s="742"/>
      <c r="F184" s="742"/>
      <c r="G184" s="742"/>
      <c r="H184" s="742"/>
      <c r="I184" s="742"/>
      <c r="J184" s="742"/>
    </row>
    <row r="185">
      <c r="A185" s="742"/>
      <c r="B185" s="742"/>
      <c r="C185" s="742"/>
      <c r="D185" s="742"/>
      <c r="E185" s="742"/>
      <c r="F185" s="742"/>
      <c r="G185" s="742"/>
      <c r="H185" s="742"/>
      <c r="I185" s="742"/>
      <c r="J185" s="742"/>
    </row>
    <row r="186">
      <c r="A186" s="742"/>
      <c r="B186" s="742"/>
      <c r="C186" s="742"/>
      <c r="D186" s="742"/>
      <c r="E186" s="742"/>
      <c r="F186" s="742"/>
      <c r="G186" s="742"/>
      <c r="H186" s="742"/>
      <c r="I186" s="742"/>
      <c r="J186" s="742"/>
    </row>
    <row r="187">
      <c r="A187" s="742"/>
      <c r="B187" s="742"/>
      <c r="C187" s="742"/>
      <c r="D187" s="742"/>
      <c r="E187" s="742"/>
      <c r="F187" s="742"/>
      <c r="G187" s="742"/>
      <c r="H187" s="742"/>
      <c r="I187" s="742"/>
      <c r="J187" s="742"/>
    </row>
    <row r="188">
      <c r="A188" s="742"/>
      <c r="B188" s="742"/>
      <c r="C188" s="742"/>
      <c r="D188" s="742"/>
      <c r="E188" s="742"/>
      <c r="F188" s="742"/>
      <c r="G188" s="742"/>
      <c r="H188" s="742"/>
      <c r="I188" s="742"/>
      <c r="J188" s="742"/>
    </row>
    <row r="189">
      <c r="A189" s="742"/>
      <c r="B189" s="742"/>
      <c r="C189" s="742"/>
      <c r="D189" s="742"/>
      <c r="E189" s="742"/>
      <c r="F189" s="742"/>
      <c r="G189" s="742"/>
      <c r="H189" s="742"/>
      <c r="I189" s="742"/>
      <c r="J189" s="742"/>
    </row>
    <row r="190">
      <c r="A190" s="742"/>
      <c r="B190" s="742"/>
      <c r="C190" s="742"/>
      <c r="D190" s="742"/>
      <c r="E190" s="742"/>
      <c r="F190" s="742"/>
      <c r="G190" s="742"/>
      <c r="H190" s="742"/>
      <c r="I190" s="742"/>
      <c r="J190" s="742"/>
    </row>
    <row r="191">
      <c r="A191" s="742"/>
      <c r="B191" s="742"/>
      <c r="C191" s="742"/>
      <c r="D191" s="742"/>
      <c r="E191" s="742"/>
      <c r="F191" s="742"/>
      <c r="G191" s="742"/>
      <c r="H191" s="742"/>
      <c r="I191" s="742"/>
      <c r="J191" s="742"/>
    </row>
    <row r="192">
      <c r="A192" s="742"/>
      <c r="B192" s="742"/>
      <c r="C192" s="742"/>
      <c r="D192" s="742"/>
      <c r="E192" s="742"/>
      <c r="F192" s="742"/>
      <c r="G192" s="742"/>
      <c r="H192" s="742"/>
      <c r="I192" s="742"/>
      <c r="J192" s="742"/>
    </row>
    <row r="193">
      <c r="A193" s="742"/>
      <c r="B193" s="742"/>
      <c r="C193" s="742"/>
      <c r="D193" s="742"/>
      <c r="E193" s="742"/>
      <c r="F193" s="742"/>
      <c r="G193" s="742"/>
      <c r="H193" s="742"/>
      <c r="I193" s="742"/>
      <c r="J193" s="742"/>
    </row>
    <row r="194">
      <c r="A194" s="742"/>
      <c r="B194" s="742"/>
      <c r="C194" s="742"/>
      <c r="D194" s="742"/>
      <c r="E194" s="742"/>
      <c r="F194" s="742"/>
      <c r="G194" s="742"/>
      <c r="H194" s="742"/>
      <c r="I194" s="742"/>
      <c r="J194" s="742"/>
    </row>
    <row r="195">
      <c r="A195" s="742"/>
      <c r="B195" s="742"/>
      <c r="C195" s="742"/>
      <c r="D195" s="742"/>
      <c r="E195" s="742"/>
      <c r="F195" s="742"/>
      <c r="G195" s="742"/>
      <c r="H195" s="742"/>
      <c r="I195" s="742"/>
      <c r="J195" s="742"/>
    </row>
    <row r="196">
      <c r="A196" s="742"/>
      <c r="B196" s="742"/>
      <c r="C196" s="742"/>
      <c r="D196" s="742"/>
      <c r="E196" s="742"/>
      <c r="F196" s="742"/>
      <c r="G196" s="742"/>
      <c r="H196" s="742"/>
      <c r="I196" s="742"/>
      <c r="J196" s="742"/>
    </row>
    <row r="197">
      <c r="A197" s="742"/>
      <c r="B197" s="742"/>
      <c r="C197" s="742"/>
      <c r="D197" s="742"/>
      <c r="E197" s="742"/>
      <c r="F197" s="742"/>
      <c r="G197" s="742"/>
      <c r="H197" s="742"/>
      <c r="I197" s="742"/>
      <c r="J197" s="742"/>
    </row>
    <row r="198">
      <c r="A198" s="742"/>
      <c r="B198" s="742"/>
      <c r="C198" s="742"/>
      <c r="D198" s="742"/>
      <c r="E198" s="742"/>
      <c r="F198" s="742"/>
      <c r="G198" s="742"/>
      <c r="H198" s="742"/>
      <c r="I198" s="742"/>
      <c r="J198" s="742"/>
    </row>
    <row r="199">
      <c r="A199" s="742"/>
      <c r="B199" s="742"/>
      <c r="C199" s="742"/>
      <c r="D199" s="742"/>
      <c r="E199" s="742"/>
      <c r="F199" s="742"/>
      <c r="G199" s="742"/>
      <c r="H199" s="742"/>
      <c r="I199" s="742"/>
      <c r="J199" s="742"/>
    </row>
    <row r="200">
      <c r="A200" s="742"/>
      <c r="B200" s="742"/>
      <c r="C200" s="742"/>
      <c r="D200" s="742"/>
      <c r="E200" s="742"/>
      <c r="F200" s="742"/>
      <c r="G200" s="742"/>
      <c r="H200" s="742"/>
      <c r="I200" s="742"/>
      <c r="J200" s="742"/>
    </row>
    <row r="201">
      <c r="A201" s="742"/>
      <c r="B201" s="742"/>
      <c r="C201" s="742"/>
      <c r="D201" s="742"/>
      <c r="E201" s="742"/>
      <c r="F201" s="742"/>
      <c r="G201" s="742"/>
      <c r="H201" s="742"/>
      <c r="I201" s="742"/>
      <c r="J201" s="742"/>
    </row>
    <row r="202">
      <c r="A202" s="742"/>
      <c r="B202" s="742"/>
      <c r="C202" s="742"/>
      <c r="D202" s="742"/>
      <c r="E202" s="742"/>
      <c r="F202" s="742"/>
      <c r="G202" s="742"/>
      <c r="H202" s="742"/>
      <c r="I202" s="742"/>
      <c r="J202" s="742"/>
    </row>
    <row r="203">
      <c r="A203" s="742"/>
      <c r="B203" s="742"/>
      <c r="C203" s="742"/>
      <c r="D203" s="742"/>
      <c r="E203" s="742"/>
      <c r="F203" s="742"/>
      <c r="G203" s="742"/>
      <c r="H203" s="742"/>
      <c r="I203" s="742"/>
      <c r="J203" s="742"/>
    </row>
    <row r="204">
      <c r="A204" s="742"/>
      <c r="B204" s="742"/>
      <c r="C204" s="742"/>
      <c r="D204" s="742"/>
      <c r="E204" s="742"/>
      <c r="F204" s="742"/>
      <c r="G204" s="742"/>
      <c r="H204" s="742"/>
      <c r="I204" s="742"/>
      <c r="J204" s="742"/>
    </row>
    <row r="205">
      <c r="A205" s="742"/>
      <c r="B205" s="742"/>
      <c r="C205" s="742"/>
      <c r="D205" s="742"/>
      <c r="E205" s="742"/>
      <c r="F205" s="742"/>
      <c r="G205" s="742"/>
      <c r="H205" s="742"/>
      <c r="I205" s="742"/>
      <c r="J205" s="742"/>
    </row>
    <row r="206">
      <c r="A206" s="742"/>
      <c r="B206" s="742"/>
      <c r="C206" s="742"/>
      <c r="D206" s="742"/>
      <c r="E206" s="742"/>
      <c r="F206" s="742"/>
      <c r="G206" s="742"/>
      <c r="H206" s="742"/>
      <c r="I206" s="742"/>
      <c r="J206" s="742"/>
    </row>
    <row r="207">
      <c r="A207" s="742"/>
      <c r="B207" s="742"/>
      <c r="C207" s="742"/>
      <c r="D207" s="742"/>
      <c r="E207" s="742"/>
      <c r="F207" s="742"/>
      <c r="G207" s="742"/>
      <c r="H207" s="742"/>
      <c r="I207" s="742"/>
      <c r="J207" s="742"/>
    </row>
    <row r="208">
      <c r="A208" s="742"/>
      <c r="B208" s="742"/>
      <c r="C208" s="742"/>
      <c r="D208" s="742"/>
      <c r="E208" s="742"/>
      <c r="F208" s="742"/>
      <c r="G208" s="742"/>
      <c r="H208" s="742"/>
      <c r="I208" s="742"/>
      <c r="J208" s="742"/>
    </row>
    <row r="209">
      <c r="A209" s="742"/>
      <c r="B209" s="742"/>
      <c r="C209" s="742"/>
      <c r="D209" s="742"/>
      <c r="E209" s="742"/>
      <c r="F209" s="742"/>
      <c r="G209" s="742"/>
      <c r="H209" s="742"/>
      <c r="I209" s="742"/>
      <c r="J209" s="742"/>
    </row>
    <row r="210">
      <c r="A210" s="742"/>
      <c r="B210" s="742"/>
      <c r="C210" s="742"/>
      <c r="D210" s="742"/>
      <c r="E210" s="742"/>
      <c r="F210" s="742"/>
      <c r="G210" s="742"/>
      <c r="H210" s="742"/>
      <c r="I210" s="742"/>
      <c r="J210" s="742"/>
    </row>
    <row r="211">
      <c r="A211" s="742"/>
      <c r="B211" s="742"/>
      <c r="C211" s="742"/>
      <c r="D211" s="742"/>
      <c r="E211" s="742"/>
      <c r="F211" s="742"/>
      <c r="G211" s="742"/>
      <c r="H211" s="742"/>
      <c r="I211" s="742"/>
      <c r="J211" s="742"/>
    </row>
    <row r="212">
      <c r="A212" s="742"/>
      <c r="B212" s="742"/>
      <c r="C212" s="742"/>
      <c r="D212" s="742"/>
      <c r="E212" s="742"/>
      <c r="F212" s="742"/>
      <c r="G212" s="742"/>
      <c r="H212" s="742"/>
      <c r="I212" s="742"/>
      <c r="J212" s="742"/>
    </row>
    <row r="213">
      <c r="A213" s="742"/>
      <c r="B213" s="742"/>
      <c r="C213" s="742"/>
      <c r="D213" s="742"/>
      <c r="E213" s="742"/>
      <c r="F213" s="742"/>
      <c r="G213" s="742"/>
      <c r="H213" s="742"/>
      <c r="I213" s="742"/>
      <c r="J213" s="742"/>
    </row>
    <row r="214">
      <c r="A214" s="742"/>
      <c r="B214" s="742"/>
      <c r="C214" s="742"/>
      <c r="D214" s="742"/>
      <c r="E214" s="742"/>
      <c r="F214" s="742"/>
      <c r="G214" s="742"/>
      <c r="H214" s="742"/>
      <c r="I214" s="742"/>
      <c r="J214" s="742"/>
    </row>
    <row r="215">
      <c r="A215" s="742"/>
      <c r="B215" s="742"/>
      <c r="C215" s="742"/>
      <c r="D215" s="742"/>
      <c r="E215" s="742"/>
      <c r="F215" s="742"/>
      <c r="G215" s="742"/>
      <c r="H215" s="742"/>
      <c r="I215" s="742"/>
      <c r="J215" s="742"/>
    </row>
    <row r="216">
      <c r="A216" s="742"/>
      <c r="B216" s="742"/>
      <c r="C216" s="742"/>
      <c r="D216" s="742"/>
      <c r="E216" s="742"/>
      <c r="F216" s="742"/>
      <c r="G216" s="742"/>
      <c r="H216" s="742"/>
      <c r="I216" s="742"/>
      <c r="J216" s="742"/>
    </row>
    <row r="217">
      <c r="A217" s="742"/>
      <c r="B217" s="742"/>
      <c r="C217" s="742"/>
      <c r="D217" s="742"/>
      <c r="E217" s="742"/>
      <c r="F217" s="742"/>
      <c r="G217" s="742"/>
      <c r="H217" s="742"/>
      <c r="I217" s="742"/>
      <c r="J217" s="742"/>
    </row>
    <row r="218">
      <c r="A218" s="742"/>
      <c r="B218" s="742"/>
      <c r="C218" s="742"/>
      <c r="D218" s="742"/>
      <c r="E218" s="742"/>
      <c r="F218" s="742"/>
      <c r="G218" s="742"/>
      <c r="H218" s="742"/>
      <c r="I218" s="742"/>
      <c r="J218" s="742"/>
    </row>
    <row r="219">
      <c r="A219" s="742"/>
      <c r="B219" s="742"/>
      <c r="C219" s="742"/>
      <c r="D219" s="742"/>
      <c r="E219" s="742"/>
      <c r="F219" s="742"/>
      <c r="G219" s="742"/>
      <c r="H219" s="742"/>
      <c r="I219" s="742"/>
      <c r="J219" s="742"/>
    </row>
    <row r="220">
      <c r="A220" s="742"/>
      <c r="B220" s="742"/>
      <c r="C220" s="742"/>
      <c r="D220" s="742"/>
      <c r="E220" s="742"/>
      <c r="F220" s="742"/>
      <c r="G220" s="742"/>
      <c r="H220" s="742"/>
      <c r="I220" s="742"/>
      <c r="J220" s="742"/>
    </row>
    <row r="221">
      <c r="A221" s="742"/>
      <c r="B221" s="742"/>
      <c r="C221" s="742"/>
      <c r="D221" s="742"/>
      <c r="E221" s="742"/>
      <c r="F221" s="742"/>
      <c r="G221" s="742"/>
      <c r="H221" s="742"/>
      <c r="I221" s="742"/>
      <c r="J221" s="742"/>
    </row>
    <row r="222">
      <c r="A222" s="742"/>
      <c r="B222" s="742"/>
      <c r="C222" s="742"/>
      <c r="D222" s="742"/>
      <c r="E222" s="742"/>
      <c r="F222" s="742"/>
      <c r="G222" s="742"/>
      <c r="H222" s="742"/>
      <c r="I222" s="742"/>
      <c r="J222" s="742"/>
    </row>
    <row r="223">
      <c r="A223" s="742"/>
      <c r="B223" s="742"/>
      <c r="C223" s="742"/>
      <c r="D223" s="742"/>
      <c r="E223" s="742"/>
      <c r="F223" s="742"/>
      <c r="G223" s="742"/>
      <c r="H223" s="742"/>
      <c r="I223" s="742"/>
      <c r="J223" s="742"/>
    </row>
    <row r="224">
      <c r="A224" s="742"/>
      <c r="B224" s="742"/>
      <c r="C224" s="742"/>
      <c r="D224" s="742"/>
      <c r="E224" s="742"/>
      <c r="F224" s="742"/>
      <c r="G224" s="742"/>
      <c r="H224" s="742"/>
      <c r="I224" s="742"/>
      <c r="J224" s="742"/>
    </row>
    <row r="225">
      <c r="A225" s="742"/>
      <c r="B225" s="742"/>
      <c r="C225" s="742"/>
      <c r="D225" s="742"/>
      <c r="E225" s="742"/>
      <c r="F225" s="742"/>
      <c r="G225" s="742"/>
      <c r="H225" s="742"/>
      <c r="I225" s="742"/>
      <c r="J225" s="742"/>
    </row>
    <row r="226">
      <c r="A226" s="742"/>
      <c r="B226" s="742"/>
      <c r="C226" s="742"/>
      <c r="D226" s="742"/>
      <c r="E226" s="742"/>
      <c r="F226" s="742"/>
      <c r="G226" s="742"/>
      <c r="H226" s="742"/>
      <c r="I226" s="742"/>
      <c r="J226" s="742"/>
    </row>
    <row r="227">
      <c r="A227" s="742"/>
      <c r="B227" s="742"/>
      <c r="C227" s="742"/>
      <c r="D227" s="742"/>
      <c r="E227" s="742"/>
      <c r="F227" s="742"/>
      <c r="G227" s="742"/>
      <c r="H227" s="742"/>
      <c r="I227" s="742"/>
      <c r="J227" s="742"/>
    </row>
    <row r="228">
      <c r="A228" s="742"/>
      <c r="B228" s="742"/>
      <c r="C228" s="742"/>
      <c r="D228" s="742"/>
      <c r="E228" s="742"/>
      <c r="F228" s="742"/>
      <c r="G228" s="742"/>
      <c r="H228" s="742"/>
      <c r="I228" s="742"/>
      <c r="J228" s="742"/>
    </row>
    <row r="229">
      <c r="A229" s="742"/>
      <c r="B229" s="742"/>
      <c r="C229" s="742"/>
      <c r="D229" s="742"/>
      <c r="E229" s="742"/>
      <c r="F229" s="742"/>
      <c r="G229" s="742"/>
      <c r="H229" s="742"/>
      <c r="I229" s="742"/>
      <c r="J229" s="742"/>
    </row>
    <row r="230">
      <c r="A230" s="742"/>
      <c r="B230" s="742"/>
      <c r="C230" s="742"/>
      <c r="D230" s="742"/>
      <c r="E230" s="742"/>
      <c r="F230" s="742"/>
      <c r="G230" s="742"/>
      <c r="H230" s="742"/>
      <c r="I230" s="742"/>
      <c r="J230" s="742"/>
    </row>
    <row r="231">
      <c r="A231" s="742"/>
      <c r="B231" s="742"/>
      <c r="C231" s="742"/>
      <c r="D231" s="742"/>
      <c r="E231" s="742"/>
      <c r="F231" s="742"/>
      <c r="G231" s="742"/>
      <c r="H231" s="742"/>
      <c r="I231" s="742"/>
      <c r="J231" s="742"/>
    </row>
    <row r="232">
      <c r="A232" s="742"/>
      <c r="B232" s="742"/>
      <c r="C232" s="742"/>
      <c r="D232" s="742"/>
      <c r="E232" s="742"/>
      <c r="F232" s="742"/>
      <c r="G232" s="742"/>
      <c r="H232" s="742"/>
      <c r="I232" s="742"/>
      <c r="J232" s="742"/>
    </row>
    <row r="233">
      <c r="A233" s="742"/>
      <c r="B233" s="742"/>
      <c r="C233" s="742"/>
      <c r="D233" s="742"/>
      <c r="E233" s="742"/>
      <c r="F233" s="742"/>
      <c r="G233" s="742"/>
      <c r="H233" s="742"/>
      <c r="I233" s="742"/>
      <c r="J233" s="742"/>
    </row>
    <row r="234">
      <c r="A234" s="742"/>
      <c r="B234" s="742"/>
      <c r="C234" s="742"/>
      <c r="D234" s="742"/>
      <c r="E234" s="742"/>
      <c r="F234" s="742"/>
      <c r="G234" s="742"/>
      <c r="H234" s="742"/>
      <c r="I234" s="742"/>
      <c r="J234" s="742"/>
    </row>
    <row r="235">
      <c r="A235" s="742"/>
      <c r="B235" s="742"/>
      <c r="C235" s="742"/>
      <c r="D235" s="742"/>
      <c r="E235" s="742"/>
      <c r="F235" s="742"/>
      <c r="G235" s="742"/>
      <c r="H235" s="742"/>
      <c r="I235" s="742"/>
      <c r="J235" s="742"/>
    </row>
    <row r="236">
      <c r="A236" s="742"/>
      <c r="B236" s="742"/>
      <c r="C236" s="742"/>
      <c r="D236" s="742"/>
      <c r="E236" s="742"/>
      <c r="F236" s="742"/>
      <c r="G236" s="742"/>
      <c r="H236" s="742"/>
      <c r="I236" s="742"/>
      <c r="J236" s="742"/>
    </row>
    <row r="237">
      <c r="A237" s="742"/>
      <c r="B237" s="742"/>
      <c r="C237" s="742"/>
      <c r="D237" s="742"/>
      <c r="E237" s="742"/>
      <c r="F237" s="742"/>
      <c r="G237" s="742"/>
      <c r="H237" s="742"/>
      <c r="I237" s="742"/>
      <c r="J237" s="742"/>
    </row>
    <row r="238">
      <c r="A238" s="742"/>
      <c r="B238" s="742"/>
      <c r="C238" s="742"/>
      <c r="D238" s="742"/>
      <c r="E238" s="742"/>
      <c r="F238" s="742"/>
      <c r="G238" s="742"/>
      <c r="H238" s="742"/>
      <c r="I238" s="742"/>
      <c r="J238" s="742"/>
    </row>
    <row r="239">
      <c r="A239" s="742"/>
      <c r="B239" s="742"/>
      <c r="C239" s="742"/>
      <c r="D239" s="742"/>
      <c r="E239" s="742"/>
      <c r="F239" s="742"/>
      <c r="G239" s="742"/>
      <c r="H239" s="742"/>
      <c r="I239" s="742"/>
      <c r="J239" s="742"/>
    </row>
    <row r="240">
      <c r="A240" s="742"/>
      <c r="B240" s="742"/>
      <c r="C240" s="742"/>
      <c r="D240" s="742"/>
      <c r="E240" s="742"/>
      <c r="F240" s="742"/>
      <c r="G240" s="742"/>
      <c r="H240" s="742"/>
      <c r="I240" s="742"/>
      <c r="J240" s="742"/>
    </row>
    <row r="241">
      <c r="A241" s="742"/>
      <c r="B241" s="742"/>
      <c r="C241" s="742"/>
      <c r="D241" s="742"/>
      <c r="E241" s="742"/>
      <c r="F241" s="742"/>
      <c r="G241" s="742"/>
      <c r="H241" s="742"/>
      <c r="I241" s="742"/>
      <c r="J241" s="742"/>
    </row>
    <row r="242">
      <c r="A242" s="742"/>
      <c r="B242" s="742"/>
      <c r="C242" s="742"/>
      <c r="D242" s="742"/>
      <c r="E242" s="742"/>
      <c r="F242" s="742"/>
      <c r="G242" s="742"/>
      <c r="H242" s="742"/>
      <c r="I242" s="742"/>
      <c r="J242" s="742"/>
    </row>
    <row r="243">
      <c r="A243" s="742"/>
      <c r="B243" s="742"/>
      <c r="C243" s="742"/>
      <c r="D243" s="742"/>
      <c r="E243" s="742"/>
      <c r="F243" s="742"/>
      <c r="G243" s="742"/>
      <c r="H243" s="742"/>
      <c r="I243" s="742"/>
      <c r="J243" s="742"/>
    </row>
    <row r="244">
      <c r="A244" s="742"/>
      <c r="B244" s="742"/>
      <c r="C244" s="742"/>
      <c r="D244" s="742"/>
      <c r="E244" s="742"/>
      <c r="F244" s="742"/>
      <c r="G244" s="742"/>
      <c r="H244" s="742"/>
      <c r="I244" s="742"/>
      <c r="J244" s="742"/>
    </row>
    <row r="245">
      <c r="A245" s="742"/>
      <c r="B245" s="742"/>
      <c r="C245" s="742"/>
      <c r="D245" s="742"/>
      <c r="E245" s="742"/>
      <c r="F245" s="742"/>
      <c r="G245" s="742"/>
      <c r="H245" s="742"/>
      <c r="I245" s="742"/>
      <c r="J245" s="742"/>
    </row>
    <row r="246">
      <c r="A246" s="742"/>
      <c r="B246" s="742"/>
      <c r="C246" s="742"/>
      <c r="D246" s="742"/>
      <c r="E246" s="742"/>
      <c r="F246" s="742"/>
      <c r="G246" s="742"/>
      <c r="H246" s="742"/>
      <c r="I246" s="742"/>
      <c r="J246" s="742"/>
    </row>
    <row r="247">
      <c r="A247" s="742"/>
      <c r="B247" s="742"/>
      <c r="C247" s="742"/>
      <c r="D247" s="742"/>
      <c r="E247" s="742"/>
      <c r="F247" s="742"/>
      <c r="G247" s="742"/>
      <c r="H247" s="742"/>
      <c r="I247" s="742"/>
      <c r="J247" s="742"/>
    </row>
    <row r="248">
      <c r="A248" s="742"/>
      <c r="B248" s="742"/>
      <c r="C248" s="742"/>
      <c r="D248" s="742"/>
      <c r="E248" s="742"/>
      <c r="F248" s="742"/>
      <c r="G248" s="742"/>
      <c r="H248" s="742"/>
      <c r="I248" s="742"/>
      <c r="J248" s="742"/>
    </row>
    <row r="249">
      <c r="A249" s="742"/>
      <c r="B249" s="742"/>
      <c r="C249" s="742"/>
      <c r="D249" s="742"/>
      <c r="E249" s="742"/>
      <c r="F249" s="742"/>
      <c r="G249" s="742"/>
      <c r="H249" s="742"/>
      <c r="I249" s="742"/>
      <c r="J249" s="742"/>
    </row>
    <row r="250">
      <c r="A250" s="742"/>
      <c r="B250" s="742"/>
      <c r="C250" s="742"/>
      <c r="D250" s="742"/>
      <c r="E250" s="742"/>
      <c r="F250" s="742"/>
      <c r="G250" s="742"/>
      <c r="H250" s="742"/>
      <c r="I250" s="742"/>
      <c r="J250" s="742"/>
    </row>
    <row r="251">
      <c r="A251" s="742"/>
      <c r="B251" s="742"/>
      <c r="C251" s="742"/>
      <c r="D251" s="742"/>
      <c r="E251" s="742"/>
      <c r="F251" s="742"/>
      <c r="G251" s="742"/>
      <c r="H251" s="742"/>
      <c r="I251" s="742"/>
      <c r="J251" s="742"/>
    </row>
    <row r="252">
      <c r="A252" s="742"/>
      <c r="B252" s="742"/>
      <c r="C252" s="742"/>
      <c r="D252" s="742"/>
      <c r="E252" s="742"/>
      <c r="F252" s="742"/>
      <c r="G252" s="742"/>
      <c r="H252" s="742"/>
      <c r="I252" s="742"/>
      <c r="J252" s="742"/>
    </row>
    <row r="253">
      <c r="A253" s="742"/>
      <c r="B253" s="742"/>
      <c r="C253" s="742"/>
      <c r="D253" s="742"/>
      <c r="E253" s="742"/>
      <c r="F253" s="742"/>
      <c r="G253" s="742"/>
      <c r="H253" s="742"/>
      <c r="I253" s="742"/>
      <c r="J253" s="742"/>
    </row>
    <row r="254">
      <c r="A254" s="742"/>
      <c r="B254" s="742"/>
      <c r="C254" s="742"/>
      <c r="D254" s="742"/>
      <c r="E254" s="742"/>
      <c r="F254" s="742"/>
      <c r="G254" s="742"/>
      <c r="H254" s="742"/>
      <c r="I254" s="742"/>
      <c r="J254" s="742"/>
    </row>
    <row r="255">
      <c r="A255" s="742"/>
      <c r="B255" s="742"/>
      <c r="C255" s="742"/>
      <c r="D255" s="742"/>
      <c r="E255" s="742"/>
      <c r="F255" s="742"/>
      <c r="G255" s="742"/>
      <c r="H255" s="742"/>
      <c r="I255" s="742"/>
      <c r="J255" s="742"/>
    </row>
    <row r="256">
      <c r="A256" s="742"/>
      <c r="B256" s="742"/>
      <c r="C256" s="742"/>
      <c r="D256" s="742"/>
      <c r="E256" s="742"/>
      <c r="F256" s="742"/>
      <c r="G256" s="742"/>
      <c r="H256" s="742"/>
      <c r="I256" s="742"/>
      <c r="J256" s="742"/>
    </row>
    <row r="257">
      <c r="A257" s="742"/>
      <c r="B257" s="742"/>
      <c r="C257" s="742"/>
      <c r="D257" s="742"/>
      <c r="E257" s="742"/>
      <c r="F257" s="742"/>
      <c r="G257" s="742"/>
      <c r="H257" s="742"/>
      <c r="I257" s="742"/>
      <c r="J257" s="742"/>
    </row>
    <row r="258">
      <c r="A258" s="742"/>
      <c r="B258" s="742"/>
      <c r="C258" s="742"/>
      <c r="D258" s="742"/>
      <c r="E258" s="742"/>
      <c r="F258" s="742"/>
      <c r="G258" s="742"/>
      <c r="H258" s="742"/>
      <c r="I258" s="742"/>
      <c r="J258" s="742"/>
    </row>
    <row r="259">
      <c r="A259" s="742"/>
      <c r="B259" s="742"/>
      <c r="C259" s="742"/>
      <c r="D259" s="742"/>
      <c r="E259" s="742"/>
      <c r="F259" s="742"/>
      <c r="G259" s="742"/>
      <c r="H259" s="742"/>
      <c r="I259" s="742"/>
      <c r="J259" s="742"/>
    </row>
    <row r="260">
      <c r="A260" s="742"/>
      <c r="B260" s="742"/>
      <c r="C260" s="742"/>
      <c r="D260" s="742"/>
      <c r="E260" s="742"/>
      <c r="F260" s="742"/>
      <c r="G260" s="742"/>
      <c r="H260" s="742"/>
      <c r="I260" s="742"/>
      <c r="J260" s="742"/>
    </row>
    <row r="261">
      <c r="A261" s="742"/>
      <c r="B261" s="742"/>
      <c r="C261" s="742"/>
      <c r="D261" s="742"/>
      <c r="E261" s="742"/>
      <c r="F261" s="742"/>
      <c r="G261" s="742"/>
      <c r="H261" s="742"/>
      <c r="I261" s="742"/>
      <c r="J261" s="742"/>
    </row>
    <row r="262">
      <c r="A262" s="742"/>
      <c r="B262" s="742"/>
      <c r="C262" s="742"/>
      <c r="D262" s="742"/>
      <c r="E262" s="742"/>
      <c r="F262" s="742"/>
      <c r="G262" s="742"/>
      <c r="H262" s="742"/>
      <c r="I262" s="742"/>
      <c r="J262" s="742"/>
    </row>
    <row r="263">
      <c r="A263" s="742"/>
      <c r="B263" s="742"/>
      <c r="C263" s="742"/>
      <c r="D263" s="742"/>
      <c r="E263" s="742"/>
      <c r="F263" s="742"/>
      <c r="G263" s="742"/>
      <c r="H263" s="742"/>
      <c r="I263" s="742"/>
      <c r="J263" s="742"/>
    </row>
    <row r="264">
      <c r="A264" s="742"/>
      <c r="B264" s="742"/>
      <c r="C264" s="742"/>
      <c r="D264" s="742"/>
      <c r="E264" s="742"/>
      <c r="F264" s="742"/>
      <c r="G264" s="742"/>
      <c r="H264" s="742"/>
      <c r="I264" s="742"/>
      <c r="J264" s="742"/>
    </row>
    <row r="265">
      <c r="A265" s="742"/>
      <c r="B265" s="742"/>
      <c r="C265" s="742"/>
      <c r="D265" s="742"/>
      <c r="E265" s="742"/>
      <c r="F265" s="742"/>
      <c r="G265" s="742"/>
      <c r="H265" s="742"/>
      <c r="I265" s="742"/>
      <c r="J265" s="742"/>
    </row>
    <row r="266">
      <c r="A266" s="742"/>
      <c r="B266" s="742"/>
      <c r="C266" s="742"/>
      <c r="D266" s="742"/>
      <c r="E266" s="742"/>
      <c r="F266" s="742"/>
      <c r="G266" s="742"/>
      <c r="H266" s="742"/>
      <c r="I266" s="742"/>
      <c r="J266" s="742"/>
    </row>
    <row r="267">
      <c r="A267" s="742"/>
      <c r="B267" s="742"/>
      <c r="C267" s="742"/>
      <c r="D267" s="742"/>
      <c r="E267" s="742"/>
      <c r="F267" s="742"/>
      <c r="G267" s="742"/>
      <c r="H267" s="742"/>
      <c r="I267" s="742"/>
      <c r="J267" s="742"/>
    </row>
    <row r="268">
      <c r="A268" s="742"/>
      <c r="B268" s="742"/>
      <c r="C268" s="742"/>
      <c r="D268" s="742"/>
      <c r="E268" s="742"/>
      <c r="F268" s="742"/>
      <c r="G268" s="742"/>
      <c r="H268" s="742"/>
      <c r="I268" s="742"/>
      <c r="J268" s="742"/>
    </row>
    <row r="269">
      <c r="A269" s="742"/>
      <c r="B269" s="742"/>
      <c r="C269" s="742"/>
      <c r="D269" s="742"/>
      <c r="E269" s="742"/>
      <c r="F269" s="742"/>
      <c r="G269" s="742"/>
      <c r="H269" s="742"/>
      <c r="I269" s="742"/>
      <c r="J269" s="742"/>
    </row>
    <row r="270">
      <c r="A270" s="742"/>
      <c r="B270" s="742"/>
      <c r="C270" s="742"/>
      <c r="D270" s="742"/>
      <c r="E270" s="742"/>
      <c r="F270" s="742"/>
      <c r="G270" s="742"/>
      <c r="H270" s="742"/>
      <c r="I270" s="742"/>
      <c r="J270" s="742"/>
    </row>
    <row r="271">
      <c r="A271" s="742"/>
      <c r="B271" s="742"/>
      <c r="C271" s="742"/>
      <c r="D271" s="742"/>
      <c r="E271" s="742"/>
      <c r="F271" s="742"/>
      <c r="G271" s="742"/>
      <c r="H271" s="742"/>
      <c r="I271" s="742"/>
      <c r="J271" s="742"/>
    </row>
    <row r="272">
      <c r="A272" s="742"/>
      <c r="B272" s="742"/>
      <c r="C272" s="742"/>
      <c r="D272" s="742"/>
      <c r="E272" s="742"/>
      <c r="F272" s="742"/>
      <c r="G272" s="742"/>
      <c r="H272" s="742"/>
      <c r="I272" s="742"/>
      <c r="J272" s="742"/>
    </row>
    <row r="273">
      <c r="A273" s="742"/>
      <c r="B273" s="742"/>
      <c r="C273" s="742"/>
      <c r="D273" s="742"/>
      <c r="E273" s="742"/>
      <c r="F273" s="742"/>
      <c r="G273" s="742"/>
      <c r="H273" s="742"/>
      <c r="I273" s="742"/>
      <c r="J273" s="742"/>
    </row>
    <row r="274">
      <c r="A274" s="742"/>
      <c r="B274" s="742"/>
      <c r="C274" s="742"/>
      <c r="D274" s="742"/>
      <c r="E274" s="742"/>
      <c r="F274" s="742"/>
      <c r="G274" s="742"/>
      <c r="H274" s="742"/>
      <c r="I274" s="742"/>
      <c r="J274" s="742"/>
    </row>
    <row r="275">
      <c r="A275" s="742"/>
      <c r="B275" s="742"/>
      <c r="C275" s="742"/>
      <c r="D275" s="742"/>
      <c r="E275" s="742"/>
      <c r="F275" s="742"/>
      <c r="G275" s="742"/>
      <c r="H275" s="742"/>
      <c r="I275" s="742"/>
      <c r="J275" s="742"/>
    </row>
    <row r="276">
      <c r="A276" s="742"/>
      <c r="B276" s="742"/>
      <c r="C276" s="742"/>
      <c r="D276" s="742"/>
      <c r="E276" s="742"/>
      <c r="F276" s="742"/>
      <c r="G276" s="742"/>
      <c r="H276" s="742"/>
      <c r="I276" s="742"/>
      <c r="J276" s="742"/>
    </row>
    <row r="277">
      <c r="A277" s="742"/>
      <c r="B277" s="742"/>
      <c r="C277" s="742"/>
      <c r="D277" s="742"/>
      <c r="E277" s="742"/>
      <c r="F277" s="742"/>
      <c r="G277" s="742"/>
      <c r="H277" s="742"/>
      <c r="I277" s="742"/>
      <c r="J277" s="742"/>
    </row>
    <row r="278">
      <c r="A278" s="742"/>
      <c r="B278" s="742"/>
      <c r="C278" s="742"/>
      <c r="D278" s="742"/>
      <c r="E278" s="742"/>
      <c r="F278" s="742"/>
      <c r="G278" s="742"/>
      <c r="H278" s="742"/>
      <c r="I278" s="742"/>
      <c r="J278" s="742"/>
    </row>
    <row r="279">
      <c r="A279" s="742"/>
      <c r="B279" s="742"/>
      <c r="C279" s="742"/>
      <c r="D279" s="742"/>
      <c r="E279" s="742"/>
      <c r="F279" s="742"/>
      <c r="G279" s="742"/>
      <c r="H279" s="742"/>
      <c r="I279" s="742"/>
      <c r="J279" s="742"/>
    </row>
    <row r="280">
      <c r="A280" s="742"/>
      <c r="B280" s="742"/>
      <c r="C280" s="742"/>
      <c r="D280" s="742"/>
      <c r="E280" s="742"/>
      <c r="F280" s="742"/>
      <c r="G280" s="742"/>
      <c r="H280" s="742"/>
      <c r="I280" s="742"/>
      <c r="J280" s="742"/>
    </row>
    <row r="281">
      <c r="A281" s="742"/>
      <c r="B281" s="742"/>
      <c r="C281" s="742"/>
      <c r="D281" s="742"/>
      <c r="E281" s="742"/>
      <c r="F281" s="742"/>
      <c r="G281" s="742"/>
      <c r="H281" s="742"/>
      <c r="I281" s="742"/>
      <c r="J281" s="742"/>
    </row>
    <row r="282">
      <c r="A282" s="742"/>
      <c r="B282" s="742"/>
      <c r="C282" s="742"/>
      <c r="D282" s="742"/>
      <c r="E282" s="742"/>
      <c r="F282" s="742"/>
      <c r="G282" s="742"/>
      <c r="H282" s="742"/>
      <c r="I282" s="742"/>
      <c r="J282" s="742"/>
    </row>
    <row r="283">
      <c r="A283" s="742"/>
      <c r="B283" s="742"/>
      <c r="C283" s="742"/>
      <c r="D283" s="742"/>
      <c r="E283" s="742"/>
      <c r="F283" s="742"/>
      <c r="G283" s="742"/>
      <c r="H283" s="742"/>
      <c r="I283" s="742"/>
      <c r="J283" s="742"/>
    </row>
    <row r="284">
      <c r="A284" s="742"/>
      <c r="B284" s="742"/>
      <c r="C284" s="742"/>
      <c r="D284" s="742"/>
      <c r="E284" s="742"/>
      <c r="F284" s="742"/>
      <c r="G284" s="742"/>
      <c r="H284" s="742"/>
      <c r="I284" s="742"/>
      <c r="J284" s="742"/>
    </row>
    <row r="285">
      <c r="A285" s="742"/>
      <c r="B285" s="742"/>
      <c r="C285" s="742"/>
      <c r="D285" s="742"/>
      <c r="E285" s="742"/>
      <c r="F285" s="742"/>
      <c r="G285" s="742"/>
      <c r="H285" s="742"/>
      <c r="I285" s="742"/>
      <c r="J285" s="742"/>
    </row>
    <row r="286">
      <c r="A286" s="742"/>
      <c r="B286" s="742"/>
      <c r="C286" s="742"/>
      <c r="D286" s="742"/>
      <c r="E286" s="742"/>
      <c r="F286" s="742"/>
      <c r="G286" s="742"/>
      <c r="H286" s="742"/>
      <c r="I286" s="742"/>
      <c r="J286" s="742"/>
    </row>
    <row r="287">
      <c r="A287" s="742"/>
      <c r="B287" s="742"/>
      <c r="C287" s="742"/>
      <c r="D287" s="742"/>
      <c r="E287" s="742"/>
      <c r="F287" s="742"/>
      <c r="G287" s="742"/>
      <c r="H287" s="742"/>
      <c r="I287" s="742"/>
      <c r="J287" s="742"/>
    </row>
    <row r="288">
      <c r="A288" s="742"/>
      <c r="B288" s="742"/>
      <c r="C288" s="742"/>
      <c r="D288" s="742"/>
      <c r="E288" s="742"/>
      <c r="F288" s="742"/>
      <c r="G288" s="742"/>
      <c r="H288" s="742"/>
      <c r="I288" s="742"/>
      <c r="J288" s="742"/>
    </row>
    <row r="289">
      <c r="A289" s="742"/>
      <c r="B289" s="742"/>
      <c r="C289" s="742"/>
      <c r="D289" s="742"/>
      <c r="E289" s="742"/>
      <c r="F289" s="742"/>
      <c r="G289" s="742"/>
      <c r="H289" s="742"/>
      <c r="I289" s="742"/>
      <c r="J289" s="742"/>
    </row>
    <row r="290">
      <c r="A290" s="742"/>
      <c r="B290" s="742"/>
      <c r="C290" s="742"/>
      <c r="D290" s="742"/>
      <c r="E290" s="742"/>
      <c r="F290" s="742"/>
      <c r="G290" s="742"/>
      <c r="H290" s="742"/>
      <c r="I290" s="742"/>
      <c r="J290" s="742"/>
    </row>
    <row r="291">
      <c r="A291" s="742"/>
      <c r="B291" s="742"/>
      <c r="C291" s="742"/>
      <c r="D291" s="742"/>
      <c r="E291" s="742"/>
      <c r="F291" s="742"/>
      <c r="G291" s="742"/>
      <c r="H291" s="742"/>
      <c r="I291" s="742"/>
      <c r="J291" s="742"/>
    </row>
    <row r="292">
      <c r="A292" s="742"/>
      <c r="B292" s="742"/>
      <c r="C292" s="742"/>
      <c r="D292" s="742"/>
      <c r="E292" s="742"/>
      <c r="F292" s="742"/>
      <c r="G292" s="742"/>
      <c r="H292" s="742"/>
      <c r="I292" s="742"/>
      <c r="J292" s="742"/>
    </row>
    <row r="293">
      <c r="A293" s="742"/>
      <c r="B293" s="742"/>
      <c r="C293" s="742"/>
      <c r="D293" s="742"/>
      <c r="E293" s="742"/>
      <c r="F293" s="742"/>
      <c r="G293" s="742"/>
      <c r="H293" s="742"/>
      <c r="I293" s="742"/>
      <c r="J293" s="742"/>
    </row>
    <row r="294">
      <c r="A294" s="742"/>
      <c r="B294" s="742"/>
      <c r="C294" s="742"/>
      <c r="D294" s="742"/>
      <c r="E294" s="742"/>
      <c r="F294" s="742"/>
      <c r="G294" s="742"/>
      <c r="H294" s="742"/>
      <c r="I294" s="742"/>
      <c r="J294" s="742"/>
    </row>
    <row r="295">
      <c r="A295" s="742"/>
      <c r="B295" s="742"/>
      <c r="C295" s="742"/>
      <c r="D295" s="742"/>
      <c r="E295" s="742"/>
      <c r="F295" s="742"/>
      <c r="G295" s="742"/>
      <c r="H295" s="742"/>
      <c r="I295" s="742"/>
      <c r="J295" s="742"/>
    </row>
    <row r="296">
      <c r="A296" s="742"/>
      <c r="B296" s="742"/>
      <c r="C296" s="742"/>
      <c r="D296" s="742"/>
      <c r="E296" s="742"/>
      <c r="F296" s="742"/>
      <c r="G296" s="742"/>
      <c r="H296" s="742"/>
      <c r="I296" s="742"/>
      <c r="J296" s="742"/>
    </row>
    <row r="297">
      <c r="A297" s="742"/>
      <c r="B297" s="742"/>
      <c r="C297" s="742"/>
      <c r="D297" s="742"/>
      <c r="E297" s="742"/>
      <c r="F297" s="742"/>
      <c r="G297" s="742"/>
      <c r="H297" s="742"/>
      <c r="I297" s="742"/>
      <c r="J297" s="742"/>
    </row>
    <row r="298">
      <c r="A298" s="742"/>
      <c r="B298" s="742"/>
      <c r="C298" s="742"/>
      <c r="D298" s="742"/>
      <c r="E298" s="742"/>
      <c r="F298" s="742"/>
      <c r="G298" s="742"/>
      <c r="H298" s="742"/>
      <c r="I298" s="742"/>
      <c r="J298" s="742"/>
    </row>
    <row r="299">
      <c r="A299" s="742"/>
      <c r="B299" s="742"/>
      <c r="C299" s="742"/>
      <c r="D299" s="742"/>
      <c r="E299" s="742"/>
      <c r="F299" s="742"/>
      <c r="G299" s="742"/>
      <c r="H299" s="742"/>
      <c r="I299" s="742"/>
      <c r="J299" s="742"/>
    </row>
    <row r="300">
      <c r="A300" s="742"/>
      <c r="B300" s="742"/>
      <c r="C300" s="742"/>
      <c r="D300" s="742"/>
      <c r="E300" s="742"/>
      <c r="F300" s="742"/>
      <c r="G300" s="742"/>
      <c r="H300" s="742"/>
      <c r="I300" s="742"/>
      <c r="J300" s="742"/>
    </row>
    <row r="301">
      <c r="A301" s="742"/>
      <c r="B301" s="742"/>
      <c r="C301" s="742"/>
      <c r="D301" s="742"/>
      <c r="E301" s="742"/>
      <c r="F301" s="742"/>
      <c r="G301" s="742"/>
      <c r="H301" s="742"/>
      <c r="I301" s="742"/>
      <c r="J301" s="742"/>
    </row>
    <row r="302">
      <c r="A302" s="742"/>
      <c r="B302" s="742"/>
      <c r="C302" s="742"/>
      <c r="D302" s="742"/>
      <c r="E302" s="742"/>
      <c r="F302" s="742"/>
      <c r="G302" s="742"/>
      <c r="H302" s="742"/>
      <c r="I302" s="742"/>
      <c r="J302" s="742"/>
    </row>
    <row r="303">
      <c r="A303" s="742"/>
      <c r="B303" s="742"/>
      <c r="C303" s="742"/>
      <c r="D303" s="742"/>
      <c r="E303" s="742"/>
      <c r="F303" s="742"/>
      <c r="G303" s="742"/>
      <c r="H303" s="742"/>
      <c r="I303" s="742"/>
      <c r="J303" s="742"/>
    </row>
    <row r="304">
      <c r="A304" s="742"/>
      <c r="B304" s="742"/>
      <c r="C304" s="742"/>
      <c r="D304" s="742"/>
      <c r="E304" s="742"/>
      <c r="F304" s="742"/>
      <c r="G304" s="742"/>
      <c r="H304" s="742"/>
      <c r="I304" s="742"/>
      <c r="J304" s="742"/>
    </row>
    <row r="305">
      <c r="A305" s="742"/>
      <c r="B305" s="742"/>
      <c r="C305" s="742"/>
      <c r="D305" s="742"/>
      <c r="E305" s="742"/>
      <c r="F305" s="742"/>
      <c r="G305" s="742"/>
      <c r="H305" s="742"/>
      <c r="I305" s="742"/>
      <c r="J305" s="742"/>
    </row>
    <row r="306">
      <c r="A306" s="742"/>
      <c r="B306" s="742"/>
      <c r="C306" s="742"/>
      <c r="D306" s="742"/>
      <c r="E306" s="742"/>
      <c r="F306" s="742"/>
      <c r="G306" s="742"/>
      <c r="H306" s="742"/>
      <c r="I306" s="742"/>
      <c r="J306" s="742"/>
    </row>
    <row r="307">
      <c r="A307" s="742"/>
      <c r="B307" s="742"/>
      <c r="C307" s="742"/>
      <c r="D307" s="742"/>
      <c r="E307" s="742"/>
      <c r="F307" s="742"/>
      <c r="G307" s="742"/>
      <c r="H307" s="742"/>
      <c r="I307" s="742"/>
      <c r="J307" s="742"/>
    </row>
    <row r="308">
      <c r="A308" s="742"/>
      <c r="B308" s="742"/>
      <c r="C308" s="742"/>
      <c r="D308" s="742"/>
      <c r="E308" s="742"/>
      <c r="F308" s="742"/>
      <c r="G308" s="742"/>
      <c r="H308" s="742"/>
      <c r="I308" s="742"/>
      <c r="J308" s="742"/>
    </row>
    <row r="309">
      <c r="A309" s="742"/>
      <c r="B309" s="742"/>
      <c r="C309" s="742"/>
      <c r="D309" s="742"/>
      <c r="E309" s="742"/>
      <c r="F309" s="742"/>
      <c r="G309" s="742"/>
      <c r="H309" s="742"/>
      <c r="I309" s="742"/>
      <c r="J309" s="742"/>
    </row>
    <row r="310">
      <c r="A310" s="742"/>
      <c r="B310" s="742"/>
      <c r="C310" s="742"/>
      <c r="D310" s="742"/>
      <c r="E310" s="742"/>
      <c r="F310" s="742"/>
      <c r="G310" s="742"/>
      <c r="H310" s="742"/>
      <c r="I310" s="742"/>
      <c r="J310" s="742"/>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3" max="23" width="21.0"/>
  </cols>
  <sheetData>
    <row r="1">
      <c r="A1" s="317"/>
      <c r="B1" s="317"/>
      <c r="C1" s="665" t="s">
        <v>0</v>
      </c>
      <c r="D1" s="317"/>
      <c r="E1" s="317"/>
      <c r="F1" s="317"/>
      <c r="G1" s="317"/>
      <c r="H1" s="317"/>
      <c r="I1" s="317"/>
      <c r="J1" s="317"/>
      <c r="K1" s="317"/>
      <c r="L1" s="317"/>
      <c r="M1" s="317"/>
      <c r="N1" s="317"/>
      <c r="O1" s="317"/>
      <c r="P1" s="726"/>
      <c r="Q1" s="726"/>
      <c r="R1" s="726"/>
      <c r="S1" s="726"/>
      <c r="T1" s="726"/>
      <c r="U1" s="726"/>
      <c r="V1" s="726"/>
      <c r="W1" s="726"/>
      <c r="X1" s="726"/>
      <c r="Y1" s="726"/>
      <c r="Z1" s="726"/>
      <c r="AA1" s="726"/>
      <c r="AB1" s="726"/>
      <c r="AC1" s="317"/>
      <c r="AD1" s="317"/>
      <c r="AE1" s="712"/>
      <c r="AF1" s="317"/>
      <c r="AG1" s="317"/>
      <c r="AH1" s="317"/>
      <c r="AI1" s="317"/>
      <c r="AJ1" s="317"/>
      <c r="AK1" s="317"/>
      <c r="AL1" s="317"/>
      <c r="AM1" s="317"/>
      <c r="AN1" s="317"/>
      <c r="AO1" s="317"/>
      <c r="AP1" s="317"/>
      <c r="AQ1" s="317"/>
      <c r="AR1" s="317"/>
      <c r="AS1" s="317"/>
      <c r="AT1" s="317"/>
      <c r="AU1" s="317"/>
      <c r="AV1" s="317"/>
      <c r="AW1" s="317"/>
      <c r="AX1" s="317"/>
      <c r="AY1" s="317"/>
      <c r="AZ1" s="317"/>
      <c r="BA1" s="317"/>
      <c r="BB1" s="317"/>
      <c r="BC1" s="317"/>
      <c r="BD1" s="317"/>
      <c r="BE1" s="317"/>
      <c r="BF1" s="317"/>
      <c r="BG1" s="317"/>
      <c r="BH1" s="317"/>
      <c r="BI1" s="317"/>
      <c r="BJ1" s="317"/>
      <c r="BK1" s="317"/>
      <c r="BL1" s="317"/>
      <c r="BM1" s="317"/>
      <c r="BN1" s="317"/>
      <c r="BO1" s="317"/>
      <c r="BP1" s="317"/>
      <c r="BQ1" s="317"/>
      <c r="BR1" s="317"/>
      <c r="BS1" s="317"/>
      <c r="BT1" s="317"/>
      <c r="BU1" s="317"/>
      <c r="BV1" s="317"/>
      <c r="BW1" s="753"/>
      <c r="BX1" s="753"/>
      <c r="BY1" s="753"/>
      <c r="BZ1" s="753"/>
      <c r="CA1" s="753"/>
      <c r="CB1" s="753"/>
      <c r="CC1" s="753"/>
      <c r="CD1" s="753"/>
      <c r="CE1" s="753"/>
      <c r="CF1" s="753"/>
      <c r="CG1" s="753"/>
      <c r="CH1" s="753"/>
      <c r="CI1" s="753"/>
      <c r="CJ1" s="753"/>
      <c r="CK1" s="753"/>
    </row>
    <row r="2">
      <c r="A2" s="665" t="s">
        <v>5</v>
      </c>
      <c r="B2" s="665" t="s">
        <v>6</v>
      </c>
      <c r="C2" s="665" t="s">
        <v>7</v>
      </c>
      <c r="D2" s="317" t="s">
        <v>2</v>
      </c>
      <c r="E2" s="317" t="s">
        <v>8</v>
      </c>
      <c r="F2" s="317" t="s">
        <v>17</v>
      </c>
      <c r="G2" s="317" t="s">
        <v>20</v>
      </c>
      <c r="H2" s="317" t="s">
        <v>10</v>
      </c>
      <c r="I2" s="668" t="s">
        <v>235</v>
      </c>
      <c r="J2" s="317" t="s">
        <v>12</v>
      </c>
      <c r="K2" s="317" t="s">
        <v>13</v>
      </c>
      <c r="L2" s="317" t="s">
        <v>436</v>
      </c>
      <c r="M2" s="317" t="s">
        <v>56</v>
      </c>
      <c r="N2" s="317" t="s">
        <v>542</v>
      </c>
      <c r="O2" s="317" t="s">
        <v>543</v>
      </c>
      <c r="P2" s="726" t="s">
        <v>61</v>
      </c>
      <c r="Q2" s="726"/>
      <c r="R2" s="726"/>
      <c r="S2" s="726"/>
      <c r="T2" s="726"/>
      <c r="U2" s="665" t="s">
        <v>616</v>
      </c>
      <c r="V2" s="665" t="s">
        <v>617</v>
      </c>
      <c r="W2" s="665" t="s">
        <v>618</v>
      </c>
      <c r="X2" s="665" t="s">
        <v>619</v>
      </c>
      <c r="Y2" s="665" t="s">
        <v>620</v>
      </c>
      <c r="Z2" s="665" t="s">
        <v>577</v>
      </c>
      <c r="AA2" s="665" t="s">
        <v>578</v>
      </c>
      <c r="AB2" s="665" t="s">
        <v>579</v>
      </c>
      <c r="AC2" s="665" t="s">
        <v>555</v>
      </c>
      <c r="AD2" s="665" t="s">
        <v>212</v>
      </c>
      <c r="AE2" s="665" t="s">
        <v>580</v>
      </c>
      <c r="AF2" s="665" t="s">
        <v>551</v>
      </c>
      <c r="AG2" s="665" t="s">
        <v>581</v>
      </c>
      <c r="AH2" s="665" t="s">
        <v>582</v>
      </c>
      <c r="AI2" s="665" t="s">
        <v>583</v>
      </c>
      <c r="AJ2" s="665" t="s">
        <v>584</v>
      </c>
      <c r="AK2" s="665" t="s">
        <v>585</v>
      </c>
      <c r="AL2" s="665" t="s">
        <v>586</v>
      </c>
      <c r="AM2" s="317" t="s">
        <v>621</v>
      </c>
      <c r="AN2" s="665" t="s">
        <v>587</v>
      </c>
      <c r="AO2" s="317" t="s">
        <v>622</v>
      </c>
      <c r="AP2" s="665" t="s">
        <v>588</v>
      </c>
      <c r="AQ2" s="317" t="s">
        <v>589</v>
      </c>
      <c r="AR2" s="317" t="s">
        <v>623</v>
      </c>
      <c r="AS2" s="665" t="s">
        <v>590</v>
      </c>
      <c r="AT2" s="665" t="s">
        <v>624</v>
      </c>
      <c r="AU2" s="665" t="s">
        <v>591</v>
      </c>
      <c r="AV2" s="665" t="s">
        <v>625</v>
      </c>
      <c r="AW2" s="665" t="s">
        <v>592</v>
      </c>
      <c r="AX2" s="317" t="s">
        <v>593</v>
      </c>
      <c r="AY2" s="317" t="s">
        <v>594</v>
      </c>
      <c r="AZ2" s="317" t="s">
        <v>626</v>
      </c>
      <c r="BA2" s="665" t="s">
        <v>595</v>
      </c>
      <c r="BB2" s="317" t="s">
        <v>627</v>
      </c>
      <c r="BC2" s="665" t="s">
        <v>596</v>
      </c>
      <c r="BD2" s="317" t="s">
        <v>628</v>
      </c>
      <c r="BE2" s="665" t="s">
        <v>597</v>
      </c>
      <c r="BF2" s="317" t="s">
        <v>629</v>
      </c>
      <c r="BG2" s="665" t="s">
        <v>598</v>
      </c>
      <c r="BH2" s="317" t="s">
        <v>630</v>
      </c>
      <c r="BI2" s="665" t="s">
        <v>599</v>
      </c>
      <c r="BJ2" s="317" t="s">
        <v>631</v>
      </c>
      <c r="BK2" s="665" t="s">
        <v>600</v>
      </c>
      <c r="BL2" s="317" t="s">
        <v>632</v>
      </c>
      <c r="BM2" s="755" t="s">
        <v>601</v>
      </c>
      <c r="BN2" s="317" t="s">
        <v>633</v>
      </c>
      <c r="BO2" s="665" t="s">
        <v>602</v>
      </c>
      <c r="BP2" s="317" t="s">
        <v>634</v>
      </c>
      <c r="BQ2" s="665" t="s">
        <v>603</v>
      </c>
      <c r="BR2" s="317" t="s">
        <v>635</v>
      </c>
      <c r="BS2" s="665" t="s">
        <v>604</v>
      </c>
      <c r="BT2" s="317" t="s">
        <v>636</v>
      </c>
      <c r="BU2" s="665" t="s">
        <v>605</v>
      </c>
      <c r="BV2" s="317" t="s">
        <v>637</v>
      </c>
      <c r="BW2" s="756" t="s">
        <v>606</v>
      </c>
      <c r="BX2" s="756" t="str">
        <f t="shared" ref="BX2:BY2" si="1">"свободно"&amp;COLUMN()</f>
        <v>свободно76</v>
      </c>
      <c r="BY2" s="756" t="str">
        <f t="shared" si="1"/>
        <v>свободно77</v>
      </c>
      <c r="BZ2" s="757" t="s">
        <v>638</v>
      </c>
      <c r="CA2" s="757" t="s">
        <v>639</v>
      </c>
      <c r="CB2" s="757" t="s">
        <v>640</v>
      </c>
      <c r="CC2" s="758" t="s">
        <v>641</v>
      </c>
      <c r="CD2" s="757" t="s">
        <v>642</v>
      </c>
      <c r="CE2" s="758" t="s">
        <v>642</v>
      </c>
      <c r="CF2" s="757"/>
      <c r="CG2" s="757"/>
      <c r="CH2" s="757"/>
      <c r="CI2" s="757"/>
      <c r="CJ2" s="757"/>
      <c r="CK2" s="757"/>
    </row>
    <row r="3">
      <c r="A3" s="317"/>
      <c r="B3" s="317"/>
      <c r="C3" s="665" t="s">
        <v>25</v>
      </c>
      <c r="D3" s="317"/>
      <c r="E3" s="317"/>
      <c r="F3" s="317"/>
      <c r="G3" s="317"/>
      <c r="H3" s="317"/>
      <c r="I3" s="317"/>
      <c r="J3" s="317"/>
      <c r="K3" s="317"/>
      <c r="L3" s="317"/>
      <c r="M3" s="317"/>
      <c r="N3" s="317"/>
      <c r="O3" s="317"/>
      <c r="P3" s="726"/>
      <c r="Q3" s="726"/>
      <c r="R3" s="726"/>
      <c r="S3" s="726"/>
      <c r="T3" s="726"/>
      <c r="U3" s="726" t="s">
        <v>25</v>
      </c>
      <c r="V3" s="726" t="s">
        <v>25</v>
      </c>
      <c r="W3" s="726" t="s">
        <v>25</v>
      </c>
      <c r="X3" s="726" t="s">
        <v>25</v>
      </c>
      <c r="Y3" s="726" t="s">
        <v>25</v>
      </c>
      <c r="Z3" s="726" t="s">
        <v>25</v>
      </c>
      <c r="AA3" s="726"/>
      <c r="AB3" s="726" t="s">
        <v>25</v>
      </c>
      <c r="AC3" s="317"/>
      <c r="AD3" s="317"/>
      <c r="AE3" s="317"/>
      <c r="AF3" s="726" t="s">
        <v>25</v>
      </c>
      <c r="AG3" s="317"/>
      <c r="AH3" s="317"/>
      <c r="AI3" s="317"/>
      <c r="AJ3" s="317"/>
      <c r="AK3" s="317"/>
      <c r="AL3" s="665" t="s">
        <v>25</v>
      </c>
      <c r="AM3" s="317"/>
      <c r="AN3" s="665" t="s">
        <v>25</v>
      </c>
      <c r="AO3" s="317"/>
      <c r="AP3" s="665" t="s">
        <v>25</v>
      </c>
      <c r="AQ3" s="317"/>
      <c r="AR3" s="317"/>
      <c r="AS3" s="665" t="s">
        <v>25</v>
      </c>
      <c r="AT3" s="317"/>
      <c r="AU3" s="665" t="s">
        <v>25</v>
      </c>
      <c r="AV3" s="317"/>
      <c r="AW3" s="665" t="s">
        <v>25</v>
      </c>
      <c r="AX3" s="317"/>
      <c r="AY3" s="317"/>
      <c r="AZ3" s="317"/>
      <c r="BA3" s="665" t="s">
        <v>25</v>
      </c>
      <c r="BB3" s="317"/>
      <c r="BC3" s="665" t="s">
        <v>25</v>
      </c>
      <c r="BD3" s="317"/>
      <c r="BE3" s="665" t="s">
        <v>25</v>
      </c>
      <c r="BF3" s="317"/>
      <c r="BG3" s="317"/>
      <c r="BH3" s="317"/>
      <c r="BI3" s="317"/>
      <c r="BJ3" s="317"/>
      <c r="BK3" s="665" t="s">
        <v>25</v>
      </c>
      <c r="BL3" s="317"/>
      <c r="BM3" s="665" t="s">
        <v>25</v>
      </c>
      <c r="BN3" s="317"/>
      <c r="BO3" s="665" t="s">
        <v>25</v>
      </c>
      <c r="BP3" s="317"/>
      <c r="BQ3" s="665" t="s">
        <v>25</v>
      </c>
      <c r="BR3" s="317"/>
      <c r="BS3" s="665" t="s">
        <v>25</v>
      </c>
      <c r="BT3" s="317"/>
      <c r="BU3" s="665" t="s">
        <v>25</v>
      </c>
      <c r="BV3" s="317"/>
      <c r="BW3" s="756" t="s">
        <v>25</v>
      </c>
      <c r="BX3" s="753"/>
      <c r="BY3" s="753"/>
      <c r="BZ3" s="756" t="s">
        <v>25</v>
      </c>
      <c r="CA3" s="756" t="s">
        <v>25</v>
      </c>
      <c r="CB3" s="756" t="s">
        <v>25</v>
      </c>
      <c r="CC3" s="756" t="s">
        <v>25</v>
      </c>
      <c r="CD3" s="756" t="s">
        <v>25</v>
      </c>
      <c r="CE3" s="759" t="s">
        <v>25</v>
      </c>
      <c r="CF3" s="756"/>
      <c r="CG3" s="756"/>
      <c r="CH3" s="756"/>
      <c r="CI3" s="756"/>
      <c r="CJ3" s="756"/>
      <c r="CK3" s="756"/>
    </row>
    <row r="4">
      <c r="A4" s="317"/>
      <c r="B4" s="317"/>
      <c r="C4" s="665" t="s">
        <v>28</v>
      </c>
      <c r="D4" s="317"/>
      <c r="E4" s="317"/>
      <c r="F4" s="317"/>
      <c r="G4" s="317"/>
      <c r="H4" s="317"/>
      <c r="I4" s="317"/>
      <c r="J4" s="317"/>
      <c r="K4" s="317"/>
      <c r="L4" s="317"/>
      <c r="M4" s="317"/>
      <c r="N4" s="317"/>
      <c r="O4" s="317"/>
      <c r="P4" s="726"/>
      <c r="Q4" s="726"/>
      <c r="R4" s="726"/>
      <c r="S4" s="726"/>
      <c r="T4" s="726"/>
      <c r="U4" s="726"/>
      <c r="V4" s="726"/>
      <c r="W4" s="726"/>
      <c r="X4" s="726"/>
      <c r="Y4" s="726"/>
      <c r="Z4" s="726"/>
      <c r="AA4" s="726"/>
      <c r="AB4" s="726"/>
      <c r="AC4" s="317"/>
      <c r="AD4" s="317"/>
      <c r="AE4" s="317"/>
      <c r="AF4" s="317"/>
      <c r="AG4" s="317"/>
      <c r="AH4" s="317"/>
      <c r="AI4" s="317"/>
      <c r="AJ4" s="317"/>
      <c r="AK4" s="317"/>
      <c r="AL4" s="317"/>
      <c r="AM4" s="317"/>
      <c r="AN4" s="317"/>
      <c r="AO4" s="317"/>
      <c r="AP4" s="317"/>
      <c r="AQ4" s="317"/>
      <c r="AR4" s="317"/>
      <c r="AS4" s="317"/>
      <c r="AT4" s="317"/>
      <c r="AU4" s="317"/>
      <c r="AV4" s="317"/>
      <c r="AW4" s="317"/>
      <c r="AX4" s="317"/>
      <c r="AY4" s="317"/>
      <c r="AZ4" s="317"/>
      <c r="BA4" s="317"/>
      <c r="BB4" s="317"/>
      <c r="BC4" s="317"/>
      <c r="BD4" s="317"/>
      <c r="BE4" s="317"/>
      <c r="BF4" s="317"/>
      <c r="BG4" s="317"/>
      <c r="BH4" s="317"/>
      <c r="BI4" s="317"/>
      <c r="BJ4" s="317"/>
      <c r="BK4" s="317"/>
      <c r="BL4" s="317"/>
      <c r="BM4" s="242"/>
      <c r="BN4" s="317"/>
      <c r="BO4" s="317"/>
      <c r="BP4" s="317"/>
      <c r="BQ4" s="317"/>
      <c r="BR4" s="317"/>
      <c r="BS4" s="317"/>
      <c r="BT4" s="317"/>
      <c r="BU4" s="317"/>
      <c r="BV4" s="317"/>
      <c r="BW4" s="753"/>
      <c r="BX4" s="753"/>
      <c r="BY4" s="753"/>
      <c r="BZ4" s="753"/>
      <c r="CA4" s="753"/>
      <c r="CB4" s="753"/>
      <c r="CC4" s="753"/>
      <c r="CD4" s="753"/>
      <c r="CE4" s="753"/>
      <c r="CF4" s="753"/>
      <c r="CG4" s="753"/>
      <c r="CH4" s="753"/>
      <c r="CI4" s="753"/>
      <c r="CJ4" s="753"/>
      <c r="CK4" s="753"/>
    </row>
    <row r="5">
      <c r="A5" s="317"/>
      <c r="B5" s="317"/>
      <c r="C5" s="665" t="s">
        <v>31</v>
      </c>
      <c r="D5" s="317"/>
      <c r="E5" s="317"/>
      <c r="F5" s="317"/>
      <c r="G5" s="317"/>
      <c r="H5" s="317"/>
      <c r="I5" s="317"/>
      <c r="J5" s="317"/>
      <c r="K5" s="317"/>
      <c r="L5" s="317"/>
      <c r="M5" s="317"/>
      <c r="N5" s="317"/>
      <c r="O5" s="317"/>
      <c r="P5" s="726"/>
      <c r="Q5" s="726"/>
      <c r="R5" s="726"/>
      <c r="S5" s="726"/>
      <c r="T5" s="726"/>
      <c r="U5" s="726"/>
      <c r="V5" s="726"/>
      <c r="W5" s="726"/>
      <c r="X5" s="726"/>
      <c r="Y5" s="726"/>
      <c r="Z5" s="726"/>
      <c r="AA5" s="726"/>
      <c r="AB5" s="726"/>
      <c r="AC5" s="317"/>
      <c r="AD5" s="317"/>
      <c r="AE5" s="317"/>
      <c r="AF5" s="317"/>
      <c r="AG5" s="317"/>
      <c r="AH5" s="317"/>
      <c r="AI5" s="317"/>
      <c r="AJ5" s="317"/>
      <c r="AK5" s="317"/>
      <c r="AL5" s="317"/>
      <c r="AM5" s="317"/>
      <c r="AN5" s="317"/>
      <c r="AO5" s="317"/>
      <c r="AP5" s="317"/>
      <c r="AQ5" s="317"/>
      <c r="AR5" s="317"/>
      <c r="AS5" s="317"/>
      <c r="AT5" s="317"/>
      <c r="AU5" s="317"/>
      <c r="AV5" s="317"/>
      <c r="AW5" s="317"/>
      <c r="AX5" s="317"/>
      <c r="AY5" s="317"/>
      <c r="AZ5" s="317"/>
      <c r="BA5" s="317"/>
      <c r="BB5" s="317"/>
      <c r="BC5" s="317"/>
      <c r="BD5" s="317"/>
      <c r="BE5" s="317"/>
      <c r="BF5" s="317"/>
      <c r="BG5" s="317"/>
      <c r="BH5" s="317"/>
      <c r="BI5" s="317"/>
      <c r="BJ5" s="317"/>
      <c r="BK5" s="317"/>
      <c r="BL5" s="317"/>
      <c r="BM5" s="317"/>
      <c r="BN5" s="317"/>
      <c r="BO5" s="317"/>
      <c r="BP5" s="317"/>
      <c r="BQ5" s="317"/>
      <c r="BR5" s="317"/>
      <c r="BS5" s="317"/>
      <c r="BT5" s="317"/>
      <c r="BU5" s="317"/>
      <c r="BV5" s="317"/>
      <c r="BW5" s="753"/>
      <c r="BX5" s="753"/>
      <c r="BY5" s="753"/>
      <c r="BZ5" s="753"/>
      <c r="CA5" s="753"/>
      <c r="CB5" s="753"/>
      <c r="CC5" s="753"/>
      <c r="CD5" s="753"/>
      <c r="CE5" s="753"/>
      <c r="CF5" s="753"/>
      <c r="CG5" s="753"/>
      <c r="CH5" s="753"/>
      <c r="CI5" s="753"/>
      <c r="CJ5" s="753"/>
      <c r="CK5" s="753"/>
    </row>
    <row r="6">
      <c r="A6" s="317"/>
      <c r="B6" s="317"/>
      <c r="C6" s="665" t="s">
        <v>35</v>
      </c>
      <c r="D6" s="317"/>
      <c r="E6" s="317"/>
      <c r="F6" s="317"/>
      <c r="G6" s="317"/>
      <c r="H6" s="317"/>
      <c r="I6" s="317"/>
      <c r="J6" s="317"/>
      <c r="K6" s="317"/>
      <c r="L6" s="317"/>
      <c r="M6" s="317"/>
      <c r="N6" s="317"/>
      <c r="O6" s="317"/>
      <c r="P6" s="726"/>
      <c r="Q6" s="726"/>
      <c r="R6" s="726"/>
      <c r="S6" s="726"/>
      <c r="T6" s="726"/>
      <c r="U6" s="726"/>
      <c r="V6" s="726"/>
      <c r="W6" s="726"/>
      <c r="X6" s="726"/>
      <c r="Y6" s="726"/>
      <c r="Z6" s="726"/>
      <c r="AA6" s="726"/>
      <c r="AB6" s="726"/>
      <c r="AC6" s="317"/>
      <c r="AD6" s="317"/>
      <c r="AE6" s="317"/>
      <c r="AF6" s="317"/>
      <c r="AG6" s="317"/>
      <c r="AH6" s="317"/>
      <c r="AI6" s="317"/>
      <c r="AJ6" s="317"/>
      <c r="AK6" s="317"/>
      <c r="AL6" s="317"/>
      <c r="AM6" s="317"/>
      <c r="AN6" s="317"/>
      <c r="AO6" s="317"/>
      <c r="AP6" s="317"/>
      <c r="AQ6" s="317"/>
      <c r="AR6" s="317"/>
      <c r="AS6" s="317"/>
      <c r="AT6" s="317"/>
      <c r="AU6" s="317"/>
      <c r="AV6" s="317"/>
      <c r="AW6" s="317"/>
      <c r="AX6" s="317"/>
      <c r="AY6" s="317"/>
      <c r="AZ6" s="317"/>
      <c r="BA6" s="317"/>
      <c r="BB6" s="317"/>
      <c r="BC6" s="317"/>
      <c r="BD6" s="317"/>
      <c r="BE6" s="317"/>
      <c r="BF6" s="317"/>
      <c r="BG6" s="317"/>
      <c r="BH6" s="317"/>
      <c r="BI6" s="317"/>
      <c r="BJ6" s="317"/>
      <c r="BK6" s="317"/>
      <c r="BL6" s="317"/>
      <c r="BM6" s="317"/>
      <c r="BN6" s="317"/>
      <c r="BO6" s="317"/>
      <c r="BP6" s="317"/>
      <c r="BQ6" s="317"/>
      <c r="BR6" s="317"/>
      <c r="BS6" s="317"/>
      <c r="BT6" s="317"/>
      <c r="BU6" s="317"/>
      <c r="BV6" s="317"/>
      <c r="BW6" s="753"/>
      <c r="BX6" s="753"/>
      <c r="BY6" s="753"/>
      <c r="BZ6" s="753"/>
      <c r="CA6" s="753"/>
      <c r="CB6" s="753"/>
      <c r="CC6" s="753"/>
      <c r="CD6" s="753"/>
      <c r="CE6" s="753"/>
      <c r="CF6" s="753"/>
      <c r="CG6" s="753"/>
      <c r="CH6" s="753"/>
      <c r="CI6" s="753"/>
      <c r="CJ6" s="753"/>
      <c r="CK6" s="753"/>
    </row>
    <row r="7">
      <c r="A7" s="317"/>
      <c r="B7" s="317"/>
      <c r="C7" s="665" t="s">
        <v>37</v>
      </c>
      <c r="D7" s="317"/>
      <c r="E7" s="317"/>
      <c r="F7" s="317"/>
      <c r="G7" s="317"/>
      <c r="H7" s="317"/>
      <c r="I7" s="317"/>
      <c r="J7" s="317"/>
      <c r="K7" s="317"/>
      <c r="L7" s="317"/>
      <c r="M7" s="317"/>
      <c r="N7" s="317"/>
      <c r="O7" s="317"/>
      <c r="P7" s="726"/>
      <c r="Q7" s="726"/>
      <c r="R7" s="726"/>
      <c r="S7" s="726"/>
      <c r="T7" s="726"/>
      <c r="U7" s="726"/>
      <c r="V7" s="726"/>
      <c r="W7" s="726"/>
      <c r="X7" s="726"/>
      <c r="Y7" s="726"/>
      <c r="Z7" s="726"/>
      <c r="AA7" s="726"/>
      <c r="AB7" s="726"/>
      <c r="AC7" s="317"/>
      <c r="AD7" s="317"/>
      <c r="AE7" s="317"/>
      <c r="AF7" s="317"/>
      <c r="AG7" s="317"/>
      <c r="AH7" s="317"/>
      <c r="AI7" s="317"/>
      <c r="AJ7" s="317"/>
      <c r="AK7" s="317"/>
      <c r="AL7" s="317"/>
      <c r="AM7" s="317"/>
      <c r="AN7" s="317"/>
      <c r="AO7" s="317"/>
      <c r="AP7" s="317"/>
      <c r="AQ7" s="317"/>
      <c r="AR7" s="317"/>
      <c r="AS7" s="317"/>
      <c r="AT7" s="317"/>
      <c r="AU7" s="317"/>
      <c r="AV7" s="317"/>
      <c r="AW7" s="317"/>
      <c r="AX7" s="317"/>
      <c r="AY7" s="317"/>
      <c r="AZ7" s="317"/>
      <c r="BA7" s="317"/>
      <c r="BB7" s="317"/>
      <c r="BC7" s="317"/>
      <c r="BD7" s="317"/>
      <c r="BE7" s="317"/>
      <c r="BF7" s="317"/>
      <c r="BG7" s="317"/>
      <c r="BH7" s="317"/>
      <c r="BI7" s="317"/>
      <c r="BJ7" s="317"/>
      <c r="BK7" s="317"/>
      <c r="BL7" s="317"/>
      <c r="BM7" s="317"/>
      <c r="BN7" s="317"/>
      <c r="BO7" s="317"/>
      <c r="BP7" s="317"/>
      <c r="BQ7" s="317"/>
      <c r="BR7" s="317"/>
      <c r="BS7" s="317"/>
      <c r="BT7" s="317"/>
      <c r="BU7" s="317"/>
      <c r="BV7" s="317"/>
      <c r="BW7" s="753"/>
      <c r="BX7" s="753"/>
      <c r="BY7" s="753"/>
      <c r="BZ7" s="753"/>
      <c r="CA7" s="753"/>
      <c r="CB7" s="753"/>
      <c r="CC7" s="753"/>
      <c r="CD7" s="753"/>
      <c r="CE7" s="753"/>
      <c r="CF7" s="753"/>
      <c r="CG7" s="753"/>
      <c r="CH7" s="753"/>
      <c r="CI7" s="753"/>
      <c r="CJ7" s="753"/>
      <c r="CK7" s="753"/>
    </row>
    <row r="8">
      <c r="A8" s="317"/>
      <c r="B8" s="317"/>
      <c r="C8" s="665" t="s">
        <v>39</v>
      </c>
      <c r="D8" s="317"/>
      <c r="E8" s="317"/>
      <c r="F8" s="317"/>
      <c r="G8" s="317"/>
      <c r="H8" s="317"/>
      <c r="I8" s="317"/>
      <c r="J8" s="317"/>
      <c r="K8" s="317"/>
      <c r="L8" s="317"/>
      <c r="M8" s="317"/>
      <c r="N8" s="317"/>
      <c r="O8" s="317"/>
      <c r="P8" s="726"/>
      <c r="Q8" s="726"/>
      <c r="R8" s="726"/>
      <c r="S8" s="726"/>
      <c r="T8" s="726"/>
      <c r="U8" s="726"/>
      <c r="V8" s="726"/>
      <c r="W8" s="726"/>
      <c r="X8" s="726"/>
      <c r="Y8" s="726"/>
      <c r="Z8" s="726"/>
      <c r="AA8" s="726"/>
      <c r="AB8" s="726"/>
      <c r="AC8" s="317"/>
      <c r="AD8" s="317"/>
      <c r="AE8" s="317"/>
      <c r="AF8" s="317"/>
      <c r="AG8" s="317"/>
      <c r="AH8" s="317"/>
      <c r="AI8" s="317"/>
      <c r="AJ8" s="317"/>
      <c r="AK8" s="317"/>
      <c r="AL8" s="317"/>
      <c r="AM8" s="317"/>
      <c r="AN8" s="317"/>
      <c r="AO8" s="317"/>
      <c r="AP8" s="317"/>
      <c r="AQ8" s="317"/>
      <c r="AR8" s="317"/>
      <c r="AS8" s="317"/>
      <c r="AT8" s="317"/>
      <c r="AU8" s="317"/>
      <c r="AV8" s="317"/>
      <c r="AW8" s="317"/>
      <c r="AX8" s="317"/>
      <c r="AY8" s="317"/>
      <c r="AZ8" s="317"/>
      <c r="BA8" s="317"/>
      <c r="BB8" s="317"/>
      <c r="BC8" s="317"/>
      <c r="BD8" s="317"/>
      <c r="BE8" s="317"/>
      <c r="BF8" s="317"/>
      <c r="BG8" s="317"/>
      <c r="BH8" s="317"/>
      <c r="BI8" s="317"/>
      <c r="BJ8" s="317"/>
      <c r="BK8" s="317"/>
      <c r="BL8" s="317"/>
      <c r="BM8" s="317"/>
      <c r="BN8" s="317"/>
      <c r="BO8" s="317"/>
      <c r="BP8" s="317"/>
      <c r="BQ8" s="317"/>
      <c r="BR8" s="317"/>
      <c r="BS8" s="317"/>
      <c r="BT8" s="317"/>
      <c r="BU8" s="317"/>
      <c r="BV8" s="317"/>
      <c r="BW8" s="753"/>
      <c r="BX8" s="753"/>
      <c r="BY8" s="753"/>
      <c r="BZ8" s="753"/>
      <c r="CA8" s="753"/>
      <c r="CB8" s="753"/>
      <c r="CC8" s="753"/>
      <c r="CD8" s="753"/>
      <c r="CE8" s="753"/>
      <c r="CF8" s="753"/>
      <c r="CG8" s="753"/>
      <c r="CH8" s="753"/>
      <c r="CI8" s="753"/>
      <c r="CJ8" s="753"/>
      <c r="CK8" s="753"/>
    </row>
    <row r="9">
      <c r="A9" s="317"/>
      <c r="B9" s="317"/>
      <c r="C9" s="665" t="s">
        <v>44</v>
      </c>
      <c r="D9" s="317"/>
      <c r="E9" s="317"/>
      <c r="F9" s="317"/>
      <c r="G9" s="317"/>
      <c r="H9" s="317"/>
      <c r="I9" s="317"/>
      <c r="J9" s="317"/>
      <c r="K9" s="317"/>
      <c r="L9" s="317"/>
      <c r="M9" s="317"/>
      <c r="N9" s="317"/>
      <c r="O9" s="317"/>
      <c r="P9" s="317"/>
      <c r="Q9" s="317"/>
      <c r="R9" s="317"/>
      <c r="S9" s="317"/>
      <c r="T9" s="317"/>
      <c r="U9" s="317" t="s">
        <v>211</v>
      </c>
      <c r="V9" s="317" t="s">
        <v>643</v>
      </c>
      <c r="W9" s="317" t="s">
        <v>644</v>
      </c>
      <c r="X9" s="317" t="s">
        <v>69</v>
      </c>
      <c r="Y9" s="317" t="s">
        <v>645</v>
      </c>
      <c r="Z9" s="317" t="s">
        <v>146</v>
      </c>
      <c r="AA9" s="317"/>
      <c r="AB9" s="317" t="s">
        <v>579</v>
      </c>
      <c r="AC9" s="317"/>
      <c r="AD9" s="317"/>
      <c r="AE9" s="317"/>
      <c r="AF9" s="665" t="s">
        <v>551</v>
      </c>
      <c r="AG9" s="317"/>
      <c r="AH9" s="317"/>
      <c r="AI9" s="317"/>
      <c r="AJ9" s="317"/>
      <c r="AK9" s="317"/>
      <c r="AL9" s="665" t="s">
        <v>646</v>
      </c>
      <c r="AM9" s="317"/>
      <c r="AN9" s="665" t="s">
        <v>647</v>
      </c>
      <c r="AO9" s="317"/>
      <c r="AP9" s="665" t="s">
        <v>648</v>
      </c>
      <c r="AQ9" s="317"/>
      <c r="AR9" s="317"/>
      <c r="AS9" s="665" t="s">
        <v>649</v>
      </c>
      <c r="AT9" s="317"/>
      <c r="AU9" s="665" t="s">
        <v>591</v>
      </c>
      <c r="AV9" s="317"/>
      <c r="AW9" s="665" t="s">
        <v>650</v>
      </c>
      <c r="AX9" s="317"/>
      <c r="AY9" s="317"/>
      <c r="AZ9" s="317"/>
      <c r="BA9" s="665" t="s">
        <v>651</v>
      </c>
      <c r="BB9" s="317"/>
      <c r="BC9" s="665" t="s">
        <v>652</v>
      </c>
      <c r="BD9" s="317"/>
      <c r="BE9" s="665" t="s">
        <v>653</v>
      </c>
      <c r="BF9" s="317"/>
      <c r="BG9" s="665" t="s">
        <v>654</v>
      </c>
      <c r="BH9" s="317"/>
      <c r="BI9" s="665" t="s">
        <v>655</v>
      </c>
      <c r="BJ9" s="317"/>
      <c r="BK9" s="665" t="s">
        <v>656</v>
      </c>
      <c r="BL9" s="317"/>
      <c r="BM9" s="665" t="s">
        <v>657</v>
      </c>
      <c r="BN9" s="317"/>
      <c r="BO9" s="665" t="s">
        <v>658</v>
      </c>
      <c r="BP9" s="317"/>
      <c r="BQ9" s="665" t="s">
        <v>659</v>
      </c>
      <c r="BR9" s="317"/>
      <c r="BS9" s="665" t="s">
        <v>660</v>
      </c>
      <c r="BT9" s="317"/>
      <c r="BU9" s="665" t="s">
        <v>661</v>
      </c>
      <c r="BV9" s="317"/>
      <c r="BW9" s="756" t="s">
        <v>662</v>
      </c>
      <c r="BX9" s="753"/>
      <c r="BY9" s="753"/>
      <c r="BZ9" s="753"/>
      <c r="CA9" s="753"/>
      <c r="CB9" s="753"/>
      <c r="CC9" s="753"/>
      <c r="CD9" s="753"/>
      <c r="CE9" s="753"/>
      <c r="CF9" s="753"/>
      <c r="CG9" s="753"/>
      <c r="CH9" s="753"/>
      <c r="CI9" s="753"/>
      <c r="CJ9" s="753"/>
      <c r="CK9" s="753"/>
    </row>
    <row r="10">
      <c r="A10" s="317"/>
      <c r="B10" s="317"/>
      <c r="C10" s="760" t="str">
        <f t="array" ref="C10:C319">'5-5 Оформление сделок'!C10:C319</f>
        <v>ID_Товара</v>
      </c>
      <c r="D10" s="317"/>
      <c r="E10" s="317"/>
      <c r="F10" s="317"/>
      <c r="G10" s="317"/>
      <c r="H10" s="317"/>
      <c r="I10" s="317"/>
      <c r="J10" s="317"/>
      <c r="K10" s="317"/>
      <c r="L10" s="317"/>
      <c r="M10" s="317"/>
      <c r="N10" s="317"/>
      <c r="O10" s="317"/>
      <c r="P10" s="726"/>
      <c r="Q10" s="726"/>
      <c r="R10" s="726"/>
      <c r="S10" s="726"/>
      <c r="T10" s="726"/>
      <c r="U10" s="761" t="str">
        <f t="array" ref="U10:U319">{'S-10 Оформление сделок Выборка'!U$9;
LAMBDA(calc_project_export_ce_mp, project_passport_mp, product_id_ar, product_export_ce_ar,
    LET(
        project_export_ce, calc_project_export_ce_mp(project_passport_mp),
        MAP(product_id_ar, product_export_ce_ar,
            LAMBDA(product_id, product_export_ce,
                IF(AND(product_id &lt;&gt; "", product_export_ce &lt;&gt; ""), project_export_ce, "")
            )
        )
    )
)(
    LAMBDA(project_passport_mp,  LET(  val_v, IFERROR(VLOOKUP("Кто контактирует с заказчиком по вопросу исполнения", project_passport_mp, 2, FALSE), ), val_v )    ),
    {'0-Паспорт проекта'!$B$1:$B319, '0-Паспорт проекта'!$C$1:$C319},
    '5-5 Оформление сделок'!$C$11:$C319,
    '5-5 Оформление сделок'!$E$11:$E319
)}
</f>
        <v>Кто контактирует с заказчиком по вопросу исполнения</v>
      </c>
      <c r="V10" s="761" t="str">
        <f t="array" ref="V10:V319">{'S-10 Оформление сделок Выборка'!V$9;
LAMBDA(calc_project_export_ce_mp, project_passport_mp, product_id_ar, product_export_ce_ar,
    LET(
        project_export_ce, calc_project_export_ce_mp(project_passport_mp),
        MAP(product_id_ar, product_export_ce_ar,
            LAMBDA(product_id, product_export_ce,
                IF(AND(product_id &lt;&gt; "", product_export_ce &lt;&gt; ""), project_export_ce, "")
            )
        )
    )
)(
    LAMBDA(project_passport_mp,  LET(  val_v, IFERROR(VLOOKUP("Условия договора на которые нужно обратить ВНИМАНИЕ", project_passport_mp, 2, FALSE), ), val_v )    ),
    {'0-Паспорт проекта'!$B$1:$B319, '0-Паспорт проекта'!$C$1:$C319},
    '5-5 Оформление сделок'!$C$11:$C319,
    '5-5 Оформление сделок'!$E$11:$E319
)}
</f>
        <v>Особые условия</v>
      </c>
      <c r="W10" s="761" t="str">
        <f t="array" ref="W10:W319">{'S-10 Оформление сделок Выборка'!W$9;
LAMBDA(data_isp_v, data_zac_v,  product_id_ar, product_ce_ar,
    LET(
        max_data_v, LAMBDA(data, IF(data&lt;40000,,data))( MAX(data_isp_v, data_zac_v,0,)),
        MAP(product_id_ar, product_ce_ar,            LAMBDA(product_id, product_ce,                IF(AND(product_id &lt;&gt; "", product_ce &lt;&gt; ""), max_data_v, )            )        )
    )
)(
    LAMBDA(doFind,theData,theName, BYROW(theData,LAMBDA(td,Dofind(td,theName))))(LAMBDA(theData,theName, IFERROR(  INDEX(theData,1, MATCH(theName,theData,0)+1),)),'7 Исполнение'!$A$1:$AA$1,"Дата подписи заказчиком"  ),
    LAMBDA(doFind,theData,theName, BYROW(theData,LAMBDA(td,Dofind(td,theName))))(LAMBDA(theData,theName, IFERROR(  INDEX(theData,1, MATCH(theName,theData,0)+1),)),'7 Исполнение'!$A$1:$AA$1,"Дата подписи исполнителем"),
    '5-5 Оформление сделок'!$C$11:$C319,
    '5-5 Оформление сделок'!$E$11:$E319
)}</f>
        <v>Дата подписания договора</v>
      </c>
      <c r="X10" s="761" t="str">
        <f t="array" ref="X10:X319">{'S-10 Оформление сделок Выборка'!X$9;
LAMBDA(get_mesto_v, project_passport_mp, product_id_ar, product_ce_ar,
    LET(
        mesto_v, get_mesto_v(project_passport_mp),
        MAP(product_id_ar, product_ce_ar, LAMBDA(product_id, product_ce, IF(AND(product_id &lt;&gt; "", product_ce &lt;&gt; ""), mesto_v, "") ) )
    )
)(
    LAMBDA(passport_mp, LET( export_status_v, IFERROR(VLOOKUP("Место поставки товара", passport_mp, 2, FALSE), ),export_status_v )    ),
    {'0-Паспорт проекта'!$B$1:$B319, '0-Паспорт проекта'!$C$1:$C319},
    '5-5 Оформление сделок'!$C$11:$C319,
    '5-5 Оформление сделок'!$E$11:$E319
)}
</f>
        <v>Место поставки товара</v>
      </c>
      <c r="Y10" s="761" t="str">
        <f t="array" ref="Y10:Y319">{'S-10 Оформление сделок Выборка'!Y$9;
LAMBDA(get_contact_resp_v, get_contact_oter_v,  project_passport_mp,  product_id_ar, product_ce_ar,
    LET(
        project_contact_v, TEXTJOIN(CHAR(10),TRUE,get_contact_resp_v(project_passport_mp), get_contact_oter_v(project_passport_mp)),
        MAP(product_id_ar, product_ce_ar,
            LAMBDA(product_id, product_ce,
                IF(AND(product_id &lt;&gt; "", product_ce &lt;&gt; ""), project_contact_v, "")
            )
        )
    )
)(
    LAMBDA(project_passport_mp,         LET(            val_v, IFERROR(VLOOKUP("Контакты ЛПР", project_passport_mp, 2, FALSE), ),            IF(val_v&lt;&gt;"",  "ЛПР - "&amp; val_v ,)        )    ),
    LAMBDA(project_passport_mp,         LET(            val_v, IFERROR(VLOOKUP("Другие контакты заказчика.", project_passport_mp, 2, FALSE), ),            IF(val_v&lt;&gt;"",  "Другие - "&amp; val_v ,)        )    ),
    {'0-Паспорт проекта'!$B$1:$B319, '0-Паспорт проекта'!$C$1:$C319},
    '5-5 Оформление сделок'!$C$11:$C319,
    '5-5 Оформление сделок'!$E$11:$E319
)}
</f>
        <v>Контакты покупателя</v>
      </c>
      <c r="Z10" s="761" t="str">
        <f t="array" ref="Z10:Z319">{'S-10 Оформление сделок Выборка'!Z$9;
LAMBDA(calc_project_export_ce_mp, project_passport_mp, product_id_ar, product_export_ce_ar,
    LET(
        project_export_ce, calc_project_export_ce_mp(project_passport_mp),
        MAP(product_id_ar, product_export_ce_ar,
            LAMBDA(product_id, product_export_ce,
                IF(AND(product_id &lt;&gt; "", product_export_ce &lt;&gt; ""), project_export_ce, "")
            )
        )
    )
)(
    LAMBDA(project_passport_mp,
        LET(
            export_status_v, IFERROR(VLOOKUP("Экспортный контракт", project_passport_mp, 2, FALSE), "Нет"),
            IF(export_status_v = "","Нет",export_status_v )
        )
    ),
    {'0-Паспорт проекта'!$B$1:$B319, '0-Паспорт проекта'!$C$1:$C319},
    '5-5 Оформление сделок'!$C$11:$C319,
    '5-5 Оформление сделок'!$E$11:$E319
)}
</f>
        <v>Экспортный контракт</v>
      </c>
      <c r="AA10" s="761"/>
      <c r="AB10" s="761" t="str">
        <f t="array" ref="AB10:AB319">'5-5 Оформление сделок'!AB10:AB319</f>
        <v>Поставщик</v>
      </c>
      <c r="AC10" s="317"/>
      <c r="AD10" s="317"/>
      <c r="AE10" s="317"/>
      <c r="AF10" s="760" t="str">
        <f>IFERROR(__xludf.DUMMYFUNCTION("{'S-10 Оформление сделок Выборка'!AF$9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Коммента'!$W$11:$W319,
'S-10 Оформление сделок Выборка'!AF$2
)}"),"Статус")</f>
        <v>Статус</v>
      </c>
      <c r="AG10" s="317"/>
      <c r="AH10" s="317"/>
      <c r="AI10" s="317"/>
      <c r="AJ10" s="317"/>
      <c r="AK10" s="317"/>
      <c r="AL10" s="760" t="str">
        <f>IFERROR(__xludf.DUMMYFUNCTION("{'S-10 Оформление сделок Выборка'!AL$9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Коммента'!$K$11:$K319,
'S-10 Оформление сделок Выборка'!AL$2
)}"),"Комментарий закупщика к сделке")</f>
        <v>Комментарий закупщика к сделке</v>
      </c>
      <c r="AM10" s="317"/>
      <c r="AN10" s="760" t="str">
        <f>IFERROR(__xludf.DUMMYFUNCTION("{'S-10 Оформление сделок Выборка'!AN$9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Коммента'!$L$11:$L319,
'S-10 Оформление сделок Выборка'!AN$2
)}"),"Дата след контакта")</f>
        <v>Дата след контакта</v>
      </c>
      <c r="AO10" s="317"/>
      <c r="AP10" s="760" t="str">
        <f>IFERROR(__xludf.DUMMYFUNCTION("{'S-10 Оформление сделок Выборка'!AP$9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Коммента'!$M$11:$M319,
'S-10 Оформление сделок Выборка'!AP$2
)}"),"Реальная цена")</f>
        <v>Реальная цена</v>
      </c>
      <c r="AQ10" s="317"/>
      <c r="AR10" s="317"/>
      <c r="AS10" s="760" t="str">
        <f>IFERROR(__xludf.DUMMYFUNCTION("{'S-10 Оформление сделок Выборка'!AS$9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Коммента'!$N$11:$N319,
'S-10 Оформление сделок Выборка'!AS$2
)}"),"Реальный срок")</f>
        <v>Реальный срок</v>
      </c>
      <c r="AT10" s="317"/>
      <c r="AU10" s="760" t="str">
        <f>IFERROR(__xludf.DUMMYFUNCTION("{'S-10 Оформление сделок Выборка'!AU$9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Коммента'!$X$11:$X319,
'S-10 Оформление сделок Выборка'!AU$2
)}"),"НДС")</f>
        <v>НДС</v>
      </c>
      <c r="AV10" s="765"/>
      <c r="AW10" s="764" t="str">
        <f>IFERROR(__xludf.DUMMYFUNCTION("{'S-10 Оформление сделок Выборка'!AW$9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Коммента'!$AD$11:$AD319,
'S-10 Оформление сделок Выборка'!AW$2
)}"),"Вид оплаты")</f>
        <v>Вид оплаты</v>
      </c>
      <c r="AX10" s="317"/>
      <c r="AY10" s="317"/>
      <c r="AZ10" s="317"/>
      <c r="BA10" s="760" t="str">
        <f>IFERROR(__xludf.DUMMYFUNCTION("{'S-10 Оформление сделок Выборка'!BA$9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Коммента'!$O$11:$O319,
'S-10 Оформление сделок Выборка'!BA$2
)}"),"ИНН Постав-ка")</f>
        <v>ИНН Постав-ка</v>
      </c>
      <c r="BB10" s="317"/>
      <c r="BC10" s="760" t="str">
        <f>IFERROR(__xludf.DUMMYFUNCTION("{'S-10 Оформление сделок Выборка'!BC$9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Коммента'!$P$11:$P319,
'S-10 Оформление сделок Выборка'!BC$2
)}"),"Процент перв-ной оп-ты")</f>
        <v>Процент перв-ной оп-ты</v>
      </c>
      <c r="BD10" s="317"/>
      <c r="BE10" s="760" t="str">
        <f>IFERROR(__xludf.DUMMYFUNCTION("{'S-10 Оформление сделок Выборка'!BE$9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Коммента'!$Y$11:$Y319,
'S-10 Оформление сделок Выборка'!BE$2
)}"),"Условия оплаты")</f>
        <v>Условия оплаты</v>
      </c>
      <c r="BF10" s="317"/>
      <c r="BG10" s="760" t="str">
        <f>IFERROR(__xludf.DUMMYFUNCTION("{'S-10 Оформление сделок Выборка'!BG$9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Коммента'!$AB$11:$AB319,
'S-10 Оформление сделок Выборка'!BG$2
)}"),"Иные условия оплаты")</f>
        <v>Иные условия оплаты</v>
      </c>
      <c r="BH10" s="317"/>
      <c r="BI10" s="760" t="str">
        <f>IFERROR(__xludf.DUMMYFUNCTION("{'S-10 Оформление сделок Выборка'!BI$9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Коммента'!$AC$11:$AC319,
'S-10 Оформление сделок Выборка'!BI$2
)}"),"Отсрочка календарных дней")</f>
        <v>Отсрочка календарных дней</v>
      </c>
      <c r="BJ10" s="317"/>
      <c r="BK10" s="760" t="str">
        <f>IFERROR(__xludf.DUMMYFUNCTION("{'S-10 Оформление сделок Выборка'!BK$9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Коммента'!$Z$11:$Z319,
'S-10 Оформление сделок Выборка'!BK$2
)}"),"Куда доставить груз (промежучточное место комплектации)")</f>
        <v>Куда доставить груз (промежучточное место комплектации)</v>
      </c>
      <c r="BL10" s="317"/>
      <c r="BM10" s="760" t="str">
        <f>IFERROR(__xludf.DUMMYFUNCTION("{'S-10 Оформление сделок Выборка'!BM$9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Коммента'!$AA$11:$AA319,
'S-10 Оформление сделок Выборка'!BM$2
)}"),"Обязательства поставщика по доставке")</f>
        <v>Обязательства поставщика по доставке</v>
      </c>
      <c r="BN10" s="317"/>
      <c r="BO10" s="766" t="str">
        <f t="array" ref="BO10:BO319">{'S-10 Оформление сделок Выборка'!BO$9
;LAMBDA(doVPR, doFind, theRows,theData,
doFind(doVPR,theRows,theData)
)(
LAMBDA(tr, theData, IFERROR(VLOOKUP(tr,theData,2,FALSE),)),
LAMBDA(doVPR,theRows, theData, BYROW(theRows,LAMBDA(tr, IF(tr&lt;&gt;"",doVPR(tr,theData),)) )),
'S-10 Оформление сделок Выборка'!$C$11:$C319,
{'6 Оплаты'!I10:I319,  IF('6 Оплаты'!AQ10:AQ319&amp;'6 Оплаты'!AR10:AR319&lt;&gt;"",""&amp;'6 Оплаты'!AQ10:AQ319&amp;" "&amp;'6 Оплаты'!AR10:AR319,)}
)}</f>
        <v>Статус оплаты</v>
      </c>
      <c r="BP10" s="767"/>
      <c r="BQ10" s="766" t="str">
        <f t="array" ref="BQ10:BQ319">{'S-10 Оформление сделок Выборка'!BQ$9
;LAMBDA(doVPR, doFind, theRows,theData,
doFind(doVPR,theRows,theData)
)(
LAMBDA(tr, theData, IFERROR(VLOOKUP(tr,theData,2,FALSE),)),
LAMBDA(doVPR,theRows, theData, BYROW(theRows,LAMBDA(tr, IF(tr&lt;&gt;"",doVPR(tr,theData),)) )),
'S-10 Оформление сделок Выборка'!$C$11:$C319,
{'6 Оплаты'!I10:I319,  IF('6 Оплаты'!AT10:AT319&lt;&gt;"",'6 Оплаты'!AT10:AT319,)}
)}</f>
        <v>Процент оплаты</v>
      </c>
      <c r="BR10" s="317"/>
      <c r="BS10" s="760" t="str">
        <f>IFERROR(__xludf.DUMMYFUNCTION("{'S-10 Оформление сделок Выборка'!BS$9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Коммента'!$U$11:$U319,
'S-10 Оформление сделок Выборка'!BS$2
)}"),"Дата получения финального счет договора")</f>
        <v>Дата получения финального счет договора</v>
      </c>
      <c r="BT10" s="317"/>
      <c r="BU10" s="760" t="str">
        <f>IFERROR(__xludf.DUMMYFUNCTION("{'S-10 Оформление сделок Выборка'!BU$9
;LAMBDA(doSelect, doFind, doMakeData,theRows,
theDKey,theDДобавлен,theDПоставщик,theDТовар,theDВписано,
theDFild,theВписано,
doFind(doSelect,theRows,doMakeData(theВписано,theDKey,theDДобавлен,theDВписано,theDПоставщи"&amp;"к,theDТовар,theDFild))
)(
LAMBDA(theТовар,theПоставщик,theData, IFERROR( INDEX(QUERY(theData,""Select Col6 Where Col4='""&amp;theПоставщик&amp;""' and Col5='""&amp;theТовар&amp;""'""),1,1),)),
LAMBDA(doSelect,theRows, theData, BYROW(theRows,LAMBDA(tr, doSelect(INDEX(tr,,"&amp;"1),INDEX(tr,,2),theData )) )),
LAMBDA(theВписано,theDKey,theDДобавлен,theDВписано, theDПоставщик,theDТовар,theDFild,
IFERROR( QUERY({theDKey,theDДобавлен,theDВписано,theDПоставщик,theDТовар,theDFild},""Select * where Col6 is not null and Col3='""&amp;theВписа"&amp;"но&amp;""' order by Col2 desc"",0),{""err1"",""err2"",""err3"",""err4"",""err5"",""err6""})),
{'S-10 Оформление сделок Выборка'!$C$11:$C319,'S-10 Оформление сделок Выборка'!$AB$11:$AB319},
'S-10 Оформление сделок Коммента'!$C$11:$C319,'S-10 Оформление сделок "&amp;"Коммента'!$D$11:$D319,'S-10 Оформление сделок Коммента'!$I$11:$I319,'S-10 Оформление сделок Коммента'!$J$11:$J319,'S-10 Оформление сделок Коммента'!$G$11:$G319,
'S-10 Оформление сделок Коммента'!$V$11:$V319,
'S-10 Оформление сделок Выборка'!BU$2
)}"),"Дата отправки подписанного нами счет договора")</f>
        <v>Дата отправки подписанного нами счет договора</v>
      </c>
      <c r="BV10" s="317"/>
      <c r="BW10" s="757" t="str">
        <f t="array" ref="BW10:BW319">{"Проверка ошибок";LAMBDA(theData,ByRow(theData,LAMBDA(td,TEXTJOIN(CHAR(10),TRUE,td))))(
{BZ11:BZ319,CA11:CA319,CB11:CB319,CC11:CC319,CD11:CD319,CE11:CE319,CF11:CK319})}</f>
        <v>Проверка ошибок</v>
      </c>
      <c r="BX10" s="753"/>
      <c r="BY10" s="753"/>
      <c r="BZ10" s="757" t="str">
        <f>IFERROR(__xludf.DUMMYFUNCTION("{""Проверка ошибок постатсу"";LAMBDA(doResCel,doResCelA,doResCelB,doResCelC, doFindStatuses, doResCol,doVpr,doIndexCols, theRuls,theHStatuses,theStatuses,theHeders,theData,
byRow(ByCol(doIndexCols(theHeders), LAMBDA( theInd,doResCol(
doResCel(doResCelA,do"&amp;"ResCelB,doResCelC,doVpr( INDEX( theHeders, ,theInd),theRuls,5)) 
,""----""&amp;CHAR(10)&amp;doVpr( INDEX( theHeders, ,theInd),theRuls,2),doVpr( INDEX( theHeders, ,theInd),theRuls,3), 
 {doFindStatuses(theHStatuses, theStatuses,doVpr( INDEX( theHeders, ,theInd),th"&amp;"eRuls,4))  ,INDEX( theData, ,theInd)} 
) ) ),LAMBDA(theR,TEXTJOIN(CHAR(10),TRUE,theR)))) 
(
LAMBDA( doResCelA,doResCelB,doResCelC,theL,  IF(theL=""A"",doResCelA,IF(theL=""B"",doResCelB,IF(theL=""C"",doResCelC,doResCelA))) ),
LAMBDA(theRulStat,theMsg,theSt"&amp;"аtus,theValue,ifs( IF (theStаtus&lt;&gt;"""",   IFERROR( SEARCH(theStаtus,theRulStat),0),0)=0,,LEN(""""&amp;theValue)&lt;&gt;0,, TRUE,theMsg&amp;"" '""&amp;theStаtus&amp;""'. ошибка"")),
LAMBDA(theRulStat,theMsg,theCol1,theCol2,   ifs( AND(theCol1&lt;&gt;"""", IFERROR( SEARCH(theCol2,theR"&amp;"ulStat),0)=0  ),theMsg, TRUE,)),
LAMBDA(theRulStat,theMsg,theCol1,theCol2,   ifs(AND(""----""&amp;CHAR(10)&amp;theCol1=theRulStat,theCol2=""""),theMsg,AND(""----""&amp;CHAR(10)&amp;theCol1&lt;&gt;theRulStat,theCol2&lt;&gt;""""),theMsg,   TRUE,)),
LAMBDA(theHStatuses,theStatuses,theH"&amp;"ed, INDEX(theStatuses,,IFERROR(HLOOKUP(theHed,theHStatuses,2),1))),
LAMBDA(doResCel,theRulStat,theMs,theStatusesDatas,BYROW(theStatusesDatas, LAMBDA( theSD, doResCel(theRulStat,theMs,INDEX(theSD,1,1)  ,INDEX(theSD,1,2))))),
LAMBDA(theQuest,theRange,theCol"&amp;",IFERROR( VLOOKUP(theQuest,theRange,theCol,FALSE),"""")),
LAMBDA(theHeders,MAKEARRAY(1,COUNTA(theHeders),LAMBDA(r,c,c))),
FILTER({'Настройки писем'!BI3:BI20,'Настройки писем'!BJ3:BJ20,'Настройки писем'!BL3:BL20,'Настройки писем'!BM3:BM20,'Настройки писем'"&amp;"!BN3:BN20},'Настройки писем'!BI3:BI20&lt;&gt;""""),
{{'5-5 Оформление сделок'!AF10;1},{'5-5 Оформление сделок'!BO10;2},{'5-5 Оформление сделок'!BE10;3}},{'5-5 Оформление сделок'!AF11:AF310,'5-5 Оформление сделок'!BO11:BO310,'5-5 Оформление сделок'!BE11:BE310},
"&amp;"{'5-5 Оформление сделок'!AN10,'5-5 Оформление сделок'!AP10,'5-5 Оформление сделок'!AS10,'5-5 Оформление сделок'!AU10,'5-5 Оформление сделок'!BA10,'5-5 Оформление сделок'!BC10,'5-5 Оформление сделок'!BE10,'5-5 Оформление сделок'!BK10,'5-5 Оформление сделок"&amp;"'!BM10,'5-5 Оформление сделок'!BS10,'5-5 Оформление сделок'!BU10,'5-5 Оформление сделок'!AF10,'5-5 Оформление сделок'!BI10},
{'5-5 Оформление сделок'!AN11:AN310
,'5-5 Оформление сделок'!AP11:AP310
,'5-5 Оформление сделок'!AS11:AS310
,'5-5 Оформление сдело"&amp;"к'!AU11:AU310
, ARRAYFORMULA(IF( '5-5 Оформление сделок'!AW11:AW310=""Нал"",""Нал ИНН"",'5-5 Оформление сделок'!BA11:BA310))
,'5-5 Оформление сделок'!BC11:BC310
,'5-5 Оформление сделок'!BE11:BE310
,'5-5 Оформление сделок'!BK11:BK310
,'5-5 Оформление сдело"&amp;"к'!BM11:BM310
,'5-5 Оформление сделок'!BS11:BS310
,ARRAYFORMULA(IF(('5-5 Оформление сделок'!BQ11:BQ310 + 0)&lt;&gt;0,'5-5 Оформление сделок'!BU11:BU310,""Процент оплаты: Заполнен""))
,'5-5 Оформление сделок'!AF11:AF310
,'5-5 Оформление сделок'!BI11:BI310}
)}"),"Проверка ошибок постатсу")</f>
        <v>Проверка ошибок постатсу</v>
      </c>
      <c r="CA10" s="757" t="str">
        <f t="array" ref="CA10:CA310">{"Проверка Верная сумма";LAMBDA(doFind,doCheckRow,theSdeki,theOplati,
BYROW( INDEX( theSdeki,,1),LAMBDA(theId,IF(theId&lt;&gt;"",doCheckRow(doFind(theId,theSdeki),doFind(theId,theOplati)),)))
)(
LAMBDA(theId,theData,IFERROR(VLOOKUP(theId,theData,2,FALSE),)),
LAMBDA(theItog,theOkSum, ifs(theOkSum="",,theItog=theOkSum,,TRUE,"'Реальная цена Итого' Ошибка указанная стоимость товара "&amp;theItog&amp;" не совпадает с оплаченной стоимостью "&amp;theOkSum&amp;". ошибка")),
{'5-5 Оформление сделок'!C11:C310,'5-5 Оформление сделок'!AQ11:AQ310},{'6 Оплаты'!I11:I310,'6 Оплаты'!AU11:AU310})}</f>
        <v>Проверка Верная сумма</v>
      </c>
      <c r="CB10" s="757" t="str">
        <f t="array" ref="CB10:CB310">{"Проверка НДС";LAMBDA(doFind,doCheckRow,theSdeki,theOplati,theOplatiNDS,
BYROW( INDEX( theSdeki,,1),LAMBDA(theId,IF(theId&lt;&gt;"",doCheckRow(doFind,doFind(theId,theSdeki),  doFind(theId,theOplati),theOplatiNDS),)))
)(
LAMBDA(theId,theData,IF(theId&lt;&gt;"", IFERROR(VLOOKUP(theId,theData,2,FALSE),),)),
LAMBDA(doFind,theSdelkiNds,thePlat,theOplatiNds, ifs(thePlat="", ,ISNA(VLOOKUP(thePlat,theOplatiNds,2,FALSE)),,theSdelkiNds=doFind(thePlat,theOplatiNds),, TRUE,"'НДС' '6 Оплаты' (столбец AS) "&amp;TEXT( doFind(thePlat,theOplatiNds),"0%")&amp;" не совпадает с НДС на листе '5-5 Оформление сделок' "&amp;TEXT(theSdelkiNds,"0%")&amp;" Юр лицо поставщика '"&amp;thePlat&amp;"'. ошибка")),
{'5-5 Оформление сделок'!C11:C310,'5-5 Оформление сделок'!AU11:AU310},{'6 Оплаты'!I11:I310,'6 Оплаты'!AM11:AM310},{'6 Оплаты'!BC11:BC310,'6 Оплаты'!BG11:BG310})}</f>
        <v>Проверка НДС</v>
      </c>
      <c r="CC10" s="757" t="str">
        <f>IFERROR(__xludf.DUMMYFUNCTION("{""Проверка переплаты""; LAMBDA(doChErr,doNorm,doFilter,doSum,thePlan,theFakt,theInnS, doChErr(theInnS, IFERROR( doFilter( doNorm( doSum({thePlan;theFakt}))),{""Инн"",""Сумм""})))(
LAMBDA(theInnS,theData, BYROW(theInnS,LAMBDA(tInn,IF(tInn&lt;&gt;"""",IFERROR("""&amp;"Фактическая оплата на ""&amp;FIXED( VLOOKUP(""""&amp;tInn,theData,2,FALSE),2)&amp; "" больше чем планируемая оплата. ошибка""  ,),)))),
LAMBDA(theData,{ INDEX(theData,,1) ,ARRAYFORMULA(  ROUND(INDEX(theData,,2),2) )}),
LAMBDA(theData,QUERY(theData,""Select * Where Co"&amp;"l2&gt;0"",0)),
LAMBDA(theData,QUERY(theData,""Select Col1, sum(Col2) Where Col1 is not null group by Col1 Label sum(Col2) '' "",0)),
{ARRAYFORMULA(""""&amp;'5-5 Оформление сделок'!BA11:BA319),ARRAYFORMULA( IFERROR(-1 * ROUND( '5-5 Оформление сделок'!AQ11:AQ319,2"&amp;"),))}
, QUERY({ ARRAYFORMULA(""""&amp;'6 Оплаты'!BH11:BH319), ARRAYFORMULA( IFERROR(1 * ROUND( '6 Оплаты'!BI11:BI319,2) ,)),ARRAYFORMULA(""""&amp;'6 Оплаты'!$BD$11:$BD319)},""Select Col1,Col2 Where Col3='По спецификации'"",0)
,'5-5 Оформление сделок'!BA11:BA310) "&amp;" }"),"Проверка переплаты")</f>
        <v>Проверка переплаты</v>
      </c>
      <c r="CD10" s="757" t="str">
        <f t="array" ref="CD10:CD319">{"ПроверкаОшибокОплаты";LAMBDA(doFind,doMsg,theIds,theErrS,ByRow( theIds, LAMBDA(theId,doMsg(doFind(theId,theErrS))) ))(
LAMBDA(theId,theErrS,IF(theId&lt;&gt;"",IFERROR(VLOOKUP(theId,theErrS,2,FALSE),),)),
LAMBDA(theErr,IF(theErr&lt;&gt;"","На листе '6 Оплаты' есть ошибка: "&amp; theErr &amp;" . 'Статус оплаты', 'Процент оплаты' - помечены красным",)),
'S-10 Оформление сделок Выборка'!$C$11:$C319,  {'6 Оплаты'!$I$11:$I319,'6 Оплаты'!$AV$11:$AV319})}</f>
        <v>ПроверкаОшибокОплаты</v>
      </c>
      <c r="CE10" s="757" t="str">
        <f t="array" ref="CE10:CE319">Let(
head, " Проверка Дата отправки подписанного нами счет договора",
ststus_mp,  { "Скан подписанного договора получен" ; "Договор передан в оплату Наша версия договора" ; "Договор передан в оплату Версия поставщика"  },
tovar_ar     , '5-5 Оформление сделок'!F11:F319,
status_ar    , '5-5 Оформление сделок'!AF11:AF319,
oplati_ar    , '5-5 Оформление сделок'!BO11:BO319, 
data_ar      , '5-5 Оформление сделок'!BU11:BU319, 
is_ar, MAP(tovar_ar, LAMBDA(a_v,AND(a_v&lt;&gt;"") )),
is_err_ar,  Map(status_ar,oplati_ar,data_ar,LAMBDA(a_v, b_v, c_v, AND(  NOT( c_v&lt;&gt;"")   ,  ( b_v&lt;&gt;"")   ,IFERROR(  VLOOKUP(a_v,ststus_mp,1,FALSE) , ) &lt;&gt;""   ) ) ),
do_msg,        LAMBDA(o,s,"Заполните 'Дата отправки подписанного нами счет договора'. При 'Статус оплаты'-'"&amp;o&amp;"' это поле обязательно для статуса '"&amp;s&amp;"'. ошибка"),
msg_ar,        Map(oplati_ar  , status_ar, do_msg),
met_Insp2,     LAMBDA(A_ar, B_ar, fn, MAP(A_ar, B_ar, is_ar, LAMBDA(a_v, b_v, is, IF(is, fn(a_v, b_v),  )))),
rez_ar,          met_Insp2(is_err_ar, msg_ar, LAMBDA(a,b, IF( a,b,) ) ),
              { head ; rez_ar }
)</f>
        <v> Проверка Дата отправки подписанного нами счет договора</v>
      </c>
      <c r="CF10" s="757"/>
      <c r="CG10" s="757"/>
      <c r="CH10" s="757"/>
      <c r="CI10" s="757"/>
      <c r="CJ10" s="757"/>
      <c r="CK10" s="757"/>
    </row>
    <row r="11">
      <c r="A11" s="317"/>
      <c r="B11" s="317"/>
      <c r="C11" s="665" t="s">
        <v>282</v>
      </c>
      <c r="D11" s="317"/>
      <c r="E11" s="317"/>
      <c r="F11" s="317"/>
      <c r="G11" s="317"/>
      <c r="H11" s="317"/>
      <c r="I11" s="317"/>
      <c r="J11" s="317"/>
      <c r="K11" s="317"/>
      <c r="L11" s="317"/>
      <c r="M11" s="317"/>
      <c r="N11" s="317"/>
      <c r="O11" s="317"/>
      <c r="P11" s="665"/>
      <c r="Q11" s="665"/>
      <c r="R11" s="665"/>
      <c r="S11" s="665"/>
      <c r="T11" s="665"/>
      <c r="U11" s="665"/>
      <c r="V11" s="665"/>
      <c r="W11" s="665"/>
      <c r="X11" s="665" t="s">
        <v>70</v>
      </c>
      <c r="Y11" s="772" t="s">
        <v>96</v>
      </c>
      <c r="Z11" s="773" t="s">
        <v>117</v>
      </c>
      <c r="AA11" s="665"/>
      <c r="AB11" s="665"/>
      <c r="AC11" s="317"/>
      <c r="AD11" s="317"/>
      <c r="AE11" s="317"/>
      <c r="AF11" s="317"/>
      <c r="AG11" s="317"/>
      <c r="AH11" s="317"/>
      <c r="AI11" s="317"/>
      <c r="AJ11" s="317"/>
      <c r="AK11" s="317"/>
      <c r="AL11" s="665"/>
      <c r="AM11" s="317"/>
      <c r="AN11" s="774"/>
      <c r="AO11" s="317"/>
      <c r="AP11" s="774"/>
      <c r="AQ11" s="317"/>
      <c r="AR11" s="665"/>
      <c r="AS11" s="665"/>
      <c r="AT11" s="665"/>
      <c r="AU11" s="665"/>
      <c r="AV11" s="665"/>
      <c r="AW11" s="665"/>
      <c r="AX11" s="317"/>
      <c r="AY11" s="317"/>
      <c r="AZ11" s="317"/>
      <c r="BA11" s="665"/>
      <c r="BB11" s="317"/>
      <c r="BC11" s="774"/>
      <c r="BD11" s="317"/>
      <c r="BE11" s="665"/>
      <c r="BF11" s="774"/>
      <c r="BG11" s="774"/>
      <c r="BH11" s="774"/>
      <c r="BI11" s="774"/>
      <c r="BJ11" s="317"/>
      <c r="BK11" s="665"/>
      <c r="BL11" s="317"/>
      <c r="BM11" s="774"/>
      <c r="BN11" s="317"/>
      <c r="BO11" s="665"/>
      <c r="BP11" s="665"/>
      <c r="BQ11" s="665"/>
      <c r="BR11" s="317"/>
      <c r="BS11" s="774"/>
      <c r="BT11" s="317"/>
      <c r="BU11" s="774"/>
      <c r="BV11" s="774"/>
      <c r="BW11" s="756" t="s">
        <v>96</v>
      </c>
      <c r="BX11" s="756"/>
      <c r="BY11" s="756"/>
      <c r="BZ11" s="756" t="str">
        <f>IFERROR(__xludf.DUMMYFUNCTION("""COMPUTED_VALUE"""),"")</f>
        <v/>
      </c>
      <c r="CA11" s="756"/>
      <c r="CB11" s="756"/>
      <c r="CC11" s="756"/>
      <c r="CD11" s="756"/>
      <c r="CE11" s="756"/>
      <c r="CF11" s="756"/>
      <c r="CG11" s="756"/>
      <c r="CH11" s="756"/>
      <c r="CI11" s="756"/>
      <c r="CJ11" s="756"/>
      <c r="CK11" s="756"/>
    </row>
    <row r="12">
      <c r="A12" s="317"/>
      <c r="B12" s="317"/>
      <c r="C12" s="665" t="s">
        <v>303</v>
      </c>
      <c r="D12" s="317"/>
      <c r="E12" s="317"/>
      <c r="F12" s="317"/>
      <c r="G12" s="317"/>
      <c r="H12" s="317"/>
      <c r="I12" s="317"/>
      <c r="J12" s="317"/>
      <c r="K12" s="317"/>
      <c r="L12" s="317"/>
      <c r="M12" s="317"/>
      <c r="N12" s="317"/>
      <c r="O12" s="317"/>
      <c r="P12" s="665"/>
      <c r="Q12" s="665"/>
      <c r="R12" s="665"/>
      <c r="S12" s="665"/>
      <c r="T12" s="665"/>
      <c r="U12" s="665"/>
      <c r="V12" s="665"/>
      <c r="W12" s="665"/>
      <c r="X12" s="665" t="s">
        <v>70</v>
      </c>
      <c r="Y12" s="772" t="s">
        <v>96</v>
      </c>
      <c r="Z12" s="773" t="s">
        <v>117</v>
      </c>
      <c r="AA12" s="665"/>
      <c r="AB12" s="665"/>
      <c r="AC12" s="317"/>
      <c r="AD12" s="317"/>
      <c r="AE12" s="317"/>
      <c r="AF12" s="317"/>
      <c r="AG12" s="317"/>
      <c r="AH12" s="317"/>
      <c r="AI12" s="317"/>
      <c r="AJ12" s="317"/>
      <c r="AK12" s="317"/>
      <c r="AL12" s="665"/>
      <c r="AM12" s="317"/>
      <c r="AN12" s="774"/>
      <c r="AO12" s="317"/>
      <c r="AP12" s="774"/>
      <c r="AQ12" s="317"/>
      <c r="AR12" s="317"/>
      <c r="AS12" s="317"/>
      <c r="AT12" s="317"/>
      <c r="AU12" s="317"/>
      <c r="AV12" s="317"/>
      <c r="AW12" s="317"/>
      <c r="AX12" s="317"/>
      <c r="AY12" s="317"/>
      <c r="AZ12" s="317"/>
      <c r="BA12" s="665"/>
      <c r="BB12" s="317"/>
      <c r="BC12" s="774"/>
      <c r="BD12" s="317"/>
      <c r="BE12" s="665"/>
      <c r="BF12" s="774"/>
      <c r="BG12" s="774"/>
      <c r="BH12" s="774"/>
      <c r="BI12" s="774"/>
      <c r="BJ12" s="317"/>
      <c r="BK12" s="665"/>
      <c r="BL12" s="317"/>
      <c r="BM12" s="774"/>
      <c r="BN12" s="317"/>
      <c r="BO12" s="665"/>
      <c r="BP12" s="665"/>
      <c r="BQ12" s="665"/>
      <c r="BR12" s="317"/>
      <c r="BS12" s="774"/>
      <c r="BT12" s="317"/>
      <c r="BU12" s="774"/>
      <c r="BV12" s="774"/>
      <c r="BW12" s="756" t="s">
        <v>96</v>
      </c>
      <c r="BX12" s="756"/>
      <c r="BY12" s="756"/>
      <c r="BZ12" s="756" t="str">
        <f>IFERROR(__xludf.DUMMYFUNCTION("""COMPUTED_VALUE"""),"")</f>
        <v/>
      </c>
      <c r="CA12" s="756"/>
      <c r="CB12" s="756"/>
      <c r="CC12" s="756"/>
      <c r="CD12" s="756"/>
      <c r="CE12" s="756"/>
      <c r="CF12" s="756"/>
      <c r="CG12" s="756"/>
      <c r="CH12" s="756"/>
      <c r="CI12" s="756"/>
      <c r="CJ12" s="756"/>
      <c r="CK12" s="756"/>
    </row>
    <row r="13">
      <c r="A13" s="317"/>
      <c r="B13" s="317"/>
      <c r="C13" s="665" t="s">
        <v>319</v>
      </c>
      <c r="D13" s="317"/>
      <c r="E13" s="317"/>
      <c r="F13" s="317"/>
      <c r="G13" s="317"/>
      <c r="H13" s="317"/>
      <c r="I13" s="317"/>
      <c r="J13" s="317"/>
      <c r="K13" s="317"/>
      <c r="L13" s="317"/>
      <c r="M13" s="317"/>
      <c r="N13" s="317"/>
      <c r="O13" s="317"/>
      <c r="P13" s="665"/>
      <c r="Q13" s="665"/>
      <c r="R13" s="665"/>
      <c r="S13" s="665"/>
      <c r="T13" s="665"/>
      <c r="U13" s="665"/>
      <c r="V13" s="665"/>
      <c r="W13" s="665"/>
      <c r="X13" s="665" t="s">
        <v>70</v>
      </c>
      <c r="Y13" s="772" t="s">
        <v>96</v>
      </c>
      <c r="Z13" s="773" t="s">
        <v>117</v>
      </c>
      <c r="AA13" s="665"/>
      <c r="AB13" s="665"/>
      <c r="AC13" s="317"/>
      <c r="AD13" s="317"/>
      <c r="AE13" s="317"/>
      <c r="AF13" s="317"/>
      <c r="AG13" s="317"/>
      <c r="AH13" s="317"/>
      <c r="AI13" s="317"/>
      <c r="AJ13" s="317"/>
      <c r="AK13" s="317"/>
      <c r="AL13" s="665"/>
      <c r="AM13" s="317"/>
      <c r="AN13" s="774"/>
      <c r="AO13" s="317"/>
      <c r="AP13" s="774"/>
      <c r="AQ13" s="317"/>
      <c r="AR13" s="317"/>
      <c r="AS13" s="317"/>
      <c r="AT13" s="317"/>
      <c r="AU13" s="317"/>
      <c r="AV13" s="317"/>
      <c r="AW13" s="317"/>
      <c r="AX13" s="317"/>
      <c r="AY13" s="317"/>
      <c r="AZ13" s="317"/>
      <c r="BA13" s="665"/>
      <c r="BB13" s="317"/>
      <c r="BC13" s="774"/>
      <c r="BD13" s="317"/>
      <c r="BE13" s="665"/>
      <c r="BF13" s="774"/>
      <c r="BG13" s="774"/>
      <c r="BH13" s="774"/>
      <c r="BI13" s="774"/>
      <c r="BJ13" s="317"/>
      <c r="BK13" s="665"/>
      <c r="BL13" s="317"/>
      <c r="BM13" s="774"/>
      <c r="BN13" s="317"/>
      <c r="BO13" s="665"/>
      <c r="BP13" s="665"/>
      <c r="BQ13" s="665"/>
      <c r="BR13" s="317"/>
      <c r="BS13" s="774"/>
      <c r="BT13" s="317"/>
      <c r="BU13" s="774"/>
      <c r="BV13" s="774"/>
      <c r="BW13" s="756" t="s">
        <v>96</v>
      </c>
      <c r="BX13" s="756"/>
      <c r="BY13" s="756"/>
      <c r="BZ13" s="756" t="str">
        <f>IFERROR(__xludf.DUMMYFUNCTION("""COMPUTED_VALUE"""),"")</f>
        <v/>
      </c>
      <c r="CA13" s="756"/>
      <c r="CB13" s="756"/>
      <c r="CC13" s="756"/>
      <c r="CD13" s="756"/>
      <c r="CE13" s="756"/>
      <c r="CF13" s="756"/>
      <c r="CG13" s="756"/>
      <c r="CH13" s="756"/>
      <c r="CI13" s="756"/>
      <c r="CJ13" s="756"/>
      <c r="CK13" s="756"/>
    </row>
    <row r="14">
      <c r="A14" s="317"/>
      <c r="B14" s="317"/>
      <c r="C14" s="665" t="s">
        <v>335</v>
      </c>
      <c r="D14" s="317"/>
      <c r="E14" s="317"/>
      <c r="F14" s="317"/>
      <c r="G14" s="317"/>
      <c r="H14" s="317"/>
      <c r="I14" s="317"/>
      <c r="J14" s="317"/>
      <c r="K14" s="317"/>
      <c r="L14" s="317"/>
      <c r="M14" s="317"/>
      <c r="N14" s="317"/>
      <c r="O14" s="317"/>
      <c r="P14" s="665"/>
      <c r="Q14" s="665"/>
      <c r="R14" s="665"/>
      <c r="S14" s="665"/>
      <c r="T14" s="665"/>
      <c r="U14" s="665"/>
      <c r="V14" s="665"/>
      <c r="W14" s="665"/>
      <c r="X14" s="665" t="s">
        <v>70</v>
      </c>
      <c r="Y14" s="772" t="s">
        <v>96</v>
      </c>
      <c r="Z14" s="773" t="s">
        <v>117</v>
      </c>
      <c r="AA14" s="665"/>
      <c r="AB14" s="665"/>
      <c r="AC14" s="317"/>
      <c r="AD14" s="317"/>
      <c r="AE14" s="317"/>
      <c r="AF14" s="317"/>
      <c r="AG14" s="317"/>
      <c r="AH14" s="317"/>
      <c r="AI14" s="317"/>
      <c r="AJ14" s="317"/>
      <c r="AK14" s="317"/>
      <c r="AL14" s="665"/>
      <c r="AM14" s="317"/>
      <c r="AN14" s="774"/>
      <c r="AO14" s="317"/>
      <c r="AP14" s="317"/>
      <c r="AQ14" s="317"/>
      <c r="AR14" s="317"/>
      <c r="AS14" s="317"/>
      <c r="AT14" s="317"/>
      <c r="AU14" s="317"/>
      <c r="AV14" s="317"/>
      <c r="AW14" s="317"/>
      <c r="AX14" s="317"/>
      <c r="AY14" s="317"/>
      <c r="AZ14" s="317"/>
      <c r="BA14" s="317"/>
      <c r="BB14" s="317"/>
      <c r="BC14" s="317"/>
      <c r="BD14" s="317"/>
      <c r="BE14" s="317"/>
      <c r="BF14" s="317"/>
      <c r="BG14" s="317"/>
      <c r="BH14" s="317"/>
      <c r="BI14" s="317"/>
      <c r="BJ14" s="317"/>
      <c r="BK14" s="317"/>
      <c r="BL14" s="317"/>
      <c r="BM14" s="317"/>
      <c r="BN14" s="317"/>
      <c r="BO14" s="317"/>
      <c r="BP14" s="317"/>
      <c r="BQ14" s="317"/>
      <c r="BR14" s="317"/>
      <c r="BS14" s="317"/>
      <c r="BT14" s="317"/>
      <c r="BU14" s="317"/>
      <c r="BV14" s="317"/>
      <c r="BW14" s="753" t="s">
        <v>96</v>
      </c>
      <c r="BX14" s="753"/>
      <c r="BY14" s="753"/>
      <c r="BZ14" s="753" t="str">
        <f>IFERROR(__xludf.DUMMYFUNCTION("""COMPUTED_VALUE"""),"")</f>
        <v/>
      </c>
      <c r="CA14" s="753"/>
      <c r="CB14" s="753"/>
      <c r="CC14" s="753"/>
      <c r="CD14" s="753"/>
      <c r="CE14" s="753"/>
      <c r="CF14" s="753"/>
      <c r="CG14" s="753"/>
      <c r="CH14" s="753"/>
      <c r="CI14" s="753"/>
      <c r="CJ14" s="753"/>
      <c r="CK14" s="753"/>
    </row>
    <row r="15">
      <c r="A15" s="317"/>
      <c r="B15" s="317"/>
      <c r="C15" s="665" t="s">
        <v>342</v>
      </c>
      <c r="D15" s="317"/>
      <c r="E15" s="317"/>
      <c r="F15" s="317"/>
      <c r="G15" s="317"/>
      <c r="H15" s="317"/>
      <c r="I15" s="317"/>
      <c r="J15" s="317"/>
      <c r="K15" s="317"/>
      <c r="L15" s="317"/>
      <c r="M15" s="317"/>
      <c r="N15" s="317"/>
      <c r="O15" s="317"/>
      <c r="P15" s="665"/>
      <c r="Q15" s="665"/>
      <c r="R15" s="665"/>
      <c r="S15" s="665"/>
      <c r="T15" s="665"/>
      <c r="U15" s="665"/>
      <c r="V15" s="665"/>
      <c r="W15" s="665"/>
      <c r="X15" s="665" t="s">
        <v>70</v>
      </c>
      <c r="Y15" s="772" t="s">
        <v>96</v>
      </c>
      <c r="Z15" s="773" t="s">
        <v>117</v>
      </c>
      <c r="AA15" s="665"/>
      <c r="AB15" s="665"/>
      <c r="AC15" s="317"/>
      <c r="AD15" s="317"/>
      <c r="AE15" s="317"/>
      <c r="AF15" s="317"/>
      <c r="AG15" s="317"/>
      <c r="AH15" s="317"/>
      <c r="AI15" s="317"/>
      <c r="AJ15" s="317"/>
      <c r="AK15" s="317"/>
      <c r="AL15" s="665"/>
      <c r="AM15" s="317"/>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7"/>
      <c r="BK15" s="317"/>
      <c r="BL15" s="317"/>
      <c r="BM15" s="317"/>
      <c r="BN15" s="317"/>
      <c r="BO15" s="317"/>
      <c r="BP15" s="317"/>
      <c r="BQ15" s="317"/>
      <c r="BR15" s="317"/>
      <c r="BS15" s="317"/>
      <c r="BT15" s="317"/>
      <c r="BU15" s="317"/>
      <c r="BV15" s="317"/>
      <c r="BW15" s="753" t="s">
        <v>96</v>
      </c>
      <c r="BX15" s="753"/>
      <c r="BY15" s="753"/>
      <c r="BZ15" s="753" t="str">
        <f>IFERROR(__xludf.DUMMYFUNCTION("""COMPUTED_VALUE"""),"")</f>
        <v/>
      </c>
      <c r="CA15" s="753"/>
      <c r="CB15" s="753"/>
      <c r="CC15" s="753"/>
      <c r="CD15" s="753"/>
      <c r="CE15" s="753"/>
      <c r="CF15" s="753"/>
      <c r="CG15" s="753"/>
      <c r="CH15" s="753"/>
      <c r="CI15" s="753"/>
      <c r="CJ15" s="753"/>
      <c r="CK15" s="753"/>
    </row>
    <row r="16">
      <c r="A16" s="317"/>
      <c r="B16" s="317"/>
      <c r="C16" s="665" t="s">
        <v>360</v>
      </c>
      <c r="D16" s="317"/>
      <c r="E16" s="317"/>
      <c r="F16" s="317"/>
      <c r="G16" s="317"/>
      <c r="H16" s="317"/>
      <c r="I16" s="317"/>
      <c r="J16" s="317"/>
      <c r="K16" s="317"/>
      <c r="L16" s="317"/>
      <c r="M16" s="317"/>
      <c r="N16" s="317"/>
      <c r="O16" s="317"/>
      <c r="P16" s="665"/>
      <c r="Q16" s="665"/>
      <c r="R16" s="665"/>
      <c r="S16" s="665"/>
      <c r="T16" s="665"/>
      <c r="U16" s="665"/>
      <c r="V16" s="665"/>
      <c r="W16" s="665"/>
      <c r="X16" s="665" t="s">
        <v>70</v>
      </c>
      <c r="Y16" s="772" t="s">
        <v>96</v>
      </c>
      <c r="Z16" s="773" t="s">
        <v>117</v>
      </c>
      <c r="AA16" s="665"/>
      <c r="AB16" s="665"/>
      <c r="AC16" s="317"/>
      <c r="AD16" s="317"/>
      <c r="AE16" s="317"/>
      <c r="AF16" s="317"/>
      <c r="AG16" s="317"/>
      <c r="AH16" s="317"/>
      <c r="AI16" s="317"/>
      <c r="AJ16" s="317"/>
      <c r="AK16" s="317"/>
      <c r="AL16" s="665"/>
      <c r="AM16" s="317"/>
      <c r="AN16" s="317"/>
      <c r="AO16" s="317"/>
      <c r="AP16" s="317"/>
      <c r="AQ16" s="317"/>
      <c r="AR16" s="317"/>
      <c r="AS16" s="317"/>
      <c r="AT16" s="317"/>
      <c r="AU16" s="317"/>
      <c r="AV16" s="317"/>
      <c r="AW16" s="317"/>
      <c r="AX16" s="317"/>
      <c r="AY16" s="317"/>
      <c r="AZ16" s="317"/>
      <c r="BA16" s="317"/>
      <c r="BB16" s="317"/>
      <c r="BC16" s="317"/>
      <c r="BD16" s="317"/>
      <c r="BE16" s="317"/>
      <c r="BF16" s="317"/>
      <c r="BG16" s="317"/>
      <c r="BH16" s="317"/>
      <c r="BI16" s="317"/>
      <c r="BJ16" s="317"/>
      <c r="BK16" s="317"/>
      <c r="BL16" s="317"/>
      <c r="BM16" s="317"/>
      <c r="BN16" s="317"/>
      <c r="BO16" s="317"/>
      <c r="BP16" s="317"/>
      <c r="BQ16" s="317"/>
      <c r="BR16" s="317"/>
      <c r="BS16" s="317"/>
      <c r="BT16" s="317"/>
      <c r="BU16" s="317"/>
      <c r="BV16" s="317"/>
      <c r="BW16" s="753" t="s">
        <v>96</v>
      </c>
      <c r="BX16" s="753"/>
      <c r="BY16" s="753"/>
      <c r="BZ16" s="753" t="str">
        <f>IFERROR(__xludf.DUMMYFUNCTION("""COMPUTED_VALUE"""),"")</f>
        <v/>
      </c>
      <c r="CA16" s="753"/>
      <c r="CB16" s="753"/>
      <c r="CC16" s="753"/>
      <c r="CD16" s="753"/>
      <c r="CE16" s="753"/>
      <c r="CF16" s="753"/>
      <c r="CG16" s="753"/>
      <c r="CH16" s="753"/>
      <c r="CI16" s="753"/>
      <c r="CJ16" s="753"/>
      <c r="CK16" s="753"/>
    </row>
    <row r="17">
      <c r="A17" s="317"/>
      <c r="B17" s="317"/>
      <c r="C17" s="665" t="s">
        <v>376</v>
      </c>
      <c r="D17" s="317"/>
      <c r="E17" s="317"/>
      <c r="F17" s="317"/>
      <c r="G17" s="317"/>
      <c r="H17" s="317"/>
      <c r="I17" s="317"/>
      <c r="J17" s="317"/>
      <c r="K17" s="317"/>
      <c r="L17" s="317"/>
      <c r="M17" s="317"/>
      <c r="N17" s="317"/>
      <c r="O17" s="317"/>
      <c r="P17" s="665"/>
      <c r="Q17" s="665"/>
      <c r="R17" s="665"/>
      <c r="S17" s="665"/>
      <c r="T17" s="665"/>
      <c r="U17" s="665"/>
      <c r="V17" s="665"/>
      <c r="W17" s="665"/>
      <c r="X17" s="665" t="s">
        <v>70</v>
      </c>
      <c r="Y17" s="772" t="s">
        <v>96</v>
      </c>
      <c r="Z17" s="776" t="s">
        <v>117</v>
      </c>
      <c r="AA17" s="665"/>
      <c r="AB17" s="665"/>
      <c r="AC17" s="317"/>
      <c r="AD17" s="317"/>
      <c r="AE17" s="317"/>
      <c r="AF17" s="317"/>
      <c r="AG17" s="317"/>
      <c r="AH17" s="317"/>
      <c r="AI17" s="317"/>
      <c r="AJ17" s="317"/>
      <c r="AK17" s="317"/>
      <c r="AL17" s="665"/>
      <c r="AM17" s="317"/>
      <c r="AN17" s="317"/>
      <c r="AO17" s="317"/>
      <c r="AP17" s="317"/>
      <c r="AQ17" s="317"/>
      <c r="AR17" s="317"/>
      <c r="AS17" s="317"/>
      <c r="AT17" s="317"/>
      <c r="AU17" s="317"/>
      <c r="AV17" s="317"/>
      <c r="AW17" s="317"/>
      <c r="AX17" s="317"/>
      <c r="AY17" s="317"/>
      <c r="AZ17" s="317"/>
      <c r="BA17" s="317"/>
      <c r="BB17" s="317"/>
      <c r="BC17" s="317"/>
      <c r="BD17" s="317"/>
      <c r="BE17" s="317"/>
      <c r="BF17" s="317"/>
      <c r="BG17" s="317"/>
      <c r="BH17" s="317"/>
      <c r="BI17" s="317"/>
      <c r="BJ17" s="317"/>
      <c r="BK17" s="317"/>
      <c r="BL17" s="317"/>
      <c r="BM17" s="317"/>
      <c r="BN17" s="317"/>
      <c r="BO17" s="317"/>
      <c r="BP17" s="317"/>
      <c r="BQ17" s="317"/>
      <c r="BR17" s="317"/>
      <c r="BS17" s="317"/>
      <c r="BT17" s="317"/>
      <c r="BU17" s="317"/>
      <c r="BV17" s="317"/>
      <c r="BW17" s="753" t="s">
        <v>96</v>
      </c>
      <c r="BX17" s="753"/>
      <c r="BY17" s="753"/>
      <c r="BZ17" s="753" t="str">
        <f>IFERROR(__xludf.DUMMYFUNCTION("""COMPUTED_VALUE"""),"")</f>
        <v/>
      </c>
      <c r="CA17" s="753"/>
      <c r="CB17" s="753"/>
      <c r="CC17" s="753"/>
      <c r="CD17" s="753"/>
      <c r="CE17" s="753"/>
      <c r="CF17" s="753"/>
      <c r="CG17" s="753"/>
      <c r="CH17" s="753"/>
      <c r="CI17" s="753"/>
      <c r="CJ17" s="753"/>
      <c r="CK17" s="753"/>
    </row>
    <row r="18">
      <c r="A18" s="317"/>
      <c r="B18" s="317"/>
      <c r="C18" s="665" t="s">
        <v>384</v>
      </c>
      <c r="D18" s="317"/>
      <c r="E18" s="317"/>
      <c r="F18" s="317"/>
      <c r="G18" s="317"/>
      <c r="H18" s="317"/>
      <c r="I18" s="317"/>
      <c r="J18" s="317"/>
      <c r="K18" s="317"/>
      <c r="L18" s="317"/>
      <c r="M18" s="317"/>
      <c r="N18" s="317"/>
      <c r="O18" s="317"/>
      <c r="P18" s="665"/>
      <c r="Q18" s="665"/>
      <c r="R18" s="665"/>
      <c r="S18" s="665"/>
      <c r="T18" s="665"/>
      <c r="U18" s="665"/>
      <c r="V18" s="665"/>
      <c r="W18" s="665"/>
      <c r="X18" s="665" t="s">
        <v>70</v>
      </c>
      <c r="Y18" s="772" t="s">
        <v>96</v>
      </c>
      <c r="Z18" s="773" t="s">
        <v>117</v>
      </c>
      <c r="AA18" s="665"/>
      <c r="AB18" s="665"/>
      <c r="AC18" s="317"/>
      <c r="AD18" s="317"/>
      <c r="AE18" s="317"/>
      <c r="AF18" s="317"/>
      <c r="AG18" s="317"/>
      <c r="AH18" s="317"/>
      <c r="AI18" s="317"/>
      <c r="AJ18" s="317"/>
      <c r="AK18" s="317"/>
      <c r="AL18" s="665"/>
      <c r="AM18" s="317"/>
      <c r="AN18" s="317"/>
      <c r="AO18" s="317"/>
      <c r="AP18" s="317"/>
      <c r="AQ18" s="317"/>
      <c r="AR18" s="317"/>
      <c r="AS18" s="317"/>
      <c r="AT18" s="317"/>
      <c r="AU18" s="317"/>
      <c r="AV18" s="317"/>
      <c r="AW18" s="317"/>
      <c r="AX18" s="317"/>
      <c r="AY18" s="317"/>
      <c r="AZ18" s="317"/>
      <c r="BA18" s="317"/>
      <c r="BB18" s="317"/>
      <c r="BC18" s="317"/>
      <c r="BD18" s="317"/>
      <c r="BE18" s="317"/>
      <c r="BF18" s="317"/>
      <c r="BG18" s="317"/>
      <c r="BH18" s="317"/>
      <c r="BI18" s="317"/>
      <c r="BJ18" s="317"/>
      <c r="BK18" s="317"/>
      <c r="BL18" s="317"/>
      <c r="BM18" s="317"/>
      <c r="BN18" s="317"/>
      <c r="BO18" s="317"/>
      <c r="BP18" s="317"/>
      <c r="BQ18" s="317"/>
      <c r="BR18" s="317"/>
      <c r="BS18" s="317"/>
      <c r="BT18" s="317"/>
      <c r="BU18" s="317"/>
      <c r="BV18" s="317"/>
      <c r="BW18" s="753" t="s">
        <v>96</v>
      </c>
      <c r="BX18" s="753"/>
      <c r="BY18" s="753"/>
      <c r="BZ18" s="753" t="str">
        <f>IFERROR(__xludf.DUMMYFUNCTION("""COMPUTED_VALUE"""),"")</f>
        <v/>
      </c>
      <c r="CA18" s="753"/>
      <c r="CB18" s="753"/>
      <c r="CC18" s="753"/>
      <c r="CD18" s="753"/>
      <c r="CE18" s="753"/>
      <c r="CF18" s="753"/>
      <c r="CG18" s="753"/>
      <c r="CH18" s="753"/>
      <c r="CI18" s="753"/>
      <c r="CJ18" s="753"/>
      <c r="CK18" s="753"/>
    </row>
    <row r="19">
      <c r="A19" s="317"/>
      <c r="B19" s="317"/>
      <c r="C19" s="665" t="s">
        <v>387</v>
      </c>
      <c r="D19" s="317"/>
      <c r="E19" s="317"/>
      <c r="F19" s="317"/>
      <c r="G19" s="317"/>
      <c r="H19" s="317"/>
      <c r="I19" s="317"/>
      <c r="J19" s="317"/>
      <c r="K19" s="317"/>
      <c r="L19" s="317"/>
      <c r="M19" s="317"/>
      <c r="N19" s="317"/>
      <c r="O19" s="317"/>
      <c r="P19" s="665"/>
      <c r="Q19" s="665"/>
      <c r="R19" s="665"/>
      <c r="S19" s="665"/>
      <c r="T19" s="665"/>
      <c r="U19" s="665"/>
      <c r="V19" s="665"/>
      <c r="W19" s="665"/>
      <c r="X19" s="665" t="s">
        <v>70</v>
      </c>
      <c r="Y19" s="772" t="s">
        <v>96</v>
      </c>
      <c r="Z19" s="773" t="s">
        <v>117</v>
      </c>
      <c r="AA19" s="665"/>
      <c r="AB19" s="665"/>
      <c r="AC19" s="317"/>
      <c r="AD19" s="317"/>
      <c r="AE19" s="317"/>
      <c r="AF19" s="317"/>
      <c r="AG19" s="317"/>
      <c r="AH19" s="317"/>
      <c r="AI19" s="317"/>
      <c r="AJ19" s="317"/>
      <c r="AK19" s="317"/>
      <c r="AL19" s="665"/>
      <c r="AM19" s="317"/>
      <c r="AN19" s="317"/>
      <c r="AO19" s="317"/>
      <c r="AP19" s="317"/>
      <c r="AQ19" s="317"/>
      <c r="AR19" s="317"/>
      <c r="AS19" s="317"/>
      <c r="AT19" s="317"/>
      <c r="AU19" s="317"/>
      <c r="AV19" s="317"/>
      <c r="AW19" s="317"/>
      <c r="AX19" s="317"/>
      <c r="AY19" s="317"/>
      <c r="AZ19" s="317"/>
      <c r="BA19" s="317"/>
      <c r="BB19" s="317"/>
      <c r="BC19" s="317"/>
      <c r="BD19" s="317"/>
      <c r="BE19" s="317"/>
      <c r="BF19" s="317"/>
      <c r="BG19" s="317"/>
      <c r="BH19" s="317"/>
      <c r="BI19" s="317"/>
      <c r="BJ19" s="317"/>
      <c r="BK19" s="317"/>
      <c r="BL19" s="317"/>
      <c r="BM19" s="317"/>
      <c r="BN19" s="317"/>
      <c r="BO19" s="317"/>
      <c r="BP19" s="317"/>
      <c r="BQ19" s="317"/>
      <c r="BR19" s="317"/>
      <c r="BS19" s="317"/>
      <c r="BT19" s="317"/>
      <c r="BU19" s="317"/>
      <c r="BV19" s="317"/>
      <c r="BW19" s="753" t="s">
        <v>96</v>
      </c>
      <c r="BX19" s="753"/>
      <c r="BY19" s="753"/>
      <c r="BZ19" s="753" t="str">
        <f>IFERROR(__xludf.DUMMYFUNCTION("""COMPUTED_VALUE"""),"")</f>
        <v/>
      </c>
      <c r="CA19" s="753"/>
      <c r="CB19" s="753"/>
      <c r="CC19" s="753"/>
      <c r="CD19" s="753"/>
      <c r="CE19" s="753"/>
      <c r="CF19" s="753"/>
      <c r="CG19" s="753"/>
      <c r="CH19" s="753"/>
      <c r="CI19" s="753"/>
      <c r="CJ19" s="753"/>
      <c r="CK19" s="753"/>
    </row>
    <row r="20">
      <c r="A20" s="317"/>
      <c r="B20" s="317"/>
      <c r="C20" s="665" t="s">
        <v>390</v>
      </c>
      <c r="D20" s="317"/>
      <c r="E20" s="317"/>
      <c r="F20" s="317"/>
      <c r="G20" s="317"/>
      <c r="H20" s="317"/>
      <c r="I20" s="317"/>
      <c r="J20" s="317"/>
      <c r="K20" s="317"/>
      <c r="L20" s="317"/>
      <c r="M20" s="317"/>
      <c r="N20" s="317"/>
      <c r="O20" s="317"/>
      <c r="P20" s="665"/>
      <c r="Q20" s="665"/>
      <c r="R20" s="665"/>
      <c r="S20" s="665"/>
      <c r="T20" s="665"/>
      <c r="U20" s="665"/>
      <c r="V20" s="665"/>
      <c r="W20" s="665"/>
      <c r="X20" s="665" t="s">
        <v>70</v>
      </c>
      <c r="Y20" s="772" t="s">
        <v>96</v>
      </c>
      <c r="Z20" s="773" t="s">
        <v>117</v>
      </c>
      <c r="AA20" s="665"/>
      <c r="AB20" s="665"/>
      <c r="AC20" s="317"/>
      <c r="AD20" s="317"/>
      <c r="AE20" s="317"/>
      <c r="AF20" s="317"/>
      <c r="AG20" s="317"/>
      <c r="AH20" s="317"/>
      <c r="AI20" s="317"/>
      <c r="AJ20" s="317"/>
      <c r="AK20" s="317"/>
      <c r="AL20" s="665"/>
      <c r="AM20" s="317"/>
      <c r="AN20" s="317"/>
      <c r="AO20" s="317"/>
      <c r="AP20" s="317"/>
      <c r="AQ20" s="317"/>
      <c r="AR20" s="317"/>
      <c r="AS20" s="317"/>
      <c r="AT20" s="317"/>
      <c r="AU20" s="317"/>
      <c r="AV20" s="317"/>
      <c r="AW20" s="317"/>
      <c r="AX20" s="317"/>
      <c r="AY20" s="317"/>
      <c r="AZ20" s="317"/>
      <c r="BA20" s="317"/>
      <c r="BB20" s="317"/>
      <c r="BC20" s="317"/>
      <c r="BD20" s="317"/>
      <c r="BE20" s="317"/>
      <c r="BF20" s="317"/>
      <c r="BG20" s="317"/>
      <c r="BH20" s="317"/>
      <c r="BI20" s="317"/>
      <c r="BJ20" s="317"/>
      <c r="BK20" s="317"/>
      <c r="BL20" s="317"/>
      <c r="BM20" s="317"/>
      <c r="BN20" s="317"/>
      <c r="BO20" s="317"/>
      <c r="BP20" s="317"/>
      <c r="BQ20" s="317"/>
      <c r="BR20" s="317"/>
      <c r="BS20" s="317"/>
      <c r="BT20" s="317"/>
      <c r="BU20" s="317"/>
      <c r="BV20" s="317"/>
      <c r="BW20" s="753" t="s">
        <v>96</v>
      </c>
      <c r="BX20" s="753"/>
      <c r="BY20" s="753"/>
      <c r="BZ20" s="753" t="str">
        <f>IFERROR(__xludf.DUMMYFUNCTION("""COMPUTED_VALUE"""),"")</f>
        <v/>
      </c>
      <c r="CA20" s="753"/>
      <c r="CB20" s="753"/>
      <c r="CC20" s="753"/>
      <c r="CD20" s="753"/>
      <c r="CE20" s="753"/>
      <c r="CF20" s="753"/>
      <c r="CG20" s="753"/>
      <c r="CH20" s="753"/>
      <c r="CI20" s="753"/>
      <c r="CJ20" s="753"/>
      <c r="CK20" s="753"/>
    </row>
    <row r="21">
      <c r="A21" s="317"/>
      <c r="B21" s="317"/>
      <c r="C21" s="665" t="s">
        <v>393</v>
      </c>
      <c r="D21" s="317"/>
      <c r="E21" s="317"/>
      <c r="F21" s="317"/>
      <c r="G21" s="317"/>
      <c r="H21" s="317"/>
      <c r="I21" s="317"/>
      <c r="J21" s="317"/>
      <c r="K21" s="317"/>
      <c r="L21" s="317"/>
      <c r="M21" s="317"/>
      <c r="N21" s="317"/>
      <c r="O21" s="317"/>
      <c r="P21" s="665"/>
      <c r="Q21" s="665"/>
      <c r="R21" s="665"/>
      <c r="S21" s="665"/>
      <c r="T21" s="665"/>
      <c r="U21" s="665"/>
      <c r="V21" s="665"/>
      <c r="W21" s="665"/>
      <c r="X21" s="665" t="s">
        <v>70</v>
      </c>
      <c r="Y21" s="772" t="s">
        <v>96</v>
      </c>
      <c r="Z21" s="773" t="s">
        <v>117</v>
      </c>
      <c r="AA21" s="665"/>
      <c r="AB21" s="665"/>
      <c r="AC21" s="317"/>
      <c r="AD21" s="317"/>
      <c r="AE21" s="317"/>
      <c r="AF21" s="317"/>
      <c r="AG21" s="317"/>
      <c r="AH21" s="317"/>
      <c r="AI21" s="317"/>
      <c r="AJ21" s="317"/>
      <c r="AK21" s="317"/>
      <c r="AL21" s="665"/>
      <c r="AM21" s="317"/>
      <c r="AN21" s="317"/>
      <c r="AO21" s="317"/>
      <c r="AP21" s="317"/>
      <c r="AQ21" s="317"/>
      <c r="AR21" s="317"/>
      <c r="AS21" s="317"/>
      <c r="AT21" s="317"/>
      <c r="AU21" s="317"/>
      <c r="AV21" s="317"/>
      <c r="AW21" s="317"/>
      <c r="AX21" s="317"/>
      <c r="AY21" s="317"/>
      <c r="AZ21" s="317"/>
      <c r="BA21" s="317"/>
      <c r="BB21" s="317"/>
      <c r="BC21" s="317"/>
      <c r="BD21" s="317"/>
      <c r="BE21" s="317"/>
      <c r="BF21" s="317"/>
      <c r="BG21" s="317"/>
      <c r="BH21" s="317"/>
      <c r="BI21" s="317"/>
      <c r="BJ21" s="317"/>
      <c r="BK21" s="317"/>
      <c r="BL21" s="317"/>
      <c r="BM21" s="317"/>
      <c r="BN21" s="317"/>
      <c r="BO21" s="317"/>
      <c r="BP21" s="317"/>
      <c r="BQ21" s="317"/>
      <c r="BR21" s="317"/>
      <c r="BS21" s="317"/>
      <c r="BT21" s="317"/>
      <c r="BU21" s="317"/>
      <c r="BV21" s="317"/>
      <c r="BW21" s="753" t="s">
        <v>96</v>
      </c>
      <c r="BX21" s="753"/>
      <c r="BY21" s="753"/>
      <c r="BZ21" s="753" t="str">
        <f>IFERROR(__xludf.DUMMYFUNCTION("""COMPUTED_VALUE"""),"")</f>
        <v/>
      </c>
      <c r="CA21" s="753"/>
      <c r="CB21" s="753"/>
      <c r="CC21" s="753"/>
      <c r="CD21" s="753"/>
      <c r="CE21" s="753"/>
      <c r="CF21" s="753"/>
      <c r="CG21" s="753"/>
      <c r="CH21" s="753"/>
      <c r="CI21" s="753"/>
      <c r="CJ21" s="753"/>
      <c r="CK21" s="753"/>
    </row>
    <row r="22">
      <c r="A22" s="317"/>
      <c r="B22" s="317"/>
      <c r="C22" s="665" t="s">
        <v>396</v>
      </c>
      <c r="D22" s="317"/>
      <c r="E22" s="317"/>
      <c r="F22" s="317"/>
      <c r="G22" s="317"/>
      <c r="H22" s="317"/>
      <c r="I22" s="317"/>
      <c r="J22" s="317"/>
      <c r="K22" s="317"/>
      <c r="L22" s="317"/>
      <c r="M22" s="317"/>
      <c r="N22" s="317"/>
      <c r="O22" s="317"/>
      <c r="P22" s="665"/>
      <c r="Q22" s="665"/>
      <c r="R22" s="665"/>
      <c r="S22" s="665"/>
      <c r="T22" s="665"/>
      <c r="U22" s="665"/>
      <c r="V22" s="665"/>
      <c r="W22" s="665"/>
      <c r="X22" s="665" t="s">
        <v>70</v>
      </c>
      <c r="Y22" s="772" t="s">
        <v>96</v>
      </c>
      <c r="Z22" s="773" t="s">
        <v>117</v>
      </c>
      <c r="AA22" s="665"/>
      <c r="AB22" s="665"/>
      <c r="AC22" s="317"/>
      <c r="AD22" s="317"/>
      <c r="AE22" s="317"/>
      <c r="AF22" s="317"/>
      <c r="AG22" s="317"/>
      <c r="AH22" s="317"/>
      <c r="AI22" s="317"/>
      <c r="AJ22" s="317"/>
      <c r="AK22" s="317"/>
      <c r="AL22" s="665"/>
      <c r="AM22" s="317"/>
      <c r="AN22" s="317"/>
      <c r="AO22" s="317"/>
      <c r="AP22" s="317"/>
      <c r="AQ22" s="317"/>
      <c r="AR22" s="317"/>
      <c r="AS22" s="317"/>
      <c r="AT22" s="317"/>
      <c r="AU22" s="317"/>
      <c r="AV22" s="317"/>
      <c r="AW22" s="317"/>
      <c r="AX22" s="317"/>
      <c r="AY22" s="317"/>
      <c r="AZ22" s="317"/>
      <c r="BA22" s="317"/>
      <c r="BB22" s="317"/>
      <c r="BC22" s="317"/>
      <c r="BD22" s="317"/>
      <c r="BE22" s="317"/>
      <c r="BF22" s="317"/>
      <c r="BG22" s="317"/>
      <c r="BH22" s="317"/>
      <c r="BI22" s="317"/>
      <c r="BJ22" s="317"/>
      <c r="BK22" s="317"/>
      <c r="BL22" s="317"/>
      <c r="BM22" s="317"/>
      <c r="BN22" s="317"/>
      <c r="BO22" s="317"/>
      <c r="BP22" s="317"/>
      <c r="BQ22" s="317"/>
      <c r="BR22" s="317"/>
      <c r="BS22" s="317"/>
      <c r="BT22" s="317"/>
      <c r="BU22" s="317"/>
      <c r="BV22" s="317"/>
      <c r="BW22" s="753" t="s">
        <v>96</v>
      </c>
      <c r="BX22" s="753"/>
      <c r="BY22" s="753"/>
      <c r="BZ22" s="753" t="str">
        <f>IFERROR(__xludf.DUMMYFUNCTION("""COMPUTED_VALUE"""),"")</f>
        <v/>
      </c>
      <c r="CA22" s="753"/>
      <c r="CB22" s="753"/>
      <c r="CC22" s="753"/>
      <c r="CD22" s="753"/>
      <c r="CE22" s="753"/>
      <c r="CF22" s="753"/>
      <c r="CG22" s="753"/>
      <c r="CH22" s="753"/>
      <c r="CI22" s="753"/>
      <c r="CJ22" s="753"/>
      <c r="CK22" s="753"/>
    </row>
    <row r="23">
      <c r="A23" s="317"/>
      <c r="B23" s="317"/>
      <c r="C23" s="665" t="s">
        <v>399</v>
      </c>
      <c r="D23" s="317"/>
      <c r="E23" s="317"/>
      <c r="F23" s="317"/>
      <c r="G23" s="317"/>
      <c r="H23" s="317"/>
      <c r="I23" s="317"/>
      <c r="J23" s="317"/>
      <c r="K23" s="317"/>
      <c r="L23" s="317"/>
      <c r="M23" s="317"/>
      <c r="N23" s="317"/>
      <c r="O23" s="317"/>
      <c r="P23" s="665"/>
      <c r="Q23" s="665"/>
      <c r="R23" s="665"/>
      <c r="S23" s="665"/>
      <c r="T23" s="665"/>
      <c r="U23" s="665"/>
      <c r="V23" s="665"/>
      <c r="W23" s="665"/>
      <c r="X23" s="665" t="s">
        <v>70</v>
      </c>
      <c r="Y23" s="772" t="s">
        <v>96</v>
      </c>
      <c r="Z23" s="773" t="s">
        <v>117</v>
      </c>
      <c r="AA23" s="665"/>
      <c r="AB23" s="665"/>
      <c r="AC23" s="317"/>
      <c r="AD23" s="317"/>
      <c r="AE23" s="317"/>
      <c r="AF23" s="317"/>
      <c r="AG23" s="317"/>
      <c r="AH23" s="317"/>
      <c r="AI23" s="317"/>
      <c r="AJ23" s="317"/>
      <c r="AK23" s="317"/>
      <c r="AL23" s="665"/>
      <c r="AM23" s="317"/>
      <c r="AN23" s="317"/>
      <c r="AO23" s="317"/>
      <c r="AP23" s="317"/>
      <c r="AQ23" s="317"/>
      <c r="AR23" s="317"/>
      <c r="AS23" s="317"/>
      <c r="AT23" s="317"/>
      <c r="AU23" s="317"/>
      <c r="AV23" s="317"/>
      <c r="AW23" s="317"/>
      <c r="AX23" s="317"/>
      <c r="AY23" s="317"/>
      <c r="AZ23" s="317"/>
      <c r="BA23" s="317"/>
      <c r="BB23" s="317"/>
      <c r="BC23" s="317"/>
      <c r="BD23" s="317"/>
      <c r="BE23" s="317"/>
      <c r="BF23" s="317"/>
      <c r="BG23" s="317"/>
      <c r="BH23" s="317"/>
      <c r="BI23" s="317"/>
      <c r="BJ23" s="317"/>
      <c r="BK23" s="317"/>
      <c r="BL23" s="317"/>
      <c r="BM23" s="317"/>
      <c r="BN23" s="317"/>
      <c r="BO23" s="317"/>
      <c r="BP23" s="317"/>
      <c r="BQ23" s="317"/>
      <c r="BR23" s="317"/>
      <c r="BS23" s="317"/>
      <c r="BT23" s="317"/>
      <c r="BU23" s="317"/>
      <c r="BV23" s="317"/>
      <c r="BW23" s="753" t="s">
        <v>96</v>
      </c>
      <c r="BX23" s="753"/>
      <c r="BY23" s="753"/>
      <c r="BZ23" s="753" t="str">
        <f>IFERROR(__xludf.DUMMYFUNCTION("""COMPUTED_VALUE"""),"")</f>
        <v/>
      </c>
      <c r="CA23" s="753"/>
      <c r="CB23" s="753"/>
      <c r="CC23" s="753"/>
      <c r="CD23" s="753"/>
      <c r="CE23" s="753"/>
      <c r="CF23" s="753"/>
      <c r="CG23" s="753"/>
      <c r="CH23" s="753"/>
      <c r="CI23" s="753"/>
      <c r="CJ23" s="753"/>
      <c r="CK23" s="753"/>
    </row>
    <row r="24">
      <c r="A24" s="317"/>
      <c r="B24" s="317"/>
      <c r="C24" s="665" t="s">
        <v>402</v>
      </c>
      <c r="D24" s="317"/>
      <c r="E24" s="317"/>
      <c r="F24" s="317"/>
      <c r="G24" s="317"/>
      <c r="H24" s="317"/>
      <c r="I24" s="317"/>
      <c r="J24" s="317"/>
      <c r="K24" s="317"/>
      <c r="L24" s="317"/>
      <c r="M24" s="317"/>
      <c r="N24" s="317"/>
      <c r="O24" s="317"/>
      <c r="P24" s="665"/>
      <c r="Q24" s="665"/>
      <c r="R24" s="665"/>
      <c r="S24" s="665"/>
      <c r="T24" s="665"/>
      <c r="U24" s="665"/>
      <c r="V24" s="665"/>
      <c r="W24" s="665"/>
      <c r="X24" s="665" t="s">
        <v>70</v>
      </c>
      <c r="Y24" s="772" t="s">
        <v>96</v>
      </c>
      <c r="Z24" s="773" t="s">
        <v>117</v>
      </c>
      <c r="AA24" s="665"/>
      <c r="AB24" s="665"/>
      <c r="AC24" s="317"/>
      <c r="AD24" s="317"/>
      <c r="AE24" s="317"/>
      <c r="AF24" s="317"/>
      <c r="AG24" s="317"/>
      <c r="AH24" s="317"/>
      <c r="AI24" s="317"/>
      <c r="AJ24" s="317"/>
      <c r="AK24" s="317"/>
      <c r="AL24" s="665"/>
      <c r="AM24" s="317"/>
      <c r="AN24" s="317"/>
      <c r="AO24" s="317"/>
      <c r="AP24" s="317"/>
      <c r="AQ24" s="317"/>
      <c r="AR24" s="317"/>
      <c r="AS24" s="317"/>
      <c r="AT24" s="317"/>
      <c r="AU24" s="317"/>
      <c r="AV24" s="317"/>
      <c r="AW24" s="317"/>
      <c r="AX24" s="317"/>
      <c r="AY24" s="317"/>
      <c r="AZ24" s="317"/>
      <c r="BA24" s="317"/>
      <c r="BB24" s="317"/>
      <c r="BC24" s="317"/>
      <c r="BD24" s="317"/>
      <c r="BE24" s="317"/>
      <c r="BF24" s="317"/>
      <c r="BG24" s="317"/>
      <c r="BH24" s="317"/>
      <c r="BI24" s="317"/>
      <c r="BJ24" s="317"/>
      <c r="BK24" s="317"/>
      <c r="BL24" s="317"/>
      <c r="BM24" s="317"/>
      <c r="BN24" s="317"/>
      <c r="BO24" s="317"/>
      <c r="BP24" s="317"/>
      <c r="BQ24" s="317"/>
      <c r="BR24" s="317"/>
      <c r="BS24" s="317"/>
      <c r="BT24" s="317"/>
      <c r="BU24" s="317"/>
      <c r="BV24" s="317"/>
      <c r="BW24" s="753" t="s">
        <v>96</v>
      </c>
      <c r="BX24" s="753"/>
      <c r="BY24" s="753"/>
      <c r="BZ24" s="753" t="str">
        <f>IFERROR(__xludf.DUMMYFUNCTION("""COMPUTED_VALUE"""),"")</f>
        <v/>
      </c>
      <c r="CA24" s="753"/>
      <c r="CB24" s="753"/>
      <c r="CC24" s="753"/>
      <c r="CD24" s="753"/>
      <c r="CE24" s="753"/>
      <c r="CF24" s="753"/>
      <c r="CG24" s="753"/>
      <c r="CH24" s="753"/>
      <c r="CI24" s="753"/>
      <c r="CJ24" s="753"/>
      <c r="CK24" s="753"/>
    </row>
    <row r="25">
      <c r="A25" s="317"/>
      <c r="B25" s="317"/>
      <c r="C25" s="665" t="s">
        <v>405</v>
      </c>
      <c r="D25" s="317"/>
      <c r="E25" s="317"/>
      <c r="F25" s="317"/>
      <c r="G25" s="317"/>
      <c r="H25" s="317"/>
      <c r="I25" s="317"/>
      <c r="J25" s="317"/>
      <c r="K25" s="317"/>
      <c r="L25" s="317"/>
      <c r="M25" s="317"/>
      <c r="N25" s="317"/>
      <c r="O25" s="317"/>
      <c r="P25" s="665"/>
      <c r="Q25" s="665"/>
      <c r="R25" s="665"/>
      <c r="S25" s="665"/>
      <c r="T25" s="665"/>
      <c r="U25" s="665"/>
      <c r="V25" s="665"/>
      <c r="W25" s="665"/>
      <c r="X25" s="665" t="s">
        <v>70</v>
      </c>
      <c r="Y25" s="772" t="s">
        <v>96</v>
      </c>
      <c r="Z25" s="773" t="s">
        <v>117</v>
      </c>
      <c r="AA25" s="665"/>
      <c r="AB25" s="665"/>
      <c r="AC25" s="317"/>
      <c r="AD25" s="317"/>
      <c r="AE25" s="317"/>
      <c r="AF25" s="317"/>
      <c r="AG25" s="317"/>
      <c r="AH25" s="317"/>
      <c r="AI25" s="317"/>
      <c r="AJ25" s="317"/>
      <c r="AK25" s="317"/>
      <c r="AL25" s="665"/>
      <c r="AM25" s="317"/>
      <c r="AN25" s="317"/>
      <c r="AO25" s="317"/>
      <c r="AP25" s="317"/>
      <c r="AQ25" s="317"/>
      <c r="AR25" s="317"/>
      <c r="AS25" s="317"/>
      <c r="AT25" s="317"/>
      <c r="AU25" s="317"/>
      <c r="AV25" s="317"/>
      <c r="AW25" s="317"/>
      <c r="AX25" s="317"/>
      <c r="AY25" s="317"/>
      <c r="AZ25" s="317"/>
      <c r="BA25" s="317"/>
      <c r="BB25" s="317"/>
      <c r="BC25" s="317"/>
      <c r="BD25" s="317"/>
      <c r="BE25" s="317"/>
      <c r="BF25" s="317"/>
      <c r="BG25" s="317"/>
      <c r="BH25" s="317"/>
      <c r="BI25" s="317"/>
      <c r="BJ25" s="317"/>
      <c r="BK25" s="317"/>
      <c r="BL25" s="317"/>
      <c r="BM25" s="317"/>
      <c r="BN25" s="317"/>
      <c r="BO25" s="317"/>
      <c r="BP25" s="317"/>
      <c r="BQ25" s="317"/>
      <c r="BR25" s="317"/>
      <c r="BS25" s="317"/>
      <c r="BT25" s="317"/>
      <c r="BU25" s="317"/>
      <c r="BV25" s="317"/>
      <c r="BW25" s="753" t="s">
        <v>96</v>
      </c>
      <c r="BX25" s="753"/>
      <c r="BY25" s="753"/>
      <c r="BZ25" s="753" t="str">
        <f>IFERROR(__xludf.DUMMYFUNCTION("""COMPUTED_VALUE"""),"")</f>
        <v/>
      </c>
      <c r="CA25" s="753"/>
      <c r="CB25" s="753"/>
      <c r="CC25" s="753"/>
      <c r="CD25" s="753"/>
      <c r="CE25" s="753"/>
      <c r="CF25" s="753"/>
      <c r="CG25" s="753"/>
      <c r="CH25" s="753"/>
      <c r="CI25" s="753"/>
      <c r="CJ25" s="753"/>
      <c r="CK25" s="753"/>
    </row>
    <row r="26">
      <c r="A26" s="317"/>
      <c r="B26" s="317"/>
      <c r="C26" s="665" t="s">
        <v>408</v>
      </c>
      <c r="D26" s="317"/>
      <c r="E26" s="317"/>
      <c r="F26" s="317"/>
      <c r="G26" s="317"/>
      <c r="H26" s="317"/>
      <c r="I26" s="317"/>
      <c r="J26" s="317"/>
      <c r="K26" s="317"/>
      <c r="L26" s="317"/>
      <c r="M26" s="317"/>
      <c r="N26" s="317"/>
      <c r="O26" s="317"/>
      <c r="P26" s="665"/>
      <c r="Q26" s="665"/>
      <c r="R26" s="665"/>
      <c r="S26" s="665"/>
      <c r="T26" s="665"/>
      <c r="U26" s="665" t="s">
        <v>96</v>
      </c>
      <c r="V26" s="665" t="s">
        <v>96</v>
      </c>
      <c r="W26" s="665"/>
      <c r="X26" s="665" t="s">
        <v>96</v>
      </c>
      <c r="Y26" s="772" t="s">
        <v>96</v>
      </c>
      <c r="Z26" s="773" t="s">
        <v>96</v>
      </c>
      <c r="AA26" s="665"/>
      <c r="AB26" s="665"/>
      <c r="AC26" s="317"/>
      <c r="AD26" s="317"/>
      <c r="AE26" s="317"/>
      <c r="AF26" s="317"/>
      <c r="AG26" s="317"/>
      <c r="AH26" s="317"/>
      <c r="AI26" s="317"/>
      <c r="AJ26" s="317"/>
      <c r="AK26" s="317"/>
      <c r="AL26" s="665"/>
      <c r="AM26" s="317"/>
      <c r="AN26" s="317"/>
      <c r="AO26" s="317"/>
      <c r="AP26" s="317"/>
      <c r="AQ26" s="317"/>
      <c r="AR26" s="317"/>
      <c r="AS26" s="317"/>
      <c r="AT26" s="317"/>
      <c r="AU26" s="317"/>
      <c r="AV26" s="317"/>
      <c r="AW26" s="317"/>
      <c r="AX26" s="317"/>
      <c r="AY26" s="317"/>
      <c r="AZ26" s="317"/>
      <c r="BA26" s="317"/>
      <c r="BB26" s="317"/>
      <c r="BC26" s="317"/>
      <c r="BD26" s="317"/>
      <c r="BE26" s="317"/>
      <c r="BF26" s="317"/>
      <c r="BG26" s="317"/>
      <c r="BH26" s="317"/>
      <c r="BI26" s="317"/>
      <c r="BJ26" s="317"/>
      <c r="BK26" s="317"/>
      <c r="BL26" s="317"/>
      <c r="BM26" s="317"/>
      <c r="BN26" s="317"/>
      <c r="BO26" s="317"/>
      <c r="BP26" s="317"/>
      <c r="BQ26" s="317"/>
      <c r="BR26" s="317"/>
      <c r="BS26" s="317"/>
      <c r="BT26" s="317"/>
      <c r="BU26" s="317"/>
      <c r="BV26" s="317"/>
      <c r="BW26" s="753" t="s">
        <v>96</v>
      </c>
      <c r="BX26" s="753"/>
      <c r="BY26" s="753"/>
      <c r="BZ26" s="753" t="str">
        <f>IFERROR(__xludf.DUMMYFUNCTION("""COMPUTED_VALUE"""),"")</f>
        <v/>
      </c>
      <c r="CA26" s="753"/>
      <c r="CB26" s="753"/>
      <c r="CC26" s="753"/>
      <c r="CD26" s="753"/>
      <c r="CE26" s="753"/>
      <c r="CF26" s="753"/>
      <c r="CG26" s="753"/>
      <c r="CH26" s="753"/>
      <c r="CI26" s="753"/>
      <c r="CJ26" s="753"/>
      <c r="CK26" s="753"/>
    </row>
    <row r="27">
      <c r="A27" s="317"/>
      <c r="B27" s="317"/>
      <c r="C27" s="665" t="s">
        <v>410</v>
      </c>
      <c r="D27" s="317"/>
      <c r="E27" s="317"/>
      <c r="F27" s="317"/>
      <c r="G27" s="317"/>
      <c r="H27" s="317"/>
      <c r="I27" s="317"/>
      <c r="J27" s="317"/>
      <c r="K27" s="317"/>
      <c r="L27" s="317"/>
      <c r="M27" s="317"/>
      <c r="N27" s="317"/>
      <c r="O27" s="317"/>
      <c r="P27" s="665"/>
      <c r="Q27" s="665"/>
      <c r="R27" s="665"/>
      <c r="S27" s="665"/>
      <c r="T27" s="665"/>
      <c r="U27" s="665" t="s">
        <v>96</v>
      </c>
      <c r="V27" s="665" t="s">
        <v>96</v>
      </c>
      <c r="W27" s="665"/>
      <c r="X27" s="665" t="s">
        <v>96</v>
      </c>
      <c r="Y27" s="772" t="s">
        <v>96</v>
      </c>
      <c r="Z27" s="773" t="s">
        <v>96</v>
      </c>
      <c r="AA27" s="665"/>
      <c r="AB27" s="665"/>
      <c r="AC27" s="317"/>
      <c r="AD27" s="317"/>
      <c r="AE27" s="317"/>
      <c r="AF27" s="317"/>
      <c r="AG27" s="317"/>
      <c r="AH27" s="317"/>
      <c r="AI27" s="317"/>
      <c r="AJ27" s="317"/>
      <c r="AK27" s="317"/>
      <c r="AL27" s="665"/>
      <c r="AM27" s="317"/>
      <c r="AN27" s="317"/>
      <c r="AO27" s="317"/>
      <c r="AP27" s="317"/>
      <c r="AQ27" s="317"/>
      <c r="AR27" s="317"/>
      <c r="AS27" s="317"/>
      <c r="AT27" s="317"/>
      <c r="AU27" s="317"/>
      <c r="AV27" s="317"/>
      <c r="AW27" s="317"/>
      <c r="AX27" s="317"/>
      <c r="AY27" s="317"/>
      <c r="AZ27" s="317"/>
      <c r="BA27" s="317"/>
      <c r="BB27" s="317"/>
      <c r="BC27" s="317"/>
      <c r="BD27" s="317"/>
      <c r="BE27" s="317"/>
      <c r="BF27" s="317"/>
      <c r="BG27" s="317"/>
      <c r="BH27" s="317"/>
      <c r="BI27" s="317"/>
      <c r="BJ27" s="317"/>
      <c r="BK27" s="317"/>
      <c r="BL27" s="317"/>
      <c r="BM27" s="317"/>
      <c r="BN27" s="317"/>
      <c r="BO27" s="317"/>
      <c r="BP27" s="317"/>
      <c r="BQ27" s="317"/>
      <c r="BR27" s="317"/>
      <c r="BS27" s="317"/>
      <c r="BT27" s="317"/>
      <c r="BU27" s="317"/>
      <c r="BV27" s="317"/>
      <c r="BW27" s="753" t="s">
        <v>96</v>
      </c>
      <c r="BX27" s="753"/>
      <c r="BY27" s="753"/>
      <c r="BZ27" s="753" t="str">
        <f>IFERROR(__xludf.DUMMYFUNCTION("""COMPUTED_VALUE"""),"")</f>
        <v/>
      </c>
      <c r="CA27" s="753"/>
      <c r="CB27" s="753"/>
      <c r="CC27" s="753"/>
      <c r="CD27" s="753"/>
      <c r="CE27" s="753"/>
      <c r="CF27" s="753"/>
      <c r="CG27" s="753"/>
      <c r="CH27" s="753"/>
      <c r="CI27" s="753"/>
      <c r="CJ27" s="753"/>
      <c r="CK27" s="753"/>
    </row>
    <row r="28">
      <c r="A28" s="317"/>
      <c r="B28" s="317"/>
      <c r="C28" s="665" t="s">
        <v>412</v>
      </c>
      <c r="D28" s="317"/>
      <c r="E28" s="317"/>
      <c r="F28" s="317"/>
      <c r="G28" s="317"/>
      <c r="H28" s="317"/>
      <c r="I28" s="317"/>
      <c r="J28" s="317"/>
      <c r="K28" s="317"/>
      <c r="L28" s="317"/>
      <c r="M28" s="317"/>
      <c r="N28" s="317"/>
      <c r="O28" s="317"/>
      <c r="P28" s="665"/>
      <c r="Q28" s="665"/>
      <c r="R28" s="665"/>
      <c r="S28" s="665"/>
      <c r="T28" s="665"/>
      <c r="U28" s="665" t="s">
        <v>96</v>
      </c>
      <c r="V28" s="665" t="s">
        <v>96</v>
      </c>
      <c r="W28" s="665"/>
      <c r="X28" s="665" t="s">
        <v>96</v>
      </c>
      <c r="Y28" s="772" t="s">
        <v>96</v>
      </c>
      <c r="Z28" s="773" t="s">
        <v>96</v>
      </c>
      <c r="AA28" s="665"/>
      <c r="AB28" s="665"/>
      <c r="AC28" s="317"/>
      <c r="AD28" s="317"/>
      <c r="AE28" s="317"/>
      <c r="AF28" s="317"/>
      <c r="AG28" s="317"/>
      <c r="AH28" s="317"/>
      <c r="AI28" s="317"/>
      <c r="AJ28" s="317"/>
      <c r="AK28" s="317"/>
      <c r="AL28" s="665"/>
      <c r="AM28" s="317"/>
      <c r="AN28" s="317"/>
      <c r="AO28" s="317"/>
      <c r="AP28" s="317"/>
      <c r="AQ28" s="317"/>
      <c r="AR28" s="317"/>
      <c r="AS28" s="317"/>
      <c r="AT28" s="317"/>
      <c r="AU28" s="317"/>
      <c r="AV28" s="317"/>
      <c r="AW28" s="317"/>
      <c r="AX28" s="317"/>
      <c r="AY28" s="317"/>
      <c r="AZ28" s="317"/>
      <c r="BA28" s="317"/>
      <c r="BB28" s="317"/>
      <c r="BC28" s="317"/>
      <c r="BD28" s="317"/>
      <c r="BE28" s="317"/>
      <c r="BF28" s="317"/>
      <c r="BG28" s="317"/>
      <c r="BH28" s="317"/>
      <c r="BI28" s="317"/>
      <c r="BJ28" s="317"/>
      <c r="BK28" s="317"/>
      <c r="BL28" s="317"/>
      <c r="BM28" s="317"/>
      <c r="BN28" s="317"/>
      <c r="BO28" s="317"/>
      <c r="BP28" s="317"/>
      <c r="BQ28" s="317"/>
      <c r="BR28" s="317"/>
      <c r="BS28" s="317"/>
      <c r="BT28" s="317"/>
      <c r="BU28" s="317"/>
      <c r="BV28" s="317"/>
      <c r="BW28" s="753" t="s">
        <v>96</v>
      </c>
      <c r="BX28" s="753"/>
      <c r="BY28" s="753"/>
      <c r="BZ28" s="753" t="str">
        <f>IFERROR(__xludf.DUMMYFUNCTION("""COMPUTED_VALUE"""),"")</f>
        <v/>
      </c>
      <c r="CA28" s="753"/>
      <c r="CB28" s="753"/>
      <c r="CC28" s="753"/>
      <c r="CD28" s="753"/>
      <c r="CE28" s="753"/>
      <c r="CF28" s="753"/>
      <c r="CG28" s="753"/>
      <c r="CH28" s="753"/>
      <c r="CI28" s="753"/>
      <c r="CJ28" s="753"/>
      <c r="CK28" s="753"/>
    </row>
    <row r="29">
      <c r="A29" s="317"/>
      <c r="B29" s="317"/>
      <c r="C29" s="665" t="s">
        <v>414</v>
      </c>
      <c r="D29" s="317"/>
      <c r="E29" s="317"/>
      <c r="F29" s="317"/>
      <c r="G29" s="317"/>
      <c r="H29" s="317"/>
      <c r="I29" s="317"/>
      <c r="J29" s="317"/>
      <c r="K29" s="317"/>
      <c r="L29" s="317"/>
      <c r="M29" s="317"/>
      <c r="N29" s="317"/>
      <c r="O29" s="317"/>
      <c r="P29" s="665"/>
      <c r="Q29" s="665"/>
      <c r="R29" s="665"/>
      <c r="S29" s="665"/>
      <c r="T29" s="665"/>
      <c r="U29" s="665" t="s">
        <v>96</v>
      </c>
      <c r="V29" s="665" t="s">
        <v>96</v>
      </c>
      <c r="W29" s="665"/>
      <c r="X29" s="665" t="s">
        <v>96</v>
      </c>
      <c r="Y29" s="772" t="s">
        <v>96</v>
      </c>
      <c r="Z29" s="773" t="s">
        <v>96</v>
      </c>
      <c r="AA29" s="665"/>
      <c r="AB29" s="665"/>
      <c r="AC29" s="317"/>
      <c r="AD29" s="317"/>
      <c r="AE29" s="317"/>
      <c r="AF29" s="317"/>
      <c r="AG29" s="317"/>
      <c r="AH29" s="317"/>
      <c r="AI29" s="317"/>
      <c r="AJ29" s="317"/>
      <c r="AK29" s="317"/>
      <c r="AL29" s="665"/>
      <c r="AM29" s="317"/>
      <c r="AN29" s="317"/>
      <c r="AO29" s="317"/>
      <c r="AP29" s="317"/>
      <c r="AQ29" s="317"/>
      <c r="AR29" s="317"/>
      <c r="AS29" s="317"/>
      <c r="AT29" s="317"/>
      <c r="AU29" s="317"/>
      <c r="AV29" s="317"/>
      <c r="AW29" s="317"/>
      <c r="AX29" s="317"/>
      <c r="AY29" s="317"/>
      <c r="AZ29" s="317"/>
      <c r="BA29" s="317"/>
      <c r="BB29" s="317"/>
      <c r="BC29" s="317"/>
      <c r="BD29" s="317"/>
      <c r="BE29" s="317"/>
      <c r="BF29" s="317"/>
      <c r="BG29" s="317"/>
      <c r="BH29" s="317"/>
      <c r="BI29" s="317"/>
      <c r="BJ29" s="317"/>
      <c r="BK29" s="317"/>
      <c r="BL29" s="317"/>
      <c r="BM29" s="317"/>
      <c r="BN29" s="317"/>
      <c r="BO29" s="317"/>
      <c r="BP29" s="317"/>
      <c r="BQ29" s="317"/>
      <c r="BR29" s="317"/>
      <c r="BS29" s="317"/>
      <c r="BT29" s="317"/>
      <c r="BU29" s="317"/>
      <c r="BV29" s="317"/>
      <c r="BW29" s="753" t="s">
        <v>96</v>
      </c>
      <c r="BX29" s="753"/>
      <c r="BY29" s="753"/>
      <c r="BZ29" s="753" t="str">
        <f>IFERROR(__xludf.DUMMYFUNCTION("""COMPUTED_VALUE"""),"")</f>
        <v/>
      </c>
      <c r="CA29" s="753"/>
      <c r="CB29" s="753"/>
      <c r="CC29" s="753"/>
      <c r="CD29" s="753"/>
      <c r="CE29" s="753"/>
      <c r="CF29" s="753"/>
      <c r="CG29" s="753"/>
      <c r="CH29" s="753"/>
      <c r="CI29" s="753"/>
      <c r="CJ29" s="753"/>
      <c r="CK29" s="753"/>
    </row>
    <row r="30">
      <c r="A30" s="317"/>
      <c r="B30" s="317"/>
      <c r="C30" s="665" t="s">
        <v>416</v>
      </c>
      <c r="D30" s="317"/>
      <c r="E30" s="317"/>
      <c r="F30" s="317"/>
      <c r="G30" s="317"/>
      <c r="H30" s="317"/>
      <c r="I30" s="317"/>
      <c r="J30" s="317"/>
      <c r="K30" s="317"/>
      <c r="L30" s="317"/>
      <c r="M30" s="317"/>
      <c r="N30" s="317"/>
      <c r="O30" s="317"/>
      <c r="P30" s="665"/>
      <c r="Q30" s="665"/>
      <c r="R30" s="665"/>
      <c r="S30" s="665"/>
      <c r="T30" s="665"/>
      <c r="U30" s="665" t="s">
        <v>96</v>
      </c>
      <c r="V30" s="665" t="s">
        <v>96</v>
      </c>
      <c r="W30" s="665"/>
      <c r="X30" s="665" t="s">
        <v>96</v>
      </c>
      <c r="Y30" s="772" t="s">
        <v>96</v>
      </c>
      <c r="Z30" s="773" t="s">
        <v>96</v>
      </c>
      <c r="AA30" s="665"/>
      <c r="AB30" s="665"/>
      <c r="AC30" s="317"/>
      <c r="AD30" s="317"/>
      <c r="AE30" s="317"/>
      <c r="AF30" s="317"/>
      <c r="AG30" s="317"/>
      <c r="AH30" s="317"/>
      <c r="AI30" s="317"/>
      <c r="AJ30" s="317"/>
      <c r="AK30" s="317"/>
      <c r="AL30" s="665"/>
      <c r="AM30" s="317"/>
      <c r="AN30" s="317"/>
      <c r="AO30" s="317"/>
      <c r="AP30" s="317"/>
      <c r="AQ30" s="317"/>
      <c r="AR30" s="317"/>
      <c r="AS30" s="317"/>
      <c r="AT30" s="317"/>
      <c r="AU30" s="317"/>
      <c r="AV30" s="317"/>
      <c r="AW30" s="317"/>
      <c r="AX30" s="317"/>
      <c r="AY30" s="317"/>
      <c r="AZ30" s="317"/>
      <c r="BA30" s="317"/>
      <c r="BB30" s="317"/>
      <c r="BC30" s="317"/>
      <c r="BD30" s="317"/>
      <c r="BE30" s="317"/>
      <c r="BF30" s="317"/>
      <c r="BG30" s="317"/>
      <c r="BH30" s="317"/>
      <c r="BI30" s="317"/>
      <c r="BJ30" s="317"/>
      <c r="BK30" s="317"/>
      <c r="BL30" s="317"/>
      <c r="BM30" s="317"/>
      <c r="BN30" s="317"/>
      <c r="BO30" s="317"/>
      <c r="BP30" s="317"/>
      <c r="BQ30" s="317"/>
      <c r="BR30" s="317"/>
      <c r="BS30" s="317"/>
      <c r="BT30" s="317"/>
      <c r="BU30" s="317"/>
      <c r="BV30" s="317"/>
      <c r="BW30" s="753" t="s">
        <v>96</v>
      </c>
      <c r="BX30" s="753"/>
      <c r="BY30" s="753"/>
      <c r="BZ30" s="753" t="str">
        <f>IFERROR(__xludf.DUMMYFUNCTION("""COMPUTED_VALUE"""),"")</f>
        <v/>
      </c>
      <c r="CA30" s="753"/>
      <c r="CB30" s="753"/>
      <c r="CC30" s="753"/>
      <c r="CD30" s="753"/>
      <c r="CE30" s="753"/>
      <c r="CF30" s="753"/>
      <c r="CG30" s="753"/>
      <c r="CH30" s="753"/>
      <c r="CI30" s="753"/>
      <c r="CJ30" s="753"/>
      <c r="CK30" s="753"/>
    </row>
    <row r="31">
      <c r="A31" s="317"/>
      <c r="B31" s="317"/>
      <c r="C31" s="665"/>
      <c r="D31" s="317"/>
      <c r="E31" s="317"/>
      <c r="F31" s="317"/>
      <c r="G31" s="317"/>
      <c r="H31" s="317"/>
      <c r="I31" s="317"/>
      <c r="J31" s="317"/>
      <c r="K31" s="317"/>
      <c r="L31" s="317"/>
      <c r="M31" s="317"/>
      <c r="N31" s="317"/>
      <c r="O31" s="317"/>
      <c r="P31" s="665"/>
      <c r="Q31" s="665"/>
      <c r="R31" s="665"/>
      <c r="S31" s="665"/>
      <c r="T31" s="665"/>
      <c r="U31" s="665" t="s">
        <v>96</v>
      </c>
      <c r="V31" s="665" t="s">
        <v>96</v>
      </c>
      <c r="W31" s="665"/>
      <c r="X31" s="665" t="s">
        <v>96</v>
      </c>
      <c r="Y31" s="772" t="s">
        <v>96</v>
      </c>
      <c r="Z31" s="773" t="s">
        <v>96</v>
      </c>
      <c r="AA31" s="665"/>
      <c r="AB31" s="665"/>
      <c r="AC31" s="317"/>
      <c r="AD31" s="317"/>
      <c r="AE31" s="317"/>
      <c r="AF31" s="317"/>
      <c r="AG31" s="317"/>
      <c r="AH31" s="317"/>
      <c r="AI31" s="317"/>
      <c r="AJ31" s="317"/>
      <c r="AK31" s="317"/>
      <c r="AL31" s="665"/>
      <c r="AM31" s="317"/>
      <c r="AN31" s="317"/>
      <c r="AO31" s="317"/>
      <c r="AP31" s="317"/>
      <c r="AQ31" s="317"/>
      <c r="AR31" s="317"/>
      <c r="AS31" s="317"/>
      <c r="AT31" s="317"/>
      <c r="AU31" s="317"/>
      <c r="AV31" s="317"/>
      <c r="AW31" s="317"/>
      <c r="AX31" s="317"/>
      <c r="AY31" s="317"/>
      <c r="AZ31" s="317"/>
      <c r="BA31" s="317"/>
      <c r="BB31" s="317"/>
      <c r="BC31" s="317"/>
      <c r="BD31" s="317"/>
      <c r="BE31" s="317"/>
      <c r="BF31" s="317"/>
      <c r="BG31" s="317"/>
      <c r="BH31" s="317"/>
      <c r="BI31" s="317"/>
      <c r="BJ31" s="317"/>
      <c r="BK31" s="317"/>
      <c r="BL31" s="317"/>
      <c r="BM31" s="317"/>
      <c r="BN31" s="317"/>
      <c r="BO31" s="317"/>
      <c r="BP31" s="317"/>
      <c r="BQ31" s="317"/>
      <c r="BR31" s="317"/>
      <c r="BS31" s="317"/>
      <c r="BT31" s="317"/>
      <c r="BU31" s="317"/>
      <c r="BV31" s="317"/>
      <c r="BW31" s="753" t="s">
        <v>96</v>
      </c>
      <c r="BX31" s="753"/>
      <c r="BY31" s="753"/>
      <c r="BZ31" s="753" t="str">
        <f>IFERROR(__xludf.DUMMYFUNCTION("""COMPUTED_VALUE"""),"")</f>
        <v/>
      </c>
      <c r="CA31" s="753"/>
      <c r="CB31" s="753"/>
      <c r="CC31" s="753"/>
      <c r="CD31" s="753"/>
      <c r="CE31" s="753"/>
      <c r="CF31" s="753"/>
      <c r="CG31" s="753"/>
      <c r="CH31" s="753"/>
      <c r="CI31" s="753"/>
      <c r="CJ31" s="753"/>
      <c r="CK31" s="753"/>
    </row>
    <row r="32">
      <c r="A32" s="317"/>
      <c r="B32" s="317"/>
      <c r="C32" s="665"/>
      <c r="D32" s="317"/>
      <c r="E32" s="317"/>
      <c r="F32" s="317"/>
      <c r="G32" s="317"/>
      <c r="H32" s="317"/>
      <c r="I32" s="317"/>
      <c r="J32" s="317"/>
      <c r="K32" s="317"/>
      <c r="L32" s="317"/>
      <c r="M32" s="317"/>
      <c r="N32" s="317"/>
      <c r="O32" s="317"/>
      <c r="P32" s="665"/>
      <c r="Q32" s="665"/>
      <c r="R32" s="665"/>
      <c r="S32" s="665"/>
      <c r="T32" s="665"/>
      <c r="U32" s="665" t="s">
        <v>96</v>
      </c>
      <c r="V32" s="665" t="s">
        <v>96</v>
      </c>
      <c r="W32" s="665"/>
      <c r="X32" s="665" t="s">
        <v>96</v>
      </c>
      <c r="Y32" s="772" t="s">
        <v>96</v>
      </c>
      <c r="Z32" s="773" t="s">
        <v>96</v>
      </c>
      <c r="AA32" s="665"/>
      <c r="AB32" s="665"/>
      <c r="AC32" s="317"/>
      <c r="AD32" s="317"/>
      <c r="AE32" s="317"/>
      <c r="AF32" s="317"/>
      <c r="AG32" s="317"/>
      <c r="AH32" s="317"/>
      <c r="AI32" s="317"/>
      <c r="AJ32" s="317"/>
      <c r="AK32" s="317"/>
      <c r="AL32" s="665"/>
      <c r="AM32" s="317"/>
      <c r="AN32" s="317"/>
      <c r="AO32" s="317"/>
      <c r="AP32" s="317"/>
      <c r="AQ32" s="317"/>
      <c r="AR32" s="317"/>
      <c r="AS32" s="317"/>
      <c r="AT32" s="317"/>
      <c r="AU32" s="317"/>
      <c r="AV32" s="317"/>
      <c r="AW32" s="317"/>
      <c r="AX32" s="317"/>
      <c r="AY32" s="317"/>
      <c r="AZ32" s="317"/>
      <c r="BA32" s="317"/>
      <c r="BB32" s="317"/>
      <c r="BC32" s="317"/>
      <c r="BD32" s="317"/>
      <c r="BE32" s="317"/>
      <c r="BF32" s="317"/>
      <c r="BG32" s="317"/>
      <c r="BH32" s="317"/>
      <c r="BI32" s="317"/>
      <c r="BJ32" s="317"/>
      <c r="BK32" s="317"/>
      <c r="BL32" s="317"/>
      <c r="BM32" s="317"/>
      <c r="BN32" s="317"/>
      <c r="BO32" s="317"/>
      <c r="BP32" s="317"/>
      <c r="BQ32" s="317"/>
      <c r="BR32" s="317"/>
      <c r="BS32" s="317"/>
      <c r="BT32" s="317"/>
      <c r="BU32" s="317"/>
      <c r="BV32" s="317"/>
      <c r="BW32" s="753" t="s">
        <v>96</v>
      </c>
      <c r="BX32" s="753"/>
      <c r="BY32" s="753"/>
      <c r="BZ32" s="753" t="str">
        <f>IFERROR(__xludf.DUMMYFUNCTION("""COMPUTED_VALUE"""),"")</f>
        <v/>
      </c>
      <c r="CA32" s="753"/>
      <c r="CB32" s="753"/>
      <c r="CC32" s="753"/>
      <c r="CD32" s="753"/>
      <c r="CE32" s="753"/>
      <c r="CF32" s="753"/>
      <c r="CG32" s="753"/>
      <c r="CH32" s="753"/>
      <c r="CI32" s="753"/>
      <c r="CJ32" s="753"/>
      <c r="CK32" s="753"/>
    </row>
    <row r="33">
      <c r="A33" s="317"/>
      <c r="B33" s="317"/>
      <c r="C33" s="665"/>
      <c r="D33" s="317"/>
      <c r="E33" s="317"/>
      <c r="F33" s="317"/>
      <c r="G33" s="317"/>
      <c r="H33" s="317"/>
      <c r="I33" s="317"/>
      <c r="J33" s="317"/>
      <c r="K33" s="317"/>
      <c r="L33" s="317"/>
      <c r="M33" s="317"/>
      <c r="N33" s="317"/>
      <c r="O33" s="317"/>
      <c r="P33" s="665"/>
      <c r="Q33" s="665"/>
      <c r="R33" s="665"/>
      <c r="S33" s="665"/>
      <c r="T33" s="665"/>
      <c r="U33" s="665" t="s">
        <v>96</v>
      </c>
      <c r="V33" s="665" t="s">
        <v>96</v>
      </c>
      <c r="W33" s="665"/>
      <c r="X33" s="665" t="s">
        <v>96</v>
      </c>
      <c r="Y33" s="772" t="s">
        <v>96</v>
      </c>
      <c r="Z33" s="773" t="s">
        <v>96</v>
      </c>
      <c r="AA33" s="665"/>
      <c r="AB33" s="665"/>
      <c r="AC33" s="317"/>
      <c r="AD33" s="317"/>
      <c r="AE33" s="317"/>
      <c r="AF33" s="317"/>
      <c r="AG33" s="317"/>
      <c r="AH33" s="317"/>
      <c r="AI33" s="317"/>
      <c r="AJ33" s="317"/>
      <c r="AK33" s="317"/>
      <c r="AL33" s="665"/>
      <c r="AM33" s="317"/>
      <c r="AN33" s="317"/>
      <c r="AO33" s="317"/>
      <c r="AP33" s="317"/>
      <c r="AQ33" s="317"/>
      <c r="AR33" s="317"/>
      <c r="AS33" s="317"/>
      <c r="AT33" s="317"/>
      <c r="AU33" s="317"/>
      <c r="AV33" s="317"/>
      <c r="AW33" s="317"/>
      <c r="AX33" s="317"/>
      <c r="AY33" s="317"/>
      <c r="AZ33" s="317"/>
      <c r="BA33" s="317"/>
      <c r="BB33" s="317"/>
      <c r="BC33" s="317"/>
      <c r="BD33" s="317"/>
      <c r="BE33" s="317"/>
      <c r="BF33" s="317"/>
      <c r="BG33" s="317"/>
      <c r="BH33" s="317"/>
      <c r="BI33" s="317"/>
      <c r="BJ33" s="317"/>
      <c r="BK33" s="317"/>
      <c r="BL33" s="317"/>
      <c r="BM33" s="317"/>
      <c r="BN33" s="317"/>
      <c r="BO33" s="317"/>
      <c r="BP33" s="317"/>
      <c r="BQ33" s="317"/>
      <c r="BR33" s="317"/>
      <c r="BS33" s="317"/>
      <c r="BT33" s="317"/>
      <c r="BU33" s="317"/>
      <c r="BV33" s="317"/>
      <c r="BW33" s="753" t="s">
        <v>96</v>
      </c>
      <c r="BX33" s="753"/>
      <c r="BY33" s="753"/>
      <c r="BZ33" s="753" t="str">
        <f>IFERROR(__xludf.DUMMYFUNCTION("""COMPUTED_VALUE"""),"")</f>
        <v/>
      </c>
      <c r="CA33" s="753"/>
      <c r="CB33" s="753"/>
      <c r="CC33" s="753"/>
      <c r="CD33" s="753"/>
      <c r="CE33" s="753"/>
      <c r="CF33" s="753"/>
      <c r="CG33" s="753"/>
      <c r="CH33" s="753"/>
      <c r="CI33" s="753"/>
      <c r="CJ33" s="753"/>
      <c r="CK33" s="753"/>
    </row>
    <row r="34">
      <c r="A34" s="317"/>
      <c r="B34" s="317"/>
      <c r="C34" s="665"/>
      <c r="D34" s="317"/>
      <c r="E34" s="317"/>
      <c r="F34" s="317"/>
      <c r="G34" s="317"/>
      <c r="H34" s="317"/>
      <c r="I34" s="317"/>
      <c r="J34" s="317"/>
      <c r="K34" s="317"/>
      <c r="L34" s="317"/>
      <c r="M34" s="317"/>
      <c r="N34" s="317"/>
      <c r="O34" s="317"/>
      <c r="P34" s="665"/>
      <c r="Q34" s="665"/>
      <c r="R34" s="665"/>
      <c r="S34" s="665"/>
      <c r="T34" s="665"/>
      <c r="U34" s="665" t="s">
        <v>96</v>
      </c>
      <c r="V34" s="665" t="s">
        <v>96</v>
      </c>
      <c r="W34" s="665"/>
      <c r="X34" s="665" t="s">
        <v>96</v>
      </c>
      <c r="Y34" s="772" t="s">
        <v>96</v>
      </c>
      <c r="Z34" s="773" t="s">
        <v>96</v>
      </c>
      <c r="AA34" s="665"/>
      <c r="AB34" s="665"/>
      <c r="AC34" s="317"/>
      <c r="AD34" s="317"/>
      <c r="AE34" s="317"/>
      <c r="AF34" s="317"/>
      <c r="AG34" s="317"/>
      <c r="AH34" s="317"/>
      <c r="AI34" s="317"/>
      <c r="AJ34" s="317"/>
      <c r="AK34" s="317"/>
      <c r="AL34" s="665"/>
      <c r="AM34" s="317"/>
      <c r="AN34" s="317"/>
      <c r="AO34" s="317"/>
      <c r="AP34" s="317"/>
      <c r="AQ34" s="317"/>
      <c r="AR34" s="317"/>
      <c r="AS34" s="317"/>
      <c r="AT34" s="317"/>
      <c r="AU34" s="317"/>
      <c r="AV34" s="317"/>
      <c r="AW34" s="317"/>
      <c r="AX34" s="317"/>
      <c r="AY34" s="317"/>
      <c r="AZ34" s="317"/>
      <c r="BA34" s="317"/>
      <c r="BB34" s="317"/>
      <c r="BC34" s="317"/>
      <c r="BD34" s="317"/>
      <c r="BE34" s="317"/>
      <c r="BF34" s="317"/>
      <c r="BG34" s="317"/>
      <c r="BH34" s="317"/>
      <c r="BI34" s="317"/>
      <c r="BJ34" s="317"/>
      <c r="BK34" s="317"/>
      <c r="BL34" s="317"/>
      <c r="BM34" s="317"/>
      <c r="BN34" s="317"/>
      <c r="BO34" s="317"/>
      <c r="BP34" s="317"/>
      <c r="BQ34" s="317"/>
      <c r="BR34" s="317"/>
      <c r="BS34" s="317"/>
      <c r="BT34" s="317"/>
      <c r="BU34" s="317"/>
      <c r="BV34" s="317"/>
      <c r="BW34" s="753" t="s">
        <v>96</v>
      </c>
      <c r="BX34" s="753"/>
      <c r="BY34" s="753"/>
      <c r="BZ34" s="753" t="str">
        <f>IFERROR(__xludf.DUMMYFUNCTION("""COMPUTED_VALUE"""),"")</f>
        <v/>
      </c>
      <c r="CA34" s="753"/>
      <c r="CB34" s="753"/>
      <c r="CC34" s="753"/>
      <c r="CD34" s="753"/>
      <c r="CE34" s="753"/>
      <c r="CF34" s="753"/>
      <c r="CG34" s="753"/>
      <c r="CH34" s="753"/>
      <c r="CI34" s="753"/>
      <c r="CJ34" s="753"/>
      <c r="CK34" s="753"/>
    </row>
    <row r="35">
      <c r="A35" s="317"/>
      <c r="B35" s="317"/>
      <c r="C35" s="665"/>
      <c r="D35" s="317"/>
      <c r="E35" s="317"/>
      <c r="F35" s="317"/>
      <c r="G35" s="317"/>
      <c r="H35" s="317"/>
      <c r="I35" s="317"/>
      <c r="J35" s="317"/>
      <c r="K35" s="317"/>
      <c r="L35" s="317"/>
      <c r="M35" s="317"/>
      <c r="N35" s="317"/>
      <c r="O35" s="317"/>
      <c r="P35" s="665"/>
      <c r="Q35" s="665"/>
      <c r="R35" s="665"/>
      <c r="S35" s="665"/>
      <c r="T35" s="665"/>
      <c r="U35" s="665" t="s">
        <v>96</v>
      </c>
      <c r="V35" s="665" t="s">
        <v>96</v>
      </c>
      <c r="W35" s="665"/>
      <c r="X35" s="665" t="s">
        <v>96</v>
      </c>
      <c r="Y35" s="772" t="s">
        <v>96</v>
      </c>
      <c r="Z35" s="773" t="s">
        <v>96</v>
      </c>
      <c r="AA35" s="665"/>
      <c r="AB35" s="665"/>
      <c r="AC35" s="317"/>
      <c r="AD35" s="317"/>
      <c r="AE35" s="317"/>
      <c r="AF35" s="317"/>
      <c r="AG35" s="317"/>
      <c r="AH35" s="317"/>
      <c r="AI35" s="317"/>
      <c r="AJ35" s="317"/>
      <c r="AK35" s="317"/>
      <c r="AL35" s="665"/>
      <c r="AM35" s="317"/>
      <c r="AN35" s="317"/>
      <c r="AO35" s="317"/>
      <c r="AP35" s="317"/>
      <c r="AQ35" s="317"/>
      <c r="AR35" s="317"/>
      <c r="AS35" s="317"/>
      <c r="AT35" s="317"/>
      <c r="AU35" s="317"/>
      <c r="AV35" s="317"/>
      <c r="AW35" s="317"/>
      <c r="AX35" s="317"/>
      <c r="AY35" s="317"/>
      <c r="AZ35" s="317"/>
      <c r="BA35" s="317"/>
      <c r="BB35" s="317"/>
      <c r="BC35" s="317"/>
      <c r="BD35" s="317"/>
      <c r="BE35" s="317"/>
      <c r="BF35" s="317"/>
      <c r="BG35" s="317"/>
      <c r="BH35" s="317"/>
      <c r="BI35" s="317"/>
      <c r="BJ35" s="317"/>
      <c r="BK35" s="317"/>
      <c r="BL35" s="317"/>
      <c r="BM35" s="317"/>
      <c r="BN35" s="317"/>
      <c r="BO35" s="317"/>
      <c r="BP35" s="317"/>
      <c r="BQ35" s="317"/>
      <c r="BR35" s="317"/>
      <c r="BS35" s="317"/>
      <c r="BT35" s="317"/>
      <c r="BU35" s="317"/>
      <c r="BV35" s="317"/>
      <c r="BW35" s="753" t="s">
        <v>96</v>
      </c>
      <c r="BX35" s="753"/>
      <c r="BY35" s="753"/>
      <c r="BZ35" s="753" t="str">
        <f>IFERROR(__xludf.DUMMYFUNCTION("""COMPUTED_VALUE"""),"")</f>
        <v/>
      </c>
      <c r="CA35" s="753"/>
      <c r="CB35" s="753"/>
      <c r="CC35" s="753"/>
      <c r="CD35" s="753"/>
      <c r="CE35" s="753"/>
      <c r="CF35" s="753"/>
      <c r="CG35" s="753"/>
      <c r="CH35" s="753"/>
      <c r="CI35" s="753"/>
      <c r="CJ35" s="753"/>
      <c r="CK35" s="753"/>
    </row>
    <row r="36">
      <c r="A36" s="317"/>
      <c r="B36" s="317"/>
      <c r="C36" s="665"/>
      <c r="D36" s="317"/>
      <c r="E36" s="317"/>
      <c r="F36" s="317"/>
      <c r="G36" s="317"/>
      <c r="H36" s="317"/>
      <c r="I36" s="317"/>
      <c r="J36" s="317"/>
      <c r="K36" s="317"/>
      <c r="L36" s="317"/>
      <c r="M36" s="317"/>
      <c r="N36" s="317"/>
      <c r="O36" s="317"/>
      <c r="P36" s="665"/>
      <c r="Q36" s="665"/>
      <c r="R36" s="665"/>
      <c r="S36" s="665"/>
      <c r="T36" s="665"/>
      <c r="U36" s="665" t="s">
        <v>96</v>
      </c>
      <c r="V36" s="665" t="s">
        <v>96</v>
      </c>
      <c r="W36" s="665"/>
      <c r="X36" s="665" t="s">
        <v>96</v>
      </c>
      <c r="Y36" s="772" t="s">
        <v>96</v>
      </c>
      <c r="Z36" s="773" t="s">
        <v>96</v>
      </c>
      <c r="AA36" s="665"/>
      <c r="AB36" s="665"/>
      <c r="AC36" s="317"/>
      <c r="AD36" s="317"/>
      <c r="AE36" s="317"/>
      <c r="AF36" s="317"/>
      <c r="AG36" s="317"/>
      <c r="AH36" s="317"/>
      <c r="AI36" s="317"/>
      <c r="AJ36" s="317"/>
      <c r="AK36" s="317"/>
      <c r="AL36" s="665"/>
      <c r="AM36" s="317"/>
      <c r="AN36" s="317"/>
      <c r="AO36" s="317"/>
      <c r="AP36" s="317"/>
      <c r="AQ36" s="317"/>
      <c r="AR36" s="665"/>
      <c r="AS36" s="665"/>
      <c r="AT36" s="665"/>
      <c r="AU36" s="665"/>
      <c r="AV36" s="665"/>
      <c r="AW36" s="665"/>
      <c r="AX36" s="317"/>
      <c r="AY36" s="317"/>
      <c r="AZ36" s="317"/>
      <c r="BA36" s="665"/>
      <c r="BB36" s="317"/>
      <c r="BC36" s="317"/>
      <c r="BD36" s="317"/>
      <c r="BE36" s="665"/>
      <c r="BF36" s="317"/>
      <c r="BG36" s="317"/>
      <c r="BH36" s="317"/>
      <c r="BI36" s="317"/>
      <c r="BJ36" s="317"/>
      <c r="BK36" s="665"/>
      <c r="BL36" s="317"/>
      <c r="BM36" s="317"/>
      <c r="BN36" s="317"/>
      <c r="BO36" s="665"/>
      <c r="BP36" s="665"/>
      <c r="BQ36" s="665"/>
      <c r="BR36" s="317"/>
      <c r="BS36" s="317"/>
      <c r="BT36" s="317"/>
      <c r="BU36" s="317"/>
      <c r="BV36" s="317"/>
      <c r="BW36" s="753" t="s">
        <v>96</v>
      </c>
      <c r="BX36" s="753"/>
      <c r="BY36" s="753"/>
      <c r="BZ36" s="753" t="str">
        <f>IFERROR(__xludf.DUMMYFUNCTION("""COMPUTED_VALUE"""),"")</f>
        <v/>
      </c>
      <c r="CA36" s="753"/>
      <c r="CB36" s="753"/>
      <c r="CC36" s="753"/>
      <c r="CD36" s="753"/>
      <c r="CE36" s="753"/>
      <c r="CF36" s="753"/>
      <c r="CG36" s="753"/>
      <c r="CH36" s="753"/>
      <c r="CI36" s="753"/>
      <c r="CJ36" s="753"/>
      <c r="CK36" s="753"/>
    </row>
    <row r="37">
      <c r="A37" s="317"/>
      <c r="B37" s="317"/>
      <c r="C37" s="665"/>
      <c r="D37" s="317"/>
      <c r="E37" s="317"/>
      <c r="F37" s="317"/>
      <c r="G37" s="317"/>
      <c r="H37" s="317"/>
      <c r="I37" s="317"/>
      <c r="J37" s="317"/>
      <c r="K37" s="317"/>
      <c r="L37" s="317"/>
      <c r="M37" s="317"/>
      <c r="N37" s="317"/>
      <c r="O37" s="317"/>
      <c r="P37" s="665"/>
      <c r="Q37" s="665"/>
      <c r="R37" s="665"/>
      <c r="S37" s="665"/>
      <c r="T37" s="665"/>
      <c r="U37" s="665" t="s">
        <v>96</v>
      </c>
      <c r="V37" s="665" t="s">
        <v>96</v>
      </c>
      <c r="W37" s="665"/>
      <c r="X37" s="665" t="s">
        <v>96</v>
      </c>
      <c r="Y37" s="772" t="s">
        <v>96</v>
      </c>
      <c r="Z37" s="773" t="s">
        <v>96</v>
      </c>
      <c r="AA37" s="665"/>
      <c r="AB37" s="665"/>
      <c r="AC37" s="317"/>
      <c r="AD37" s="317"/>
      <c r="AE37" s="317"/>
      <c r="AF37" s="317"/>
      <c r="AG37" s="317"/>
      <c r="AH37" s="317"/>
      <c r="AI37" s="317"/>
      <c r="AJ37" s="317"/>
      <c r="AK37" s="317"/>
      <c r="AL37" s="665"/>
      <c r="AM37" s="317"/>
      <c r="AN37" s="317"/>
      <c r="AO37" s="317"/>
      <c r="AP37" s="317"/>
      <c r="AQ37" s="317"/>
      <c r="AR37" s="317"/>
      <c r="AS37" s="317"/>
      <c r="AT37" s="317"/>
      <c r="AU37" s="317"/>
      <c r="AV37" s="317"/>
      <c r="AW37" s="317"/>
      <c r="AX37" s="317"/>
      <c r="AY37" s="317"/>
      <c r="AZ37" s="317"/>
      <c r="BA37" s="317"/>
      <c r="BB37" s="317"/>
      <c r="BC37" s="317"/>
      <c r="BD37" s="317"/>
      <c r="BE37" s="317"/>
      <c r="BF37" s="317"/>
      <c r="BG37" s="317"/>
      <c r="BH37" s="317"/>
      <c r="BI37" s="317"/>
      <c r="BJ37" s="317"/>
      <c r="BK37" s="317"/>
      <c r="BL37" s="317"/>
      <c r="BM37" s="317"/>
      <c r="BN37" s="317"/>
      <c r="BO37" s="317"/>
      <c r="BP37" s="317"/>
      <c r="BQ37" s="317"/>
      <c r="BR37" s="317"/>
      <c r="BS37" s="317"/>
      <c r="BT37" s="317"/>
      <c r="BU37" s="317"/>
      <c r="BV37" s="317"/>
      <c r="BW37" s="753" t="s">
        <v>96</v>
      </c>
      <c r="BX37" s="753"/>
      <c r="BY37" s="753"/>
      <c r="BZ37" s="753" t="str">
        <f>IFERROR(__xludf.DUMMYFUNCTION("""COMPUTED_VALUE"""),"")</f>
        <v/>
      </c>
      <c r="CA37" s="753"/>
      <c r="CB37" s="753"/>
      <c r="CC37" s="753"/>
      <c r="CD37" s="753"/>
      <c r="CE37" s="753"/>
      <c r="CF37" s="753"/>
      <c r="CG37" s="753"/>
      <c r="CH37" s="753"/>
      <c r="CI37" s="753"/>
      <c r="CJ37" s="753"/>
      <c r="CK37" s="753"/>
    </row>
    <row r="38">
      <c r="A38" s="317"/>
      <c r="B38" s="317"/>
      <c r="C38" s="665"/>
      <c r="D38" s="317"/>
      <c r="E38" s="317"/>
      <c r="F38" s="317"/>
      <c r="G38" s="317"/>
      <c r="H38" s="317"/>
      <c r="I38" s="317"/>
      <c r="J38" s="317"/>
      <c r="K38" s="317"/>
      <c r="L38" s="317"/>
      <c r="M38" s="317"/>
      <c r="N38" s="317"/>
      <c r="O38" s="317"/>
      <c r="P38" s="665"/>
      <c r="Q38" s="665"/>
      <c r="R38" s="665"/>
      <c r="S38" s="665"/>
      <c r="T38" s="665"/>
      <c r="U38" s="665" t="s">
        <v>96</v>
      </c>
      <c r="V38" s="665" t="s">
        <v>96</v>
      </c>
      <c r="W38" s="665"/>
      <c r="X38" s="665" t="s">
        <v>96</v>
      </c>
      <c r="Y38" s="772" t="s">
        <v>96</v>
      </c>
      <c r="Z38" s="773" t="s">
        <v>96</v>
      </c>
      <c r="AA38" s="665"/>
      <c r="AB38" s="665"/>
      <c r="AC38" s="317"/>
      <c r="AD38" s="317"/>
      <c r="AE38" s="317"/>
      <c r="AF38" s="317"/>
      <c r="AG38" s="317"/>
      <c r="AH38" s="317"/>
      <c r="AI38" s="317"/>
      <c r="AJ38" s="317"/>
      <c r="AK38" s="317"/>
      <c r="AL38" s="665"/>
      <c r="AM38" s="317"/>
      <c r="AN38" s="317"/>
      <c r="AO38" s="317"/>
      <c r="AP38" s="317"/>
      <c r="AQ38" s="317"/>
      <c r="AR38" s="317"/>
      <c r="AS38" s="317"/>
      <c r="AT38" s="317"/>
      <c r="AU38" s="317"/>
      <c r="AV38" s="317"/>
      <c r="AW38" s="317"/>
      <c r="AX38" s="317"/>
      <c r="AY38" s="317"/>
      <c r="AZ38" s="317"/>
      <c r="BA38" s="317"/>
      <c r="BB38" s="317"/>
      <c r="BC38" s="317"/>
      <c r="BD38" s="317"/>
      <c r="BE38" s="317"/>
      <c r="BF38" s="317"/>
      <c r="BG38" s="317"/>
      <c r="BH38" s="317"/>
      <c r="BI38" s="317"/>
      <c r="BJ38" s="317"/>
      <c r="BK38" s="317"/>
      <c r="BL38" s="317"/>
      <c r="BM38" s="317"/>
      <c r="BN38" s="317"/>
      <c r="BO38" s="317"/>
      <c r="BP38" s="317"/>
      <c r="BQ38" s="317"/>
      <c r="BR38" s="317"/>
      <c r="BS38" s="317"/>
      <c r="BT38" s="317"/>
      <c r="BU38" s="317"/>
      <c r="BV38" s="317"/>
      <c r="BW38" s="753" t="s">
        <v>96</v>
      </c>
      <c r="BX38" s="753"/>
      <c r="BY38" s="753"/>
      <c r="BZ38" s="753" t="str">
        <f>IFERROR(__xludf.DUMMYFUNCTION("""COMPUTED_VALUE"""),"")</f>
        <v/>
      </c>
      <c r="CA38" s="753"/>
      <c r="CB38" s="753"/>
      <c r="CC38" s="753"/>
      <c r="CD38" s="753"/>
      <c r="CE38" s="753"/>
      <c r="CF38" s="753"/>
      <c r="CG38" s="753"/>
      <c r="CH38" s="753"/>
      <c r="CI38" s="753"/>
      <c r="CJ38" s="753"/>
      <c r="CK38" s="753"/>
    </row>
    <row r="39">
      <c r="A39" s="317"/>
      <c r="B39" s="317"/>
      <c r="C39" s="665"/>
      <c r="D39" s="317"/>
      <c r="E39" s="317"/>
      <c r="F39" s="317"/>
      <c r="G39" s="317"/>
      <c r="H39" s="317"/>
      <c r="I39" s="317"/>
      <c r="J39" s="317"/>
      <c r="K39" s="317"/>
      <c r="L39" s="317"/>
      <c r="M39" s="317"/>
      <c r="N39" s="317"/>
      <c r="O39" s="317"/>
      <c r="P39" s="665"/>
      <c r="Q39" s="665"/>
      <c r="R39" s="665"/>
      <c r="S39" s="665"/>
      <c r="T39" s="665"/>
      <c r="U39" s="665" t="s">
        <v>96</v>
      </c>
      <c r="V39" s="665" t="s">
        <v>96</v>
      </c>
      <c r="W39" s="665"/>
      <c r="X39" s="665" t="s">
        <v>96</v>
      </c>
      <c r="Y39" s="772" t="s">
        <v>96</v>
      </c>
      <c r="Z39" s="773" t="s">
        <v>96</v>
      </c>
      <c r="AA39" s="665"/>
      <c r="AB39" s="665"/>
      <c r="AC39" s="317"/>
      <c r="AD39" s="317"/>
      <c r="AE39" s="317"/>
      <c r="AF39" s="317"/>
      <c r="AG39" s="317"/>
      <c r="AH39" s="317"/>
      <c r="AI39" s="317"/>
      <c r="AJ39" s="317"/>
      <c r="AK39" s="317"/>
      <c r="AL39" s="665"/>
      <c r="AM39" s="317"/>
      <c r="AN39" s="317"/>
      <c r="AO39" s="317"/>
      <c r="AP39" s="317"/>
      <c r="AQ39" s="317"/>
      <c r="AR39" s="317"/>
      <c r="AS39" s="317"/>
      <c r="AT39" s="317"/>
      <c r="AU39" s="317"/>
      <c r="AV39" s="317"/>
      <c r="AW39" s="317"/>
      <c r="AX39" s="317"/>
      <c r="AY39" s="317"/>
      <c r="AZ39" s="317"/>
      <c r="BA39" s="317"/>
      <c r="BB39" s="317"/>
      <c r="BC39" s="317"/>
      <c r="BD39" s="317"/>
      <c r="BE39" s="317"/>
      <c r="BF39" s="317"/>
      <c r="BG39" s="317"/>
      <c r="BH39" s="317"/>
      <c r="BI39" s="317"/>
      <c r="BJ39" s="317"/>
      <c r="BK39" s="317"/>
      <c r="BL39" s="317"/>
      <c r="BM39" s="317"/>
      <c r="BN39" s="317"/>
      <c r="BO39" s="317"/>
      <c r="BP39" s="317"/>
      <c r="BQ39" s="317"/>
      <c r="BR39" s="317"/>
      <c r="BS39" s="317"/>
      <c r="BT39" s="317"/>
      <c r="BU39" s="317"/>
      <c r="BV39" s="317"/>
      <c r="BW39" s="753" t="s">
        <v>96</v>
      </c>
      <c r="BX39" s="753"/>
      <c r="BY39" s="753"/>
      <c r="BZ39" s="753" t="str">
        <f>IFERROR(__xludf.DUMMYFUNCTION("""COMPUTED_VALUE"""),"")</f>
        <v/>
      </c>
      <c r="CA39" s="753"/>
      <c r="CB39" s="753"/>
      <c r="CC39" s="753"/>
      <c r="CD39" s="753"/>
      <c r="CE39" s="753"/>
      <c r="CF39" s="753"/>
      <c r="CG39" s="753"/>
      <c r="CH39" s="753"/>
      <c r="CI39" s="753"/>
      <c r="CJ39" s="753"/>
      <c r="CK39" s="753"/>
    </row>
    <row r="40">
      <c r="A40" s="317"/>
      <c r="B40" s="317"/>
      <c r="C40" s="665"/>
      <c r="D40" s="317"/>
      <c r="E40" s="317"/>
      <c r="F40" s="317"/>
      <c r="G40" s="317"/>
      <c r="H40" s="317"/>
      <c r="I40" s="317"/>
      <c r="J40" s="317"/>
      <c r="K40" s="317"/>
      <c r="L40" s="317"/>
      <c r="M40" s="317"/>
      <c r="N40" s="317"/>
      <c r="O40" s="317"/>
      <c r="P40" s="665"/>
      <c r="Q40" s="665"/>
      <c r="R40" s="665"/>
      <c r="S40" s="665"/>
      <c r="T40" s="665"/>
      <c r="U40" s="665" t="s">
        <v>96</v>
      </c>
      <c r="V40" s="665" t="s">
        <v>96</v>
      </c>
      <c r="W40" s="665"/>
      <c r="X40" s="665" t="s">
        <v>96</v>
      </c>
      <c r="Y40" s="772" t="s">
        <v>96</v>
      </c>
      <c r="Z40" s="773" t="s">
        <v>96</v>
      </c>
      <c r="AA40" s="665"/>
      <c r="AB40" s="665"/>
      <c r="AC40" s="317"/>
      <c r="AD40" s="317"/>
      <c r="AE40" s="317"/>
      <c r="AF40" s="317"/>
      <c r="AG40" s="317"/>
      <c r="AH40" s="317"/>
      <c r="AI40" s="317"/>
      <c r="AJ40" s="317"/>
      <c r="AK40" s="317"/>
      <c r="AL40" s="665"/>
      <c r="AM40" s="317"/>
      <c r="AN40" s="317"/>
      <c r="AO40" s="317"/>
      <c r="AP40" s="317"/>
      <c r="AQ40" s="317"/>
      <c r="AR40" s="317"/>
      <c r="AS40" s="317"/>
      <c r="AT40" s="317"/>
      <c r="AU40" s="317"/>
      <c r="AV40" s="317"/>
      <c r="AW40" s="317"/>
      <c r="AX40" s="317"/>
      <c r="AY40" s="317"/>
      <c r="AZ40" s="317"/>
      <c r="BA40" s="317"/>
      <c r="BB40" s="317"/>
      <c r="BC40" s="317"/>
      <c r="BD40" s="317"/>
      <c r="BE40" s="317"/>
      <c r="BF40" s="317"/>
      <c r="BG40" s="317"/>
      <c r="BH40" s="317"/>
      <c r="BI40" s="317"/>
      <c r="BJ40" s="317"/>
      <c r="BK40" s="317"/>
      <c r="BL40" s="317"/>
      <c r="BM40" s="317"/>
      <c r="BN40" s="317"/>
      <c r="BO40" s="317"/>
      <c r="BP40" s="317"/>
      <c r="BQ40" s="317"/>
      <c r="BR40" s="317"/>
      <c r="BS40" s="317"/>
      <c r="BT40" s="317"/>
      <c r="BU40" s="317"/>
      <c r="BV40" s="317"/>
      <c r="BW40" s="753" t="s">
        <v>96</v>
      </c>
      <c r="BX40" s="753"/>
      <c r="BY40" s="753"/>
      <c r="BZ40" s="753" t="str">
        <f>IFERROR(__xludf.DUMMYFUNCTION("""COMPUTED_VALUE"""),"")</f>
        <v/>
      </c>
      <c r="CA40" s="753"/>
      <c r="CB40" s="753"/>
      <c r="CC40" s="753"/>
      <c r="CD40" s="753"/>
      <c r="CE40" s="753"/>
      <c r="CF40" s="753"/>
      <c r="CG40" s="753"/>
      <c r="CH40" s="753"/>
      <c r="CI40" s="753"/>
      <c r="CJ40" s="753"/>
      <c r="CK40" s="753"/>
    </row>
    <row r="41">
      <c r="A41" s="317"/>
      <c r="B41" s="317"/>
      <c r="C41" s="665"/>
      <c r="D41" s="317"/>
      <c r="E41" s="317"/>
      <c r="F41" s="317"/>
      <c r="G41" s="317"/>
      <c r="H41" s="317"/>
      <c r="I41" s="317"/>
      <c r="J41" s="317"/>
      <c r="K41" s="317"/>
      <c r="L41" s="317"/>
      <c r="M41" s="317"/>
      <c r="N41" s="317"/>
      <c r="O41" s="317"/>
      <c r="P41" s="665"/>
      <c r="Q41" s="665"/>
      <c r="R41" s="665"/>
      <c r="S41" s="665"/>
      <c r="T41" s="665"/>
      <c r="U41" s="665" t="s">
        <v>96</v>
      </c>
      <c r="V41" s="665" t="s">
        <v>96</v>
      </c>
      <c r="W41" s="665"/>
      <c r="X41" s="665" t="s">
        <v>96</v>
      </c>
      <c r="Y41" s="772" t="s">
        <v>96</v>
      </c>
      <c r="Z41" s="773" t="s">
        <v>96</v>
      </c>
      <c r="AA41" s="665"/>
      <c r="AB41" s="665"/>
      <c r="AC41" s="317"/>
      <c r="AD41" s="317"/>
      <c r="AE41" s="317"/>
      <c r="AF41" s="317"/>
      <c r="AG41" s="317"/>
      <c r="AH41" s="317"/>
      <c r="AI41" s="317"/>
      <c r="AJ41" s="317"/>
      <c r="AK41" s="317"/>
      <c r="AL41" s="665"/>
      <c r="AM41" s="317"/>
      <c r="AN41" s="317"/>
      <c r="AO41" s="317"/>
      <c r="AP41" s="317"/>
      <c r="AQ41" s="317"/>
      <c r="AR41" s="317"/>
      <c r="AS41" s="317"/>
      <c r="AT41" s="317"/>
      <c r="AU41" s="317"/>
      <c r="AV41" s="317"/>
      <c r="AW41" s="317"/>
      <c r="AX41" s="317"/>
      <c r="AY41" s="317"/>
      <c r="AZ41" s="317"/>
      <c r="BA41" s="317"/>
      <c r="BB41" s="317"/>
      <c r="BC41" s="317"/>
      <c r="BD41" s="317"/>
      <c r="BE41" s="317"/>
      <c r="BF41" s="317"/>
      <c r="BG41" s="317"/>
      <c r="BH41" s="317"/>
      <c r="BI41" s="317"/>
      <c r="BJ41" s="317"/>
      <c r="BK41" s="317"/>
      <c r="BL41" s="317"/>
      <c r="BM41" s="317"/>
      <c r="BN41" s="317"/>
      <c r="BO41" s="317"/>
      <c r="BP41" s="317"/>
      <c r="BQ41" s="317"/>
      <c r="BR41" s="317"/>
      <c r="BS41" s="317"/>
      <c r="BT41" s="317"/>
      <c r="BU41" s="317"/>
      <c r="BV41" s="317"/>
      <c r="BW41" s="753" t="s">
        <v>96</v>
      </c>
      <c r="BX41" s="753"/>
      <c r="BY41" s="753"/>
      <c r="BZ41" s="753" t="str">
        <f>IFERROR(__xludf.DUMMYFUNCTION("""COMPUTED_VALUE"""),"")</f>
        <v/>
      </c>
      <c r="CA41" s="753"/>
      <c r="CB41" s="753"/>
      <c r="CC41" s="753"/>
      <c r="CD41" s="753"/>
      <c r="CE41" s="753"/>
      <c r="CF41" s="753"/>
      <c r="CG41" s="753"/>
      <c r="CH41" s="753"/>
      <c r="CI41" s="753"/>
      <c r="CJ41" s="753"/>
      <c r="CK41" s="753"/>
    </row>
    <row r="42">
      <c r="A42" s="317"/>
      <c r="B42" s="317"/>
      <c r="C42" s="665"/>
      <c r="D42" s="317"/>
      <c r="E42" s="317"/>
      <c r="F42" s="317"/>
      <c r="G42" s="317"/>
      <c r="H42" s="317"/>
      <c r="I42" s="317"/>
      <c r="J42" s="317"/>
      <c r="K42" s="317"/>
      <c r="L42" s="317"/>
      <c r="M42" s="317"/>
      <c r="N42" s="317"/>
      <c r="O42" s="317"/>
      <c r="P42" s="665"/>
      <c r="Q42" s="665"/>
      <c r="R42" s="665"/>
      <c r="S42" s="665"/>
      <c r="T42" s="665"/>
      <c r="U42" s="665" t="s">
        <v>96</v>
      </c>
      <c r="V42" s="665" t="s">
        <v>96</v>
      </c>
      <c r="W42" s="665"/>
      <c r="X42" s="665" t="s">
        <v>96</v>
      </c>
      <c r="Y42" s="772" t="s">
        <v>96</v>
      </c>
      <c r="Z42" s="773" t="s">
        <v>96</v>
      </c>
      <c r="AA42" s="665"/>
      <c r="AB42" s="665"/>
      <c r="AC42" s="317"/>
      <c r="AD42" s="317"/>
      <c r="AE42" s="317"/>
      <c r="AF42" s="317"/>
      <c r="AG42" s="317"/>
      <c r="AH42" s="317"/>
      <c r="AI42" s="317"/>
      <c r="AJ42" s="317"/>
      <c r="AK42" s="317"/>
      <c r="AL42" s="665"/>
      <c r="AM42" s="317"/>
      <c r="AN42" s="317"/>
      <c r="AO42" s="317"/>
      <c r="AP42" s="317"/>
      <c r="AQ42" s="317"/>
      <c r="AR42" s="317"/>
      <c r="AS42" s="317"/>
      <c r="AT42" s="317"/>
      <c r="AU42" s="317"/>
      <c r="AV42" s="317"/>
      <c r="AW42" s="317"/>
      <c r="AX42" s="317"/>
      <c r="AY42" s="317"/>
      <c r="AZ42" s="317"/>
      <c r="BA42" s="317"/>
      <c r="BB42" s="317"/>
      <c r="BC42" s="317"/>
      <c r="BD42" s="317"/>
      <c r="BE42" s="317"/>
      <c r="BF42" s="317"/>
      <c r="BG42" s="317"/>
      <c r="BH42" s="317"/>
      <c r="BI42" s="317"/>
      <c r="BJ42" s="317"/>
      <c r="BK42" s="317"/>
      <c r="BL42" s="317"/>
      <c r="BM42" s="317"/>
      <c r="BN42" s="317"/>
      <c r="BO42" s="317"/>
      <c r="BP42" s="317"/>
      <c r="BQ42" s="317"/>
      <c r="BR42" s="317"/>
      <c r="BS42" s="317"/>
      <c r="BT42" s="317"/>
      <c r="BU42" s="317"/>
      <c r="BV42" s="317"/>
      <c r="BW42" s="753" t="s">
        <v>96</v>
      </c>
      <c r="BX42" s="753"/>
      <c r="BY42" s="753"/>
      <c r="BZ42" s="753" t="str">
        <f>IFERROR(__xludf.DUMMYFUNCTION("""COMPUTED_VALUE"""),"")</f>
        <v/>
      </c>
      <c r="CA42" s="753"/>
      <c r="CB42" s="753"/>
      <c r="CC42" s="753"/>
      <c r="CD42" s="753"/>
      <c r="CE42" s="753"/>
      <c r="CF42" s="753"/>
      <c r="CG42" s="753"/>
      <c r="CH42" s="753"/>
      <c r="CI42" s="753"/>
      <c r="CJ42" s="753"/>
      <c r="CK42" s="753"/>
    </row>
    <row r="43">
      <c r="A43" s="317"/>
      <c r="B43" s="317"/>
      <c r="C43" s="665"/>
      <c r="D43" s="317"/>
      <c r="E43" s="317"/>
      <c r="F43" s="317"/>
      <c r="G43" s="317"/>
      <c r="H43" s="317"/>
      <c r="I43" s="317"/>
      <c r="J43" s="317"/>
      <c r="K43" s="317"/>
      <c r="L43" s="317"/>
      <c r="M43" s="317"/>
      <c r="N43" s="317"/>
      <c r="O43" s="317"/>
      <c r="P43" s="665"/>
      <c r="Q43" s="665"/>
      <c r="R43" s="665"/>
      <c r="S43" s="665"/>
      <c r="T43" s="665"/>
      <c r="U43" s="665" t="s">
        <v>96</v>
      </c>
      <c r="V43" s="665" t="s">
        <v>96</v>
      </c>
      <c r="W43" s="665"/>
      <c r="X43" s="665" t="s">
        <v>96</v>
      </c>
      <c r="Y43" s="772" t="s">
        <v>96</v>
      </c>
      <c r="Z43" s="773" t="s">
        <v>96</v>
      </c>
      <c r="AA43" s="665"/>
      <c r="AB43" s="665"/>
      <c r="AC43" s="317"/>
      <c r="AD43" s="317"/>
      <c r="AE43" s="317"/>
      <c r="AF43" s="317"/>
      <c r="AG43" s="317"/>
      <c r="AH43" s="317"/>
      <c r="AI43" s="317"/>
      <c r="AJ43" s="317"/>
      <c r="AK43" s="317"/>
      <c r="AL43" s="665"/>
      <c r="AM43" s="317"/>
      <c r="AN43" s="317"/>
      <c r="AO43" s="317"/>
      <c r="AP43" s="317"/>
      <c r="AQ43" s="317"/>
      <c r="AR43" s="317"/>
      <c r="AS43" s="317"/>
      <c r="AT43" s="317"/>
      <c r="AU43" s="317"/>
      <c r="AV43" s="317"/>
      <c r="AW43" s="317"/>
      <c r="AX43" s="317"/>
      <c r="AY43" s="317"/>
      <c r="AZ43" s="317"/>
      <c r="BA43" s="317"/>
      <c r="BB43" s="317"/>
      <c r="BC43" s="317"/>
      <c r="BD43" s="317"/>
      <c r="BE43" s="317"/>
      <c r="BF43" s="317"/>
      <c r="BG43" s="317"/>
      <c r="BH43" s="317"/>
      <c r="BI43" s="317"/>
      <c r="BJ43" s="317"/>
      <c r="BK43" s="317"/>
      <c r="BL43" s="317"/>
      <c r="BM43" s="317"/>
      <c r="BN43" s="317"/>
      <c r="BO43" s="317"/>
      <c r="BP43" s="317"/>
      <c r="BQ43" s="317"/>
      <c r="BR43" s="317"/>
      <c r="BS43" s="317"/>
      <c r="BT43" s="317"/>
      <c r="BU43" s="317"/>
      <c r="BV43" s="317"/>
      <c r="BW43" s="753" t="s">
        <v>96</v>
      </c>
      <c r="BX43" s="753"/>
      <c r="BY43" s="753"/>
      <c r="BZ43" s="753" t="str">
        <f>IFERROR(__xludf.DUMMYFUNCTION("""COMPUTED_VALUE"""),"")</f>
        <v/>
      </c>
      <c r="CA43" s="753"/>
      <c r="CB43" s="753"/>
      <c r="CC43" s="753"/>
      <c r="CD43" s="753"/>
      <c r="CE43" s="753"/>
      <c r="CF43" s="753"/>
      <c r="CG43" s="753"/>
      <c r="CH43" s="753"/>
      <c r="CI43" s="753"/>
      <c r="CJ43" s="753"/>
      <c r="CK43" s="753"/>
    </row>
    <row r="44">
      <c r="A44" s="317"/>
      <c r="B44" s="317"/>
      <c r="C44" s="665"/>
      <c r="D44" s="317"/>
      <c r="E44" s="317"/>
      <c r="F44" s="317"/>
      <c r="G44" s="317"/>
      <c r="H44" s="317"/>
      <c r="I44" s="317"/>
      <c r="J44" s="317"/>
      <c r="K44" s="317"/>
      <c r="L44" s="317"/>
      <c r="M44" s="317"/>
      <c r="N44" s="317"/>
      <c r="O44" s="317"/>
      <c r="P44" s="665"/>
      <c r="Q44" s="665"/>
      <c r="R44" s="665"/>
      <c r="S44" s="665"/>
      <c r="T44" s="665"/>
      <c r="U44" s="665" t="s">
        <v>96</v>
      </c>
      <c r="V44" s="665" t="s">
        <v>96</v>
      </c>
      <c r="W44" s="665"/>
      <c r="X44" s="665" t="s">
        <v>96</v>
      </c>
      <c r="Y44" s="772" t="s">
        <v>96</v>
      </c>
      <c r="Z44" s="773" t="s">
        <v>96</v>
      </c>
      <c r="AA44" s="665"/>
      <c r="AB44" s="665"/>
      <c r="AC44" s="317"/>
      <c r="AD44" s="317"/>
      <c r="AE44" s="317"/>
      <c r="AF44" s="317"/>
      <c r="AG44" s="317"/>
      <c r="AH44" s="317"/>
      <c r="AI44" s="317"/>
      <c r="AJ44" s="317"/>
      <c r="AK44" s="317"/>
      <c r="AL44" s="665"/>
      <c r="AM44" s="317"/>
      <c r="AN44" s="317"/>
      <c r="AO44" s="317"/>
      <c r="AP44" s="317"/>
      <c r="AQ44" s="317"/>
      <c r="AR44" s="317"/>
      <c r="AS44" s="317"/>
      <c r="AT44" s="317"/>
      <c r="AU44" s="317"/>
      <c r="AV44" s="317"/>
      <c r="AW44" s="317"/>
      <c r="AX44" s="317"/>
      <c r="AY44" s="317"/>
      <c r="AZ44" s="317"/>
      <c r="BA44" s="317"/>
      <c r="BB44" s="317"/>
      <c r="BC44" s="317"/>
      <c r="BD44" s="317"/>
      <c r="BE44" s="317"/>
      <c r="BF44" s="317"/>
      <c r="BG44" s="317"/>
      <c r="BH44" s="317"/>
      <c r="BI44" s="317"/>
      <c r="BJ44" s="317"/>
      <c r="BK44" s="317"/>
      <c r="BL44" s="317"/>
      <c r="BM44" s="317"/>
      <c r="BN44" s="317"/>
      <c r="BO44" s="317"/>
      <c r="BP44" s="317"/>
      <c r="BQ44" s="317"/>
      <c r="BR44" s="317"/>
      <c r="BS44" s="317"/>
      <c r="BT44" s="317"/>
      <c r="BU44" s="317"/>
      <c r="BV44" s="317"/>
      <c r="BW44" s="753" t="s">
        <v>96</v>
      </c>
      <c r="BX44" s="753"/>
      <c r="BY44" s="753"/>
      <c r="BZ44" s="753" t="str">
        <f>IFERROR(__xludf.DUMMYFUNCTION("""COMPUTED_VALUE"""),"")</f>
        <v/>
      </c>
      <c r="CA44" s="753"/>
      <c r="CB44" s="753"/>
      <c r="CC44" s="753"/>
      <c r="CD44" s="753"/>
      <c r="CE44" s="753"/>
      <c r="CF44" s="753"/>
      <c r="CG44" s="753"/>
      <c r="CH44" s="753"/>
      <c r="CI44" s="753"/>
      <c r="CJ44" s="753"/>
      <c r="CK44" s="753"/>
    </row>
    <row r="45">
      <c r="A45" s="317"/>
      <c r="B45" s="317"/>
      <c r="C45" s="665"/>
      <c r="D45" s="317"/>
      <c r="E45" s="317"/>
      <c r="F45" s="317"/>
      <c r="G45" s="317"/>
      <c r="H45" s="317"/>
      <c r="I45" s="317"/>
      <c r="J45" s="317"/>
      <c r="K45" s="317"/>
      <c r="L45" s="317"/>
      <c r="M45" s="317"/>
      <c r="N45" s="317"/>
      <c r="O45" s="317"/>
      <c r="P45" s="665"/>
      <c r="Q45" s="665"/>
      <c r="R45" s="665"/>
      <c r="S45" s="665"/>
      <c r="T45" s="665"/>
      <c r="U45" s="665" t="s">
        <v>96</v>
      </c>
      <c r="V45" s="665" t="s">
        <v>96</v>
      </c>
      <c r="W45" s="665"/>
      <c r="X45" s="665" t="s">
        <v>96</v>
      </c>
      <c r="Y45" s="772" t="s">
        <v>96</v>
      </c>
      <c r="Z45" s="773" t="s">
        <v>96</v>
      </c>
      <c r="AA45" s="665"/>
      <c r="AB45" s="665"/>
      <c r="AC45" s="317"/>
      <c r="AD45" s="317"/>
      <c r="AE45" s="317"/>
      <c r="AF45" s="317"/>
      <c r="AG45" s="317"/>
      <c r="AH45" s="317"/>
      <c r="AI45" s="317"/>
      <c r="AJ45" s="317"/>
      <c r="AK45" s="317"/>
      <c r="AL45" s="665"/>
      <c r="AM45" s="317"/>
      <c r="AN45" s="317"/>
      <c r="AO45" s="317"/>
      <c r="AP45" s="317"/>
      <c r="AQ45" s="317"/>
      <c r="AR45" s="317"/>
      <c r="AS45" s="317"/>
      <c r="AT45" s="317"/>
      <c r="AU45" s="317"/>
      <c r="AV45" s="317"/>
      <c r="AW45" s="317"/>
      <c r="AX45" s="317"/>
      <c r="AY45" s="317"/>
      <c r="AZ45" s="317"/>
      <c r="BA45" s="317"/>
      <c r="BB45" s="317"/>
      <c r="BC45" s="317"/>
      <c r="BD45" s="317"/>
      <c r="BE45" s="317"/>
      <c r="BF45" s="317"/>
      <c r="BG45" s="317"/>
      <c r="BH45" s="317"/>
      <c r="BI45" s="317"/>
      <c r="BJ45" s="317"/>
      <c r="BK45" s="317"/>
      <c r="BL45" s="317"/>
      <c r="BM45" s="317"/>
      <c r="BN45" s="317"/>
      <c r="BO45" s="317"/>
      <c r="BP45" s="317"/>
      <c r="BQ45" s="317"/>
      <c r="BR45" s="317"/>
      <c r="BS45" s="317"/>
      <c r="BT45" s="317"/>
      <c r="BU45" s="317"/>
      <c r="BV45" s="317"/>
      <c r="BW45" s="753" t="s">
        <v>96</v>
      </c>
      <c r="BX45" s="753"/>
      <c r="BY45" s="753"/>
      <c r="BZ45" s="753" t="str">
        <f>IFERROR(__xludf.DUMMYFUNCTION("""COMPUTED_VALUE"""),"")</f>
        <v/>
      </c>
      <c r="CA45" s="753"/>
      <c r="CB45" s="753"/>
      <c r="CC45" s="753"/>
      <c r="CD45" s="753"/>
      <c r="CE45" s="753"/>
      <c r="CF45" s="753"/>
      <c r="CG45" s="753"/>
      <c r="CH45" s="753"/>
      <c r="CI45" s="753"/>
      <c r="CJ45" s="753"/>
      <c r="CK45" s="753"/>
    </row>
    <row r="46">
      <c r="A46" s="317"/>
      <c r="B46" s="317"/>
      <c r="C46" s="665"/>
      <c r="D46" s="317"/>
      <c r="E46" s="317"/>
      <c r="F46" s="317"/>
      <c r="G46" s="317"/>
      <c r="H46" s="317"/>
      <c r="I46" s="317"/>
      <c r="J46" s="317"/>
      <c r="K46" s="317"/>
      <c r="L46" s="317"/>
      <c r="M46" s="317"/>
      <c r="N46" s="317"/>
      <c r="O46" s="317"/>
      <c r="P46" s="665"/>
      <c r="Q46" s="665"/>
      <c r="R46" s="665"/>
      <c r="S46" s="665"/>
      <c r="T46" s="665"/>
      <c r="U46" s="665" t="s">
        <v>96</v>
      </c>
      <c r="V46" s="665" t="s">
        <v>96</v>
      </c>
      <c r="W46" s="665"/>
      <c r="X46" s="665" t="s">
        <v>96</v>
      </c>
      <c r="Y46" s="772" t="s">
        <v>96</v>
      </c>
      <c r="Z46" s="773" t="s">
        <v>96</v>
      </c>
      <c r="AA46" s="665"/>
      <c r="AB46" s="665"/>
      <c r="AC46" s="317"/>
      <c r="AD46" s="317"/>
      <c r="AE46" s="317"/>
      <c r="AF46" s="317"/>
      <c r="AG46" s="317"/>
      <c r="AH46" s="317"/>
      <c r="AI46" s="317"/>
      <c r="AJ46" s="317"/>
      <c r="AK46" s="317"/>
      <c r="AL46" s="665"/>
      <c r="AM46" s="317"/>
      <c r="AN46" s="317"/>
      <c r="AO46" s="317"/>
      <c r="AP46" s="317"/>
      <c r="AQ46" s="317"/>
      <c r="AR46" s="317"/>
      <c r="AS46" s="317"/>
      <c r="AT46" s="317"/>
      <c r="AU46" s="317"/>
      <c r="AV46" s="317"/>
      <c r="AW46" s="317"/>
      <c r="AX46" s="317"/>
      <c r="AY46" s="317"/>
      <c r="AZ46" s="317"/>
      <c r="BA46" s="317"/>
      <c r="BB46" s="317"/>
      <c r="BC46" s="317"/>
      <c r="BD46" s="317"/>
      <c r="BE46" s="317"/>
      <c r="BF46" s="317"/>
      <c r="BG46" s="317"/>
      <c r="BH46" s="317"/>
      <c r="BI46" s="317"/>
      <c r="BJ46" s="317"/>
      <c r="BK46" s="317"/>
      <c r="BL46" s="317"/>
      <c r="BM46" s="317"/>
      <c r="BN46" s="317"/>
      <c r="BO46" s="317"/>
      <c r="BP46" s="317"/>
      <c r="BQ46" s="317"/>
      <c r="BR46" s="317"/>
      <c r="BS46" s="317"/>
      <c r="BT46" s="317"/>
      <c r="BU46" s="317"/>
      <c r="BV46" s="317"/>
      <c r="BW46" s="753" t="s">
        <v>96</v>
      </c>
      <c r="BX46" s="753"/>
      <c r="BY46" s="753"/>
      <c r="BZ46" s="753" t="str">
        <f>IFERROR(__xludf.DUMMYFUNCTION("""COMPUTED_VALUE"""),"")</f>
        <v/>
      </c>
      <c r="CA46" s="753"/>
      <c r="CB46" s="753"/>
      <c r="CC46" s="753"/>
      <c r="CD46" s="753"/>
      <c r="CE46" s="753"/>
      <c r="CF46" s="753"/>
      <c r="CG46" s="753"/>
      <c r="CH46" s="753"/>
      <c r="CI46" s="753"/>
      <c r="CJ46" s="753"/>
      <c r="CK46" s="753"/>
    </row>
    <row r="47">
      <c r="A47" s="317"/>
      <c r="B47" s="317"/>
      <c r="C47" s="665"/>
      <c r="D47" s="317"/>
      <c r="E47" s="317"/>
      <c r="F47" s="317"/>
      <c r="G47" s="317"/>
      <c r="H47" s="317"/>
      <c r="I47" s="317"/>
      <c r="J47" s="317"/>
      <c r="K47" s="317"/>
      <c r="L47" s="317"/>
      <c r="M47" s="317"/>
      <c r="N47" s="317"/>
      <c r="O47" s="317"/>
      <c r="P47" s="665"/>
      <c r="Q47" s="665"/>
      <c r="R47" s="665"/>
      <c r="S47" s="665"/>
      <c r="T47" s="665"/>
      <c r="U47" s="665" t="s">
        <v>96</v>
      </c>
      <c r="V47" s="665" t="s">
        <v>96</v>
      </c>
      <c r="W47" s="665"/>
      <c r="X47" s="665" t="s">
        <v>96</v>
      </c>
      <c r="Y47" s="772" t="s">
        <v>96</v>
      </c>
      <c r="Z47" s="773" t="s">
        <v>96</v>
      </c>
      <c r="AA47" s="665"/>
      <c r="AB47" s="665"/>
      <c r="AC47" s="317"/>
      <c r="AD47" s="317"/>
      <c r="AE47" s="317"/>
      <c r="AF47" s="317"/>
      <c r="AG47" s="317"/>
      <c r="AH47" s="317"/>
      <c r="AI47" s="317"/>
      <c r="AJ47" s="317"/>
      <c r="AK47" s="317"/>
      <c r="AL47" s="665"/>
      <c r="AM47" s="317"/>
      <c r="AN47" s="317"/>
      <c r="AO47" s="317"/>
      <c r="AP47" s="317"/>
      <c r="AQ47" s="317"/>
      <c r="AR47" s="317"/>
      <c r="AS47" s="317"/>
      <c r="AT47" s="317"/>
      <c r="AU47" s="317"/>
      <c r="AV47" s="317"/>
      <c r="AW47" s="317"/>
      <c r="AX47" s="317"/>
      <c r="AY47" s="317"/>
      <c r="AZ47" s="317"/>
      <c r="BA47" s="317"/>
      <c r="BB47" s="317"/>
      <c r="BC47" s="317"/>
      <c r="BD47" s="317"/>
      <c r="BE47" s="317"/>
      <c r="BF47" s="317"/>
      <c r="BG47" s="317"/>
      <c r="BH47" s="317"/>
      <c r="BI47" s="317"/>
      <c r="BJ47" s="317"/>
      <c r="BK47" s="317"/>
      <c r="BL47" s="317"/>
      <c r="BM47" s="317"/>
      <c r="BN47" s="317"/>
      <c r="BO47" s="317"/>
      <c r="BP47" s="317"/>
      <c r="BQ47" s="317"/>
      <c r="BR47" s="317"/>
      <c r="BS47" s="317"/>
      <c r="BT47" s="317"/>
      <c r="BU47" s="317"/>
      <c r="BV47" s="317"/>
      <c r="BW47" s="753" t="s">
        <v>96</v>
      </c>
      <c r="BX47" s="753"/>
      <c r="BY47" s="753"/>
      <c r="BZ47" s="753" t="str">
        <f>IFERROR(__xludf.DUMMYFUNCTION("""COMPUTED_VALUE"""),"")</f>
        <v/>
      </c>
      <c r="CA47" s="753"/>
      <c r="CB47" s="753"/>
      <c r="CC47" s="753"/>
      <c r="CD47" s="753"/>
      <c r="CE47" s="753"/>
      <c r="CF47" s="753"/>
      <c r="CG47" s="753"/>
      <c r="CH47" s="753"/>
      <c r="CI47" s="753"/>
      <c r="CJ47" s="753"/>
      <c r="CK47" s="753"/>
    </row>
    <row r="48">
      <c r="A48" s="317"/>
      <c r="B48" s="317"/>
      <c r="C48" s="665"/>
      <c r="D48" s="317"/>
      <c r="E48" s="317"/>
      <c r="F48" s="317"/>
      <c r="G48" s="317"/>
      <c r="H48" s="317"/>
      <c r="I48" s="317"/>
      <c r="J48" s="317"/>
      <c r="K48" s="317"/>
      <c r="L48" s="317"/>
      <c r="M48" s="317"/>
      <c r="N48" s="317"/>
      <c r="O48" s="317"/>
      <c r="P48" s="665"/>
      <c r="Q48" s="665"/>
      <c r="R48" s="665"/>
      <c r="S48" s="665"/>
      <c r="T48" s="665"/>
      <c r="U48" s="665" t="s">
        <v>96</v>
      </c>
      <c r="V48" s="665" t="s">
        <v>96</v>
      </c>
      <c r="W48" s="665"/>
      <c r="X48" s="665" t="s">
        <v>96</v>
      </c>
      <c r="Y48" s="772" t="s">
        <v>96</v>
      </c>
      <c r="Z48" s="773" t="s">
        <v>96</v>
      </c>
      <c r="AA48" s="665"/>
      <c r="AB48" s="665"/>
      <c r="AC48" s="317"/>
      <c r="AD48" s="317"/>
      <c r="AE48" s="317"/>
      <c r="AF48" s="317"/>
      <c r="AG48" s="317"/>
      <c r="AH48" s="317"/>
      <c r="AI48" s="317"/>
      <c r="AJ48" s="317"/>
      <c r="AK48" s="317"/>
      <c r="AL48" s="665"/>
      <c r="AM48" s="317"/>
      <c r="AN48" s="317"/>
      <c r="AO48" s="317"/>
      <c r="AP48" s="317"/>
      <c r="AQ48" s="317"/>
      <c r="AR48" s="317"/>
      <c r="AS48" s="317"/>
      <c r="AT48" s="317"/>
      <c r="AU48" s="317"/>
      <c r="AV48" s="317"/>
      <c r="AW48" s="317"/>
      <c r="AX48" s="317"/>
      <c r="AY48" s="317"/>
      <c r="AZ48" s="317"/>
      <c r="BA48" s="317"/>
      <c r="BB48" s="317"/>
      <c r="BC48" s="317"/>
      <c r="BD48" s="317"/>
      <c r="BE48" s="317"/>
      <c r="BF48" s="317"/>
      <c r="BG48" s="317"/>
      <c r="BH48" s="317"/>
      <c r="BI48" s="317"/>
      <c r="BJ48" s="317"/>
      <c r="BK48" s="317"/>
      <c r="BL48" s="317"/>
      <c r="BM48" s="317"/>
      <c r="BN48" s="317"/>
      <c r="BO48" s="317"/>
      <c r="BP48" s="317"/>
      <c r="BQ48" s="317"/>
      <c r="BR48" s="317"/>
      <c r="BS48" s="317"/>
      <c r="BT48" s="317"/>
      <c r="BU48" s="317"/>
      <c r="BV48" s="317"/>
      <c r="BW48" s="753" t="s">
        <v>96</v>
      </c>
      <c r="BX48" s="753"/>
      <c r="BY48" s="753"/>
      <c r="BZ48" s="753" t="str">
        <f>IFERROR(__xludf.DUMMYFUNCTION("""COMPUTED_VALUE"""),"")</f>
        <v/>
      </c>
      <c r="CA48" s="753"/>
      <c r="CB48" s="753"/>
      <c r="CC48" s="753"/>
      <c r="CD48" s="753"/>
      <c r="CE48" s="753"/>
      <c r="CF48" s="753"/>
      <c r="CG48" s="753"/>
      <c r="CH48" s="753"/>
      <c r="CI48" s="753"/>
      <c r="CJ48" s="753"/>
      <c r="CK48" s="753"/>
    </row>
    <row r="49">
      <c r="A49" s="317"/>
      <c r="B49" s="317"/>
      <c r="C49" s="665"/>
      <c r="D49" s="317"/>
      <c r="E49" s="317"/>
      <c r="F49" s="317"/>
      <c r="G49" s="317"/>
      <c r="H49" s="317"/>
      <c r="I49" s="317"/>
      <c r="J49" s="317"/>
      <c r="K49" s="317"/>
      <c r="L49" s="317"/>
      <c r="M49" s="317"/>
      <c r="N49" s="317"/>
      <c r="O49" s="317"/>
      <c r="P49" s="665"/>
      <c r="Q49" s="665"/>
      <c r="R49" s="665"/>
      <c r="S49" s="665"/>
      <c r="T49" s="665"/>
      <c r="U49" s="665" t="s">
        <v>96</v>
      </c>
      <c r="V49" s="665" t="s">
        <v>96</v>
      </c>
      <c r="W49" s="665"/>
      <c r="X49" s="665" t="s">
        <v>96</v>
      </c>
      <c r="Y49" s="772" t="s">
        <v>96</v>
      </c>
      <c r="Z49" s="773" t="s">
        <v>96</v>
      </c>
      <c r="AA49" s="665"/>
      <c r="AB49" s="665"/>
      <c r="AC49" s="317"/>
      <c r="AD49" s="317"/>
      <c r="AE49" s="317"/>
      <c r="AF49" s="317"/>
      <c r="AG49" s="317"/>
      <c r="AH49" s="317"/>
      <c r="AI49" s="317"/>
      <c r="AJ49" s="317"/>
      <c r="AK49" s="317"/>
      <c r="AL49" s="665"/>
      <c r="AM49" s="317"/>
      <c r="AN49" s="317"/>
      <c r="AO49" s="317"/>
      <c r="AP49" s="317"/>
      <c r="AQ49" s="317"/>
      <c r="AR49" s="317"/>
      <c r="AS49" s="317"/>
      <c r="AT49" s="317"/>
      <c r="AU49" s="317"/>
      <c r="AV49" s="317"/>
      <c r="AW49" s="317"/>
      <c r="AX49" s="317"/>
      <c r="AY49" s="317"/>
      <c r="AZ49" s="317"/>
      <c r="BA49" s="317"/>
      <c r="BB49" s="317"/>
      <c r="BC49" s="317"/>
      <c r="BD49" s="317"/>
      <c r="BE49" s="317"/>
      <c r="BF49" s="317"/>
      <c r="BG49" s="317"/>
      <c r="BH49" s="317"/>
      <c r="BI49" s="317"/>
      <c r="BJ49" s="317"/>
      <c r="BK49" s="317"/>
      <c r="BL49" s="317"/>
      <c r="BM49" s="317"/>
      <c r="BN49" s="317"/>
      <c r="BO49" s="317"/>
      <c r="BP49" s="317"/>
      <c r="BQ49" s="317"/>
      <c r="BR49" s="317"/>
      <c r="BS49" s="317"/>
      <c r="BT49" s="317"/>
      <c r="BU49" s="317"/>
      <c r="BV49" s="317"/>
      <c r="BW49" s="753" t="s">
        <v>96</v>
      </c>
      <c r="BX49" s="753"/>
      <c r="BY49" s="753"/>
      <c r="BZ49" s="753" t="str">
        <f>IFERROR(__xludf.DUMMYFUNCTION("""COMPUTED_VALUE"""),"")</f>
        <v/>
      </c>
      <c r="CA49" s="753"/>
      <c r="CB49" s="753"/>
      <c r="CC49" s="753"/>
      <c r="CD49" s="753"/>
      <c r="CE49" s="753"/>
      <c r="CF49" s="753"/>
      <c r="CG49" s="753"/>
      <c r="CH49" s="753"/>
      <c r="CI49" s="753"/>
      <c r="CJ49" s="753"/>
      <c r="CK49" s="753"/>
    </row>
    <row r="50">
      <c r="A50" s="317"/>
      <c r="B50" s="317"/>
      <c r="C50" s="665"/>
      <c r="D50" s="317"/>
      <c r="E50" s="317"/>
      <c r="F50" s="317"/>
      <c r="G50" s="317"/>
      <c r="H50" s="317"/>
      <c r="I50" s="317"/>
      <c r="J50" s="317"/>
      <c r="K50" s="317"/>
      <c r="L50" s="317"/>
      <c r="M50" s="317"/>
      <c r="N50" s="317"/>
      <c r="O50" s="317"/>
      <c r="P50" s="317"/>
      <c r="Q50" s="317"/>
      <c r="R50" s="317"/>
      <c r="S50" s="317"/>
      <c r="T50" s="317"/>
      <c r="U50" s="317" t="s">
        <v>96</v>
      </c>
      <c r="V50" s="317" t="s">
        <v>96</v>
      </c>
      <c r="W50" s="317"/>
      <c r="X50" s="317" t="s">
        <v>96</v>
      </c>
      <c r="Y50" s="772" t="s">
        <v>96</v>
      </c>
      <c r="Z50" s="773" t="s">
        <v>96</v>
      </c>
      <c r="AA50" s="317"/>
      <c r="AB50" s="317"/>
      <c r="AC50" s="317"/>
      <c r="AD50" s="317"/>
      <c r="AE50" s="317"/>
      <c r="AF50" s="317"/>
      <c r="AG50" s="317"/>
      <c r="AH50" s="317"/>
      <c r="AI50" s="317"/>
      <c r="AJ50" s="317"/>
      <c r="AK50" s="317"/>
      <c r="AL50" s="665"/>
      <c r="AM50" s="317"/>
      <c r="AN50" s="317"/>
      <c r="AO50" s="317"/>
      <c r="AP50" s="317"/>
      <c r="AQ50" s="317"/>
      <c r="AR50" s="317"/>
      <c r="AS50" s="317"/>
      <c r="AT50" s="317"/>
      <c r="AU50" s="317"/>
      <c r="AV50" s="317"/>
      <c r="AW50" s="317"/>
      <c r="AX50" s="317"/>
      <c r="AY50" s="317"/>
      <c r="AZ50" s="317"/>
      <c r="BA50" s="317"/>
      <c r="BB50" s="317"/>
      <c r="BC50" s="317"/>
      <c r="BD50" s="317"/>
      <c r="BE50" s="317"/>
      <c r="BF50" s="317"/>
      <c r="BG50" s="317"/>
      <c r="BH50" s="317"/>
      <c r="BI50" s="317"/>
      <c r="BJ50" s="317"/>
      <c r="BK50" s="317"/>
      <c r="BL50" s="317"/>
      <c r="BM50" s="317"/>
      <c r="BN50" s="317"/>
      <c r="BO50" s="317"/>
      <c r="BP50" s="317"/>
      <c r="BQ50" s="317"/>
      <c r="BR50" s="317"/>
      <c r="BS50" s="317"/>
      <c r="BT50" s="317"/>
      <c r="BU50" s="317"/>
      <c r="BV50" s="317"/>
      <c r="BW50" s="753" t="s">
        <v>96</v>
      </c>
      <c r="BX50" s="753"/>
      <c r="BY50" s="753"/>
      <c r="BZ50" s="753" t="str">
        <f>IFERROR(__xludf.DUMMYFUNCTION("""COMPUTED_VALUE"""),"")</f>
        <v/>
      </c>
      <c r="CA50" s="753"/>
      <c r="CB50" s="753"/>
      <c r="CC50" s="753"/>
      <c r="CD50" s="753"/>
      <c r="CE50" s="753"/>
      <c r="CF50" s="753"/>
      <c r="CG50" s="753"/>
      <c r="CH50" s="753"/>
      <c r="CI50" s="753"/>
      <c r="CJ50" s="753"/>
      <c r="CK50" s="753"/>
    </row>
    <row r="51">
      <c r="A51" s="317"/>
      <c r="B51" s="317"/>
      <c r="C51" s="665"/>
      <c r="D51" s="317"/>
      <c r="E51" s="317"/>
      <c r="F51" s="317"/>
      <c r="G51" s="317"/>
      <c r="H51" s="317"/>
      <c r="I51" s="317"/>
      <c r="J51" s="317"/>
      <c r="K51" s="317"/>
      <c r="L51" s="317"/>
      <c r="M51" s="317"/>
      <c r="N51" s="317"/>
      <c r="O51" s="317"/>
      <c r="P51" s="665"/>
      <c r="Q51" s="665"/>
      <c r="R51" s="665"/>
      <c r="S51" s="665"/>
      <c r="T51" s="665"/>
      <c r="U51" s="665" t="s">
        <v>96</v>
      </c>
      <c r="V51" s="665" t="s">
        <v>96</v>
      </c>
      <c r="W51" s="665"/>
      <c r="X51" s="665" t="s">
        <v>96</v>
      </c>
      <c r="Y51" s="772" t="s">
        <v>96</v>
      </c>
      <c r="Z51" s="773" t="s">
        <v>96</v>
      </c>
      <c r="AA51" s="665"/>
      <c r="AB51" s="665"/>
      <c r="AC51" s="317"/>
      <c r="AD51" s="317"/>
      <c r="AE51" s="317"/>
      <c r="AF51" s="317"/>
      <c r="AG51" s="317"/>
      <c r="AH51" s="317"/>
      <c r="AI51" s="317"/>
      <c r="AJ51" s="317"/>
      <c r="AK51" s="317"/>
      <c r="AL51" s="665"/>
      <c r="AM51" s="317"/>
      <c r="AN51" s="317"/>
      <c r="AO51" s="317"/>
      <c r="AP51" s="317"/>
      <c r="AQ51" s="317"/>
      <c r="AR51" s="317"/>
      <c r="AS51" s="317"/>
      <c r="AT51" s="317"/>
      <c r="AU51" s="317"/>
      <c r="AV51" s="317"/>
      <c r="AW51" s="317"/>
      <c r="AX51" s="317"/>
      <c r="AY51" s="317"/>
      <c r="AZ51" s="317"/>
      <c r="BA51" s="317"/>
      <c r="BB51" s="317"/>
      <c r="BC51" s="317"/>
      <c r="BD51" s="317"/>
      <c r="BE51" s="317"/>
      <c r="BF51" s="317"/>
      <c r="BG51" s="317"/>
      <c r="BH51" s="317"/>
      <c r="BI51" s="317"/>
      <c r="BJ51" s="317"/>
      <c r="BK51" s="317"/>
      <c r="BL51" s="317"/>
      <c r="BM51" s="317"/>
      <c r="BN51" s="317"/>
      <c r="BO51" s="317"/>
      <c r="BP51" s="317"/>
      <c r="BQ51" s="317"/>
      <c r="BR51" s="317"/>
      <c r="BS51" s="317"/>
      <c r="BT51" s="317"/>
      <c r="BU51" s="317"/>
      <c r="BV51" s="317"/>
      <c r="BW51" s="753" t="s">
        <v>96</v>
      </c>
      <c r="BX51" s="753"/>
      <c r="BY51" s="753"/>
      <c r="BZ51" s="753" t="str">
        <f>IFERROR(__xludf.DUMMYFUNCTION("""COMPUTED_VALUE"""),"")</f>
        <v/>
      </c>
      <c r="CA51" s="753"/>
      <c r="CB51" s="753"/>
      <c r="CC51" s="753"/>
      <c r="CD51" s="753"/>
      <c r="CE51" s="753"/>
      <c r="CF51" s="753"/>
      <c r="CG51" s="753"/>
      <c r="CH51" s="753"/>
      <c r="CI51" s="753"/>
      <c r="CJ51" s="753"/>
      <c r="CK51" s="753"/>
    </row>
    <row r="52">
      <c r="A52" s="317"/>
      <c r="B52" s="317"/>
      <c r="C52" s="665"/>
      <c r="D52" s="317"/>
      <c r="E52" s="317"/>
      <c r="F52" s="317"/>
      <c r="G52" s="317"/>
      <c r="H52" s="317"/>
      <c r="I52" s="317"/>
      <c r="J52" s="317"/>
      <c r="K52" s="317"/>
      <c r="L52" s="317"/>
      <c r="M52" s="317"/>
      <c r="N52" s="317"/>
      <c r="O52" s="317"/>
      <c r="P52" s="317"/>
      <c r="Q52" s="317"/>
      <c r="R52" s="317"/>
      <c r="S52" s="317"/>
      <c r="T52" s="317"/>
      <c r="U52" s="317" t="s">
        <v>96</v>
      </c>
      <c r="V52" s="317" t="s">
        <v>96</v>
      </c>
      <c r="W52" s="317"/>
      <c r="X52" s="317" t="s">
        <v>96</v>
      </c>
      <c r="Y52" s="772" t="s">
        <v>96</v>
      </c>
      <c r="Z52" s="773" t="s">
        <v>96</v>
      </c>
      <c r="AA52" s="317"/>
      <c r="AB52" s="317"/>
      <c r="AC52" s="317"/>
      <c r="AD52" s="317"/>
      <c r="AE52" s="317"/>
      <c r="AF52" s="317"/>
      <c r="AG52" s="317"/>
      <c r="AH52" s="317"/>
      <c r="AI52" s="317"/>
      <c r="AJ52" s="317"/>
      <c r="AK52" s="317"/>
      <c r="AL52" s="665"/>
      <c r="AM52" s="317"/>
      <c r="AN52" s="317"/>
      <c r="AO52" s="317"/>
      <c r="AP52" s="317"/>
      <c r="AQ52" s="317"/>
      <c r="AR52" s="317"/>
      <c r="AS52" s="317"/>
      <c r="AT52" s="317"/>
      <c r="AU52" s="317"/>
      <c r="AV52" s="317"/>
      <c r="AW52" s="317"/>
      <c r="AX52" s="317"/>
      <c r="AY52" s="317"/>
      <c r="AZ52" s="317"/>
      <c r="BA52" s="317"/>
      <c r="BB52" s="317"/>
      <c r="BC52" s="317"/>
      <c r="BD52" s="317"/>
      <c r="BE52" s="317"/>
      <c r="BF52" s="317"/>
      <c r="BG52" s="317"/>
      <c r="BH52" s="317"/>
      <c r="BI52" s="317"/>
      <c r="BJ52" s="317"/>
      <c r="BK52" s="317"/>
      <c r="BL52" s="317"/>
      <c r="BM52" s="317"/>
      <c r="BN52" s="317"/>
      <c r="BO52" s="317"/>
      <c r="BP52" s="317"/>
      <c r="BQ52" s="317"/>
      <c r="BR52" s="317"/>
      <c r="BS52" s="317"/>
      <c r="BT52" s="317"/>
      <c r="BU52" s="317"/>
      <c r="BV52" s="317"/>
      <c r="BW52" s="753" t="s">
        <v>96</v>
      </c>
      <c r="BX52" s="753"/>
      <c r="BY52" s="753"/>
      <c r="BZ52" s="753" t="str">
        <f>IFERROR(__xludf.DUMMYFUNCTION("""COMPUTED_VALUE"""),"")</f>
        <v/>
      </c>
      <c r="CA52" s="753"/>
      <c r="CB52" s="753"/>
      <c r="CC52" s="753"/>
      <c r="CD52" s="753"/>
      <c r="CE52" s="753"/>
      <c r="CF52" s="753"/>
      <c r="CG52" s="753"/>
      <c r="CH52" s="753"/>
      <c r="CI52" s="753"/>
      <c r="CJ52" s="753"/>
      <c r="CK52" s="753"/>
    </row>
    <row r="53">
      <c r="A53" s="317"/>
      <c r="B53" s="317"/>
      <c r="C53" s="665"/>
      <c r="D53" s="317"/>
      <c r="E53" s="317"/>
      <c r="F53" s="317"/>
      <c r="G53" s="317"/>
      <c r="H53" s="317"/>
      <c r="I53" s="317"/>
      <c r="J53" s="317"/>
      <c r="K53" s="317"/>
      <c r="L53" s="317"/>
      <c r="M53" s="317"/>
      <c r="N53" s="317"/>
      <c r="O53" s="317"/>
      <c r="P53" s="317"/>
      <c r="Q53" s="317"/>
      <c r="R53" s="317"/>
      <c r="S53" s="317"/>
      <c r="T53" s="317"/>
      <c r="U53" s="317" t="s">
        <v>96</v>
      </c>
      <c r="V53" s="317" t="s">
        <v>96</v>
      </c>
      <c r="W53" s="317"/>
      <c r="X53" s="317" t="s">
        <v>96</v>
      </c>
      <c r="Y53" s="772" t="s">
        <v>96</v>
      </c>
      <c r="Z53" s="773" t="s">
        <v>96</v>
      </c>
      <c r="AA53" s="317"/>
      <c r="AB53" s="317"/>
      <c r="AC53" s="317"/>
      <c r="AD53" s="317"/>
      <c r="AE53" s="317"/>
      <c r="AF53" s="317"/>
      <c r="AG53" s="317"/>
      <c r="AH53" s="317"/>
      <c r="AI53" s="317"/>
      <c r="AJ53" s="317"/>
      <c r="AK53" s="317"/>
      <c r="AL53" s="665"/>
      <c r="AM53" s="317"/>
      <c r="AN53" s="317"/>
      <c r="AO53" s="317"/>
      <c r="AP53" s="317"/>
      <c r="AQ53" s="317"/>
      <c r="AR53" s="317"/>
      <c r="AS53" s="317"/>
      <c r="AT53" s="317"/>
      <c r="AU53" s="317"/>
      <c r="AV53" s="317"/>
      <c r="AW53" s="317"/>
      <c r="AX53" s="317"/>
      <c r="AY53" s="317"/>
      <c r="AZ53" s="317"/>
      <c r="BA53" s="317"/>
      <c r="BB53" s="317"/>
      <c r="BC53" s="317"/>
      <c r="BD53" s="317"/>
      <c r="BE53" s="317"/>
      <c r="BF53" s="317"/>
      <c r="BG53" s="317"/>
      <c r="BH53" s="317"/>
      <c r="BI53" s="317"/>
      <c r="BJ53" s="317"/>
      <c r="BK53" s="317"/>
      <c r="BL53" s="317"/>
      <c r="BM53" s="317"/>
      <c r="BN53" s="317"/>
      <c r="BO53" s="317"/>
      <c r="BP53" s="317"/>
      <c r="BQ53" s="317"/>
      <c r="BR53" s="317"/>
      <c r="BS53" s="317"/>
      <c r="BT53" s="317"/>
      <c r="BU53" s="317"/>
      <c r="BV53" s="317"/>
      <c r="BW53" s="753" t="s">
        <v>96</v>
      </c>
      <c r="BX53" s="753"/>
      <c r="BY53" s="753"/>
      <c r="BZ53" s="753" t="str">
        <f>IFERROR(__xludf.DUMMYFUNCTION("""COMPUTED_VALUE"""),"")</f>
        <v/>
      </c>
      <c r="CA53" s="753"/>
      <c r="CB53" s="753"/>
      <c r="CC53" s="753"/>
      <c r="CD53" s="753"/>
      <c r="CE53" s="753"/>
      <c r="CF53" s="753"/>
      <c r="CG53" s="753"/>
      <c r="CH53" s="753"/>
      <c r="CI53" s="753"/>
      <c r="CJ53" s="753"/>
      <c r="CK53" s="753"/>
    </row>
    <row r="54">
      <c r="A54" s="317"/>
      <c r="B54" s="317"/>
      <c r="C54" s="665"/>
      <c r="D54" s="317"/>
      <c r="E54" s="317"/>
      <c r="F54" s="317"/>
      <c r="G54" s="317"/>
      <c r="H54" s="317"/>
      <c r="I54" s="317"/>
      <c r="J54" s="317"/>
      <c r="K54" s="317"/>
      <c r="L54" s="317"/>
      <c r="M54" s="317"/>
      <c r="N54" s="317"/>
      <c r="O54" s="317"/>
      <c r="P54" s="317"/>
      <c r="Q54" s="317"/>
      <c r="R54" s="317"/>
      <c r="S54" s="317"/>
      <c r="T54" s="317"/>
      <c r="U54" s="317" t="s">
        <v>96</v>
      </c>
      <c r="V54" s="317" t="s">
        <v>96</v>
      </c>
      <c r="W54" s="317"/>
      <c r="X54" s="317" t="s">
        <v>96</v>
      </c>
      <c r="Y54" s="772" t="s">
        <v>96</v>
      </c>
      <c r="Z54" s="773" t="s">
        <v>96</v>
      </c>
      <c r="AA54" s="317"/>
      <c r="AB54" s="317"/>
      <c r="AC54" s="317"/>
      <c r="AD54" s="317"/>
      <c r="AE54" s="317"/>
      <c r="AF54" s="317"/>
      <c r="AG54" s="317"/>
      <c r="AH54" s="317"/>
      <c r="AI54" s="317"/>
      <c r="AJ54" s="317"/>
      <c r="AK54" s="317"/>
      <c r="AL54" s="665"/>
      <c r="AM54" s="317"/>
      <c r="AN54" s="317"/>
      <c r="AO54" s="317"/>
      <c r="AP54" s="317"/>
      <c r="AQ54" s="317"/>
      <c r="AR54" s="317"/>
      <c r="AS54" s="317"/>
      <c r="AT54" s="317"/>
      <c r="AU54" s="317"/>
      <c r="AV54" s="317"/>
      <c r="AW54" s="317"/>
      <c r="AX54" s="317"/>
      <c r="AY54" s="317"/>
      <c r="AZ54" s="317"/>
      <c r="BA54" s="317"/>
      <c r="BB54" s="317"/>
      <c r="BC54" s="317"/>
      <c r="BD54" s="317"/>
      <c r="BE54" s="317"/>
      <c r="BF54" s="317"/>
      <c r="BG54" s="317"/>
      <c r="BH54" s="317"/>
      <c r="BI54" s="317"/>
      <c r="BJ54" s="317"/>
      <c r="BK54" s="317"/>
      <c r="BL54" s="317"/>
      <c r="BM54" s="317"/>
      <c r="BN54" s="317"/>
      <c r="BO54" s="317"/>
      <c r="BP54" s="317"/>
      <c r="BQ54" s="317"/>
      <c r="BR54" s="317"/>
      <c r="BS54" s="317"/>
      <c r="BT54" s="317"/>
      <c r="BU54" s="317"/>
      <c r="BV54" s="317"/>
      <c r="BW54" s="753" t="s">
        <v>96</v>
      </c>
      <c r="BX54" s="753"/>
      <c r="BY54" s="753"/>
      <c r="BZ54" s="753" t="str">
        <f>IFERROR(__xludf.DUMMYFUNCTION("""COMPUTED_VALUE"""),"")</f>
        <v/>
      </c>
      <c r="CA54" s="753"/>
      <c r="CB54" s="753"/>
      <c r="CC54" s="753"/>
      <c r="CD54" s="753"/>
      <c r="CE54" s="753"/>
      <c r="CF54" s="753"/>
      <c r="CG54" s="753"/>
      <c r="CH54" s="753"/>
      <c r="CI54" s="753"/>
      <c r="CJ54" s="753"/>
      <c r="CK54" s="753"/>
    </row>
    <row r="55">
      <c r="A55" s="317"/>
      <c r="B55" s="317"/>
      <c r="C55" s="317"/>
      <c r="D55" s="317"/>
      <c r="E55" s="317"/>
      <c r="F55" s="317"/>
      <c r="G55" s="317"/>
      <c r="H55" s="317"/>
      <c r="I55" s="317"/>
      <c r="J55" s="317"/>
      <c r="K55" s="317"/>
      <c r="L55" s="317"/>
      <c r="M55" s="317"/>
      <c r="N55" s="317"/>
      <c r="O55" s="317"/>
      <c r="P55" s="317"/>
      <c r="Q55" s="317"/>
      <c r="R55" s="317"/>
      <c r="S55" s="317"/>
      <c r="T55" s="317"/>
      <c r="U55" s="317" t="s">
        <v>96</v>
      </c>
      <c r="V55" s="317" t="s">
        <v>96</v>
      </c>
      <c r="W55" s="317"/>
      <c r="X55" s="317" t="s">
        <v>96</v>
      </c>
      <c r="Y55" s="772" t="s">
        <v>96</v>
      </c>
      <c r="Z55" s="773" t="s">
        <v>96</v>
      </c>
      <c r="AA55" s="317"/>
      <c r="AB55" s="317"/>
      <c r="AC55" s="317"/>
      <c r="AD55" s="317"/>
      <c r="AE55" s="317"/>
      <c r="AF55" s="317"/>
      <c r="AG55" s="317"/>
      <c r="AH55" s="317"/>
      <c r="AI55" s="317"/>
      <c r="AJ55" s="317"/>
      <c r="AK55" s="317"/>
      <c r="AL55" s="317"/>
      <c r="AM55" s="317"/>
      <c r="AN55" s="317"/>
      <c r="AO55" s="317"/>
      <c r="AP55" s="317"/>
      <c r="AQ55" s="317"/>
      <c r="AR55" s="317"/>
      <c r="AS55" s="317"/>
      <c r="AT55" s="317"/>
      <c r="AU55" s="317"/>
      <c r="AV55" s="317"/>
      <c r="AW55" s="317"/>
      <c r="AX55" s="317"/>
      <c r="AY55" s="317"/>
      <c r="AZ55" s="317"/>
      <c r="BA55" s="317"/>
      <c r="BB55" s="317"/>
      <c r="BC55" s="317"/>
      <c r="BD55" s="317"/>
      <c r="BE55" s="317"/>
      <c r="BF55" s="317"/>
      <c r="BG55" s="317"/>
      <c r="BH55" s="317"/>
      <c r="BI55" s="317"/>
      <c r="BJ55" s="317"/>
      <c r="BK55" s="317"/>
      <c r="BL55" s="317"/>
      <c r="BM55" s="317"/>
      <c r="BN55" s="317"/>
      <c r="BO55" s="317"/>
      <c r="BP55" s="317"/>
      <c r="BQ55" s="317"/>
      <c r="BR55" s="317"/>
      <c r="BS55" s="317"/>
      <c r="BT55" s="317"/>
      <c r="BU55" s="317"/>
      <c r="BV55" s="317"/>
      <c r="BW55" s="753" t="s">
        <v>96</v>
      </c>
      <c r="BX55" s="753"/>
      <c r="BY55" s="753"/>
      <c r="BZ55" s="753" t="str">
        <f>IFERROR(__xludf.DUMMYFUNCTION("""COMPUTED_VALUE"""),"")</f>
        <v/>
      </c>
      <c r="CA55" s="753"/>
      <c r="CB55" s="753"/>
      <c r="CC55" s="753"/>
      <c r="CD55" s="753"/>
      <c r="CE55" s="753"/>
      <c r="CF55" s="753"/>
      <c r="CG55" s="753"/>
      <c r="CH55" s="753"/>
      <c r="CI55" s="753"/>
      <c r="CJ55" s="753"/>
      <c r="CK55" s="753"/>
    </row>
    <row r="56">
      <c r="A56" s="317"/>
      <c r="B56" s="317"/>
      <c r="C56" s="317"/>
      <c r="D56" s="317"/>
      <c r="E56" s="317"/>
      <c r="F56" s="317"/>
      <c r="G56" s="317"/>
      <c r="H56" s="317"/>
      <c r="I56" s="317"/>
      <c r="J56" s="317"/>
      <c r="K56" s="317"/>
      <c r="L56" s="317"/>
      <c r="M56" s="317"/>
      <c r="N56" s="317"/>
      <c r="O56" s="317"/>
      <c r="P56" s="317"/>
      <c r="Q56" s="317"/>
      <c r="R56" s="317"/>
      <c r="S56" s="317"/>
      <c r="T56" s="317"/>
      <c r="U56" s="317" t="s">
        <v>96</v>
      </c>
      <c r="V56" s="317" t="s">
        <v>96</v>
      </c>
      <c r="W56" s="317"/>
      <c r="X56" s="317" t="s">
        <v>96</v>
      </c>
      <c r="Y56" s="772" t="s">
        <v>96</v>
      </c>
      <c r="Z56" s="773" t="s">
        <v>96</v>
      </c>
      <c r="AA56" s="317"/>
      <c r="AB56" s="317"/>
      <c r="AC56" s="317"/>
      <c r="AD56" s="317"/>
      <c r="AE56" s="317"/>
      <c r="AF56" s="317"/>
      <c r="AG56" s="317"/>
      <c r="AH56" s="317"/>
      <c r="AI56" s="317"/>
      <c r="AJ56" s="317"/>
      <c r="AK56" s="317"/>
      <c r="AL56" s="317"/>
      <c r="AM56" s="317"/>
      <c r="AN56" s="317"/>
      <c r="AO56" s="317"/>
      <c r="AP56" s="317"/>
      <c r="AQ56" s="317"/>
      <c r="AR56" s="317"/>
      <c r="AS56" s="317"/>
      <c r="AT56" s="317"/>
      <c r="AU56" s="317"/>
      <c r="AV56" s="317"/>
      <c r="AW56" s="317"/>
      <c r="AX56" s="317"/>
      <c r="AY56" s="317"/>
      <c r="AZ56" s="317"/>
      <c r="BA56" s="317"/>
      <c r="BB56" s="317"/>
      <c r="BC56" s="317"/>
      <c r="BD56" s="317"/>
      <c r="BE56" s="317"/>
      <c r="BF56" s="317"/>
      <c r="BG56" s="317"/>
      <c r="BH56" s="317"/>
      <c r="BI56" s="317"/>
      <c r="BJ56" s="317"/>
      <c r="BK56" s="317"/>
      <c r="BL56" s="317"/>
      <c r="BM56" s="317"/>
      <c r="BN56" s="317"/>
      <c r="BO56" s="317"/>
      <c r="BP56" s="317"/>
      <c r="BQ56" s="317"/>
      <c r="BR56" s="317"/>
      <c r="BS56" s="317"/>
      <c r="BT56" s="317"/>
      <c r="BU56" s="317"/>
      <c r="BV56" s="317"/>
      <c r="BW56" s="753" t="s">
        <v>96</v>
      </c>
      <c r="BX56" s="753"/>
      <c r="BY56" s="753"/>
      <c r="BZ56" s="753" t="str">
        <f>IFERROR(__xludf.DUMMYFUNCTION("""COMPUTED_VALUE"""),"")</f>
        <v/>
      </c>
      <c r="CA56" s="753"/>
      <c r="CB56" s="753"/>
      <c r="CC56" s="753"/>
      <c r="CD56" s="753"/>
      <c r="CE56" s="753"/>
      <c r="CF56" s="753"/>
      <c r="CG56" s="753"/>
      <c r="CH56" s="753"/>
      <c r="CI56" s="753"/>
      <c r="CJ56" s="753"/>
      <c r="CK56" s="753"/>
    </row>
    <row r="57">
      <c r="A57" s="317"/>
      <c r="B57" s="317"/>
      <c r="C57" s="317"/>
      <c r="D57" s="317"/>
      <c r="E57" s="317"/>
      <c r="F57" s="317"/>
      <c r="G57" s="317"/>
      <c r="H57" s="317"/>
      <c r="I57" s="317"/>
      <c r="J57" s="317"/>
      <c r="K57" s="317"/>
      <c r="L57" s="317"/>
      <c r="M57" s="317"/>
      <c r="N57" s="317"/>
      <c r="O57" s="317"/>
      <c r="P57" s="317"/>
      <c r="Q57" s="317"/>
      <c r="R57" s="317"/>
      <c r="S57" s="317"/>
      <c r="T57" s="317"/>
      <c r="U57" s="317" t="s">
        <v>96</v>
      </c>
      <c r="V57" s="317" t="s">
        <v>96</v>
      </c>
      <c r="W57" s="317"/>
      <c r="X57" s="317" t="s">
        <v>96</v>
      </c>
      <c r="Y57" s="772" t="s">
        <v>96</v>
      </c>
      <c r="Z57" s="773" t="s">
        <v>96</v>
      </c>
      <c r="AA57" s="317"/>
      <c r="AB57" s="317"/>
      <c r="AC57" s="317"/>
      <c r="AD57" s="317"/>
      <c r="AE57" s="317"/>
      <c r="AF57" s="317"/>
      <c r="AG57" s="317"/>
      <c r="AH57" s="317"/>
      <c r="AI57" s="317"/>
      <c r="AJ57" s="317"/>
      <c r="AK57" s="317"/>
      <c r="AL57" s="317"/>
      <c r="AM57" s="317"/>
      <c r="AN57" s="317"/>
      <c r="AO57" s="317"/>
      <c r="AP57" s="317"/>
      <c r="AQ57" s="317"/>
      <c r="AR57" s="317"/>
      <c r="AS57" s="317"/>
      <c r="AT57" s="317"/>
      <c r="AU57" s="317"/>
      <c r="AV57" s="317"/>
      <c r="AW57" s="317"/>
      <c r="AX57" s="317"/>
      <c r="AY57" s="317"/>
      <c r="AZ57" s="317"/>
      <c r="BA57" s="317"/>
      <c r="BB57" s="317"/>
      <c r="BC57" s="317"/>
      <c r="BD57" s="317"/>
      <c r="BE57" s="317"/>
      <c r="BF57" s="317"/>
      <c r="BG57" s="317"/>
      <c r="BH57" s="317"/>
      <c r="BI57" s="317"/>
      <c r="BJ57" s="317"/>
      <c r="BK57" s="317"/>
      <c r="BL57" s="317"/>
      <c r="BM57" s="317"/>
      <c r="BN57" s="317"/>
      <c r="BO57" s="317"/>
      <c r="BP57" s="317"/>
      <c r="BQ57" s="317"/>
      <c r="BR57" s="317"/>
      <c r="BS57" s="317"/>
      <c r="BT57" s="317"/>
      <c r="BU57" s="317"/>
      <c r="BV57" s="317"/>
      <c r="BW57" s="753" t="s">
        <v>96</v>
      </c>
      <c r="BX57" s="753"/>
      <c r="BY57" s="753"/>
      <c r="BZ57" s="753" t="str">
        <f>IFERROR(__xludf.DUMMYFUNCTION("""COMPUTED_VALUE"""),"")</f>
        <v/>
      </c>
      <c r="CA57" s="753"/>
      <c r="CB57" s="753"/>
      <c r="CC57" s="753"/>
      <c r="CD57" s="753"/>
      <c r="CE57" s="753"/>
      <c r="CF57" s="753"/>
      <c r="CG57" s="753"/>
      <c r="CH57" s="753"/>
      <c r="CI57" s="753"/>
      <c r="CJ57" s="753"/>
      <c r="CK57" s="753"/>
    </row>
    <row r="58">
      <c r="A58" s="317"/>
      <c r="B58" s="317"/>
      <c r="C58" s="317"/>
      <c r="D58" s="317"/>
      <c r="E58" s="317"/>
      <c r="F58" s="317"/>
      <c r="G58" s="317"/>
      <c r="H58" s="317"/>
      <c r="I58" s="317"/>
      <c r="J58" s="317"/>
      <c r="K58" s="317"/>
      <c r="L58" s="317"/>
      <c r="M58" s="317"/>
      <c r="N58" s="317"/>
      <c r="O58" s="317"/>
      <c r="P58" s="317"/>
      <c r="Q58" s="317"/>
      <c r="R58" s="317"/>
      <c r="S58" s="317"/>
      <c r="T58" s="317"/>
      <c r="U58" s="317" t="s">
        <v>96</v>
      </c>
      <c r="V58" s="317" t="s">
        <v>96</v>
      </c>
      <c r="W58" s="317"/>
      <c r="X58" s="317" t="s">
        <v>96</v>
      </c>
      <c r="Y58" s="772" t="s">
        <v>96</v>
      </c>
      <c r="Z58" s="773" t="s">
        <v>96</v>
      </c>
      <c r="AA58" s="317"/>
      <c r="AB58" s="317"/>
      <c r="AC58" s="317"/>
      <c r="AD58" s="317"/>
      <c r="AE58" s="317"/>
      <c r="AF58" s="317"/>
      <c r="AG58" s="317"/>
      <c r="AH58" s="317"/>
      <c r="AI58" s="317"/>
      <c r="AJ58" s="317"/>
      <c r="AK58" s="317"/>
      <c r="AL58" s="317"/>
      <c r="AM58" s="317"/>
      <c r="AN58" s="317"/>
      <c r="AO58" s="317"/>
      <c r="AP58" s="317"/>
      <c r="AQ58" s="317"/>
      <c r="AR58" s="317"/>
      <c r="AS58" s="317"/>
      <c r="AT58" s="317"/>
      <c r="AU58" s="317"/>
      <c r="AV58" s="317"/>
      <c r="AW58" s="317"/>
      <c r="AX58" s="317"/>
      <c r="AY58" s="317"/>
      <c r="AZ58" s="317"/>
      <c r="BA58" s="317"/>
      <c r="BB58" s="317"/>
      <c r="BC58" s="317"/>
      <c r="BD58" s="317"/>
      <c r="BE58" s="317"/>
      <c r="BF58" s="317"/>
      <c r="BG58" s="317"/>
      <c r="BH58" s="317"/>
      <c r="BI58" s="317"/>
      <c r="BJ58" s="317"/>
      <c r="BK58" s="317"/>
      <c r="BL58" s="317"/>
      <c r="BM58" s="317"/>
      <c r="BN58" s="317"/>
      <c r="BO58" s="317"/>
      <c r="BP58" s="317"/>
      <c r="BQ58" s="317"/>
      <c r="BR58" s="317"/>
      <c r="BS58" s="317"/>
      <c r="BT58" s="317"/>
      <c r="BU58" s="317"/>
      <c r="BV58" s="317"/>
      <c r="BW58" s="753" t="s">
        <v>96</v>
      </c>
      <c r="BX58" s="753"/>
      <c r="BY58" s="753"/>
      <c r="BZ58" s="753" t="str">
        <f>IFERROR(__xludf.DUMMYFUNCTION("""COMPUTED_VALUE"""),"")</f>
        <v/>
      </c>
      <c r="CA58" s="753"/>
      <c r="CB58" s="753"/>
      <c r="CC58" s="753"/>
      <c r="CD58" s="753"/>
      <c r="CE58" s="753"/>
      <c r="CF58" s="753"/>
      <c r="CG58" s="753"/>
      <c r="CH58" s="753"/>
      <c r="CI58" s="753"/>
      <c r="CJ58" s="753"/>
      <c r="CK58" s="753"/>
    </row>
    <row r="59">
      <c r="A59" s="317"/>
      <c r="B59" s="317"/>
      <c r="C59" s="317"/>
      <c r="D59" s="317"/>
      <c r="E59" s="317"/>
      <c r="F59" s="317"/>
      <c r="G59" s="317"/>
      <c r="H59" s="317"/>
      <c r="I59" s="317"/>
      <c r="J59" s="317"/>
      <c r="K59" s="317"/>
      <c r="L59" s="317"/>
      <c r="M59" s="317"/>
      <c r="N59" s="317"/>
      <c r="O59" s="317"/>
      <c r="P59" s="317"/>
      <c r="Q59" s="317"/>
      <c r="R59" s="317"/>
      <c r="S59" s="317"/>
      <c r="T59" s="317"/>
      <c r="U59" s="317" t="s">
        <v>96</v>
      </c>
      <c r="V59" s="317" t="s">
        <v>96</v>
      </c>
      <c r="W59" s="317"/>
      <c r="X59" s="317" t="s">
        <v>96</v>
      </c>
      <c r="Y59" s="772" t="s">
        <v>96</v>
      </c>
      <c r="Z59" s="773" t="s">
        <v>96</v>
      </c>
      <c r="AA59" s="317"/>
      <c r="AB59" s="317"/>
      <c r="AC59" s="317"/>
      <c r="AD59" s="317"/>
      <c r="AE59" s="317"/>
      <c r="AF59" s="317"/>
      <c r="AG59" s="317"/>
      <c r="AH59" s="317"/>
      <c r="AI59" s="317"/>
      <c r="AJ59" s="317"/>
      <c r="AK59" s="317"/>
      <c r="AL59" s="317"/>
      <c r="AM59" s="317"/>
      <c r="AN59" s="317"/>
      <c r="AO59" s="317"/>
      <c r="AP59" s="317"/>
      <c r="AQ59" s="317"/>
      <c r="AR59" s="317"/>
      <c r="AS59" s="317"/>
      <c r="AT59" s="317"/>
      <c r="AU59" s="317"/>
      <c r="AV59" s="317"/>
      <c r="AW59" s="317"/>
      <c r="AX59" s="317"/>
      <c r="AY59" s="317"/>
      <c r="AZ59" s="317"/>
      <c r="BA59" s="317"/>
      <c r="BB59" s="317"/>
      <c r="BC59" s="317"/>
      <c r="BD59" s="317"/>
      <c r="BE59" s="317"/>
      <c r="BF59" s="317"/>
      <c r="BG59" s="317"/>
      <c r="BH59" s="317"/>
      <c r="BI59" s="317"/>
      <c r="BJ59" s="317"/>
      <c r="BK59" s="317"/>
      <c r="BL59" s="317"/>
      <c r="BM59" s="317"/>
      <c r="BN59" s="317"/>
      <c r="BO59" s="317"/>
      <c r="BP59" s="317"/>
      <c r="BQ59" s="317"/>
      <c r="BR59" s="317"/>
      <c r="BS59" s="317"/>
      <c r="BT59" s="317"/>
      <c r="BU59" s="317"/>
      <c r="BV59" s="317"/>
      <c r="BW59" s="753" t="s">
        <v>96</v>
      </c>
      <c r="BX59" s="753"/>
      <c r="BY59" s="753"/>
      <c r="BZ59" s="753" t="str">
        <f>IFERROR(__xludf.DUMMYFUNCTION("""COMPUTED_VALUE"""),"")</f>
        <v/>
      </c>
      <c r="CA59" s="753"/>
      <c r="CB59" s="753"/>
      <c r="CC59" s="753"/>
      <c r="CD59" s="753"/>
      <c r="CE59" s="753"/>
      <c r="CF59" s="753"/>
      <c r="CG59" s="753"/>
      <c r="CH59" s="753"/>
      <c r="CI59" s="753"/>
      <c r="CJ59" s="753"/>
      <c r="CK59" s="753"/>
    </row>
    <row r="60">
      <c r="A60" s="317"/>
      <c r="B60" s="317"/>
      <c r="C60" s="317"/>
      <c r="D60" s="317"/>
      <c r="E60" s="317"/>
      <c r="F60" s="317"/>
      <c r="G60" s="317"/>
      <c r="H60" s="317"/>
      <c r="I60" s="317"/>
      <c r="J60" s="317"/>
      <c r="K60" s="317"/>
      <c r="L60" s="317"/>
      <c r="M60" s="317"/>
      <c r="N60" s="317"/>
      <c r="O60" s="317"/>
      <c r="P60" s="317"/>
      <c r="Q60" s="317"/>
      <c r="R60" s="317"/>
      <c r="S60" s="317"/>
      <c r="T60" s="317"/>
      <c r="U60" s="317" t="s">
        <v>96</v>
      </c>
      <c r="V60" s="317" t="s">
        <v>96</v>
      </c>
      <c r="W60" s="317"/>
      <c r="X60" s="317" t="s">
        <v>96</v>
      </c>
      <c r="Y60" s="772" t="s">
        <v>96</v>
      </c>
      <c r="Z60" s="773" t="s">
        <v>96</v>
      </c>
      <c r="AA60" s="317"/>
      <c r="AB60" s="317"/>
      <c r="AC60" s="317"/>
      <c r="AD60" s="317"/>
      <c r="AE60" s="317"/>
      <c r="AF60" s="317"/>
      <c r="AG60" s="317"/>
      <c r="AH60" s="317"/>
      <c r="AI60" s="317"/>
      <c r="AJ60" s="317"/>
      <c r="AK60" s="317"/>
      <c r="AL60" s="317"/>
      <c r="AM60" s="317"/>
      <c r="AN60" s="317"/>
      <c r="AO60" s="317"/>
      <c r="AP60" s="317"/>
      <c r="AQ60" s="317"/>
      <c r="AR60" s="317"/>
      <c r="AS60" s="317"/>
      <c r="AT60" s="317"/>
      <c r="AU60" s="317"/>
      <c r="AV60" s="317"/>
      <c r="AW60" s="317"/>
      <c r="AX60" s="317"/>
      <c r="AY60" s="317"/>
      <c r="AZ60" s="317"/>
      <c r="BA60" s="317"/>
      <c r="BB60" s="317"/>
      <c r="BC60" s="317"/>
      <c r="BD60" s="317"/>
      <c r="BE60" s="317"/>
      <c r="BF60" s="317"/>
      <c r="BG60" s="317"/>
      <c r="BH60" s="317"/>
      <c r="BI60" s="317"/>
      <c r="BJ60" s="317"/>
      <c r="BK60" s="317"/>
      <c r="BL60" s="317"/>
      <c r="BM60" s="317"/>
      <c r="BN60" s="317"/>
      <c r="BO60" s="317"/>
      <c r="BP60" s="317"/>
      <c r="BQ60" s="317"/>
      <c r="BR60" s="317"/>
      <c r="BS60" s="317"/>
      <c r="BT60" s="317"/>
      <c r="BU60" s="317"/>
      <c r="BV60" s="317"/>
      <c r="BW60" s="753" t="s">
        <v>96</v>
      </c>
      <c r="BX60" s="753"/>
      <c r="BY60" s="753"/>
      <c r="BZ60" s="753" t="str">
        <f>IFERROR(__xludf.DUMMYFUNCTION("""COMPUTED_VALUE"""),"")</f>
        <v/>
      </c>
      <c r="CA60" s="753"/>
      <c r="CB60" s="753"/>
      <c r="CC60" s="753"/>
      <c r="CD60" s="753"/>
      <c r="CE60" s="753"/>
      <c r="CF60" s="753"/>
      <c r="CG60" s="753"/>
      <c r="CH60" s="753"/>
      <c r="CI60" s="753"/>
      <c r="CJ60" s="753"/>
      <c r="CK60" s="753"/>
    </row>
    <row r="61">
      <c r="A61" s="317"/>
      <c r="B61" s="317"/>
      <c r="C61" s="317"/>
      <c r="D61" s="317"/>
      <c r="E61" s="317"/>
      <c r="F61" s="317"/>
      <c r="G61" s="317"/>
      <c r="H61" s="317"/>
      <c r="I61" s="317"/>
      <c r="J61" s="317"/>
      <c r="K61" s="317"/>
      <c r="L61" s="317"/>
      <c r="M61" s="317"/>
      <c r="N61" s="317"/>
      <c r="O61" s="317"/>
      <c r="P61" s="317"/>
      <c r="Q61" s="317"/>
      <c r="R61" s="317"/>
      <c r="S61" s="317"/>
      <c r="T61" s="317"/>
      <c r="U61" s="317" t="s">
        <v>96</v>
      </c>
      <c r="V61" s="317" t="s">
        <v>96</v>
      </c>
      <c r="W61" s="317"/>
      <c r="X61" s="317" t="s">
        <v>96</v>
      </c>
      <c r="Y61" s="772" t="s">
        <v>96</v>
      </c>
      <c r="Z61" s="773" t="s">
        <v>96</v>
      </c>
      <c r="AA61" s="317"/>
      <c r="AB61" s="317"/>
      <c r="AC61" s="317"/>
      <c r="AD61" s="317"/>
      <c r="AE61" s="317"/>
      <c r="AF61" s="317"/>
      <c r="AG61" s="317"/>
      <c r="AH61" s="317"/>
      <c r="AI61" s="317"/>
      <c r="AJ61" s="317"/>
      <c r="AK61" s="317"/>
      <c r="AL61" s="317"/>
      <c r="AM61" s="317"/>
      <c r="AN61" s="317"/>
      <c r="AO61" s="317"/>
      <c r="AP61" s="317"/>
      <c r="AQ61" s="317"/>
      <c r="AR61" s="317"/>
      <c r="AS61" s="317"/>
      <c r="AT61" s="317"/>
      <c r="AU61" s="317"/>
      <c r="AV61" s="317"/>
      <c r="AW61" s="317"/>
      <c r="AX61" s="317"/>
      <c r="AY61" s="317"/>
      <c r="AZ61" s="317"/>
      <c r="BA61" s="317"/>
      <c r="BB61" s="317"/>
      <c r="BC61" s="317"/>
      <c r="BD61" s="317"/>
      <c r="BE61" s="317"/>
      <c r="BF61" s="317"/>
      <c r="BG61" s="317"/>
      <c r="BH61" s="317"/>
      <c r="BI61" s="317"/>
      <c r="BJ61" s="317"/>
      <c r="BK61" s="317"/>
      <c r="BL61" s="317"/>
      <c r="BM61" s="317"/>
      <c r="BN61" s="317"/>
      <c r="BO61" s="317"/>
      <c r="BP61" s="317"/>
      <c r="BQ61" s="317"/>
      <c r="BR61" s="317"/>
      <c r="BS61" s="317"/>
      <c r="BT61" s="317"/>
      <c r="BU61" s="317"/>
      <c r="BV61" s="317"/>
      <c r="BW61" s="753" t="s">
        <v>96</v>
      </c>
      <c r="BX61" s="753"/>
      <c r="BY61" s="753"/>
      <c r="BZ61" s="753" t="str">
        <f>IFERROR(__xludf.DUMMYFUNCTION("""COMPUTED_VALUE"""),"")</f>
        <v/>
      </c>
      <c r="CA61" s="753"/>
      <c r="CB61" s="753"/>
      <c r="CC61" s="753"/>
      <c r="CD61" s="753"/>
      <c r="CE61" s="753"/>
      <c r="CF61" s="753"/>
      <c r="CG61" s="753"/>
      <c r="CH61" s="753"/>
      <c r="CI61" s="753"/>
      <c r="CJ61" s="753"/>
      <c r="CK61" s="753"/>
    </row>
    <row r="62">
      <c r="A62" s="317"/>
      <c r="B62" s="317"/>
      <c r="C62" s="317"/>
      <c r="D62" s="317"/>
      <c r="E62" s="317"/>
      <c r="F62" s="317"/>
      <c r="G62" s="317"/>
      <c r="H62" s="317"/>
      <c r="I62" s="317"/>
      <c r="J62" s="317"/>
      <c r="K62" s="317"/>
      <c r="L62" s="317"/>
      <c r="M62" s="317"/>
      <c r="N62" s="317"/>
      <c r="O62" s="317"/>
      <c r="P62" s="317"/>
      <c r="Q62" s="317"/>
      <c r="R62" s="317"/>
      <c r="S62" s="317"/>
      <c r="T62" s="317"/>
      <c r="U62" s="317" t="s">
        <v>96</v>
      </c>
      <c r="V62" s="317" t="s">
        <v>96</v>
      </c>
      <c r="W62" s="317"/>
      <c r="X62" s="317" t="s">
        <v>96</v>
      </c>
      <c r="Y62" s="772" t="s">
        <v>96</v>
      </c>
      <c r="Z62" s="773" t="s">
        <v>96</v>
      </c>
      <c r="AA62" s="317"/>
      <c r="AB62" s="317"/>
      <c r="AC62" s="317"/>
      <c r="AD62" s="317"/>
      <c r="AE62" s="317"/>
      <c r="AF62" s="317"/>
      <c r="AG62" s="317"/>
      <c r="AH62" s="317"/>
      <c r="AI62" s="317"/>
      <c r="AJ62" s="317"/>
      <c r="AK62" s="317"/>
      <c r="AL62" s="317"/>
      <c r="AM62" s="317"/>
      <c r="AN62" s="317"/>
      <c r="AO62" s="317"/>
      <c r="AP62" s="317"/>
      <c r="AQ62" s="317"/>
      <c r="AR62" s="317"/>
      <c r="AS62" s="317"/>
      <c r="AT62" s="317"/>
      <c r="AU62" s="317"/>
      <c r="AV62" s="317"/>
      <c r="AW62" s="317"/>
      <c r="AX62" s="317"/>
      <c r="AY62" s="317"/>
      <c r="AZ62" s="317"/>
      <c r="BA62" s="317"/>
      <c r="BB62" s="317"/>
      <c r="BC62" s="317"/>
      <c r="BD62" s="317"/>
      <c r="BE62" s="317"/>
      <c r="BF62" s="317"/>
      <c r="BG62" s="317"/>
      <c r="BH62" s="317"/>
      <c r="BI62" s="317"/>
      <c r="BJ62" s="317"/>
      <c r="BK62" s="317"/>
      <c r="BL62" s="317"/>
      <c r="BM62" s="317"/>
      <c r="BN62" s="317"/>
      <c r="BO62" s="317"/>
      <c r="BP62" s="317"/>
      <c r="BQ62" s="317"/>
      <c r="BR62" s="317"/>
      <c r="BS62" s="317"/>
      <c r="BT62" s="317"/>
      <c r="BU62" s="317"/>
      <c r="BV62" s="317"/>
      <c r="BW62" s="753" t="s">
        <v>96</v>
      </c>
      <c r="BX62" s="753"/>
      <c r="BY62" s="753"/>
      <c r="BZ62" s="753" t="str">
        <f>IFERROR(__xludf.DUMMYFUNCTION("""COMPUTED_VALUE"""),"")</f>
        <v/>
      </c>
      <c r="CA62" s="753"/>
      <c r="CB62" s="753"/>
      <c r="CC62" s="753"/>
      <c r="CD62" s="753"/>
      <c r="CE62" s="753"/>
      <c r="CF62" s="753"/>
      <c r="CG62" s="753"/>
      <c r="CH62" s="753"/>
      <c r="CI62" s="753"/>
      <c r="CJ62" s="753"/>
      <c r="CK62" s="753"/>
    </row>
    <row r="63">
      <c r="A63" s="317"/>
      <c r="B63" s="317"/>
      <c r="C63" s="317"/>
      <c r="D63" s="317"/>
      <c r="E63" s="317"/>
      <c r="F63" s="317"/>
      <c r="G63" s="317"/>
      <c r="H63" s="317"/>
      <c r="I63" s="317"/>
      <c r="J63" s="317"/>
      <c r="K63" s="317"/>
      <c r="L63" s="317"/>
      <c r="M63" s="317"/>
      <c r="N63" s="317"/>
      <c r="O63" s="317"/>
      <c r="P63" s="317"/>
      <c r="Q63" s="317"/>
      <c r="R63" s="317"/>
      <c r="S63" s="317"/>
      <c r="T63" s="317"/>
      <c r="U63" s="317" t="s">
        <v>96</v>
      </c>
      <c r="V63" s="317" t="s">
        <v>96</v>
      </c>
      <c r="W63" s="317"/>
      <c r="X63" s="317" t="s">
        <v>96</v>
      </c>
      <c r="Y63" s="772" t="s">
        <v>96</v>
      </c>
      <c r="Z63" s="773" t="s">
        <v>96</v>
      </c>
      <c r="AA63" s="317"/>
      <c r="AB63" s="317"/>
      <c r="AC63" s="317"/>
      <c r="AD63" s="317"/>
      <c r="AE63" s="317"/>
      <c r="AF63" s="317"/>
      <c r="AG63" s="317"/>
      <c r="AH63" s="317"/>
      <c r="AI63" s="317"/>
      <c r="AJ63" s="317"/>
      <c r="AK63" s="317"/>
      <c r="AL63" s="317"/>
      <c r="AM63" s="317"/>
      <c r="AN63" s="317"/>
      <c r="AO63" s="317"/>
      <c r="AP63" s="317"/>
      <c r="AQ63" s="317"/>
      <c r="AR63" s="317"/>
      <c r="AS63" s="317"/>
      <c r="AT63" s="317"/>
      <c r="AU63" s="317"/>
      <c r="AV63" s="317"/>
      <c r="AW63" s="317"/>
      <c r="AX63" s="317"/>
      <c r="AY63" s="317"/>
      <c r="AZ63" s="317"/>
      <c r="BA63" s="317"/>
      <c r="BB63" s="317"/>
      <c r="BC63" s="317"/>
      <c r="BD63" s="317"/>
      <c r="BE63" s="317"/>
      <c r="BF63" s="317"/>
      <c r="BG63" s="317"/>
      <c r="BH63" s="317"/>
      <c r="BI63" s="317"/>
      <c r="BJ63" s="317"/>
      <c r="BK63" s="317"/>
      <c r="BL63" s="317"/>
      <c r="BM63" s="317"/>
      <c r="BN63" s="317"/>
      <c r="BO63" s="317"/>
      <c r="BP63" s="317"/>
      <c r="BQ63" s="317"/>
      <c r="BR63" s="317"/>
      <c r="BS63" s="317"/>
      <c r="BT63" s="317"/>
      <c r="BU63" s="317"/>
      <c r="BV63" s="317"/>
      <c r="BW63" s="753" t="s">
        <v>96</v>
      </c>
      <c r="BX63" s="753"/>
      <c r="BY63" s="753"/>
      <c r="BZ63" s="753" t="str">
        <f>IFERROR(__xludf.DUMMYFUNCTION("""COMPUTED_VALUE"""),"")</f>
        <v/>
      </c>
      <c r="CA63" s="753"/>
      <c r="CB63" s="753"/>
      <c r="CC63" s="753"/>
      <c r="CD63" s="753"/>
      <c r="CE63" s="753"/>
      <c r="CF63" s="753"/>
      <c r="CG63" s="753"/>
      <c r="CH63" s="753"/>
      <c r="CI63" s="753"/>
      <c r="CJ63" s="753"/>
      <c r="CK63" s="753"/>
    </row>
    <row r="64">
      <c r="A64" s="317"/>
      <c r="B64" s="317"/>
      <c r="C64" s="317"/>
      <c r="D64" s="317"/>
      <c r="E64" s="317"/>
      <c r="F64" s="317"/>
      <c r="G64" s="317"/>
      <c r="H64" s="317"/>
      <c r="I64" s="317"/>
      <c r="J64" s="317"/>
      <c r="K64" s="317"/>
      <c r="L64" s="317"/>
      <c r="M64" s="317"/>
      <c r="N64" s="317"/>
      <c r="O64" s="317"/>
      <c r="P64" s="317"/>
      <c r="Q64" s="317"/>
      <c r="R64" s="317"/>
      <c r="S64" s="317"/>
      <c r="T64" s="317"/>
      <c r="U64" s="317" t="s">
        <v>96</v>
      </c>
      <c r="V64" s="317" t="s">
        <v>96</v>
      </c>
      <c r="W64" s="317"/>
      <c r="X64" s="317" t="s">
        <v>96</v>
      </c>
      <c r="Y64" s="772" t="s">
        <v>96</v>
      </c>
      <c r="Z64" s="773" t="s">
        <v>96</v>
      </c>
      <c r="AA64" s="317"/>
      <c r="AB64" s="317"/>
      <c r="AC64" s="317"/>
      <c r="AD64" s="317"/>
      <c r="AE64" s="317"/>
      <c r="AF64" s="317"/>
      <c r="AG64" s="317"/>
      <c r="AH64" s="317"/>
      <c r="AI64" s="317"/>
      <c r="AJ64" s="317"/>
      <c r="AK64" s="317"/>
      <c r="AL64" s="317"/>
      <c r="AM64" s="317"/>
      <c r="AN64" s="317"/>
      <c r="AO64" s="317"/>
      <c r="AP64" s="317"/>
      <c r="AQ64" s="317"/>
      <c r="AR64" s="317"/>
      <c r="AS64" s="317"/>
      <c r="AT64" s="317"/>
      <c r="AU64" s="317"/>
      <c r="AV64" s="317"/>
      <c r="AW64" s="317"/>
      <c r="AX64" s="317"/>
      <c r="AY64" s="317"/>
      <c r="AZ64" s="317"/>
      <c r="BA64" s="317"/>
      <c r="BB64" s="317"/>
      <c r="BC64" s="317"/>
      <c r="BD64" s="317"/>
      <c r="BE64" s="317"/>
      <c r="BF64" s="317"/>
      <c r="BG64" s="317"/>
      <c r="BH64" s="317"/>
      <c r="BI64" s="317"/>
      <c r="BJ64" s="317"/>
      <c r="BK64" s="317"/>
      <c r="BL64" s="317"/>
      <c r="BM64" s="317"/>
      <c r="BN64" s="317"/>
      <c r="BO64" s="317"/>
      <c r="BP64" s="317"/>
      <c r="BQ64" s="317"/>
      <c r="BR64" s="317"/>
      <c r="BS64" s="317"/>
      <c r="BT64" s="317"/>
      <c r="BU64" s="317"/>
      <c r="BV64" s="317"/>
      <c r="BW64" s="753" t="s">
        <v>96</v>
      </c>
      <c r="BX64" s="753"/>
      <c r="BY64" s="753"/>
      <c r="BZ64" s="753" t="str">
        <f>IFERROR(__xludf.DUMMYFUNCTION("""COMPUTED_VALUE"""),"")</f>
        <v/>
      </c>
      <c r="CA64" s="753"/>
      <c r="CB64" s="753"/>
      <c r="CC64" s="753"/>
      <c r="CD64" s="753"/>
      <c r="CE64" s="753"/>
      <c r="CF64" s="753"/>
      <c r="CG64" s="753"/>
      <c r="CH64" s="753"/>
      <c r="CI64" s="753"/>
      <c r="CJ64" s="753"/>
      <c r="CK64" s="753"/>
    </row>
    <row r="65">
      <c r="A65" s="348"/>
      <c r="B65" s="348"/>
      <c r="C65" s="236"/>
      <c r="D65" s="348"/>
      <c r="E65" s="348"/>
      <c r="F65" s="348"/>
      <c r="G65" s="348"/>
      <c r="H65" s="348"/>
      <c r="I65" s="348"/>
      <c r="J65" s="348"/>
      <c r="K65" s="348"/>
      <c r="L65" s="348"/>
      <c r="M65" s="348"/>
      <c r="N65" s="348"/>
      <c r="O65" s="348"/>
      <c r="P65" s="348"/>
      <c r="Q65" s="348"/>
      <c r="R65" s="348"/>
      <c r="S65" s="348"/>
      <c r="T65" s="348"/>
      <c r="U65" s="348" t="s">
        <v>96</v>
      </c>
      <c r="V65" s="348" t="s">
        <v>96</v>
      </c>
      <c r="W65" s="348"/>
      <c r="X65" s="348" t="s">
        <v>96</v>
      </c>
      <c r="Y65" s="772" t="s">
        <v>96</v>
      </c>
      <c r="Z65" s="772" t="s">
        <v>96</v>
      </c>
      <c r="AA65" s="348"/>
      <c r="AB65" s="153"/>
      <c r="AC65" s="348"/>
      <c r="AD65" s="348"/>
      <c r="AE65" s="348"/>
      <c r="AF65" s="348"/>
      <c r="AG65" s="348"/>
      <c r="AH65" s="348"/>
      <c r="AI65" s="348"/>
      <c r="AJ65" s="348"/>
      <c r="AK65" s="348"/>
      <c r="AL65" s="348"/>
      <c r="AM65" s="348"/>
      <c r="AN65" s="348"/>
      <c r="AO65" s="348"/>
      <c r="AP65" s="348"/>
      <c r="AQ65" s="348"/>
      <c r="AR65" s="348"/>
      <c r="AS65" s="348"/>
      <c r="AT65" s="348"/>
      <c r="AU65" s="348"/>
      <c r="AV65" s="348"/>
      <c r="AW65" s="348"/>
      <c r="AX65" s="348"/>
      <c r="AY65" s="348"/>
      <c r="AZ65" s="348"/>
      <c r="BA65" s="348"/>
      <c r="BB65" s="348"/>
      <c r="BC65" s="348"/>
      <c r="BD65" s="348"/>
      <c r="BE65" s="348"/>
      <c r="BF65" s="348"/>
      <c r="BG65" s="348"/>
      <c r="BH65" s="348"/>
      <c r="BI65" s="348"/>
      <c r="BJ65" s="348"/>
      <c r="BK65" s="348"/>
      <c r="BL65" s="348"/>
      <c r="BM65" s="348"/>
      <c r="BN65" s="348"/>
      <c r="BO65" s="348"/>
      <c r="BP65" s="348"/>
      <c r="BQ65" s="348"/>
      <c r="BR65" s="348"/>
      <c r="BS65" s="348"/>
      <c r="BT65" s="348"/>
      <c r="BU65" s="348"/>
      <c r="BV65" s="348"/>
      <c r="BW65" s="806" t="s">
        <v>96</v>
      </c>
      <c r="BX65" s="806"/>
      <c r="BY65" s="806"/>
      <c r="BZ65" s="806" t="str">
        <f>IFERROR(__xludf.DUMMYFUNCTION("""COMPUTED_VALUE"""),"")</f>
        <v/>
      </c>
      <c r="CA65" s="806"/>
      <c r="CB65" s="806"/>
      <c r="CC65" s="806"/>
      <c r="CD65" s="806"/>
      <c r="CE65" s="806"/>
      <c r="CF65" s="806"/>
      <c r="CG65" s="806"/>
      <c r="CH65" s="806"/>
      <c r="CI65" s="806"/>
      <c r="CJ65" s="806"/>
      <c r="CK65" s="806"/>
    </row>
    <row r="66">
      <c r="A66" s="348"/>
      <c r="B66" s="348"/>
      <c r="C66" s="236"/>
      <c r="D66" s="348"/>
      <c r="E66" s="348"/>
      <c r="F66" s="348"/>
      <c r="G66" s="348"/>
      <c r="H66" s="348"/>
      <c r="I66" s="348"/>
      <c r="J66" s="348"/>
      <c r="K66" s="348"/>
      <c r="L66" s="348"/>
      <c r="M66" s="348"/>
      <c r="N66" s="348"/>
      <c r="O66" s="348"/>
      <c r="P66" s="348"/>
      <c r="Q66" s="348"/>
      <c r="R66" s="348"/>
      <c r="S66" s="348"/>
      <c r="T66" s="348"/>
      <c r="U66" s="348" t="s">
        <v>96</v>
      </c>
      <c r="V66" s="348" t="s">
        <v>96</v>
      </c>
      <c r="W66" s="348"/>
      <c r="X66" s="348" t="s">
        <v>96</v>
      </c>
      <c r="Y66" s="772" t="s">
        <v>96</v>
      </c>
      <c r="Z66" s="772" t="s">
        <v>96</v>
      </c>
      <c r="AA66" s="348"/>
      <c r="AB66" s="153"/>
      <c r="AC66" s="348"/>
      <c r="AD66" s="348"/>
      <c r="AE66" s="348"/>
      <c r="AF66" s="348"/>
      <c r="AG66" s="348"/>
      <c r="AH66" s="348"/>
      <c r="AI66" s="348"/>
      <c r="AJ66" s="348"/>
      <c r="AK66" s="348"/>
      <c r="AL66" s="348"/>
      <c r="AM66" s="348"/>
      <c r="AN66" s="348"/>
      <c r="AO66" s="348"/>
      <c r="AP66" s="348"/>
      <c r="AQ66" s="348"/>
      <c r="AR66" s="348"/>
      <c r="AS66" s="348"/>
      <c r="AT66" s="348"/>
      <c r="AU66" s="348"/>
      <c r="AV66" s="348"/>
      <c r="AW66" s="348"/>
      <c r="AX66" s="348"/>
      <c r="AY66" s="348"/>
      <c r="AZ66" s="348"/>
      <c r="BA66" s="348"/>
      <c r="BB66" s="348"/>
      <c r="BC66" s="348"/>
      <c r="BD66" s="348"/>
      <c r="BE66" s="348"/>
      <c r="BF66" s="348"/>
      <c r="BG66" s="348"/>
      <c r="BH66" s="348"/>
      <c r="BI66" s="348"/>
      <c r="BJ66" s="348"/>
      <c r="BK66" s="348"/>
      <c r="BL66" s="348"/>
      <c r="BM66" s="348"/>
      <c r="BN66" s="348"/>
      <c r="BO66" s="348"/>
      <c r="BP66" s="348"/>
      <c r="BQ66" s="348"/>
      <c r="BR66" s="348"/>
      <c r="BS66" s="348"/>
      <c r="BT66" s="348"/>
      <c r="BU66" s="348"/>
      <c r="BV66" s="348"/>
      <c r="BW66" s="806" t="s">
        <v>96</v>
      </c>
      <c r="BX66" s="806"/>
      <c r="BY66" s="806"/>
      <c r="BZ66" s="806" t="str">
        <f>IFERROR(__xludf.DUMMYFUNCTION("""COMPUTED_VALUE"""),"")</f>
        <v/>
      </c>
      <c r="CA66" s="806"/>
      <c r="CB66" s="806"/>
      <c r="CC66" s="806"/>
      <c r="CD66" s="806"/>
      <c r="CE66" s="806"/>
      <c r="CF66" s="806"/>
      <c r="CG66" s="806"/>
      <c r="CH66" s="806"/>
      <c r="CI66" s="806"/>
      <c r="CJ66" s="806"/>
      <c r="CK66" s="806"/>
    </row>
    <row r="67">
      <c r="A67" s="348"/>
      <c r="B67" s="348"/>
      <c r="C67" s="236"/>
      <c r="D67" s="348"/>
      <c r="E67" s="348"/>
      <c r="F67" s="348"/>
      <c r="G67" s="348"/>
      <c r="H67" s="348"/>
      <c r="I67" s="348"/>
      <c r="J67" s="348"/>
      <c r="K67" s="348"/>
      <c r="L67" s="348"/>
      <c r="M67" s="348"/>
      <c r="N67" s="348"/>
      <c r="O67" s="348"/>
      <c r="P67" s="348"/>
      <c r="Q67" s="348"/>
      <c r="R67" s="348"/>
      <c r="S67" s="348"/>
      <c r="T67" s="348"/>
      <c r="U67" s="348" t="s">
        <v>96</v>
      </c>
      <c r="V67" s="348" t="s">
        <v>96</v>
      </c>
      <c r="W67" s="348"/>
      <c r="X67" s="348" t="s">
        <v>96</v>
      </c>
      <c r="Y67" s="772" t="s">
        <v>96</v>
      </c>
      <c r="Z67" s="772" t="s">
        <v>96</v>
      </c>
      <c r="AA67" s="348"/>
      <c r="AB67" s="153"/>
      <c r="AC67" s="348"/>
      <c r="AD67" s="348"/>
      <c r="AE67" s="348"/>
      <c r="AF67" s="348"/>
      <c r="AG67" s="348"/>
      <c r="AH67" s="348"/>
      <c r="AI67" s="348"/>
      <c r="AJ67" s="348"/>
      <c r="AK67" s="348"/>
      <c r="AL67" s="348"/>
      <c r="AM67" s="348"/>
      <c r="AN67" s="348"/>
      <c r="AO67" s="348"/>
      <c r="AP67" s="348"/>
      <c r="AQ67" s="348"/>
      <c r="AR67" s="348"/>
      <c r="AS67" s="348"/>
      <c r="AT67" s="348"/>
      <c r="AU67" s="348"/>
      <c r="AV67" s="348"/>
      <c r="AW67" s="348"/>
      <c r="AX67" s="348"/>
      <c r="AY67" s="348"/>
      <c r="AZ67" s="348"/>
      <c r="BA67" s="348"/>
      <c r="BB67" s="348"/>
      <c r="BC67" s="348"/>
      <c r="BD67" s="348"/>
      <c r="BE67" s="348"/>
      <c r="BF67" s="348"/>
      <c r="BG67" s="348"/>
      <c r="BH67" s="348"/>
      <c r="BI67" s="348"/>
      <c r="BJ67" s="348"/>
      <c r="BK67" s="348"/>
      <c r="BL67" s="348"/>
      <c r="BM67" s="348"/>
      <c r="BN67" s="348"/>
      <c r="BO67" s="348"/>
      <c r="BP67" s="348"/>
      <c r="BQ67" s="348"/>
      <c r="BR67" s="348"/>
      <c r="BS67" s="348"/>
      <c r="BT67" s="348"/>
      <c r="BU67" s="348"/>
      <c r="BV67" s="348"/>
      <c r="BW67" s="806" t="s">
        <v>96</v>
      </c>
      <c r="BX67" s="806"/>
      <c r="BY67" s="806"/>
      <c r="BZ67" s="806" t="str">
        <f>IFERROR(__xludf.DUMMYFUNCTION("""COMPUTED_VALUE"""),"")</f>
        <v/>
      </c>
      <c r="CA67" s="806"/>
      <c r="CB67" s="806"/>
      <c r="CC67" s="806"/>
      <c r="CD67" s="806"/>
      <c r="CE67" s="806"/>
      <c r="CF67" s="806"/>
      <c r="CG67" s="806"/>
      <c r="CH67" s="806"/>
      <c r="CI67" s="806"/>
      <c r="CJ67" s="806"/>
      <c r="CK67" s="806"/>
    </row>
    <row r="68">
      <c r="A68" s="348"/>
      <c r="B68" s="348"/>
      <c r="C68" s="236"/>
      <c r="D68" s="348"/>
      <c r="E68" s="348"/>
      <c r="F68" s="348"/>
      <c r="G68" s="348"/>
      <c r="H68" s="348"/>
      <c r="I68" s="348"/>
      <c r="J68" s="348"/>
      <c r="K68" s="348"/>
      <c r="L68" s="348"/>
      <c r="M68" s="348"/>
      <c r="N68" s="348"/>
      <c r="O68" s="348"/>
      <c r="P68" s="348"/>
      <c r="Q68" s="348"/>
      <c r="R68" s="348"/>
      <c r="S68" s="348"/>
      <c r="T68" s="348"/>
      <c r="U68" s="348" t="s">
        <v>96</v>
      </c>
      <c r="V68" s="348" t="s">
        <v>96</v>
      </c>
      <c r="W68" s="348"/>
      <c r="X68" s="348" t="s">
        <v>96</v>
      </c>
      <c r="Y68" s="772" t="s">
        <v>96</v>
      </c>
      <c r="Z68" s="772" t="s">
        <v>96</v>
      </c>
      <c r="AA68" s="348"/>
      <c r="AB68" s="153"/>
      <c r="AC68" s="348"/>
      <c r="AD68" s="348"/>
      <c r="AE68" s="348"/>
      <c r="AF68" s="348"/>
      <c r="AG68" s="348"/>
      <c r="AH68" s="348"/>
      <c r="AI68" s="348"/>
      <c r="AJ68" s="348"/>
      <c r="AK68" s="348"/>
      <c r="AL68" s="348"/>
      <c r="AM68" s="348"/>
      <c r="AN68" s="348"/>
      <c r="AO68" s="348"/>
      <c r="AP68" s="348"/>
      <c r="AQ68" s="348"/>
      <c r="AR68" s="348"/>
      <c r="AS68" s="348"/>
      <c r="AT68" s="348"/>
      <c r="AU68" s="348"/>
      <c r="AV68" s="348"/>
      <c r="AW68" s="348"/>
      <c r="AX68" s="348"/>
      <c r="AY68" s="348"/>
      <c r="AZ68" s="348"/>
      <c r="BA68" s="348"/>
      <c r="BB68" s="348"/>
      <c r="BC68" s="348"/>
      <c r="BD68" s="348"/>
      <c r="BE68" s="348"/>
      <c r="BF68" s="348"/>
      <c r="BG68" s="348"/>
      <c r="BH68" s="348"/>
      <c r="BI68" s="348"/>
      <c r="BJ68" s="348"/>
      <c r="BK68" s="348"/>
      <c r="BL68" s="348"/>
      <c r="BM68" s="348"/>
      <c r="BN68" s="348"/>
      <c r="BO68" s="348"/>
      <c r="BP68" s="348"/>
      <c r="BQ68" s="348"/>
      <c r="BR68" s="348"/>
      <c r="BS68" s="348"/>
      <c r="BT68" s="348"/>
      <c r="BU68" s="348"/>
      <c r="BV68" s="348"/>
      <c r="BW68" s="806" t="s">
        <v>96</v>
      </c>
      <c r="BX68" s="806"/>
      <c r="BY68" s="806"/>
      <c r="BZ68" s="806" t="str">
        <f>IFERROR(__xludf.DUMMYFUNCTION("""COMPUTED_VALUE"""),"")</f>
        <v/>
      </c>
      <c r="CA68" s="806"/>
      <c r="CB68" s="806"/>
      <c r="CC68" s="806"/>
      <c r="CD68" s="806"/>
      <c r="CE68" s="806"/>
      <c r="CF68" s="806"/>
      <c r="CG68" s="806"/>
      <c r="CH68" s="806"/>
      <c r="CI68" s="806"/>
      <c r="CJ68" s="806"/>
      <c r="CK68" s="806"/>
    </row>
    <row r="69">
      <c r="A69" s="348"/>
      <c r="B69" s="348"/>
      <c r="C69" s="236"/>
      <c r="D69" s="348"/>
      <c r="E69" s="348"/>
      <c r="F69" s="348"/>
      <c r="G69" s="348"/>
      <c r="H69" s="348"/>
      <c r="I69" s="348"/>
      <c r="J69" s="348"/>
      <c r="K69" s="348"/>
      <c r="L69" s="348"/>
      <c r="M69" s="348"/>
      <c r="N69" s="348"/>
      <c r="O69" s="348"/>
      <c r="P69" s="348"/>
      <c r="Q69" s="348"/>
      <c r="R69" s="348"/>
      <c r="S69" s="348"/>
      <c r="T69" s="348"/>
      <c r="U69" s="348" t="s">
        <v>96</v>
      </c>
      <c r="V69" s="348" t="s">
        <v>96</v>
      </c>
      <c r="W69" s="348"/>
      <c r="X69" s="348" t="s">
        <v>96</v>
      </c>
      <c r="Y69" s="772" t="s">
        <v>96</v>
      </c>
      <c r="Z69" s="772" t="s">
        <v>96</v>
      </c>
      <c r="AA69" s="348"/>
      <c r="AB69" s="153"/>
      <c r="AC69" s="348"/>
      <c r="AD69" s="348"/>
      <c r="AE69" s="348"/>
      <c r="AF69" s="348"/>
      <c r="AG69" s="348"/>
      <c r="AH69" s="348"/>
      <c r="AI69" s="348"/>
      <c r="AJ69" s="348"/>
      <c r="AK69" s="348"/>
      <c r="AL69" s="348"/>
      <c r="AM69" s="348"/>
      <c r="AN69" s="348"/>
      <c r="AO69" s="348"/>
      <c r="AP69" s="348"/>
      <c r="AQ69" s="348"/>
      <c r="AR69" s="348"/>
      <c r="AS69" s="348"/>
      <c r="AT69" s="348"/>
      <c r="AU69" s="348"/>
      <c r="AV69" s="348"/>
      <c r="AW69" s="348"/>
      <c r="AX69" s="348"/>
      <c r="AY69" s="348"/>
      <c r="AZ69" s="348"/>
      <c r="BA69" s="348"/>
      <c r="BB69" s="348"/>
      <c r="BC69" s="348"/>
      <c r="BD69" s="348"/>
      <c r="BE69" s="348"/>
      <c r="BF69" s="348"/>
      <c r="BG69" s="348"/>
      <c r="BH69" s="348"/>
      <c r="BI69" s="348"/>
      <c r="BJ69" s="348"/>
      <c r="BK69" s="348"/>
      <c r="BL69" s="348"/>
      <c r="BM69" s="348"/>
      <c r="BN69" s="348"/>
      <c r="BO69" s="348"/>
      <c r="BP69" s="348"/>
      <c r="BQ69" s="348"/>
      <c r="BR69" s="348"/>
      <c r="BS69" s="348"/>
      <c r="BT69" s="348"/>
      <c r="BU69" s="348"/>
      <c r="BV69" s="348"/>
      <c r="BW69" s="806" t="s">
        <v>96</v>
      </c>
      <c r="BX69" s="806"/>
      <c r="BY69" s="806"/>
      <c r="BZ69" s="806" t="str">
        <f>IFERROR(__xludf.DUMMYFUNCTION("""COMPUTED_VALUE"""),"")</f>
        <v/>
      </c>
      <c r="CA69" s="806"/>
      <c r="CB69" s="806"/>
      <c r="CC69" s="806"/>
      <c r="CD69" s="806"/>
      <c r="CE69" s="806"/>
      <c r="CF69" s="806"/>
      <c r="CG69" s="806"/>
      <c r="CH69" s="806"/>
      <c r="CI69" s="806"/>
      <c r="CJ69" s="806"/>
      <c r="CK69" s="806"/>
    </row>
    <row r="70">
      <c r="A70" s="348"/>
      <c r="B70" s="348"/>
      <c r="C70" s="236"/>
      <c r="D70" s="348"/>
      <c r="E70" s="348"/>
      <c r="F70" s="348"/>
      <c r="G70" s="348"/>
      <c r="H70" s="348"/>
      <c r="I70" s="348"/>
      <c r="J70" s="348"/>
      <c r="K70" s="348"/>
      <c r="L70" s="348"/>
      <c r="M70" s="348"/>
      <c r="N70" s="348"/>
      <c r="O70" s="348"/>
      <c r="P70" s="348"/>
      <c r="Q70" s="348"/>
      <c r="R70" s="348"/>
      <c r="S70" s="348"/>
      <c r="T70" s="348"/>
      <c r="U70" s="348" t="s">
        <v>96</v>
      </c>
      <c r="V70" s="348" t="s">
        <v>96</v>
      </c>
      <c r="W70" s="348"/>
      <c r="X70" s="348" t="s">
        <v>96</v>
      </c>
      <c r="Y70" s="772" t="s">
        <v>96</v>
      </c>
      <c r="Z70" s="772" t="s">
        <v>96</v>
      </c>
      <c r="AA70" s="348"/>
      <c r="AB70" s="153"/>
      <c r="AC70" s="348"/>
      <c r="AD70" s="348"/>
      <c r="AE70" s="348"/>
      <c r="AF70" s="348"/>
      <c r="AG70" s="348"/>
      <c r="AH70" s="348"/>
      <c r="AI70" s="348"/>
      <c r="AJ70" s="348"/>
      <c r="AK70" s="348"/>
      <c r="AL70" s="348"/>
      <c r="AM70" s="348"/>
      <c r="AN70" s="348"/>
      <c r="AO70" s="348"/>
      <c r="AP70" s="348"/>
      <c r="AQ70" s="348"/>
      <c r="AR70" s="348"/>
      <c r="AS70" s="348"/>
      <c r="AT70" s="348"/>
      <c r="AU70" s="348"/>
      <c r="AV70" s="348"/>
      <c r="AW70" s="348"/>
      <c r="AX70" s="348"/>
      <c r="AY70" s="348"/>
      <c r="AZ70" s="348"/>
      <c r="BA70" s="348"/>
      <c r="BB70" s="348"/>
      <c r="BC70" s="348"/>
      <c r="BD70" s="348"/>
      <c r="BE70" s="348"/>
      <c r="BF70" s="348"/>
      <c r="BG70" s="348"/>
      <c r="BH70" s="348"/>
      <c r="BI70" s="348"/>
      <c r="BJ70" s="348"/>
      <c r="BK70" s="348"/>
      <c r="BL70" s="348"/>
      <c r="BM70" s="348"/>
      <c r="BN70" s="348"/>
      <c r="BO70" s="348"/>
      <c r="BP70" s="348"/>
      <c r="BQ70" s="348"/>
      <c r="BR70" s="348"/>
      <c r="BS70" s="348"/>
      <c r="BT70" s="348"/>
      <c r="BU70" s="348"/>
      <c r="BV70" s="348"/>
      <c r="BW70" s="806" t="s">
        <v>96</v>
      </c>
      <c r="BX70" s="806"/>
      <c r="BY70" s="806"/>
      <c r="BZ70" s="806" t="str">
        <f>IFERROR(__xludf.DUMMYFUNCTION("""COMPUTED_VALUE"""),"")</f>
        <v/>
      </c>
      <c r="CA70" s="806"/>
      <c r="CB70" s="806"/>
      <c r="CC70" s="806"/>
      <c r="CD70" s="806"/>
      <c r="CE70" s="806"/>
      <c r="CF70" s="806"/>
      <c r="CG70" s="806"/>
      <c r="CH70" s="806"/>
      <c r="CI70" s="806"/>
      <c r="CJ70" s="806"/>
      <c r="CK70" s="806"/>
    </row>
    <row r="71">
      <c r="A71" s="348"/>
      <c r="B71" s="348"/>
      <c r="C71" s="236"/>
      <c r="D71" s="348"/>
      <c r="E71" s="348"/>
      <c r="F71" s="348"/>
      <c r="G71" s="348"/>
      <c r="H71" s="348"/>
      <c r="I71" s="348"/>
      <c r="J71" s="348"/>
      <c r="K71" s="348"/>
      <c r="L71" s="348"/>
      <c r="M71" s="348"/>
      <c r="N71" s="348"/>
      <c r="O71" s="348"/>
      <c r="P71" s="348"/>
      <c r="Q71" s="348"/>
      <c r="R71" s="348"/>
      <c r="S71" s="348"/>
      <c r="T71" s="348"/>
      <c r="U71" s="348" t="s">
        <v>96</v>
      </c>
      <c r="V71" s="348" t="s">
        <v>96</v>
      </c>
      <c r="W71" s="348"/>
      <c r="X71" s="348" t="s">
        <v>96</v>
      </c>
      <c r="Y71" s="772" t="s">
        <v>96</v>
      </c>
      <c r="Z71" s="772" t="s">
        <v>96</v>
      </c>
      <c r="AA71" s="348"/>
      <c r="AB71" s="153"/>
      <c r="AC71" s="348"/>
      <c r="AD71" s="348"/>
      <c r="AE71" s="348"/>
      <c r="AF71" s="348"/>
      <c r="AG71" s="348"/>
      <c r="AH71" s="348"/>
      <c r="AI71" s="348"/>
      <c r="AJ71" s="348"/>
      <c r="AK71" s="348"/>
      <c r="AL71" s="348"/>
      <c r="AM71" s="348"/>
      <c r="AN71" s="348"/>
      <c r="AO71" s="348"/>
      <c r="AP71" s="348"/>
      <c r="AQ71" s="348"/>
      <c r="AR71" s="348"/>
      <c r="AS71" s="348"/>
      <c r="AT71" s="348"/>
      <c r="AU71" s="348"/>
      <c r="AV71" s="348"/>
      <c r="AW71" s="348"/>
      <c r="AX71" s="348"/>
      <c r="AY71" s="348"/>
      <c r="AZ71" s="348"/>
      <c r="BA71" s="348"/>
      <c r="BB71" s="348"/>
      <c r="BC71" s="348"/>
      <c r="BD71" s="348"/>
      <c r="BE71" s="348"/>
      <c r="BF71" s="348"/>
      <c r="BG71" s="348"/>
      <c r="BH71" s="348"/>
      <c r="BI71" s="348"/>
      <c r="BJ71" s="348"/>
      <c r="BK71" s="348"/>
      <c r="BL71" s="348"/>
      <c r="BM71" s="348"/>
      <c r="BN71" s="348"/>
      <c r="BO71" s="348"/>
      <c r="BP71" s="348"/>
      <c r="BQ71" s="348"/>
      <c r="BR71" s="348"/>
      <c r="BS71" s="348"/>
      <c r="BT71" s="348"/>
      <c r="BU71" s="348"/>
      <c r="BV71" s="348"/>
      <c r="BW71" s="806" t="s">
        <v>96</v>
      </c>
      <c r="BX71" s="806"/>
      <c r="BY71" s="806"/>
      <c r="BZ71" s="806" t="str">
        <f>IFERROR(__xludf.DUMMYFUNCTION("""COMPUTED_VALUE"""),"")</f>
        <v/>
      </c>
      <c r="CA71" s="806"/>
      <c r="CB71" s="806"/>
      <c r="CC71" s="806"/>
      <c r="CD71" s="806"/>
      <c r="CE71" s="806"/>
      <c r="CF71" s="806"/>
      <c r="CG71" s="806"/>
      <c r="CH71" s="806"/>
      <c r="CI71" s="806"/>
      <c r="CJ71" s="806"/>
      <c r="CK71" s="806"/>
    </row>
    <row r="72">
      <c r="A72" s="348"/>
      <c r="B72" s="348"/>
      <c r="C72" s="236"/>
      <c r="D72" s="348"/>
      <c r="E72" s="348"/>
      <c r="F72" s="348"/>
      <c r="G72" s="348"/>
      <c r="H72" s="348"/>
      <c r="I72" s="348"/>
      <c r="J72" s="348"/>
      <c r="K72" s="348"/>
      <c r="L72" s="348"/>
      <c r="M72" s="348"/>
      <c r="N72" s="348"/>
      <c r="O72" s="348"/>
      <c r="P72" s="348"/>
      <c r="Q72" s="348"/>
      <c r="R72" s="348"/>
      <c r="S72" s="348"/>
      <c r="T72" s="348"/>
      <c r="U72" s="348" t="s">
        <v>96</v>
      </c>
      <c r="V72" s="348" t="s">
        <v>96</v>
      </c>
      <c r="W72" s="348"/>
      <c r="X72" s="348" t="s">
        <v>96</v>
      </c>
      <c r="Y72" s="772" t="s">
        <v>96</v>
      </c>
      <c r="Z72" s="772" t="s">
        <v>96</v>
      </c>
      <c r="AA72" s="348"/>
      <c r="AB72" s="153"/>
      <c r="AC72" s="348"/>
      <c r="AD72" s="348"/>
      <c r="AE72" s="348"/>
      <c r="AF72" s="348"/>
      <c r="AG72" s="348"/>
      <c r="AH72" s="348"/>
      <c r="AI72" s="348"/>
      <c r="AJ72" s="348"/>
      <c r="AK72" s="348"/>
      <c r="AL72" s="348"/>
      <c r="AM72" s="348"/>
      <c r="AN72" s="348"/>
      <c r="AO72" s="348"/>
      <c r="AP72" s="348"/>
      <c r="AQ72" s="348"/>
      <c r="AR72" s="348"/>
      <c r="AS72" s="348"/>
      <c r="AT72" s="348"/>
      <c r="AU72" s="348"/>
      <c r="AV72" s="348"/>
      <c r="AW72" s="348"/>
      <c r="AX72" s="348"/>
      <c r="AY72" s="348"/>
      <c r="AZ72" s="348"/>
      <c r="BA72" s="348"/>
      <c r="BB72" s="348"/>
      <c r="BC72" s="348"/>
      <c r="BD72" s="348"/>
      <c r="BE72" s="348"/>
      <c r="BF72" s="348"/>
      <c r="BG72" s="348"/>
      <c r="BH72" s="348"/>
      <c r="BI72" s="348"/>
      <c r="BJ72" s="348"/>
      <c r="BK72" s="348"/>
      <c r="BL72" s="348"/>
      <c r="BM72" s="348"/>
      <c r="BN72" s="348"/>
      <c r="BO72" s="348"/>
      <c r="BP72" s="348"/>
      <c r="BQ72" s="348"/>
      <c r="BR72" s="348"/>
      <c r="BS72" s="348"/>
      <c r="BT72" s="348"/>
      <c r="BU72" s="348"/>
      <c r="BV72" s="348"/>
      <c r="BW72" s="806" t="s">
        <v>96</v>
      </c>
      <c r="BX72" s="806"/>
      <c r="BY72" s="806"/>
      <c r="BZ72" s="806" t="str">
        <f>IFERROR(__xludf.DUMMYFUNCTION("""COMPUTED_VALUE"""),"")</f>
        <v/>
      </c>
      <c r="CA72" s="806"/>
      <c r="CB72" s="806"/>
      <c r="CC72" s="806"/>
      <c r="CD72" s="806"/>
      <c r="CE72" s="806"/>
      <c r="CF72" s="806"/>
      <c r="CG72" s="806"/>
      <c r="CH72" s="806"/>
      <c r="CI72" s="806"/>
      <c r="CJ72" s="806"/>
      <c r="CK72" s="806"/>
    </row>
    <row r="73">
      <c r="A73" s="348"/>
      <c r="B73" s="348"/>
      <c r="C73" s="236"/>
      <c r="D73" s="348"/>
      <c r="E73" s="348"/>
      <c r="F73" s="348"/>
      <c r="G73" s="348"/>
      <c r="H73" s="348"/>
      <c r="I73" s="348"/>
      <c r="J73" s="348"/>
      <c r="K73" s="348"/>
      <c r="L73" s="348"/>
      <c r="M73" s="348"/>
      <c r="N73" s="348"/>
      <c r="O73" s="348"/>
      <c r="P73" s="348"/>
      <c r="Q73" s="348"/>
      <c r="R73" s="348"/>
      <c r="S73" s="348"/>
      <c r="T73" s="348"/>
      <c r="U73" s="348" t="s">
        <v>96</v>
      </c>
      <c r="V73" s="348" t="s">
        <v>96</v>
      </c>
      <c r="W73" s="348"/>
      <c r="X73" s="348" t="s">
        <v>96</v>
      </c>
      <c r="Y73" s="772" t="s">
        <v>96</v>
      </c>
      <c r="Z73" s="772" t="s">
        <v>96</v>
      </c>
      <c r="AA73" s="348"/>
      <c r="AB73" s="153"/>
      <c r="AC73" s="348"/>
      <c r="AD73" s="348"/>
      <c r="AE73" s="348"/>
      <c r="AF73" s="348"/>
      <c r="AG73" s="348"/>
      <c r="AH73" s="348"/>
      <c r="AI73" s="348"/>
      <c r="AJ73" s="348"/>
      <c r="AK73" s="348"/>
      <c r="AL73" s="348"/>
      <c r="AM73" s="348"/>
      <c r="AN73" s="348"/>
      <c r="AO73" s="348"/>
      <c r="AP73" s="348"/>
      <c r="AQ73" s="348"/>
      <c r="AR73" s="348"/>
      <c r="AS73" s="348"/>
      <c r="AT73" s="348"/>
      <c r="AU73" s="348"/>
      <c r="AV73" s="348"/>
      <c r="AW73" s="348"/>
      <c r="AX73" s="348"/>
      <c r="AY73" s="348"/>
      <c r="AZ73" s="348"/>
      <c r="BA73" s="348"/>
      <c r="BB73" s="348"/>
      <c r="BC73" s="348"/>
      <c r="BD73" s="348"/>
      <c r="BE73" s="348"/>
      <c r="BF73" s="348"/>
      <c r="BG73" s="348"/>
      <c r="BH73" s="348"/>
      <c r="BI73" s="348"/>
      <c r="BJ73" s="348"/>
      <c r="BK73" s="348"/>
      <c r="BL73" s="348"/>
      <c r="BM73" s="348"/>
      <c r="BN73" s="348"/>
      <c r="BO73" s="348"/>
      <c r="BP73" s="348"/>
      <c r="BQ73" s="348"/>
      <c r="BR73" s="348"/>
      <c r="BS73" s="348"/>
      <c r="BT73" s="348"/>
      <c r="BU73" s="348"/>
      <c r="BV73" s="348"/>
      <c r="BW73" s="806" t="s">
        <v>96</v>
      </c>
      <c r="BX73" s="806"/>
      <c r="BY73" s="806"/>
      <c r="BZ73" s="806" t="str">
        <f>IFERROR(__xludf.DUMMYFUNCTION("""COMPUTED_VALUE"""),"")</f>
        <v/>
      </c>
      <c r="CA73" s="806"/>
      <c r="CB73" s="806"/>
      <c r="CC73" s="806"/>
      <c r="CD73" s="806"/>
      <c r="CE73" s="806"/>
      <c r="CF73" s="806"/>
      <c r="CG73" s="806"/>
      <c r="CH73" s="806"/>
      <c r="CI73" s="806"/>
      <c r="CJ73" s="806"/>
      <c r="CK73" s="806"/>
    </row>
    <row r="74">
      <c r="A74" s="348"/>
      <c r="B74" s="348"/>
      <c r="C74" s="236"/>
      <c r="D74" s="348"/>
      <c r="E74" s="348"/>
      <c r="F74" s="348"/>
      <c r="G74" s="348"/>
      <c r="H74" s="348"/>
      <c r="I74" s="348"/>
      <c r="J74" s="348"/>
      <c r="K74" s="348"/>
      <c r="L74" s="348"/>
      <c r="M74" s="348"/>
      <c r="N74" s="348"/>
      <c r="O74" s="348"/>
      <c r="P74" s="348"/>
      <c r="Q74" s="348"/>
      <c r="R74" s="348"/>
      <c r="S74" s="348"/>
      <c r="T74" s="348"/>
      <c r="U74" s="348" t="s">
        <v>96</v>
      </c>
      <c r="V74" s="348" t="s">
        <v>96</v>
      </c>
      <c r="W74" s="348"/>
      <c r="X74" s="348" t="s">
        <v>96</v>
      </c>
      <c r="Y74" s="772" t="s">
        <v>96</v>
      </c>
      <c r="Z74" s="772" t="s">
        <v>96</v>
      </c>
      <c r="AA74" s="348"/>
      <c r="AB74" s="153"/>
      <c r="AC74" s="348"/>
      <c r="AD74" s="348"/>
      <c r="AE74" s="348"/>
      <c r="AF74" s="348"/>
      <c r="AG74" s="348"/>
      <c r="AH74" s="348"/>
      <c r="AI74" s="348"/>
      <c r="AJ74" s="348"/>
      <c r="AK74" s="348"/>
      <c r="AL74" s="348"/>
      <c r="AM74" s="348"/>
      <c r="AN74" s="348"/>
      <c r="AO74" s="348"/>
      <c r="AP74" s="348"/>
      <c r="AQ74" s="348"/>
      <c r="AR74" s="348"/>
      <c r="AS74" s="348"/>
      <c r="AT74" s="348"/>
      <c r="AU74" s="348"/>
      <c r="AV74" s="348"/>
      <c r="AW74" s="348"/>
      <c r="AX74" s="348"/>
      <c r="AY74" s="348"/>
      <c r="AZ74" s="348"/>
      <c r="BA74" s="348"/>
      <c r="BB74" s="348"/>
      <c r="BC74" s="348"/>
      <c r="BD74" s="348"/>
      <c r="BE74" s="348"/>
      <c r="BF74" s="348"/>
      <c r="BG74" s="348"/>
      <c r="BH74" s="348"/>
      <c r="BI74" s="348"/>
      <c r="BJ74" s="348"/>
      <c r="BK74" s="348"/>
      <c r="BL74" s="348"/>
      <c r="BM74" s="348"/>
      <c r="BN74" s="348"/>
      <c r="BO74" s="348"/>
      <c r="BP74" s="348"/>
      <c r="BQ74" s="348"/>
      <c r="BR74" s="348"/>
      <c r="BS74" s="348"/>
      <c r="BT74" s="348"/>
      <c r="BU74" s="348"/>
      <c r="BV74" s="348"/>
      <c r="BW74" s="806" t="s">
        <v>96</v>
      </c>
      <c r="BX74" s="806"/>
      <c r="BY74" s="806"/>
      <c r="BZ74" s="806" t="str">
        <f>IFERROR(__xludf.DUMMYFUNCTION("""COMPUTED_VALUE"""),"")</f>
        <v/>
      </c>
      <c r="CA74" s="806"/>
      <c r="CB74" s="806"/>
      <c r="CC74" s="806"/>
      <c r="CD74" s="806"/>
      <c r="CE74" s="806"/>
      <c r="CF74" s="806"/>
      <c r="CG74" s="806"/>
      <c r="CH74" s="806"/>
      <c r="CI74" s="806"/>
      <c r="CJ74" s="806"/>
      <c r="CK74" s="806"/>
    </row>
    <row r="75">
      <c r="A75" s="348"/>
      <c r="B75" s="348"/>
      <c r="C75" s="236"/>
      <c r="D75" s="348"/>
      <c r="E75" s="348"/>
      <c r="F75" s="348"/>
      <c r="G75" s="348"/>
      <c r="H75" s="348"/>
      <c r="I75" s="348"/>
      <c r="J75" s="348"/>
      <c r="K75" s="348"/>
      <c r="L75" s="348"/>
      <c r="M75" s="348"/>
      <c r="N75" s="348"/>
      <c r="O75" s="348"/>
      <c r="P75" s="348"/>
      <c r="Q75" s="348"/>
      <c r="R75" s="348"/>
      <c r="S75" s="348"/>
      <c r="T75" s="348"/>
      <c r="U75" s="348" t="s">
        <v>96</v>
      </c>
      <c r="V75" s="348" t="s">
        <v>96</v>
      </c>
      <c r="W75" s="348"/>
      <c r="X75" s="348" t="s">
        <v>96</v>
      </c>
      <c r="Y75" s="772" t="s">
        <v>96</v>
      </c>
      <c r="Z75" s="772" t="s">
        <v>96</v>
      </c>
      <c r="AA75" s="348"/>
      <c r="AB75" s="153"/>
      <c r="AC75" s="348"/>
      <c r="AD75" s="348"/>
      <c r="AE75" s="348"/>
      <c r="AF75" s="348"/>
      <c r="AG75" s="348"/>
      <c r="AH75" s="348"/>
      <c r="AI75" s="348"/>
      <c r="AJ75" s="348"/>
      <c r="AK75" s="348"/>
      <c r="AL75" s="348"/>
      <c r="AM75" s="348"/>
      <c r="AN75" s="348"/>
      <c r="AO75" s="348"/>
      <c r="AP75" s="348"/>
      <c r="AQ75" s="348"/>
      <c r="AR75" s="348"/>
      <c r="AS75" s="348"/>
      <c r="AT75" s="348"/>
      <c r="AU75" s="348"/>
      <c r="AV75" s="348"/>
      <c r="AW75" s="348"/>
      <c r="AX75" s="348"/>
      <c r="AY75" s="348"/>
      <c r="AZ75" s="348"/>
      <c r="BA75" s="348"/>
      <c r="BB75" s="348"/>
      <c r="BC75" s="348"/>
      <c r="BD75" s="348"/>
      <c r="BE75" s="348"/>
      <c r="BF75" s="348"/>
      <c r="BG75" s="348"/>
      <c r="BH75" s="348"/>
      <c r="BI75" s="348"/>
      <c r="BJ75" s="348"/>
      <c r="BK75" s="348"/>
      <c r="BL75" s="348"/>
      <c r="BM75" s="348"/>
      <c r="BN75" s="348"/>
      <c r="BO75" s="348"/>
      <c r="BP75" s="348"/>
      <c r="BQ75" s="348"/>
      <c r="BR75" s="348"/>
      <c r="BS75" s="348"/>
      <c r="BT75" s="348"/>
      <c r="BU75" s="348"/>
      <c r="BV75" s="348"/>
      <c r="BW75" s="806" t="s">
        <v>96</v>
      </c>
      <c r="BX75" s="806"/>
      <c r="BY75" s="806"/>
      <c r="BZ75" s="806" t="str">
        <f>IFERROR(__xludf.DUMMYFUNCTION("""COMPUTED_VALUE"""),"")</f>
        <v/>
      </c>
      <c r="CA75" s="806"/>
      <c r="CB75" s="806"/>
      <c r="CC75" s="806"/>
      <c r="CD75" s="806"/>
      <c r="CE75" s="806"/>
      <c r="CF75" s="806"/>
      <c r="CG75" s="806"/>
      <c r="CH75" s="806"/>
      <c r="CI75" s="806"/>
      <c r="CJ75" s="806"/>
      <c r="CK75" s="806"/>
    </row>
    <row r="76">
      <c r="A76" s="348"/>
      <c r="B76" s="348"/>
      <c r="C76" s="236"/>
      <c r="D76" s="348"/>
      <c r="E76" s="348"/>
      <c r="F76" s="348"/>
      <c r="G76" s="348"/>
      <c r="H76" s="348"/>
      <c r="I76" s="348"/>
      <c r="J76" s="348"/>
      <c r="K76" s="348"/>
      <c r="L76" s="348"/>
      <c r="M76" s="348"/>
      <c r="N76" s="348"/>
      <c r="O76" s="348"/>
      <c r="P76" s="348"/>
      <c r="Q76" s="348"/>
      <c r="R76" s="348"/>
      <c r="S76" s="348"/>
      <c r="T76" s="348"/>
      <c r="U76" s="348" t="s">
        <v>96</v>
      </c>
      <c r="V76" s="348" t="s">
        <v>96</v>
      </c>
      <c r="W76" s="348"/>
      <c r="X76" s="348" t="s">
        <v>96</v>
      </c>
      <c r="Y76" s="772" t="s">
        <v>96</v>
      </c>
      <c r="Z76" s="772" t="s">
        <v>96</v>
      </c>
      <c r="AA76" s="348"/>
      <c r="AB76" s="153"/>
      <c r="AC76" s="348"/>
      <c r="AD76" s="348"/>
      <c r="AE76" s="348"/>
      <c r="AF76" s="348"/>
      <c r="AG76" s="348"/>
      <c r="AH76" s="348"/>
      <c r="AI76" s="348"/>
      <c r="AJ76" s="348"/>
      <c r="AK76" s="348"/>
      <c r="AL76" s="348"/>
      <c r="AM76" s="348"/>
      <c r="AN76" s="348"/>
      <c r="AO76" s="348"/>
      <c r="AP76" s="348"/>
      <c r="AQ76" s="348"/>
      <c r="AR76" s="348"/>
      <c r="AS76" s="348"/>
      <c r="AT76" s="348"/>
      <c r="AU76" s="348"/>
      <c r="AV76" s="348"/>
      <c r="AW76" s="348"/>
      <c r="AX76" s="348"/>
      <c r="AY76" s="348"/>
      <c r="AZ76" s="348"/>
      <c r="BA76" s="348"/>
      <c r="BB76" s="348"/>
      <c r="BC76" s="348"/>
      <c r="BD76" s="348"/>
      <c r="BE76" s="348"/>
      <c r="BF76" s="348"/>
      <c r="BG76" s="348"/>
      <c r="BH76" s="348"/>
      <c r="BI76" s="348"/>
      <c r="BJ76" s="348"/>
      <c r="BK76" s="348"/>
      <c r="BL76" s="348"/>
      <c r="BM76" s="348"/>
      <c r="BN76" s="348"/>
      <c r="BO76" s="348"/>
      <c r="BP76" s="348"/>
      <c r="BQ76" s="348"/>
      <c r="BR76" s="348"/>
      <c r="BS76" s="348"/>
      <c r="BT76" s="348"/>
      <c r="BU76" s="348"/>
      <c r="BV76" s="348"/>
      <c r="BW76" s="806" t="s">
        <v>96</v>
      </c>
      <c r="BX76" s="806"/>
      <c r="BY76" s="806"/>
      <c r="BZ76" s="806" t="str">
        <f>IFERROR(__xludf.DUMMYFUNCTION("""COMPUTED_VALUE"""),"")</f>
        <v/>
      </c>
      <c r="CA76" s="806"/>
      <c r="CB76" s="806"/>
      <c r="CC76" s="806"/>
      <c r="CD76" s="806"/>
      <c r="CE76" s="806"/>
      <c r="CF76" s="806"/>
      <c r="CG76" s="806"/>
      <c r="CH76" s="806"/>
      <c r="CI76" s="806"/>
      <c r="CJ76" s="806"/>
      <c r="CK76" s="806"/>
    </row>
    <row r="77">
      <c r="A77" s="348"/>
      <c r="B77" s="348"/>
      <c r="C77" s="236"/>
      <c r="D77" s="348"/>
      <c r="E77" s="348"/>
      <c r="F77" s="348"/>
      <c r="G77" s="348"/>
      <c r="H77" s="348"/>
      <c r="I77" s="348"/>
      <c r="J77" s="348"/>
      <c r="K77" s="348"/>
      <c r="L77" s="348"/>
      <c r="M77" s="348"/>
      <c r="N77" s="348"/>
      <c r="O77" s="348"/>
      <c r="P77" s="348"/>
      <c r="Q77" s="348"/>
      <c r="R77" s="348"/>
      <c r="S77" s="348"/>
      <c r="T77" s="348"/>
      <c r="U77" s="348" t="s">
        <v>96</v>
      </c>
      <c r="V77" s="348" t="s">
        <v>96</v>
      </c>
      <c r="W77" s="348"/>
      <c r="X77" s="348" t="s">
        <v>96</v>
      </c>
      <c r="Y77" s="772" t="s">
        <v>96</v>
      </c>
      <c r="Z77" s="772" t="s">
        <v>96</v>
      </c>
      <c r="AA77" s="348"/>
      <c r="AB77" s="153"/>
      <c r="AC77" s="348"/>
      <c r="AD77" s="348"/>
      <c r="AE77" s="348"/>
      <c r="AF77" s="348"/>
      <c r="AG77" s="348"/>
      <c r="AH77" s="348"/>
      <c r="AI77" s="348"/>
      <c r="AJ77" s="348"/>
      <c r="AK77" s="348"/>
      <c r="AL77" s="348"/>
      <c r="AM77" s="348"/>
      <c r="AN77" s="348"/>
      <c r="AO77" s="348"/>
      <c r="AP77" s="348"/>
      <c r="AQ77" s="348"/>
      <c r="AR77" s="348"/>
      <c r="AS77" s="348"/>
      <c r="AT77" s="348"/>
      <c r="AU77" s="348"/>
      <c r="AV77" s="348"/>
      <c r="AW77" s="348"/>
      <c r="AX77" s="348"/>
      <c r="AY77" s="348"/>
      <c r="AZ77" s="348"/>
      <c r="BA77" s="348"/>
      <c r="BB77" s="348"/>
      <c r="BC77" s="348"/>
      <c r="BD77" s="348"/>
      <c r="BE77" s="348"/>
      <c r="BF77" s="348"/>
      <c r="BG77" s="348"/>
      <c r="BH77" s="348"/>
      <c r="BI77" s="348"/>
      <c r="BJ77" s="348"/>
      <c r="BK77" s="348"/>
      <c r="BL77" s="348"/>
      <c r="BM77" s="348"/>
      <c r="BN77" s="348"/>
      <c r="BO77" s="348"/>
      <c r="BP77" s="348"/>
      <c r="BQ77" s="348"/>
      <c r="BR77" s="348"/>
      <c r="BS77" s="348"/>
      <c r="BT77" s="348"/>
      <c r="BU77" s="348"/>
      <c r="BV77" s="348"/>
      <c r="BW77" s="806" t="s">
        <v>96</v>
      </c>
      <c r="BX77" s="806"/>
      <c r="BY77" s="806"/>
      <c r="BZ77" s="806" t="str">
        <f>IFERROR(__xludf.DUMMYFUNCTION("""COMPUTED_VALUE"""),"")</f>
        <v/>
      </c>
      <c r="CA77" s="806"/>
      <c r="CB77" s="806"/>
      <c r="CC77" s="806"/>
      <c r="CD77" s="806"/>
      <c r="CE77" s="806"/>
      <c r="CF77" s="806"/>
      <c r="CG77" s="806"/>
      <c r="CH77" s="806"/>
      <c r="CI77" s="806"/>
      <c r="CJ77" s="806"/>
      <c r="CK77" s="806"/>
    </row>
    <row r="78">
      <c r="A78" s="348"/>
      <c r="B78" s="348"/>
      <c r="C78" s="236"/>
      <c r="D78" s="348"/>
      <c r="E78" s="348"/>
      <c r="F78" s="348"/>
      <c r="G78" s="348"/>
      <c r="H78" s="348"/>
      <c r="I78" s="348"/>
      <c r="J78" s="348"/>
      <c r="K78" s="348"/>
      <c r="L78" s="348"/>
      <c r="M78" s="348"/>
      <c r="N78" s="348"/>
      <c r="O78" s="348"/>
      <c r="P78" s="348"/>
      <c r="Q78" s="348"/>
      <c r="R78" s="348"/>
      <c r="S78" s="348"/>
      <c r="T78" s="348"/>
      <c r="U78" s="348" t="s">
        <v>96</v>
      </c>
      <c r="V78" s="348" t="s">
        <v>96</v>
      </c>
      <c r="W78" s="348"/>
      <c r="X78" s="348" t="s">
        <v>96</v>
      </c>
      <c r="Y78" s="772" t="s">
        <v>96</v>
      </c>
      <c r="Z78" s="772" t="s">
        <v>96</v>
      </c>
      <c r="AA78" s="348"/>
      <c r="AB78" s="153"/>
      <c r="AC78" s="348"/>
      <c r="AD78" s="348"/>
      <c r="AE78" s="348"/>
      <c r="AF78" s="348"/>
      <c r="AG78" s="348"/>
      <c r="AH78" s="348"/>
      <c r="AI78" s="348"/>
      <c r="AJ78" s="348"/>
      <c r="AK78" s="348"/>
      <c r="AL78" s="348"/>
      <c r="AM78" s="348"/>
      <c r="AN78" s="348"/>
      <c r="AO78" s="348"/>
      <c r="AP78" s="348"/>
      <c r="AQ78" s="348"/>
      <c r="AR78" s="348"/>
      <c r="AS78" s="348"/>
      <c r="AT78" s="348"/>
      <c r="AU78" s="348"/>
      <c r="AV78" s="348"/>
      <c r="AW78" s="348"/>
      <c r="AX78" s="348"/>
      <c r="AY78" s="348"/>
      <c r="AZ78" s="348"/>
      <c r="BA78" s="348"/>
      <c r="BB78" s="348"/>
      <c r="BC78" s="348"/>
      <c r="BD78" s="348"/>
      <c r="BE78" s="348"/>
      <c r="BF78" s="348"/>
      <c r="BG78" s="348"/>
      <c r="BH78" s="348"/>
      <c r="BI78" s="348"/>
      <c r="BJ78" s="348"/>
      <c r="BK78" s="348"/>
      <c r="BL78" s="348"/>
      <c r="BM78" s="348"/>
      <c r="BN78" s="348"/>
      <c r="BO78" s="348"/>
      <c r="BP78" s="348"/>
      <c r="BQ78" s="348"/>
      <c r="BR78" s="348"/>
      <c r="BS78" s="348"/>
      <c r="BT78" s="348"/>
      <c r="BU78" s="348"/>
      <c r="BV78" s="348"/>
      <c r="BW78" s="806" t="s">
        <v>96</v>
      </c>
      <c r="BX78" s="806"/>
      <c r="BY78" s="806"/>
      <c r="BZ78" s="806" t="str">
        <f>IFERROR(__xludf.DUMMYFUNCTION("""COMPUTED_VALUE"""),"")</f>
        <v/>
      </c>
      <c r="CA78" s="806"/>
      <c r="CB78" s="806"/>
      <c r="CC78" s="806"/>
      <c r="CD78" s="806"/>
      <c r="CE78" s="806"/>
      <c r="CF78" s="806"/>
      <c r="CG78" s="806"/>
      <c r="CH78" s="806"/>
      <c r="CI78" s="806"/>
      <c r="CJ78" s="806"/>
      <c r="CK78" s="806"/>
    </row>
    <row r="79">
      <c r="A79" s="348"/>
      <c r="B79" s="348"/>
      <c r="C79" s="236"/>
      <c r="D79" s="348"/>
      <c r="E79" s="348"/>
      <c r="F79" s="348"/>
      <c r="G79" s="348"/>
      <c r="H79" s="348"/>
      <c r="I79" s="348"/>
      <c r="J79" s="348"/>
      <c r="K79" s="348"/>
      <c r="L79" s="348"/>
      <c r="M79" s="348"/>
      <c r="N79" s="348"/>
      <c r="O79" s="348"/>
      <c r="P79" s="348"/>
      <c r="Q79" s="348"/>
      <c r="R79" s="348"/>
      <c r="S79" s="348"/>
      <c r="T79" s="348"/>
      <c r="U79" s="348" t="s">
        <v>96</v>
      </c>
      <c r="V79" s="348" t="s">
        <v>96</v>
      </c>
      <c r="W79" s="348"/>
      <c r="X79" s="348" t="s">
        <v>96</v>
      </c>
      <c r="Y79" s="772" t="s">
        <v>96</v>
      </c>
      <c r="Z79" s="772" t="s">
        <v>96</v>
      </c>
      <c r="AA79" s="348"/>
      <c r="AB79" s="153"/>
      <c r="AC79" s="348"/>
      <c r="AD79" s="348"/>
      <c r="AE79" s="348"/>
      <c r="AF79" s="348"/>
      <c r="AG79" s="348"/>
      <c r="AH79" s="348"/>
      <c r="AI79" s="348"/>
      <c r="AJ79" s="348"/>
      <c r="AK79" s="348"/>
      <c r="AL79" s="348"/>
      <c r="AM79" s="348"/>
      <c r="AN79" s="348"/>
      <c r="AO79" s="348"/>
      <c r="AP79" s="348"/>
      <c r="AQ79" s="348"/>
      <c r="AR79" s="348"/>
      <c r="AS79" s="348"/>
      <c r="AT79" s="348"/>
      <c r="AU79" s="348"/>
      <c r="AV79" s="348"/>
      <c r="AW79" s="348"/>
      <c r="AX79" s="348"/>
      <c r="AY79" s="348"/>
      <c r="AZ79" s="348"/>
      <c r="BA79" s="348"/>
      <c r="BB79" s="348"/>
      <c r="BC79" s="348"/>
      <c r="BD79" s="348"/>
      <c r="BE79" s="348"/>
      <c r="BF79" s="348"/>
      <c r="BG79" s="348"/>
      <c r="BH79" s="348"/>
      <c r="BI79" s="348"/>
      <c r="BJ79" s="348"/>
      <c r="BK79" s="348"/>
      <c r="BL79" s="348"/>
      <c r="BM79" s="348"/>
      <c r="BN79" s="348"/>
      <c r="BO79" s="348"/>
      <c r="BP79" s="348"/>
      <c r="BQ79" s="348"/>
      <c r="BR79" s="348"/>
      <c r="BS79" s="348"/>
      <c r="BT79" s="348"/>
      <c r="BU79" s="348"/>
      <c r="BV79" s="348"/>
      <c r="BW79" s="806" t="s">
        <v>96</v>
      </c>
      <c r="BX79" s="806"/>
      <c r="BY79" s="806"/>
      <c r="BZ79" s="806" t="str">
        <f>IFERROR(__xludf.DUMMYFUNCTION("""COMPUTED_VALUE"""),"")</f>
        <v/>
      </c>
      <c r="CA79" s="806"/>
      <c r="CB79" s="806"/>
      <c r="CC79" s="806"/>
      <c r="CD79" s="806"/>
      <c r="CE79" s="806"/>
      <c r="CF79" s="806"/>
      <c r="CG79" s="806"/>
      <c r="CH79" s="806"/>
      <c r="CI79" s="806"/>
      <c r="CJ79" s="806"/>
      <c r="CK79" s="806"/>
    </row>
    <row r="80">
      <c r="A80" s="348"/>
      <c r="B80" s="348"/>
      <c r="C80" s="236"/>
      <c r="D80" s="348"/>
      <c r="E80" s="348"/>
      <c r="F80" s="348"/>
      <c r="G80" s="348"/>
      <c r="H80" s="348"/>
      <c r="I80" s="348"/>
      <c r="J80" s="348"/>
      <c r="K80" s="348"/>
      <c r="L80" s="348"/>
      <c r="M80" s="348"/>
      <c r="N80" s="348"/>
      <c r="O80" s="348"/>
      <c r="P80" s="348"/>
      <c r="Q80" s="348"/>
      <c r="R80" s="348"/>
      <c r="S80" s="348"/>
      <c r="T80" s="348"/>
      <c r="U80" s="348" t="s">
        <v>96</v>
      </c>
      <c r="V80" s="348" t="s">
        <v>96</v>
      </c>
      <c r="W80" s="348"/>
      <c r="X80" s="348" t="s">
        <v>96</v>
      </c>
      <c r="Y80" s="772" t="s">
        <v>96</v>
      </c>
      <c r="Z80" s="772" t="s">
        <v>96</v>
      </c>
      <c r="AA80" s="348"/>
      <c r="AB80" s="153"/>
      <c r="AC80" s="348"/>
      <c r="AD80" s="348"/>
      <c r="AE80" s="348"/>
      <c r="AF80" s="348"/>
      <c r="AG80" s="348"/>
      <c r="AH80" s="348"/>
      <c r="AI80" s="348"/>
      <c r="AJ80" s="348"/>
      <c r="AK80" s="348"/>
      <c r="AL80" s="348"/>
      <c r="AM80" s="348"/>
      <c r="AN80" s="348"/>
      <c r="AO80" s="348"/>
      <c r="AP80" s="348"/>
      <c r="AQ80" s="348"/>
      <c r="AR80" s="348"/>
      <c r="AS80" s="348"/>
      <c r="AT80" s="348"/>
      <c r="AU80" s="348"/>
      <c r="AV80" s="348"/>
      <c r="AW80" s="348"/>
      <c r="AX80" s="348"/>
      <c r="AY80" s="348"/>
      <c r="AZ80" s="348"/>
      <c r="BA80" s="348"/>
      <c r="BB80" s="348"/>
      <c r="BC80" s="348"/>
      <c r="BD80" s="348"/>
      <c r="BE80" s="348"/>
      <c r="BF80" s="348"/>
      <c r="BG80" s="348"/>
      <c r="BH80" s="348"/>
      <c r="BI80" s="348"/>
      <c r="BJ80" s="348"/>
      <c r="BK80" s="348"/>
      <c r="BL80" s="348"/>
      <c r="BM80" s="348"/>
      <c r="BN80" s="348"/>
      <c r="BO80" s="348"/>
      <c r="BP80" s="348"/>
      <c r="BQ80" s="348"/>
      <c r="BR80" s="348"/>
      <c r="BS80" s="348"/>
      <c r="BT80" s="348"/>
      <c r="BU80" s="348"/>
      <c r="BV80" s="348"/>
      <c r="BW80" s="806" t="s">
        <v>96</v>
      </c>
      <c r="BX80" s="806"/>
      <c r="BY80" s="806"/>
      <c r="BZ80" s="806" t="str">
        <f>IFERROR(__xludf.DUMMYFUNCTION("""COMPUTED_VALUE"""),"")</f>
        <v/>
      </c>
      <c r="CA80" s="806"/>
      <c r="CB80" s="806"/>
      <c r="CC80" s="806"/>
      <c r="CD80" s="806"/>
      <c r="CE80" s="806"/>
      <c r="CF80" s="806"/>
      <c r="CG80" s="806"/>
      <c r="CH80" s="806"/>
      <c r="CI80" s="806"/>
      <c r="CJ80" s="806"/>
      <c r="CK80" s="806"/>
    </row>
    <row r="81">
      <c r="A81" s="348"/>
      <c r="B81" s="348"/>
      <c r="C81" s="236"/>
      <c r="D81" s="348"/>
      <c r="E81" s="348"/>
      <c r="F81" s="348"/>
      <c r="G81" s="348"/>
      <c r="H81" s="348"/>
      <c r="I81" s="348"/>
      <c r="J81" s="348"/>
      <c r="K81" s="348"/>
      <c r="L81" s="348"/>
      <c r="M81" s="348"/>
      <c r="N81" s="348"/>
      <c r="O81" s="348"/>
      <c r="P81" s="348"/>
      <c r="Q81" s="348"/>
      <c r="R81" s="348"/>
      <c r="S81" s="348"/>
      <c r="T81" s="348"/>
      <c r="U81" s="348" t="s">
        <v>96</v>
      </c>
      <c r="V81" s="348" t="s">
        <v>96</v>
      </c>
      <c r="W81" s="348"/>
      <c r="X81" s="348" t="s">
        <v>96</v>
      </c>
      <c r="Y81" s="772" t="s">
        <v>96</v>
      </c>
      <c r="Z81" s="772" t="s">
        <v>96</v>
      </c>
      <c r="AA81" s="348"/>
      <c r="AB81" s="153"/>
      <c r="AC81" s="348"/>
      <c r="AD81" s="348"/>
      <c r="AE81" s="348"/>
      <c r="AF81" s="348"/>
      <c r="AG81" s="348"/>
      <c r="AH81" s="348"/>
      <c r="AI81" s="348"/>
      <c r="AJ81" s="348"/>
      <c r="AK81" s="348"/>
      <c r="AL81" s="348"/>
      <c r="AM81" s="348"/>
      <c r="AN81" s="348"/>
      <c r="AO81" s="348"/>
      <c r="AP81" s="348"/>
      <c r="AQ81" s="348"/>
      <c r="AR81" s="348"/>
      <c r="AS81" s="348"/>
      <c r="AT81" s="348"/>
      <c r="AU81" s="348"/>
      <c r="AV81" s="348"/>
      <c r="AW81" s="348"/>
      <c r="AX81" s="348"/>
      <c r="AY81" s="348"/>
      <c r="AZ81" s="348"/>
      <c r="BA81" s="348"/>
      <c r="BB81" s="348"/>
      <c r="BC81" s="348"/>
      <c r="BD81" s="348"/>
      <c r="BE81" s="348"/>
      <c r="BF81" s="348"/>
      <c r="BG81" s="348"/>
      <c r="BH81" s="348"/>
      <c r="BI81" s="348"/>
      <c r="BJ81" s="348"/>
      <c r="BK81" s="348"/>
      <c r="BL81" s="348"/>
      <c r="BM81" s="348"/>
      <c r="BN81" s="348"/>
      <c r="BO81" s="348"/>
      <c r="BP81" s="348"/>
      <c r="BQ81" s="348"/>
      <c r="BR81" s="348"/>
      <c r="BS81" s="348"/>
      <c r="BT81" s="348"/>
      <c r="BU81" s="348"/>
      <c r="BV81" s="348"/>
      <c r="BW81" s="806" t="s">
        <v>96</v>
      </c>
      <c r="BX81" s="806"/>
      <c r="BY81" s="806"/>
      <c r="BZ81" s="806" t="str">
        <f>IFERROR(__xludf.DUMMYFUNCTION("""COMPUTED_VALUE"""),"")</f>
        <v/>
      </c>
      <c r="CA81" s="806"/>
      <c r="CB81" s="806"/>
      <c r="CC81" s="806"/>
      <c r="CD81" s="806"/>
      <c r="CE81" s="806"/>
      <c r="CF81" s="806"/>
      <c r="CG81" s="806"/>
      <c r="CH81" s="806"/>
      <c r="CI81" s="806"/>
      <c r="CJ81" s="806"/>
      <c r="CK81" s="806"/>
    </row>
    <row r="82">
      <c r="A82" s="348"/>
      <c r="B82" s="348"/>
      <c r="C82" s="236"/>
      <c r="D82" s="348"/>
      <c r="E82" s="348"/>
      <c r="F82" s="348"/>
      <c r="G82" s="348"/>
      <c r="H82" s="348"/>
      <c r="I82" s="348"/>
      <c r="J82" s="348"/>
      <c r="K82" s="348"/>
      <c r="L82" s="348"/>
      <c r="M82" s="348"/>
      <c r="N82" s="348"/>
      <c r="O82" s="348"/>
      <c r="P82" s="348"/>
      <c r="Q82" s="348"/>
      <c r="R82" s="348"/>
      <c r="S82" s="348"/>
      <c r="T82" s="348"/>
      <c r="U82" s="348" t="s">
        <v>96</v>
      </c>
      <c r="V82" s="348" t="s">
        <v>96</v>
      </c>
      <c r="W82" s="348"/>
      <c r="X82" s="348" t="s">
        <v>96</v>
      </c>
      <c r="Y82" s="772" t="s">
        <v>96</v>
      </c>
      <c r="Z82" s="772" t="s">
        <v>96</v>
      </c>
      <c r="AA82" s="348"/>
      <c r="AB82" s="153"/>
      <c r="AC82" s="348"/>
      <c r="AD82" s="348"/>
      <c r="AE82" s="348"/>
      <c r="AF82" s="348"/>
      <c r="AG82" s="348"/>
      <c r="AH82" s="348"/>
      <c r="AI82" s="348"/>
      <c r="AJ82" s="348"/>
      <c r="AK82" s="348"/>
      <c r="AL82" s="348"/>
      <c r="AM82" s="348"/>
      <c r="AN82" s="348"/>
      <c r="AO82" s="348"/>
      <c r="AP82" s="348"/>
      <c r="AQ82" s="348"/>
      <c r="AR82" s="348"/>
      <c r="AS82" s="348"/>
      <c r="AT82" s="348"/>
      <c r="AU82" s="348"/>
      <c r="AV82" s="348"/>
      <c r="AW82" s="348"/>
      <c r="AX82" s="348"/>
      <c r="AY82" s="348"/>
      <c r="AZ82" s="348"/>
      <c r="BA82" s="348"/>
      <c r="BB82" s="348"/>
      <c r="BC82" s="348"/>
      <c r="BD82" s="348"/>
      <c r="BE82" s="348"/>
      <c r="BF82" s="348"/>
      <c r="BG82" s="348"/>
      <c r="BH82" s="348"/>
      <c r="BI82" s="348"/>
      <c r="BJ82" s="348"/>
      <c r="BK82" s="348"/>
      <c r="BL82" s="348"/>
      <c r="BM82" s="348"/>
      <c r="BN82" s="348"/>
      <c r="BO82" s="348"/>
      <c r="BP82" s="348"/>
      <c r="BQ82" s="348"/>
      <c r="BR82" s="348"/>
      <c r="BS82" s="348"/>
      <c r="BT82" s="348"/>
      <c r="BU82" s="348"/>
      <c r="BV82" s="348"/>
      <c r="BW82" s="806" t="s">
        <v>96</v>
      </c>
      <c r="BX82" s="806"/>
      <c r="BY82" s="806"/>
      <c r="BZ82" s="806" t="str">
        <f>IFERROR(__xludf.DUMMYFUNCTION("""COMPUTED_VALUE"""),"")</f>
        <v/>
      </c>
      <c r="CA82" s="806"/>
      <c r="CB82" s="806"/>
      <c r="CC82" s="806"/>
      <c r="CD82" s="806"/>
      <c r="CE82" s="806"/>
      <c r="CF82" s="806"/>
      <c r="CG82" s="806"/>
      <c r="CH82" s="806"/>
      <c r="CI82" s="806"/>
      <c r="CJ82" s="806"/>
      <c r="CK82" s="806"/>
    </row>
    <row r="83">
      <c r="A83" s="348"/>
      <c r="B83" s="348"/>
      <c r="C83" s="236"/>
      <c r="D83" s="348"/>
      <c r="E83" s="348"/>
      <c r="F83" s="348"/>
      <c r="G83" s="348"/>
      <c r="H83" s="348"/>
      <c r="I83" s="348"/>
      <c r="J83" s="348"/>
      <c r="K83" s="348"/>
      <c r="L83" s="348"/>
      <c r="M83" s="348"/>
      <c r="N83" s="348"/>
      <c r="O83" s="348"/>
      <c r="P83" s="348"/>
      <c r="Q83" s="348"/>
      <c r="R83" s="348"/>
      <c r="S83" s="348"/>
      <c r="T83" s="348"/>
      <c r="U83" s="348" t="s">
        <v>96</v>
      </c>
      <c r="V83" s="348" t="s">
        <v>96</v>
      </c>
      <c r="W83" s="348"/>
      <c r="X83" s="348" t="s">
        <v>96</v>
      </c>
      <c r="Y83" s="772" t="s">
        <v>96</v>
      </c>
      <c r="Z83" s="772" t="s">
        <v>96</v>
      </c>
      <c r="AA83" s="348"/>
      <c r="AB83" s="153"/>
      <c r="AC83" s="348"/>
      <c r="AD83" s="348"/>
      <c r="AE83" s="348"/>
      <c r="AF83" s="348"/>
      <c r="AG83" s="348"/>
      <c r="AH83" s="348"/>
      <c r="AI83" s="348"/>
      <c r="AJ83" s="348"/>
      <c r="AK83" s="348"/>
      <c r="AL83" s="348"/>
      <c r="AM83" s="348"/>
      <c r="AN83" s="348"/>
      <c r="AO83" s="348"/>
      <c r="AP83" s="348"/>
      <c r="AQ83" s="348"/>
      <c r="AR83" s="348"/>
      <c r="AS83" s="348"/>
      <c r="AT83" s="348"/>
      <c r="AU83" s="348"/>
      <c r="AV83" s="348"/>
      <c r="AW83" s="348"/>
      <c r="AX83" s="348"/>
      <c r="AY83" s="348"/>
      <c r="AZ83" s="348"/>
      <c r="BA83" s="348"/>
      <c r="BB83" s="348"/>
      <c r="BC83" s="348"/>
      <c r="BD83" s="348"/>
      <c r="BE83" s="348"/>
      <c r="BF83" s="348"/>
      <c r="BG83" s="348"/>
      <c r="BH83" s="348"/>
      <c r="BI83" s="348"/>
      <c r="BJ83" s="348"/>
      <c r="BK83" s="348"/>
      <c r="BL83" s="348"/>
      <c r="BM83" s="348"/>
      <c r="BN83" s="348"/>
      <c r="BO83" s="348"/>
      <c r="BP83" s="348"/>
      <c r="BQ83" s="348"/>
      <c r="BR83" s="348"/>
      <c r="BS83" s="348"/>
      <c r="BT83" s="348"/>
      <c r="BU83" s="348"/>
      <c r="BV83" s="348"/>
      <c r="BW83" s="806" t="s">
        <v>96</v>
      </c>
      <c r="BX83" s="806"/>
      <c r="BY83" s="806"/>
      <c r="BZ83" s="806" t="str">
        <f>IFERROR(__xludf.DUMMYFUNCTION("""COMPUTED_VALUE"""),"")</f>
        <v/>
      </c>
      <c r="CA83" s="806"/>
      <c r="CB83" s="806"/>
      <c r="CC83" s="806"/>
      <c r="CD83" s="806"/>
      <c r="CE83" s="806"/>
      <c r="CF83" s="806"/>
      <c r="CG83" s="806"/>
      <c r="CH83" s="806"/>
      <c r="CI83" s="806"/>
      <c r="CJ83" s="806"/>
      <c r="CK83" s="806"/>
    </row>
    <row r="84">
      <c r="A84" s="348"/>
      <c r="B84" s="348"/>
      <c r="C84" s="236"/>
      <c r="D84" s="348"/>
      <c r="E84" s="348"/>
      <c r="F84" s="348"/>
      <c r="G84" s="348"/>
      <c r="H84" s="348"/>
      <c r="I84" s="348"/>
      <c r="J84" s="348"/>
      <c r="K84" s="348"/>
      <c r="L84" s="348"/>
      <c r="M84" s="348"/>
      <c r="N84" s="348"/>
      <c r="O84" s="348"/>
      <c r="P84" s="348"/>
      <c r="Q84" s="348"/>
      <c r="R84" s="348"/>
      <c r="S84" s="348"/>
      <c r="T84" s="348"/>
      <c r="U84" s="348" t="s">
        <v>96</v>
      </c>
      <c r="V84" s="348" t="s">
        <v>96</v>
      </c>
      <c r="W84" s="348"/>
      <c r="X84" s="348" t="s">
        <v>96</v>
      </c>
      <c r="Y84" s="772" t="s">
        <v>96</v>
      </c>
      <c r="Z84" s="772" t="s">
        <v>96</v>
      </c>
      <c r="AA84" s="348"/>
      <c r="AB84" s="153"/>
      <c r="AC84" s="348"/>
      <c r="AD84" s="348"/>
      <c r="AE84" s="348"/>
      <c r="AF84" s="348"/>
      <c r="AG84" s="348"/>
      <c r="AH84" s="348"/>
      <c r="AI84" s="348"/>
      <c r="AJ84" s="348"/>
      <c r="AK84" s="348"/>
      <c r="AL84" s="348"/>
      <c r="AM84" s="348"/>
      <c r="AN84" s="348"/>
      <c r="AO84" s="348"/>
      <c r="AP84" s="348"/>
      <c r="AQ84" s="348"/>
      <c r="AR84" s="348"/>
      <c r="AS84" s="348"/>
      <c r="AT84" s="348"/>
      <c r="AU84" s="348"/>
      <c r="AV84" s="348"/>
      <c r="AW84" s="348"/>
      <c r="AX84" s="348"/>
      <c r="AY84" s="348"/>
      <c r="AZ84" s="348"/>
      <c r="BA84" s="348"/>
      <c r="BB84" s="348"/>
      <c r="BC84" s="348"/>
      <c r="BD84" s="348"/>
      <c r="BE84" s="348"/>
      <c r="BF84" s="348"/>
      <c r="BG84" s="348"/>
      <c r="BH84" s="348"/>
      <c r="BI84" s="348"/>
      <c r="BJ84" s="348"/>
      <c r="BK84" s="348"/>
      <c r="BL84" s="348"/>
      <c r="BM84" s="348"/>
      <c r="BN84" s="348"/>
      <c r="BO84" s="348"/>
      <c r="BP84" s="348"/>
      <c r="BQ84" s="348"/>
      <c r="BR84" s="348"/>
      <c r="BS84" s="348"/>
      <c r="BT84" s="348"/>
      <c r="BU84" s="348"/>
      <c r="BV84" s="348"/>
      <c r="BW84" s="806" t="s">
        <v>96</v>
      </c>
      <c r="BX84" s="806"/>
      <c r="BY84" s="806"/>
      <c r="BZ84" s="806" t="str">
        <f>IFERROR(__xludf.DUMMYFUNCTION("""COMPUTED_VALUE"""),"")</f>
        <v/>
      </c>
      <c r="CA84" s="806"/>
      <c r="CB84" s="806"/>
      <c r="CC84" s="806"/>
      <c r="CD84" s="806"/>
      <c r="CE84" s="806"/>
      <c r="CF84" s="806"/>
      <c r="CG84" s="806"/>
      <c r="CH84" s="806"/>
      <c r="CI84" s="806"/>
      <c r="CJ84" s="806"/>
      <c r="CK84" s="806"/>
    </row>
    <row r="85">
      <c r="A85" s="348"/>
      <c r="B85" s="348"/>
      <c r="C85" s="236"/>
      <c r="D85" s="348"/>
      <c r="E85" s="348"/>
      <c r="F85" s="348"/>
      <c r="G85" s="348"/>
      <c r="H85" s="348"/>
      <c r="I85" s="348"/>
      <c r="J85" s="348"/>
      <c r="K85" s="348"/>
      <c r="L85" s="348"/>
      <c r="M85" s="348"/>
      <c r="N85" s="348"/>
      <c r="O85" s="348"/>
      <c r="P85" s="348"/>
      <c r="Q85" s="348"/>
      <c r="R85" s="348"/>
      <c r="S85" s="348"/>
      <c r="T85" s="348"/>
      <c r="U85" s="348" t="s">
        <v>96</v>
      </c>
      <c r="V85" s="348" t="s">
        <v>96</v>
      </c>
      <c r="W85" s="348"/>
      <c r="X85" s="348" t="s">
        <v>96</v>
      </c>
      <c r="Y85" s="772" t="s">
        <v>96</v>
      </c>
      <c r="Z85" s="772" t="s">
        <v>96</v>
      </c>
      <c r="AA85" s="348"/>
      <c r="AB85" s="153"/>
      <c r="AC85" s="348"/>
      <c r="AD85" s="348"/>
      <c r="AE85" s="348"/>
      <c r="AF85" s="348"/>
      <c r="AG85" s="348"/>
      <c r="AH85" s="348"/>
      <c r="AI85" s="348"/>
      <c r="AJ85" s="348"/>
      <c r="AK85" s="348"/>
      <c r="AL85" s="348"/>
      <c r="AM85" s="348"/>
      <c r="AN85" s="348"/>
      <c r="AO85" s="348"/>
      <c r="AP85" s="348"/>
      <c r="AQ85" s="348"/>
      <c r="AR85" s="348"/>
      <c r="AS85" s="348"/>
      <c r="AT85" s="348"/>
      <c r="AU85" s="348"/>
      <c r="AV85" s="348"/>
      <c r="AW85" s="348"/>
      <c r="AX85" s="348"/>
      <c r="AY85" s="348"/>
      <c r="AZ85" s="348"/>
      <c r="BA85" s="348"/>
      <c r="BB85" s="348"/>
      <c r="BC85" s="348"/>
      <c r="BD85" s="348"/>
      <c r="BE85" s="348"/>
      <c r="BF85" s="348"/>
      <c r="BG85" s="348"/>
      <c r="BH85" s="348"/>
      <c r="BI85" s="348"/>
      <c r="BJ85" s="348"/>
      <c r="BK85" s="348"/>
      <c r="BL85" s="348"/>
      <c r="BM85" s="348"/>
      <c r="BN85" s="348"/>
      <c r="BO85" s="348"/>
      <c r="BP85" s="348"/>
      <c r="BQ85" s="348"/>
      <c r="BR85" s="348"/>
      <c r="BS85" s="348"/>
      <c r="BT85" s="348"/>
      <c r="BU85" s="348"/>
      <c r="BV85" s="348"/>
      <c r="BW85" s="806" t="s">
        <v>96</v>
      </c>
      <c r="BX85" s="806"/>
      <c r="BY85" s="806"/>
      <c r="BZ85" s="806" t="str">
        <f>IFERROR(__xludf.DUMMYFUNCTION("""COMPUTED_VALUE"""),"")</f>
        <v/>
      </c>
      <c r="CA85" s="806"/>
      <c r="CB85" s="806"/>
      <c r="CC85" s="806"/>
      <c r="CD85" s="806"/>
      <c r="CE85" s="806"/>
      <c r="CF85" s="806"/>
      <c r="CG85" s="806"/>
      <c r="CH85" s="806"/>
      <c r="CI85" s="806"/>
      <c r="CJ85" s="806"/>
      <c r="CK85" s="806"/>
    </row>
    <row r="86">
      <c r="A86" s="348"/>
      <c r="B86" s="348"/>
      <c r="C86" s="236"/>
      <c r="D86" s="348"/>
      <c r="E86" s="348"/>
      <c r="F86" s="348"/>
      <c r="G86" s="348"/>
      <c r="H86" s="348"/>
      <c r="I86" s="348"/>
      <c r="J86" s="348"/>
      <c r="K86" s="348"/>
      <c r="L86" s="348"/>
      <c r="M86" s="348"/>
      <c r="N86" s="348"/>
      <c r="O86" s="348"/>
      <c r="P86" s="348"/>
      <c r="Q86" s="348"/>
      <c r="R86" s="348"/>
      <c r="S86" s="348"/>
      <c r="T86" s="348"/>
      <c r="U86" s="348" t="s">
        <v>96</v>
      </c>
      <c r="V86" s="348" t="s">
        <v>96</v>
      </c>
      <c r="W86" s="348"/>
      <c r="X86" s="348" t="s">
        <v>96</v>
      </c>
      <c r="Y86" s="772" t="s">
        <v>96</v>
      </c>
      <c r="Z86" s="772" t="s">
        <v>96</v>
      </c>
      <c r="AA86" s="348"/>
      <c r="AB86" s="153"/>
      <c r="AC86" s="348"/>
      <c r="AD86" s="348"/>
      <c r="AE86" s="348"/>
      <c r="AF86" s="348"/>
      <c r="AG86" s="348"/>
      <c r="AH86" s="348"/>
      <c r="AI86" s="348"/>
      <c r="AJ86" s="348"/>
      <c r="AK86" s="348"/>
      <c r="AL86" s="348"/>
      <c r="AM86" s="348"/>
      <c r="AN86" s="348"/>
      <c r="AO86" s="348"/>
      <c r="AP86" s="348"/>
      <c r="AQ86" s="348"/>
      <c r="AR86" s="348"/>
      <c r="AS86" s="348"/>
      <c r="AT86" s="348"/>
      <c r="AU86" s="348"/>
      <c r="AV86" s="348"/>
      <c r="AW86" s="348"/>
      <c r="AX86" s="348"/>
      <c r="AY86" s="348"/>
      <c r="AZ86" s="348"/>
      <c r="BA86" s="348"/>
      <c r="BB86" s="348"/>
      <c r="BC86" s="348"/>
      <c r="BD86" s="348"/>
      <c r="BE86" s="348"/>
      <c r="BF86" s="348"/>
      <c r="BG86" s="348"/>
      <c r="BH86" s="348"/>
      <c r="BI86" s="348"/>
      <c r="BJ86" s="348"/>
      <c r="BK86" s="348"/>
      <c r="BL86" s="348"/>
      <c r="BM86" s="348"/>
      <c r="BN86" s="348"/>
      <c r="BO86" s="348"/>
      <c r="BP86" s="348"/>
      <c r="BQ86" s="348"/>
      <c r="BR86" s="348"/>
      <c r="BS86" s="348"/>
      <c r="BT86" s="348"/>
      <c r="BU86" s="348"/>
      <c r="BV86" s="348"/>
      <c r="BW86" s="806" t="s">
        <v>96</v>
      </c>
      <c r="BX86" s="806"/>
      <c r="BY86" s="806"/>
      <c r="BZ86" s="806" t="str">
        <f>IFERROR(__xludf.DUMMYFUNCTION("""COMPUTED_VALUE"""),"")</f>
        <v/>
      </c>
      <c r="CA86" s="806"/>
      <c r="CB86" s="806"/>
      <c r="CC86" s="806"/>
      <c r="CD86" s="806"/>
      <c r="CE86" s="806"/>
      <c r="CF86" s="806"/>
      <c r="CG86" s="806"/>
      <c r="CH86" s="806"/>
      <c r="CI86" s="806"/>
      <c r="CJ86" s="806"/>
      <c r="CK86" s="806"/>
    </row>
    <row r="87">
      <c r="A87" s="348"/>
      <c r="B87" s="348"/>
      <c r="C87" s="236"/>
      <c r="D87" s="348"/>
      <c r="E87" s="348"/>
      <c r="F87" s="348"/>
      <c r="G87" s="348"/>
      <c r="H87" s="348"/>
      <c r="I87" s="348"/>
      <c r="J87" s="348"/>
      <c r="K87" s="348"/>
      <c r="L87" s="348"/>
      <c r="M87" s="348"/>
      <c r="N87" s="348"/>
      <c r="O87" s="348"/>
      <c r="P87" s="348"/>
      <c r="Q87" s="348"/>
      <c r="R87" s="348"/>
      <c r="S87" s="348"/>
      <c r="T87" s="348"/>
      <c r="U87" s="348" t="s">
        <v>96</v>
      </c>
      <c r="V87" s="348" t="s">
        <v>96</v>
      </c>
      <c r="W87" s="348"/>
      <c r="X87" s="348" t="s">
        <v>96</v>
      </c>
      <c r="Y87" s="772" t="s">
        <v>96</v>
      </c>
      <c r="Z87" s="772" t="s">
        <v>96</v>
      </c>
      <c r="AA87" s="348"/>
      <c r="AB87" s="153"/>
      <c r="AC87" s="348"/>
      <c r="AD87" s="348"/>
      <c r="AE87" s="348"/>
      <c r="AF87" s="348"/>
      <c r="AG87" s="348"/>
      <c r="AH87" s="348"/>
      <c r="AI87" s="348"/>
      <c r="AJ87" s="348"/>
      <c r="AK87" s="348"/>
      <c r="AL87" s="348"/>
      <c r="AM87" s="348"/>
      <c r="AN87" s="348"/>
      <c r="AO87" s="348"/>
      <c r="AP87" s="348"/>
      <c r="AQ87" s="348"/>
      <c r="AR87" s="348"/>
      <c r="AS87" s="348"/>
      <c r="AT87" s="348"/>
      <c r="AU87" s="348"/>
      <c r="AV87" s="348"/>
      <c r="AW87" s="348"/>
      <c r="AX87" s="348"/>
      <c r="AY87" s="348"/>
      <c r="AZ87" s="348"/>
      <c r="BA87" s="348"/>
      <c r="BB87" s="348"/>
      <c r="BC87" s="348"/>
      <c r="BD87" s="348"/>
      <c r="BE87" s="348"/>
      <c r="BF87" s="348"/>
      <c r="BG87" s="348"/>
      <c r="BH87" s="348"/>
      <c r="BI87" s="348"/>
      <c r="BJ87" s="348"/>
      <c r="BK87" s="348"/>
      <c r="BL87" s="348"/>
      <c r="BM87" s="348"/>
      <c r="BN87" s="348"/>
      <c r="BO87" s="348"/>
      <c r="BP87" s="348"/>
      <c r="BQ87" s="348"/>
      <c r="BR87" s="348"/>
      <c r="BS87" s="348"/>
      <c r="BT87" s="348"/>
      <c r="BU87" s="348"/>
      <c r="BV87" s="348"/>
      <c r="BW87" s="806" t="s">
        <v>96</v>
      </c>
      <c r="BX87" s="806"/>
      <c r="BY87" s="806"/>
      <c r="BZ87" s="806" t="str">
        <f>IFERROR(__xludf.DUMMYFUNCTION("""COMPUTED_VALUE"""),"")</f>
        <v/>
      </c>
      <c r="CA87" s="806"/>
      <c r="CB87" s="806"/>
      <c r="CC87" s="806"/>
      <c r="CD87" s="806"/>
      <c r="CE87" s="806"/>
      <c r="CF87" s="806"/>
      <c r="CG87" s="806"/>
      <c r="CH87" s="806"/>
      <c r="CI87" s="806"/>
      <c r="CJ87" s="806"/>
      <c r="CK87" s="806"/>
    </row>
    <row r="88">
      <c r="A88" s="348"/>
      <c r="B88" s="348"/>
      <c r="C88" s="236"/>
      <c r="D88" s="348"/>
      <c r="E88" s="348"/>
      <c r="F88" s="348"/>
      <c r="G88" s="348"/>
      <c r="H88" s="348"/>
      <c r="I88" s="348"/>
      <c r="J88" s="348"/>
      <c r="K88" s="348"/>
      <c r="L88" s="348"/>
      <c r="M88" s="348"/>
      <c r="N88" s="348"/>
      <c r="O88" s="348"/>
      <c r="P88" s="348"/>
      <c r="Q88" s="348"/>
      <c r="R88" s="348"/>
      <c r="S88" s="348"/>
      <c r="T88" s="348"/>
      <c r="U88" s="348" t="s">
        <v>96</v>
      </c>
      <c r="V88" s="348" t="s">
        <v>96</v>
      </c>
      <c r="W88" s="348"/>
      <c r="X88" s="348" t="s">
        <v>96</v>
      </c>
      <c r="Y88" s="772" t="s">
        <v>96</v>
      </c>
      <c r="Z88" s="772" t="s">
        <v>96</v>
      </c>
      <c r="AA88" s="348"/>
      <c r="AB88" s="153"/>
      <c r="AC88" s="348"/>
      <c r="AD88" s="348"/>
      <c r="AE88" s="348"/>
      <c r="AF88" s="348"/>
      <c r="AG88" s="348"/>
      <c r="AH88" s="348"/>
      <c r="AI88" s="348"/>
      <c r="AJ88" s="348"/>
      <c r="AK88" s="348"/>
      <c r="AL88" s="348"/>
      <c r="AM88" s="348"/>
      <c r="AN88" s="348"/>
      <c r="AO88" s="348"/>
      <c r="AP88" s="348"/>
      <c r="AQ88" s="348"/>
      <c r="AR88" s="348"/>
      <c r="AS88" s="348"/>
      <c r="AT88" s="348"/>
      <c r="AU88" s="348"/>
      <c r="AV88" s="348"/>
      <c r="AW88" s="348"/>
      <c r="AX88" s="348"/>
      <c r="AY88" s="348"/>
      <c r="AZ88" s="348"/>
      <c r="BA88" s="348"/>
      <c r="BB88" s="348"/>
      <c r="BC88" s="348"/>
      <c r="BD88" s="348"/>
      <c r="BE88" s="348"/>
      <c r="BF88" s="348"/>
      <c r="BG88" s="348"/>
      <c r="BH88" s="348"/>
      <c r="BI88" s="348"/>
      <c r="BJ88" s="348"/>
      <c r="BK88" s="348"/>
      <c r="BL88" s="348"/>
      <c r="BM88" s="348"/>
      <c r="BN88" s="348"/>
      <c r="BO88" s="348"/>
      <c r="BP88" s="348"/>
      <c r="BQ88" s="348"/>
      <c r="BR88" s="348"/>
      <c r="BS88" s="348"/>
      <c r="BT88" s="348"/>
      <c r="BU88" s="348"/>
      <c r="BV88" s="348"/>
      <c r="BW88" s="806" t="s">
        <v>96</v>
      </c>
      <c r="BX88" s="806"/>
      <c r="BY88" s="806"/>
      <c r="BZ88" s="806" t="str">
        <f>IFERROR(__xludf.DUMMYFUNCTION("""COMPUTED_VALUE"""),"")</f>
        <v/>
      </c>
      <c r="CA88" s="806"/>
      <c r="CB88" s="806"/>
      <c r="CC88" s="806"/>
      <c r="CD88" s="806"/>
      <c r="CE88" s="806"/>
      <c r="CF88" s="806"/>
      <c r="CG88" s="806"/>
      <c r="CH88" s="806"/>
      <c r="CI88" s="806"/>
      <c r="CJ88" s="806"/>
      <c r="CK88" s="806"/>
    </row>
    <row r="89">
      <c r="A89" s="348"/>
      <c r="B89" s="348"/>
      <c r="C89" s="236"/>
      <c r="D89" s="348"/>
      <c r="E89" s="348"/>
      <c r="F89" s="348"/>
      <c r="G89" s="348"/>
      <c r="H89" s="348"/>
      <c r="I89" s="348"/>
      <c r="J89" s="348"/>
      <c r="K89" s="348"/>
      <c r="L89" s="348"/>
      <c r="M89" s="348"/>
      <c r="N89" s="348"/>
      <c r="O89" s="348"/>
      <c r="P89" s="348"/>
      <c r="Q89" s="348"/>
      <c r="R89" s="348"/>
      <c r="S89" s="348"/>
      <c r="T89" s="348"/>
      <c r="U89" s="348" t="s">
        <v>96</v>
      </c>
      <c r="V89" s="348" t="s">
        <v>96</v>
      </c>
      <c r="W89" s="348"/>
      <c r="X89" s="348" t="s">
        <v>96</v>
      </c>
      <c r="Y89" s="772" t="s">
        <v>96</v>
      </c>
      <c r="Z89" s="772" t="s">
        <v>96</v>
      </c>
      <c r="AA89" s="348"/>
      <c r="AB89" s="153"/>
      <c r="AC89" s="348"/>
      <c r="AD89" s="348"/>
      <c r="AE89" s="348"/>
      <c r="AF89" s="348"/>
      <c r="AG89" s="348"/>
      <c r="AH89" s="348"/>
      <c r="AI89" s="348"/>
      <c r="AJ89" s="348"/>
      <c r="AK89" s="348"/>
      <c r="AL89" s="348"/>
      <c r="AM89" s="348"/>
      <c r="AN89" s="348"/>
      <c r="AO89" s="348"/>
      <c r="AP89" s="348"/>
      <c r="AQ89" s="348"/>
      <c r="AR89" s="348"/>
      <c r="AS89" s="348"/>
      <c r="AT89" s="348"/>
      <c r="AU89" s="348"/>
      <c r="AV89" s="348"/>
      <c r="AW89" s="348"/>
      <c r="AX89" s="348"/>
      <c r="AY89" s="348"/>
      <c r="AZ89" s="348"/>
      <c r="BA89" s="348"/>
      <c r="BB89" s="348"/>
      <c r="BC89" s="348"/>
      <c r="BD89" s="348"/>
      <c r="BE89" s="348"/>
      <c r="BF89" s="348"/>
      <c r="BG89" s="348"/>
      <c r="BH89" s="348"/>
      <c r="BI89" s="348"/>
      <c r="BJ89" s="348"/>
      <c r="BK89" s="348"/>
      <c r="BL89" s="348"/>
      <c r="BM89" s="348"/>
      <c r="BN89" s="348"/>
      <c r="BO89" s="348"/>
      <c r="BP89" s="348"/>
      <c r="BQ89" s="348"/>
      <c r="BR89" s="348"/>
      <c r="BS89" s="348"/>
      <c r="BT89" s="348"/>
      <c r="BU89" s="348"/>
      <c r="BV89" s="348"/>
      <c r="BW89" s="806" t="s">
        <v>96</v>
      </c>
      <c r="BX89" s="806"/>
      <c r="BY89" s="806"/>
      <c r="BZ89" s="806" t="str">
        <f>IFERROR(__xludf.DUMMYFUNCTION("""COMPUTED_VALUE"""),"")</f>
        <v/>
      </c>
      <c r="CA89" s="806"/>
      <c r="CB89" s="806"/>
      <c r="CC89" s="806"/>
      <c r="CD89" s="806"/>
      <c r="CE89" s="806"/>
      <c r="CF89" s="806"/>
      <c r="CG89" s="806"/>
      <c r="CH89" s="806"/>
      <c r="CI89" s="806"/>
      <c r="CJ89" s="806"/>
      <c r="CK89" s="806"/>
    </row>
    <row r="90">
      <c r="A90" s="348"/>
      <c r="B90" s="348"/>
      <c r="C90" s="236"/>
      <c r="D90" s="348"/>
      <c r="E90" s="348"/>
      <c r="F90" s="348"/>
      <c r="G90" s="348"/>
      <c r="H90" s="348"/>
      <c r="I90" s="348"/>
      <c r="J90" s="348"/>
      <c r="K90" s="348"/>
      <c r="L90" s="348"/>
      <c r="M90" s="348"/>
      <c r="N90" s="348"/>
      <c r="O90" s="348"/>
      <c r="P90" s="348"/>
      <c r="Q90" s="348"/>
      <c r="R90" s="348"/>
      <c r="S90" s="348"/>
      <c r="T90" s="348"/>
      <c r="U90" s="348" t="s">
        <v>96</v>
      </c>
      <c r="V90" s="348" t="s">
        <v>96</v>
      </c>
      <c r="W90" s="348"/>
      <c r="X90" s="348" t="s">
        <v>96</v>
      </c>
      <c r="Y90" s="772" t="s">
        <v>96</v>
      </c>
      <c r="Z90" s="772" t="s">
        <v>96</v>
      </c>
      <c r="AA90" s="348"/>
      <c r="AB90" s="153"/>
      <c r="AC90" s="348"/>
      <c r="AD90" s="348"/>
      <c r="AE90" s="348"/>
      <c r="AF90" s="348"/>
      <c r="AG90" s="348"/>
      <c r="AH90" s="348"/>
      <c r="AI90" s="348"/>
      <c r="AJ90" s="348"/>
      <c r="AK90" s="348"/>
      <c r="AL90" s="348"/>
      <c r="AM90" s="348"/>
      <c r="AN90" s="348"/>
      <c r="AO90" s="348"/>
      <c r="AP90" s="348"/>
      <c r="AQ90" s="348"/>
      <c r="AR90" s="348"/>
      <c r="AS90" s="348"/>
      <c r="AT90" s="348"/>
      <c r="AU90" s="348"/>
      <c r="AV90" s="348"/>
      <c r="AW90" s="348"/>
      <c r="AX90" s="348"/>
      <c r="AY90" s="348"/>
      <c r="AZ90" s="348"/>
      <c r="BA90" s="348"/>
      <c r="BB90" s="348"/>
      <c r="BC90" s="348"/>
      <c r="BD90" s="348"/>
      <c r="BE90" s="348"/>
      <c r="BF90" s="348"/>
      <c r="BG90" s="348"/>
      <c r="BH90" s="348"/>
      <c r="BI90" s="348"/>
      <c r="BJ90" s="348"/>
      <c r="BK90" s="348"/>
      <c r="BL90" s="348"/>
      <c r="BM90" s="348"/>
      <c r="BN90" s="348"/>
      <c r="BO90" s="348"/>
      <c r="BP90" s="348"/>
      <c r="BQ90" s="348"/>
      <c r="BR90" s="348"/>
      <c r="BS90" s="348"/>
      <c r="BT90" s="348"/>
      <c r="BU90" s="348"/>
      <c r="BV90" s="348"/>
      <c r="BW90" s="806" t="s">
        <v>96</v>
      </c>
      <c r="BX90" s="806"/>
      <c r="BY90" s="806"/>
      <c r="BZ90" s="806" t="str">
        <f>IFERROR(__xludf.DUMMYFUNCTION("""COMPUTED_VALUE"""),"")</f>
        <v/>
      </c>
      <c r="CA90" s="806"/>
      <c r="CB90" s="806"/>
      <c r="CC90" s="806"/>
      <c r="CD90" s="806"/>
      <c r="CE90" s="806"/>
      <c r="CF90" s="806"/>
      <c r="CG90" s="806"/>
      <c r="CH90" s="806"/>
      <c r="CI90" s="806"/>
      <c r="CJ90" s="806"/>
      <c r="CK90" s="806"/>
    </row>
    <row r="91">
      <c r="A91" s="348"/>
      <c r="B91" s="348"/>
      <c r="C91" s="236"/>
      <c r="D91" s="348"/>
      <c r="E91" s="348"/>
      <c r="F91" s="348"/>
      <c r="G91" s="348"/>
      <c r="H91" s="348"/>
      <c r="I91" s="348"/>
      <c r="J91" s="348"/>
      <c r="K91" s="348"/>
      <c r="L91" s="348"/>
      <c r="M91" s="348"/>
      <c r="N91" s="348"/>
      <c r="O91" s="348"/>
      <c r="P91" s="348"/>
      <c r="Q91" s="348"/>
      <c r="R91" s="348"/>
      <c r="S91" s="348"/>
      <c r="T91" s="348"/>
      <c r="U91" s="348" t="s">
        <v>96</v>
      </c>
      <c r="V91" s="348" t="s">
        <v>96</v>
      </c>
      <c r="W91" s="348"/>
      <c r="X91" s="348" t="s">
        <v>96</v>
      </c>
      <c r="Y91" s="772" t="s">
        <v>96</v>
      </c>
      <c r="Z91" s="772" t="s">
        <v>96</v>
      </c>
      <c r="AA91" s="348"/>
      <c r="AB91" s="153"/>
      <c r="AC91" s="348"/>
      <c r="AD91" s="348"/>
      <c r="AE91" s="348"/>
      <c r="AF91" s="348"/>
      <c r="AG91" s="348"/>
      <c r="AH91" s="348"/>
      <c r="AI91" s="348"/>
      <c r="AJ91" s="348"/>
      <c r="AK91" s="348"/>
      <c r="AL91" s="348"/>
      <c r="AM91" s="348"/>
      <c r="AN91" s="348"/>
      <c r="AO91" s="348"/>
      <c r="AP91" s="348"/>
      <c r="AQ91" s="348"/>
      <c r="AR91" s="348"/>
      <c r="AS91" s="348"/>
      <c r="AT91" s="348"/>
      <c r="AU91" s="348"/>
      <c r="AV91" s="348"/>
      <c r="AW91" s="348"/>
      <c r="AX91" s="348"/>
      <c r="AY91" s="348"/>
      <c r="AZ91" s="348"/>
      <c r="BA91" s="348"/>
      <c r="BB91" s="348"/>
      <c r="BC91" s="348"/>
      <c r="BD91" s="348"/>
      <c r="BE91" s="348"/>
      <c r="BF91" s="348"/>
      <c r="BG91" s="348"/>
      <c r="BH91" s="348"/>
      <c r="BI91" s="348"/>
      <c r="BJ91" s="348"/>
      <c r="BK91" s="348"/>
      <c r="BL91" s="348"/>
      <c r="BM91" s="348"/>
      <c r="BN91" s="348"/>
      <c r="BO91" s="348"/>
      <c r="BP91" s="348"/>
      <c r="BQ91" s="348"/>
      <c r="BR91" s="348"/>
      <c r="BS91" s="348"/>
      <c r="BT91" s="348"/>
      <c r="BU91" s="348"/>
      <c r="BV91" s="348"/>
      <c r="BW91" s="806" t="s">
        <v>96</v>
      </c>
      <c r="BX91" s="806"/>
      <c r="BY91" s="806"/>
      <c r="BZ91" s="806" t="str">
        <f>IFERROR(__xludf.DUMMYFUNCTION("""COMPUTED_VALUE"""),"")</f>
        <v/>
      </c>
      <c r="CA91" s="806"/>
      <c r="CB91" s="806"/>
      <c r="CC91" s="806"/>
      <c r="CD91" s="806"/>
      <c r="CE91" s="806"/>
      <c r="CF91" s="806"/>
      <c r="CG91" s="806"/>
      <c r="CH91" s="806"/>
      <c r="CI91" s="806"/>
      <c r="CJ91" s="806"/>
      <c r="CK91" s="806"/>
    </row>
    <row r="92">
      <c r="A92" s="348"/>
      <c r="B92" s="348"/>
      <c r="C92" s="236"/>
      <c r="D92" s="348"/>
      <c r="E92" s="348"/>
      <c r="F92" s="348"/>
      <c r="G92" s="348"/>
      <c r="H92" s="348"/>
      <c r="I92" s="348"/>
      <c r="J92" s="348"/>
      <c r="K92" s="348"/>
      <c r="L92" s="348"/>
      <c r="M92" s="348"/>
      <c r="N92" s="348"/>
      <c r="O92" s="348"/>
      <c r="P92" s="348"/>
      <c r="Q92" s="348"/>
      <c r="R92" s="348"/>
      <c r="S92" s="348"/>
      <c r="T92" s="348"/>
      <c r="U92" s="348" t="s">
        <v>96</v>
      </c>
      <c r="V92" s="348" t="s">
        <v>96</v>
      </c>
      <c r="W92" s="348"/>
      <c r="X92" s="348" t="s">
        <v>96</v>
      </c>
      <c r="Y92" s="772" t="s">
        <v>96</v>
      </c>
      <c r="Z92" s="772" t="s">
        <v>96</v>
      </c>
      <c r="AA92" s="348"/>
      <c r="AB92" s="153"/>
      <c r="AC92" s="348"/>
      <c r="AD92" s="348"/>
      <c r="AE92" s="348"/>
      <c r="AF92" s="348"/>
      <c r="AG92" s="348"/>
      <c r="AH92" s="348"/>
      <c r="AI92" s="348"/>
      <c r="AJ92" s="348"/>
      <c r="AK92" s="348"/>
      <c r="AL92" s="348"/>
      <c r="AM92" s="348"/>
      <c r="AN92" s="348"/>
      <c r="AO92" s="348"/>
      <c r="AP92" s="348"/>
      <c r="AQ92" s="348"/>
      <c r="AR92" s="348"/>
      <c r="AS92" s="348"/>
      <c r="AT92" s="348"/>
      <c r="AU92" s="348"/>
      <c r="AV92" s="348"/>
      <c r="AW92" s="348"/>
      <c r="AX92" s="348"/>
      <c r="AY92" s="348"/>
      <c r="AZ92" s="348"/>
      <c r="BA92" s="348"/>
      <c r="BB92" s="348"/>
      <c r="BC92" s="348"/>
      <c r="BD92" s="348"/>
      <c r="BE92" s="348"/>
      <c r="BF92" s="348"/>
      <c r="BG92" s="348"/>
      <c r="BH92" s="348"/>
      <c r="BI92" s="348"/>
      <c r="BJ92" s="348"/>
      <c r="BK92" s="348"/>
      <c r="BL92" s="348"/>
      <c r="BM92" s="348"/>
      <c r="BN92" s="348"/>
      <c r="BO92" s="348"/>
      <c r="BP92" s="348"/>
      <c r="BQ92" s="348"/>
      <c r="BR92" s="348"/>
      <c r="BS92" s="348"/>
      <c r="BT92" s="348"/>
      <c r="BU92" s="348"/>
      <c r="BV92" s="348"/>
      <c r="BW92" s="806" t="s">
        <v>96</v>
      </c>
      <c r="BX92" s="806"/>
      <c r="BY92" s="806"/>
      <c r="BZ92" s="806" t="str">
        <f>IFERROR(__xludf.DUMMYFUNCTION("""COMPUTED_VALUE"""),"")</f>
        <v/>
      </c>
      <c r="CA92" s="806"/>
      <c r="CB92" s="806"/>
      <c r="CC92" s="806"/>
      <c r="CD92" s="806"/>
      <c r="CE92" s="806"/>
      <c r="CF92" s="806"/>
      <c r="CG92" s="806"/>
      <c r="CH92" s="806"/>
      <c r="CI92" s="806"/>
      <c r="CJ92" s="806"/>
      <c r="CK92" s="806"/>
    </row>
    <row r="93">
      <c r="A93" s="348"/>
      <c r="B93" s="348"/>
      <c r="C93" s="236"/>
      <c r="D93" s="348"/>
      <c r="E93" s="348"/>
      <c r="F93" s="348"/>
      <c r="G93" s="348"/>
      <c r="H93" s="348"/>
      <c r="I93" s="348"/>
      <c r="J93" s="348"/>
      <c r="K93" s="348"/>
      <c r="L93" s="348"/>
      <c r="M93" s="348"/>
      <c r="N93" s="348"/>
      <c r="O93" s="348"/>
      <c r="P93" s="348"/>
      <c r="Q93" s="348"/>
      <c r="R93" s="348"/>
      <c r="S93" s="348"/>
      <c r="T93" s="348"/>
      <c r="U93" s="348" t="s">
        <v>96</v>
      </c>
      <c r="V93" s="348" t="s">
        <v>96</v>
      </c>
      <c r="W93" s="348"/>
      <c r="X93" s="348" t="s">
        <v>96</v>
      </c>
      <c r="Y93" s="772" t="s">
        <v>96</v>
      </c>
      <c r="Z93" s="772" t="s">
        <v>96</v>
      </c>
      <c r="AA93" s="348"/>
      <c r="AB93" s="153"/>
      <c r="AC93" s="348"/>
      <c r="AD93" s="348"/>
      <c r="AE93" s="348"/>
      <c r="AF93" s="348"/>
      <c r="AG93" s="348"/>
      <c r="AH93" s="348"/>
      <c r="AI93" s="348"/>
      <c r="AJ93" s="348"/>
      <c r="AK93" s="348"/>
      <c r="AL93" s="348"/>
      <c r="AM93" s="348"/>
      <c r="AN93" s="348"/>
      <c r="AO93" s="348"/>
      <c r="AP93" s="348"/>
      <c r="AQ93" s="348"/>
      <c r="AR93" s="348"/>
      <c r="AS93" s="348"/>
      <c r="AT93" s="348"/>
      <c r="AU93" s="348"/>
      <c r="AV93" s="348"/>
      <c r="AW93" s="348"/>
      <c r="AX93" s="348"/>
      <c r="AY93" s="348"/>
      <c r="AZ93" s="348"/>
      <c r="BA93" s="348"/>
      <c r="BB93" s="348"/>
      <c r="BC93" s="348"/>
      <c r="BD93" s="348"/>
      <c r="BE93" s="348"/>
      <c r="BF93" s="348"/>
      <c r="BG93" s="348"/>
      <c r="BH93" s="348"/>
      <c r="BI93" s="348"/>
      <c r="BJ93" s="348"/>
      <c r="BK93" s="348"/>
      <c r="BL93" s="348"/>
      <c r="BM93" s="348"/>
      <c r="BN93" s="348"/>
      <c r="BO93" s="348"/>
      <c r="BP93" s="348"/>
      <c r="BQ93" s="348"/>
      <c r="BR93" s="348"/>
      <c r="BS93" s="348"/>
      <c r="BT93" s="348"/>
      <c r="BU93" s="348"/>
      <c r="BV93" s="348"/>
      <c r="BW93" s="806" t="s">
        <v>96</v>
      </c>
      <c r="BX93" s="806"/>
      <c r="BY93" s="806"/>
      <c r="BZ93" s="806" t="str">
        <f>IFERROR(__xludf.DUMMYFUNCTION("""COMPUTED_VALUE"""),"")</f>
        <v/>
      </c>
      <c r="CA93" s="806"/>
      <c r="CB93" s="806"/>
      <c r="CC93" s="806"/>
      <c r="CD93" s="806"/>
      <c r="CE93" s="806"/>
      <c r="CF93" s="806"/>
      <c r="CG93" s="806"/>
      <c r="CH93" s="806"/>
      <c r="CI93" s="806"/>
      <c r="CJ93" s="806"/>
      <c r="CK93" s="806"/>
    </row>
    <row r="94">
      <c r="A94" s="348"/>
      <c r="B94" s="348"/>
      <c r="C94" s="236"/>
      <c r="D94" s="348"/>
      <c r="E94" s="348"/>
      <c r="F94" s="348"/>
      <c r="G94" s="348"/>
      <c r="H94" s="348"/>
      <c r="I94" s="348"/>
      <c r="J94" s="348"/>
      <c r="K94" s="348"/>
      <c r="L94" s="348"/>
      <c r="M94" s="348"/>
      <c r="N94" s="348"/>
      <c r="O94" s="348"/>
      <c r="P94" s="348"/>
      <c r="Q94" s="348"/>
      <c r="R94" s="348"/>
      <c r="S94" s="348"/>
      <c r="T94" s="348"/>
      <c r="U94" s="348" t="s">
        <v>96</v>
      </c>
      <c r="V94" s="348" t="s">
        <v>96</v>
      </c>
      <c r="W94" s="348"/>
      <c r="X94" s="348" t="s">
        <v>96</v>
      </c>
      <c r="Y94" s="772" t="s">
        <v>96</v>
      </c>
      <c r="Z94" s="772" t="s">
        <v>96</v>
      </c>
      <c r="AA94" s="348"/>
      <c r="AB94" s="153"/>
      <c r="AC94" s="348"/>
      <c r="AD94" s="348"/>
      <c r="AE94" s="348"/>
      <c r="AF94" s="348"/>
      <c r="AG94" s="348"/>
      <c r="AH94" s="348"/>
      <c r="AI94" s="348"/>
      <c r="AJ94" s="348"/>
      <c r="AK94" s="348"/>
      <c r="AL94" s="348"/>
      <c r="AM94" s="348"/>
      <c r="AN94" s="348"/>
      <c r="AO94" s="348"/>
      <c r="AP94" s="348"/>
      <c r="AQ94" s="348"/>
      <c r="AR94" s="348"/>
      <c r="AS94" s="348"/>
      <c r="AT94" s="348"/>
      <c r="AU94" s="348"/>
      <c r="AV94" s="348"/>
      <c r="AW94" s="348"/>
      <c r="AX94" s="348"/>
      <c r="AY94" s="348"/>
      <c r="AZ94" s="348"/>
      <c r="BA94" s="348"/>
      <c r="BB94" s="348"/>
      <c r="BC94" s="348"/>
      <c r="BD94" s="348"/>
      <c r="BE94" s="348"/>
      <c r="BF94" s="348"/>
      <c r="BG94" s="348"/>
      <c r="BH94" s="348"/>
      <c r="BI94" s="348"/>
      <c r="BJ94" s="348"/>
      <c r="BK94" s="348"/>
      <c r="BL94" s="348"/>
      <c r="BM94" s="348"/>
      <c r="BN94" s="348"/>
      <c r="BO94" s="348"/>
      <c r="BP94" s="348"/>
      <c r="BQ94" s="348"/>
      <c r="BR94" s="348"/>
      <c r="BS94" s="348"/>
      <c r="BT94" s="348"/>
      <c r="BU94" s="348"/>
      <c r="BV94" s="348"/>
      <c r="BW94" s="806" t="s">
        <v>96</v>
      </c>
      <c r="BX94" s="806"/>
      <c r="BY94" s="806"/>
      <c r="BZ94" s="806" t="str">
        <f>IFERROR(__xludf.DUMMYFUNCTION("""COMPUTED_VALUE"""),"")</f>
        <v/>
      </c>
      <c r="CA94" s="806"/>
      <c r="CB94" s="806"/>
      <c r="CC94" s="806"/>
      <c r="CD94" s="806"/>
      <c r="CE94" s="806"/>
      <c r="CF94" s="806"/>
      <c r="CG94" s="806"/>
      <c r="CH94" s="806"/>
      <c r="CI94" s="806"/>
      <c r="CJ94" s="806"/>
      <c r="CK94" s="806"/>
    </row>
    <row r="95">
      <c r="A95" s="348"/>
      <c r="B95" s="348"/>
      <c r="C95" s="236"/>
      <c r="D95" s="348"/>
      <c r="E95" s="348"/>
      <c r="F95" s="348"/>
      <c r="G95" s="348"/>
      <c r="H95" s="348"/>
      <c r="I95" s="348"/>
      <c r="J95" s="348"/>
      <c r="K95" s="348"/>
      <c r="L95" s="348"/>
      <c r="M95" s="348"/>
      <c r="N95" s="348"/>
      <c r="O95" s="348"/>
      <c r="P95" s="348"/>
      <c r="Q95" s="348"/>
      <c r="R95" s="348"/>
      <c r="S95" s="348"/>
      <c r="T95" s="348"/>
      <c r="U95" s="348" t="s">
        <v>96</v>
      </c>
      <c r="V95" s="348" t="s">
        <v>96</v>
      </c>
      <c r="W95" s="348"/>
      <c r="X95" s="348" t="s">
        <v>96</v>
      </c>
      <c r="Y95" s="772" t="s">
        <v>96</v>
      </c>
      <c r="Z95" s="772" t="s">
        <v>96</v>
      </c>
      <c r="AA95" s="348"/>
      <c r="AB95" s="153"/>
      <c r="AC95" s="348"/>
      <c r="AD95" s="348"/>
      <c r="AE95" s="348"/>
      <c r="AF95" s="348"/>
      <c r="AG95" s="348"/>
      <c r="AH95" s="348"/>
      <c r="AI95" s="348"/>
      <c r="AJ95" s="348"/>
      <c r="AK95" s="348"/>
      <c r="AL95" s="348"/>
      <c r="AM95" s="348"/>
      <c r="AN95" s="348"/>
      <c r="AO95" s="348"/>
      <c r="AP95" s="348"/>
      <c r="AQ95" s="348"/>
      <c r="AR95" s="348"/>
      <c r="AS95" s="348"/>
      <c r="AT95" s="348"/>
      <c r="AU95" s="348"/>
      <c r="AV95" s="348"/>
      <c r="AW95" s="348"/>
      <c r="AX95" s="348"/>
      <c r="AY95" s="348"/>
      <c r="AZ95" s="348"/>
      <c r="BA95" s="348"/>
      <c r="BB95" s="348"/>
      <c r="BC95" s="348"/>
      <c r="BD95" s="348"/>
      <c r="BE95" s="348"/>
      <c r="BF95" s="348"/>
      <c r="BG95" s="348"/>
      <c r="BH95" s="348"/>
      <c r="BI95" s="348"/>
      <c r="BJ95" s="348"/>
      <c r="BK95" s="348"/>
      <c r="BL95" s="348"/>
      <c r="BM95" s="348"/>
      <c r="BN95" s="348"/>
      <c r="BO95" s="348"/>
      <c r="BP95" s="348"/>
      <c r="BQ95" s="348"/>
      <c r="BR95" s="348"/>
      <c r="BS95" s="348"/>
      <c r="BT95" s="348"/>
      <c r="BU95" s="348"/>
      <c r="BV95" s="348"/>
      <c r="BW95" s="806" t="s">
        <v>96</v>
      </c>
      <c r="BX95" s="806"/>
      <c r="BY95" s="806"/>
      <c r="BZ95" s="806" t="str">
        <f>IFERROR(__xludf.DUMMYFUNCTION("""COMPUTED_VALUE"""),"")</f>
        <v/>
      </c>
      <c r="CA95" s="806"/>
      <c r="CB95" s="806"/>
      <c r="CC95" s="806"/>
      <c r="CD95" s="806"/>
      <c r="CE95" s="806"/>
      <c r="CF95" s="806"/>
      <c r="CG95" s="806"/>
      <c r="CH95" s="806"/>
      <c r="CI95" s="806"/>
      <c r="CJ95" s="806"/>
      <c r="CK95" s="806"/>
    </row>
    <row r="96">
      <c r="A96" s="348"/>
      <c r="B96" s="348"/>
      <c r="C96" s="236"/>
      <c r="D96" s="348"/>
      <c r="E96" s="348"/>
      <c r="F96" s="348"/>
      <c r="G96" s="348"/>
      <c r="H96" s="348"/>
      <c r="I96" s="348"/>
      <c r="J96" s="348"/>
      <c r="K96" s="348"/>
      <c r="L96" s="348"/>
      <c r="M96" s="348"/>
      <c r="N96" s="348"/>
      <c r="O96" s="348"/>
      <c r="P96" s="348"/>
      <c r="Q96" s="348"/>
      <c r="R96" s="348"/>
      <c r="S96" s="348"/>
      <c r="T96" s="348"/>
      <c r="U96" s="348" t="s">
        <v>96</v>
      </c>
      <c r="V96" s="348" t="s">
        <v>96</v>
      </c>
      <c r="W96" s="348"/>
      <c r="X96" s="348" t="s">
        <v>96</v>
      </c>
      <c r="Y96" s="772" t="s">
        <v>96</v>
      </c>
      <c r="Z96" s="772" t="s">
        <v>96</v>
      </c>
      <c r="AA96" s="348"/>
      <c r="AB96" s="153"/>
      <c r="AC96" s="348"/>
      <c r="AD96" s="348"/>
      <c r="AE96" s="348"/>
      <c r="AF96" s="348"/>
      <c r="AG96" s="348"/>
      <c r="AH96" s="348"/>
      <c r="AI96" s="348"/>
      <c r="AJ96" s="348"/>
      <c r="AK96" s="348"/>
      <c r="AL96" s="348"/>
      <c r="AM96" s="348"/>
      <c r="AN96" s="348"/>
      <c r="AO96" s="348"/>
      <c r="AP96" s="348"/>
      <c r="AQ96" s="348"/>
      <c r="AR96" s="348"/>
      <c r="AS96" s="348"/>
      <c r="AT96" s="348"/>
      <c r="AU96" s="348"/>
      <c r="AV96" s="348"/>
      <c r="AW96" s="348"/>
      <c r="AX96" s="348"/>
      <c r="AY96" s="348"/>
      <c r="AZ96" s="348"/>
      <c r="BA96" s="348"/>
      <c r="BB96" s="348"/>
      <c r="BC96" s="348"/>
      <c r="BD96" s="348"/>
      <c r="BE96" s="348"/>
      <c r="BF96" s="348"/>
      <c r="BG96" s="348"/>
      <c r="BH96" s="348"/>
      <c r="BI96" s="348"/>
      <c r="BJ96" s="348"/>
      <c r="BK96" s="348"/>
      <c r="BL96" s="348"/>
      <c r="BM96" s="348"/>
      <c r="BN96" s="348"/>
      <c r="BO96" s="348"/>
      <c r="BP96" s="348"/>
      <c r="BQ96" s="348"/>
      <c r="BR96" s="348"/>
      <c r="BS96" s="348"/>
      <c r="BT96" s="348"/>
      <c r="BU96" s="348"/>
      <c r="BV96" s="348"/>
      <c r="BW96" s="806" t="s">
        <v>96</v>
      </c>
      <c r="BX96" s="806"/>
      <c r="BY96" s="806"/>
      <c r="BZ96" s="806" t="str">
        <f>IFERROR(__xludf.DUMMYFUNCTION("""COMPUTED_VALUE"""),"")</f>
        <v/>
      </c>
      <c r="CA96" s="806"/>
      <c r="CB96" s="806"/>
      <c r="CC96" s="806"/>
      <c r="CD96" s="806"/>
      <c r="CE96" s="806"/>
      <c r="CF96" s="806"/>
      <c r="CG96" s="806"/>
      <c r="CH96" s="806"/>
      <c r="CI96" s="806"/>
      <c r="CJ96" s="806"/>
      <c r="CK96" s="806"/>
    </row>
    <row r="97">
      <c r="A97" s="348"/>
      <c r="B97" s="348"/>
      <c r="C97" s="236"/>
      <c r="D97" s="348"/>
      <c r="E97" s="348"/>
      <c r="F97" s="348"/>
      <c r="G97" s="348"/>
      <c r="H97" s="348"/>
      <c r="I97" s="348"/>
      <c r="J97" s="348"/>
      <c r="K97" s="348"/>
      <c r="L97" s="348"/>
      <c r="M97" s="348"/>
      <c r="N97" s="348"/>
      <c r="O97" s="348"/>
      <c r="P97" s="348"/>
      <c r="Q97" s="348"/>
      <c r="R97" s="348"/>
      <c r="S97" s="348"/>
      <c r="T97" s="348"/>
      <c r="U97" s="348" t="s">
        <v>96</v>
      </c>
      <c r="V97" s="348" t="s">
        <v>96</v>
      </c>
      <c r="W97" s="348"/>
      <c r="X97" s="348" t="s">
        <v>96</v>
      </c>
      <c r="Y97" s="772" t="s">
        <v>96</v>
      </c>
      <c r="Z97" s="772" t="s">
        <v>96</v>
      </c>
      <c r="AA97" s="348"/>
      <c r="AB97" s="153"/>
      <c r="AC97" s="348"/>
      <c r="AD97" s="348"/>
      <c r="AE97" s="348"/>
      <c r="AF97" s="348"/>
      <c r="AG97" s="348"/>
      <c r="AH97" s="348"/>
      <c r="AI97" s="348"/>
      <c r="AJ97" s="348"/>
      <c r="AK97" s="348"/>
      <c r="AL97" s="348"/>
      <c r="AM97" s="348"/>
      <c r="AN97" s="348"/>
      <c r="AO97" s="348"/>
      <c r="AP97" s="348"/>
      <c r="AQ97" s="348"/>
      <c r="AR97" s="348"/>
      <c r="AS97" s="348"/>
      <c r="AT97" s="348"/>
      <c r="AU97" s="348"/>
      <c r="AV97" s="348"/>
      <c r="AW97" s="348"/>
      <c r="AX97" s="348"/>
      <c r="AY97" s="348"/>
      <c r="AZ97" s="348"/>
      <c r="BA97" s="348"/>
      <c r="BB97" s="348"/>
      <c r="BC97" s="348"/>
      <c r="BD97" s="348"/>
      <c r="BE97" s="348"/>
      <c r="BF97" s="348"/>
      <c r="BG97" s="348"/>
      <c r="BH97" s="348"/>
      <c r="BI97" s="348"/>
      <c r="BJ97" s="348"/>
      <c r="BK97" s="348"/>
      <c r="BL97" s="348"/>
      <c r="BM97" s="348"/>
      <c r="BN97" s="348"/>
      <c r="BO97" s="348"/>
      <c r="BP97" s="348"/>
      <c r="BQ97" s="348"/>
      <c r="BR97" s="348"/>
      <c r="BS97" s="348"/>
      <c r="BT97" s="348"/>
      <c r="BU97" s="348"/>
      <c r="BV97" s="348"/>
      <c r="BW97" s="806" t="s">
        <v>96</v>
      </c>
      <c r="BX97" s="806"/>
      <c r="BY97" s="806"/>
      <c r="BZ97" s="806" t="str">
        <f>IFERROR(__xludf.DUMMYFUNCTION("""COMPUTED_VALUE"""),"")</f>
        <v/>
      </c>
      <c r="CA97" s="806"/>
      <c r="CB97" s="806"/>
      <c r="CC97" s="806"/>
      <c r="CD97" s="806"/>
      <c r="CE97" s="806"/>
      <c r="CF97" s="806"/>
      <c r="CG97" s="806"/>
      <c r="CH97" s="806"/>
      <c r="CI97" s="806"/>
      <c r="CJ97" s="806"/>
      <c r="CK97" s="806"/>
    </row>
    <row r="98">
      <c r="A98" s="348"/>
      <c r="B98" s="348"/>
      <c r="C98" s="236"/>
      <c r="D98" s="348"/>
      <c r="E98" s="348"/>
      <c r="F98" s="348"/>
      <c r="G98" s="348"/>
      <c r="H98" s="348"/>
      <c r="I98" s="348"/>
      <c r="J98" s="348"/>
      <c r="K98" s="348"/>
      <c r="L98" s="348"/>
      <c r="M98" s="348"/>
      <c r="N98" s="348"/>
      <c r="O98" s="348"/>
      <c r="P98" s="348"/>
      <c r="Q98" s="348"/>
      <c r="R98" s="348"/>
      <c r="S98" s="348"/>
      <c r="T98" s="348"/>
      <c r="U98" s="348" t="s">
        <v>96</v>
      </c>
      <c r="V98" s="348" t="s">
        <v>96</v>
      </c>
      <c r="W98" s="348"/>
      <c r="X98" s="348" t="s">
        <v>96</v>
      </c>
      <c r="Y98" s="772" t="s">
        <v>96</v>
      </c>
      <c r="Z98" s="772" t="s">
        <v>96</v>
      </c>
      <c r="AA98" s="348"/>
      <c r="AB98" s="153"/>
      <c r="AC98" s="348"/>
      <c r="AD98" s="348"/>
      <c r="AE98" s="348"/>
      <c r="AF98" s="348"/>
      <c r="AG98" s="348"/>
      <c r="AH98" s="348"/>
      <c r="AI98" s="348"/>
      <c r="AJ98" s="348"/>
      <c r="AK98" s="348"/>
      <c r="AL98" s="348"/>
      <c r="AM98" s="348"/>
      <c r="AN98" s="348"/>
      <c r="AO98" s="348"/>
      <c r="AP98" s="348"/>
      <c r="AQ98" s="348"/>
      <c r="AR98" s="348"/>
      <c r="AS98" s="348"/>
      <c r="AT98" s="348"/>
      <c r="AU98" s="348"/>
      <c r="AV98" s="348"/>
      <c r="AW98" s="348"/>
      <c r="AX98" s="348"/>
      <c r="AY98" s="348"/>
      <c r="AZ98" s="348"/>
      <c r="BA98" s="348"/>
      <c r="BB98" s="348"/>
      <c r="BC98" s="348"/>
      <c r="BD98" s="348"/>
      <c r="BE98" s="348"/>
      <c r="BF98" s="348"/>
      <c r="BG98" s="348"/>
      <c r="BH98" s="348"/>
      <c r="BI98" s="348"/>
      <c r="BJ98" s="348"/>
      <c r="BK98" s="348"/>
      <c r="BL98" s="348"/>
      <c r="BM98" s="348"/>
      <c r="BN98" s="348"/>
      <c r="BO98" s="348"/>
      <c r="BP98" s="348"/>
      <c r="BQ98" s="348"/>
      <c r="BR98" s="348"/>
      <c r="BS98" s="348"/>
      <c r="BT98" s="348"/>
      <c r="BU98" s="348"/>
      <c r="BV98" s="348"/>
      <c r="BW98" s="806" t="s">
        <v>96</v>
      </c>
      <c r="BX98" s="806"/>
      <c r="BY98" s="806"/>
      <c r="BZ98" s="806" t="str">
        <f>IFERROR(__xludf.DUMMYFUNCTION("""COMPUTED_VALUE"""),"")</f>
        <v/>
      </c>
      <c r="CA98" s="806"/>
      <c r="CB98" s="806"/>
      <c r="CC98" s="806"/>
      <c r="CD98" s="806"/>
      <c r="CE98" s="806"/>
      <c r="CF98" s="806"/>
      <c r="CG98" s="806"/>
      <c r="CH98" s="806"/>
      <c r="CI98" s="806"/>
      <c r="CJ98" s="806"/>
      <c r="CK98" s="806"/>
    </row>
    <row r="99">
      <c r="A99" s="348"/>
      <c r="B99" s="348"/>
      <c r="C99" s="236"/>
      <c r="D99" s="348"/>
      <c r="E99" s="348"/>
      <c r="F99" s="348"/>
      <c r="G99" s="348"/>
      <c r="H99" s="348"/>
      <c r="I99" s="348"/>
      <c r="J99" s="348"/>
      <c r="K99" s="348"/>
      <c r="L99" s="348"/>
      <c r="M99" s="348"/>
      <c r="N99" s="348"/>
      <c r="O99" s="348"/>
      <c r="P99" s="348"/>
      <c r="Q99" s="348"/>
      <c r="R99" s="348"/>
      <c r="S99" s="348"/>
      <c r="T99" s="348"/>
      <c r="U99" s="348" t="s">
        <v>96</v>
      </c>
      <c r="V99" s="348" t="s">
        <v>96</v>
      </c>
      <c r="W99" s="348"/>
      <c r="X99" s="348" t="s">
        <v>96</v>
      </c>
      <c r="Y99" s="772" t="s">
        <v>96</v>
      </c>
      <c r="Z99" s="772" t="s">
        <v>96</v>
      </c>
      <c r="AA99" s="348"/>
      <c r="AB99" s="153"/>
      <c r="AC99" s="348"/>
      <c r="AD99" s="348"/>
      <c r="AE99" s="348"/>
      <c r="AF99" s="348"/>
      <c r="AG99" s="348"/>
      <c r="AH99" s="348"/>
      <c r="AI99" s="348"/>
      <c r="AJ99" s="348"/>
      <c r="AK99" s="348"/>
      <c r="AL99" s="348"/>
      <c r="AM99" s="348"/>
      <c r="AN99" s="348"/>
      <c r="AO99" s="348"/>
      <c r="AP99" s="348"/>
      <c r="AQ99" s="348"/>
      <c r="AR99" s="348"/>
      <c r="AS99" s="348"/>
      <c r="AT99" s="348"/>
      <c r="AU99" s="348"/>
      <c r="AV99" s="348"/>
      <c r="AW99" s="348"/>
      <c r="AX99" s="348"/>
      <c r="AY99" s="348"/>
      <c r="AZ99" s="348"/>
      <c r="BA99" s="348"/>
      <c r="BB99" s="348"/>
      <c r="BC99" s="348"/>
      <c r="BD99" s="348"/>
      <c r="BE99" s="348"/>
      <c r="BF99" s="348"/>
      <c r="BG99" s="348"/>
      <c r="BH99" s="348"/>
      <c r="BI99" s="348"/>
      <c r="BJ99" s="348"/>
      <c r="BK99" s="348"/>
      <c r="BL99" s="348"/>
      <c r="BM99" s="348"/>
      <c r="BN99" s="348"/>
      <c r="BO99" s="348"/>
      <c r="BP99" s="348"/>
      <c r="BQ99" s="348"/>
      <c r="BR99" s="348"/>
      <c r="BS99" s="348"/>
      <c r="BT99" s="348"/>
      <c r="BU99" s="348"/>
      <c r="BV99" s="348"/>
      <c r="BW99" s="806" t="s">
        <v>96</v>
      </c>
      <c r="BX99" s="806"/>
      <c r="BY99" s="806"/>
      <c r="BZ99" s="806" t="str">
        <f>IFERROR(__xludf.DUMMYFUNCTION("""COMPUTED_VALUE"""),"")</f>
        <v/>
      </c>
      <c r="CA99" s="806"/>
      <c r="CB99" s="806"/>
      <c r="CC99" s="806"/>
      <c r="CD99" s="806"/>
      <c r="CE99" s="806"/>
      <c r="CF99" s="806"/>
      <c r="CG99" s="806"/>
      <c r="CH99" s="806"/>
      <c r="CI99" s="806"/>
      <c r="CJ99" s="806"/>
      <c r="CK99" s="806"/>
    </row>
    <row r="100">
      <c r="A100" s="348"/>
      <c r="B100" s="348"/>
      <c r="C100" s="236"/>
      <c r="D100" s="348"/>
      <c r="E100" s="348"/>
      <c r="F100" s="348"/>
      <c r="G100" s="348"/>
      <c r="H100" s="348"/>
      <c r="I100" s="348"/>
      <c r="J100" s="348"/>
      <c r="K100" s="348"/>
      <c r="L100" s="348"/>
      <c r="M100" s="348"/>
      <c r="N100" s="348"/>
      <c r="O100" s="348"/>
      <c r="P100" s="348"/>
      <c r="Q100" s="348"/>
      <c r="R100" s="348"/>
      <c r="S100" s="348"/>
      <c r="T100" s="348"/>
      <c r="U100" s="348" t="s">
        <v>96</v>
      </c>
      <c r="V100" s="348" t="s">
        <v>96</v>
      </c>
      <c r="W100" s="348"/>
      <c r="X100" s="348" t="s">
        <v>96</v>
      </c>
      <c r="Y100" s="772" t="s">
        <v>96</v>
      </c>
      <c r="Z100" s="772" t="s">
        <v>96</v>
      </c>
      <c r="AA100" s="348"/>
      <c r="AB100" s="153"/>
      <c r="AC100" s="348"/>
      <c r="AD100" s="348"/>
      <c r="AE100" s="348"/>
      <c r="AF100" s="348"/>
      <c r="AG100" s="348"/>
      <c r="AH100" s="348"/>
      <c r="AI100" s="348"/>
      <c r="AJ100" s="348"/>
      <c r="AK100" s="348"/>
      <c r="AL100" s="348"/>
      <c r="AM100" s="348"/>
      <c r="AN100" s="348"/>
      <c r="AO100" s="348"/>
      <c r="AP100" s="348"/>
      <c r="AQ100" s="348"/>
      <c r="AR100" s="348"/>
      <c r="AS100" s="348"/>
      <c r="AT100" s="348"/>
      <c r="AU100" s="348"/>
      <c r="AV100" s="348"/>
      <c r="AW100" s="348"/>
      <c r="AX100" s="348"/>
      <c r="AY100" s="348"/>
      <c r="AZ100" s="348"/>
      <c r="BA100" s="348"/>
      <c r="BB100" s="348"/>
      <c r="BC100" s="348"/>
      <c r="BD100" s="348"/>
      <c r="BE100" s="348"/>
      <c r="BF100" s="348"/>
      <c r="BG100" s="348"/>
      <c r="BH100" s="348"/>
      <c r="BI100" s="348"/>
      <c r="BJ100" s="348"/>
      <c r="BK100" s="348"/>
      <c r="BL100" s="348"/>
      <c r="BM100" s="348"/>
      <c r="BN100" s="348"/>
      <c r="BO100" s="348"/>
      <c r="BP100" s="348"/>
      <c r="BQ100" s="348"/>
      <c r="BR100" s="348"/>
      <c r="BS100" s="348"/>
      <c r="BT100" s="348"/>
      <c r="BU100" s="348"/>
      <c r="BV100" s="348"/>
      <c r="BW100" s="806" t="s">
        <v>96</v>
      </c>
      <c r="BX100" s="806"/>
      <c r="BY100" s="806"/>
      <c r="BZ100" s="806" t="str">
        <f>IFERROR(__xludf.DUMMYFUNCTION("""COMPUTED_VALUE"""),"")</f>
        <v/>
      </c>
      <c r="CA100" s="806"/>
      <c r="CB100" s="806"/>
      <c r="CC100" s="806"/>
      <c r="CD100" s="806"/>
      <c r="CE100" s="806"/>
      <c r="CF100" s="806"/>
      <c r="CG100" s="806"/>
      <c r="CH100" s="806"/>
      <c r="CI100" s="806"/>
      <c r="CJ100" s="806"/>
      <c r="CK100" s="806"/>
    </row>
    <row r="101">
      <c r="A101" s="348"/>
      <c r="B101" s="348"/>
      <c r="C101" s="236"/>
      <c r="D101" s="348"/>
      <c r="E101" s="348"/>
      <c r="F101" s="348"/>
      <c r="G101" s="348"/>
      <c r="H101" s="348"/>
      <c r="I101" s="348"/>
      <c r="J101" s="348"/>
      <c r="K101" s="348"/>
      <c r="L101" s="348"/>
      <c r="M101" s="348"/>
      <c r="N101" s="348"/>
      <c r="O101" s="348"/>
      <c r="P101" s="348"/>
      <c r="Q101" s="348"/>
      <c r="R101" s="348"/>
      <c r="S101" s="348"/>
      <c r="T101" s="348"/>
      <c r="U101" s="348" t="s">
        <v>96</v>
      </c>
      <c r="V101" s="348" t="s">
        <v>96</v>
      </c>
      <c r="W101" s="348"/>
      <c r="X101" s="348" t="s">
        <v>96</v>
      </c>
      <c r="Y101" s="772" t="s">
        <v>96</v>
      </c>
      <c r="Z101" s="772" t="s">
        <v>96</v>
      </c>
      <c r="AA101" s="348"/>
      <c r="AB101" s="153"/>
      <c r="AC101" s="348"/>
      <c r="AD101" s="348"/>
      <c r="AE101" s="348"/>
      <c r="AF101" s="348"/>
      <c r="AG101" s="348"/>
      <c r="AH101" s="348"/>
      <c r="AI101" s="348"/>
      <c r="AJ101" s="348"/>
      <c r="AK101" s="348"/>
      <c r="AL101" s="348"/>
      <c r="AM101" s="348"/>
      <c r="AN101" s="348"/>
      <c r="AO101" s="348"/>
      <c r="AP101" s="348"/>
      <c r="AQ101" s="348"/>
      <c r="AR101" s="348"/>
      <c r="AS101" s="348"/>
      <c r="AT101" s="348"/>
      <c r="AU101" s="348"/>
      <c r="AV101" s="348"/>
      <c r="AW101" s="348"/>
      <c r="AX101" s="348"/>
      <c r="AY101" s="348"/>
      <c r="AZ101" s="348"/>
      <c r="BA101" s="348"/>
      <c r="BB101" s="348"/>
      <c r="BC101" s="348"/>
      <c r="BD101" s="348"/>
      <c r="BE101" s="348"/>
      <c r="BF101" s="348"/>
      <c r="BG101" s="348"/>
      <c r="BH101" s="348"/>
      <c r="BI101" s="348"/>
      <c r="BJ101" s="348"/>
      <c r="BK101" s="348"/>
      <c r="BL101" s="348"/>
      <c r="BM101" s="348"/>
      <c r="BN101" s="348"/>
      <c r="BO101" s="348"/>
      <c r="BP101" s="348"/>
      <c r="BQ101" s="348"/>
      <c r="BR101" s="348"/>
      <c r="BS101" s="348"/>
      <c r="BT101" s="348"/>
      <c r="BU101" s="348"/>
      <c r="BV101" s="348"/>
      <c r="BW101" s="806" t="s">
        <v>96</v>
      </c>
      <c r="BX101" s="806"/>
      <c r="BY101" s="806"/>
      <c r="BZ101" s="806" t="str">
        <f>IFERROR(__xludf.DUMMYFUNCTION("""COMPUTED_VALUE"""),"")</f>
        <v/>
      </c>
      <c r="CA101" s="806"/>
      <c r="CB101" s="806"/>
      <c r="CC101" s="806"/>
      <c r="CD101" s="806"/>
      <c r="CE101" s="806"/>
      <c r="CF101" s="806"/>
      <c r="CG101" s="806"/>
      <c r="CH101" s="806"/>
      <c r="CI101" s="806"/>
      <c r="CJ101" s="806"/>
      <c r="CK101" s="806"/>
    </row>
    <row r="102">
      <c r="A102" s="348"/>
      <c r="B102" s="348"/>
      <c r="C102" s="236"/>
      <c r="D102" s="348"/>
      <c r="E102" s="348"/>
      <c r="F102" s="348"/>
      <c r="G102" s="348"/>
      <c r="H102" s="348"/>
      <c r="I102" s="348"/>
      <c r="J102" s="348"/>
      <c r="K102" s="348"/>
      <c r="L102" s="348"/>
      <c r="M102" s="348"/>
      <c r="N102" s="348"/>
      <c r="O102" s="348"/>
      <c r="P102" s="348"/>
      <c r="Q102" s="348"/>
      <c r="R102" s="348"/>
      <c r="S102" s="348"/>
      <c r="T102" s="348"/>
      <c r="U102" s="348" t="s">
        <v>96</v>
      </c>
      <c r="V102" s="348" t="s">
        <v>96</v>
      </c>
      <c r="W102" s="348"/>
      <c r="X102" s="348" t="s">
        <v>96</v>
      </c>
      <c r="Y102" s="772" t="s">
        <v>96</v>
      </c>
      <c r="Z102" s="772" t="s">
        <v>96</v>
      </c>
      <c r="AA102" s="348"/>
      <c r="AB102" s="153"/>
      <c r="AC102" s="348"/>
      <c r="AD102" s="348"/>
      <c r="AE102" s="348"/>
      <c r="AF102" s="348"/>
      <c r="AG102" s="348"/>
      <c r="AH102" s="348"/>
      <c r="AI102" s="348"/>
      <c r="AJ102" s="348"/>
      <c r="AK102" s="348"/>
      <c r="AL102" s="348"/>
      <c r="AM102" s="348"/>
      <c r="AN102" s="348"/>
      <c r="AO102" s="348"/>
      <c r="AP102" s="348"/>
      <c r="AQ102" s="348"/>
      <c r="AR102" s="348"/>
      <c r="AS102" s="348"/>
      <c r="AT102" s="348"/>
      <c r="AU102" s="348"/>
      <c r="AV102" s="348"/>
      <c r="AW102" s="348"/>
      <c r="AX102" s="348"/>
      <c r="AY102" s="348"/>
      <c r="AZ102" s="348"/>
      <c r="BA102" s="348"/>
      <c r="BB102" s="348"/>
      <c r="BC102" s="348"/>
      <c r="BD102" s="348"/>
      <c r="BE102" s="348"/>
      <c r="BF102" s="348"/>
      <c r="BG102" s="348"/>
      <c r="BH102" s="348"/>
      <c r="BI102" s="348"/>
      <c r="BJ102" s="348"/>
      <c r="BK102" s="348"/>
      <c r="BL102" s="348"/>
      <c r="BM102" s="348"/>
      <c r="BN102" s="348"/>
      <c r="BO102" s="348"/>
      <c r="BP102" s="348"/>
      <c r="BQ102" s="348"/>
      <c r="BR102" s="348"/>
      <c r="BS102" s="348"/>
      <c r="BT102" s="348"/>
      <c r="BU102" s="348"/>
      <c r="BV102" s="348"/>
      <c r="BW102" s="806" t="s">
        <v>96</v>
      </c>
      <c r="BX102" s="806"/>
      <c r="BY102" s="806"/>
      <c r="BZ102" s="806" t="str">
        <f>IFERROR(__xludf.DUMMYFUNCTION("""COMPUTED_VALUE"""),"")</f>
        <v/>
      </c>
      <c r="CA102" s="806"/>
      <c r="CB102" s="806"/>
      <c r="CC102" s="806"/>
      <c r="CD102" s="806"/>
      <c r="CE102" s="806"/>
      <c r="CF102" s="806"/>
      <c r="CG102" s="806"/>
      <c r="CH102" s="806"/>
      <c r="CI102" s="806"/>
      <c r="CJ102" s="806"/>
      <c r="CK102" s="806"/>
    </row>
    <row r="103">
      <c r="A103" s="348"/>
      <c r="B103" s="348"/>
      <c r="C103" s="236"/>
      <c r="D103" s="348"/>
      <c r="E103" s="348"/>
      <c r="F103" s="348"/>
      <c r="G103" s="348"/>
      <c r="H103" s="348"/>
      <c r="I103" s="348"/>
      <c r="J103" s="348"/>
      <c r="K103" s="348"/>
      <c r="L103" s="348"/>
      <c r="M103" s="348"/>
      <c r="N103" s="348"/>
      <c r="O103" s="348"/>
      <c r="P103" s="348"/>
      <c r="Q103" s="348"/>
      <c r="R103" s="348"/>
      <c r="S103" s="348"/>
      <c r="T103" s="348"/>
      <c r="U103" s="348" t="s">
        <v>96</v>
      </c>
      <c r="V103" s="348" t="s">
        <v>96</v>
      </c>
      <c r="W103" s="348"/>
      <c r="X103" s="348" t="s">
        <v>96</v>
      </c>
      <c r="Y103" s="772" t="s">
        <v>96</v>
      </c>
      <c r="Z103" s="772" t="s">
        <v>96</v>
      </c>
      <c r="AA103" s="348"/>
      <c r="AB103" s="153"/>
      <c r="AC103" s="348"/>
      <c r="AD103" s="348"/>
      <c r="AE103" s="348"/>
      <c r="AF103" s="348"/>
      <c r="AG103" s="348"/>
      <c r="AH103" s="348"/>
      <c r="AI103" s="348"/>
      <c r="AJ103" s="348"/>
      <c r="AK103" s="348"/>
      <c r="AL103" s="348"/>
      <c r="AM103" s="348"/>
      <c r="AN103" s="348"/>
      <c r="AO103" s="348"/>
      <c r="AP103" s="348"/>
      <c r="AQ103" s="348"/>
      <c r="AR103" s="348"/>
      <c r="AS103" s="348"/>
      <c r="AT103" s="348"/>
      <c r="AU103" s="348"/>
      <c r="AV103" s="348"/>
      <c r="AW103" s="348"/>
      <c r="AX103" s="348"/>
      <c r="AY103" s="348"/>
      <c r="AZ103" s="348"/>
      <c r="BA103" s="348"/>
      <c r="BB103" s="348"/>
      <c r="BC103" s="348"/>
      <c r="BD103" s="348"/>
      <c r="BE103" s="348"/>
      <c r="BF103" s="348"/>
      <c r="BG103" s="348"/>
      <c r="BH103" s="348"/>
      <c r="BI103" s="348"/>
      <c r="BJ103" s="348"/>
      <c r="BK103" s="348"/>
      <c r="BL103" s="348"/>
      <c r="BM103" s="348"/>
      <c r="BN103" s="348"/>
      <c r="BO103" s="348"/>
      <c r="BP103" s="348"/>
      <c r="BQ103" s="348"/>
      <c r="BR103" s="348"/>
      <c r="BS103" s="348"/>
      <c r="BT103" s="348"/>
      <c r="BU103" s="348"/>
      <c r="BV103" s="348"/>
      <c r="BW103" s="806" t="s">
        <v>96</v>
      </c>
      <c r="BX103" s="806"/>
      <c r="BY103" s="806"/>
      <c r="BZ103" s="806" t="str">
        <f>IFERROR(__xludf.DUMMYFUNCTION("""COMPUTED_VALUE"""),"")</f>
        <v/>
      </c>
      <c r="CA103" s="806"/>
      <c r="CB103" s="806"/>
      <c r="CC103" s="806"/>
      <c r="CD103" s="806"/>
      <c r="CE103" s="806"/>
      <c r="CF103" s="806"/>
      <c r="CG103" s="806"/>
      <c r="CH103" s="806"/>
      <c r="CI103" s="806"/>
      <c r="CJ103" s="806"/>
      <c r="CK103" s="806"/>
    </row>
    <row r="104">
      <c r="A104" s="348"/>
      <c r="B104" s="348"/>
      <c r="C104" s="236"/>
      <c r="D104" s="348"/>
      <c r="E104" s="348"/>
      <c r="F104" s="348"/>
      <c r="G104" s="348"/>
      <c r="H104" s="348"/>
      <c r="I104" s="348"/>
      <c r="J104" s="348"/>
      <c r="K104" s="348"/>
      <c r="L104" s="348"/>
      <c r="M104" s="348"/>
      <c r="N104" s="348"/>
      <c r="O104" s="348"/>
      <c r="P104" s="348"/>
      <c r="Q104" s="348"/>
      <c r="R104" s="348"/>
      <c r="S104" s="348"/>
      <c r="T104" s="348"/>
      <c r="U104" s="348" t="s">
        <v>96</v>
      </c>
      <c r="V104" s="348" t="s">
        <v>96</v>
      </c>
      <c r="W104" s="348"/>
      <c r="X104" s="348" t="s">
        <v>96</v>
      </c>
      <c r="Y104" s="772" t="s">
        <v>96</v>
      </c>
      <c r="Z104" s="772" t="s">
        <v>96</v>
      </c>
      <c r="AA104" s="348"/>
      <c r="AB104" s="153"/>
      <c r="AC104" s="348"/>
      <c r="AD104" s="348"/>
      <c r="AE104" s="348"/>
      <c r="AF104" s="348"/>
      <c r="AG104" s="348"/>
      <c r="AH104" s="348"/>
      <c r="AI104" s="348"/>
      <c r="AJ104" s="348"/>
      <c r="AK104" s="348"/>
      <c r="AL104" s="348"/>
      <c r="AM104" s="348"/>
      <c r="AN104" s="348"/>
      <c r="AO104" s="348"/>
      <c r="AP104" s="348"/>
      <c r="AQ104" s="348"/>
      <c r="AR104" s="348"/>
      <c r="AS104" s="348"/>
      <c r="AT104" s="348"/>
      <c r="AU104" s="348"/>
      <c r="AV104" s="348"/>
      <c r="AW104" s="348"/>
      <c r="AX104" s="348"/>
      <c r="AY104" s="348"/>
      <c r="AZ104" s="348"/>
      <c r="BA104" s="348"/>
      <c r="BB104" s="348"/>
      <c r="BC104" s="348"/>
      <c r="BD104" s="348"/>
      <c r="BE104" s="348"/>
      <c r="BF104" s="348"/>
      <c r="BG104" s="348"/>
      <c r="BH104" s="348"/>
      <c r="BI104" s="348"/>
      <c r="BJ104" s="348"/>
      <c r="BK104" s="348"/>
      <c r="BL104" s="348"/>
      <c r="BM104" s="348"/>
      <c r="BN104" s="348"/>
      <c r="BO104" s="348"/>
      <c r="BP104" s="348"/>
      <c r="BQ104" s="348"/>
      <c r="BR104" s="348"/>
      <c r="BS104" s="348"/>
      <c r="BT104" s="348"/>
      <c r="BU104" s="348"/>
      <c r="BV104" s="348"/>
      <c r="BW104" s="806" t="s">
        <v>96</v>
      </c>
      <c r="BX104" s="806"/>
      <c r="BY104" s="806"/>
      <c r="BZ104" s="806" t="str">
        <f>IFERROR(__xludf.DUMMYFUNCTION("""COMPUTED_VALUE"""),"")</f>
        <v/>
      </c>
      <c r="CA104" s="806"/>
      <c r="CB104" s="806"/>
      <c r="CC104" s="806"/>
      <c r="CD104" s="806"/>
      <c r="CE104" s="806"/>
      <c r="CF104" s="806"/>
      <c r="CG104" s="806"/>
      <c r="CH104" s="806"/>
      <c r="CI104" s="806"/>
      <c r="CJ104" s="806"/>
      <c r="CK104" s="806"/>
    </row>
    <row r="105">
      <c r="A105" s="348"/>
      <c r="B105" s="348"/>
      <c r="C105" s="236"/>
      <c r="D105" s="348"/>
      <c r="E105" s="348"/>
      <c r="F105" s="348"/>
      <c r="G105" s="348"/>
      <c r="H105" s="348"/>
      <c r="I105" s="348"/>
      <c r="J105" s="348"/>
      <c r="K105" s="348"/>
      <c r="L105" s="348"/>
      <c r="M105" s="348"/>
      <c r="N105" s="348"/>
      <c r="O105" s="348"/>
      <c r="P105" s="348"/>
      <c r="Q105" s="348"/>
      <c r="R105" s="348"/>
      <c r="S105" s="348"/>
      <c r="T105" s="348"/>
      <c r="U105" s="348" t="s">
        <v>96</v>
      </c>
      <c r="V105" s="348" t="s">
        <v>96</v>
      </c>
      <c r="W105" s="348"/>
      <c r="X105" s="348" t="s">
        <v>96</v>
      </c>
      <c r="Y105" s="772" t="s">
        <v>96</v>
      </c>
      <c r="Z105" s="772" t="s">
        <v>96</v>
      </c>
      <c r="AA105" s="348"/>
      <c r="AB105" s="153"/>
      <c r="AC105" s="348"/>
      <c r="AD105" s="348"/>
      <c r="AE105" s="348"/>
      <c r="AF105" s="348"/>
      <c r="AG105" s="348"/>
      <c r="AH105" s="348"/>
      <c r="AI105" s="348"/>
      <c r="AJ105" s="348"/>
      <c r="AK105" s="348"/>
      <c r="AL105" s="348"/>
      <c r="AM105" s="348"/>
      <c r="AN105" s="348"/>
      <c r="AO105" s="348"/>
      <c r="AP105" s="348"/>
      <c r="AQ105" s="348"/>
      <c r="AR105" s="348"/>
      <c r="AS105" s="348"/>
      <c r="AT105" s="348"/>
      <c r="AU105" s="348"/>
      <c r="AV105" s="348"/>
      <c r="AW105" s="348"/>
      <c r="AX105" s="348"/>
      <c r="AY105" s="348"/>
      <c r="AZ105" s="348"/>
      <c r="BA105" s="348"/>
      <c r="BB105" s="348"/>
      <c r="BC105" s="348"/>
      <c r="BD105" s="348"/>
      <c r="BE105" s="348"/>
      <c r="BF105" s="348"/>
      <c r="BG105" s="348"/>
      <c r="BH105" s="348"/>
      <c r="BI105" s="348"/>
      <c r="BJ105" s="348"/>
      <c r="BK105" s="348"/>
      <c r="BL105" s="348"/>
      <c r="BM105" s="348"/>
      <c r="BN105" s="348"/>
      <c r="BO105" s="348"/>
      <c r="BP105" s="348"/>
      <c r="BQ105" s="348"/>
      <c r="BR105" s="348"/>
      <c r="BS105" s="348"/>
      <c r="BT105" s="348"/>
      <c r="BU105" s="348"/>
      <c r="BV105" s="348"/>
      <c r="BW105" s="806" t="s">
        <v>96</v>
      </c>
      <c r="BX105" s="806"/>
      <c r="BY105" s="806"/>
      <c r="BZ105" s="806" t="str">
        <f>IFERROR(__xludf.DUMMYFUNCTION("""COMPUTED_VALUE"""),"")</f>
        <v/>
      </c>
      <c r="CA105" s="806"/>
      <c r="CB105" s="806"/>
      <c r="CC105" s="806"/>
      <c r="CD105" s="806"/>
      <c r="CE105" s="806"/>
      <c r="CF105" s="806"/>
      <c r="CG105" s="806"/>
      <c r="CH105" s="806"/>
      <c r="CI105" s="806"/>
      <c r="CJ105" s="806"/>
      <c r="CK105" s="806"/>
    </row>
    <row r="106">
      <c r="A106" s="348"/>
      <c r="B106" s="348"/>
      <c r="C106" s="236"/>
      <c r="D106" s="348"/>
      <c r="E106" s="348"/>
      <c r="F106" s="348"/>
      <c r="G106" s="348"/>
      <c r="H106" s="348"/>
      <c r="I106" s="348"/>
      <c r="J106" s="348"/>
      <c r="K106" s="348"/>
      <c r="L106" s="348"/>
      <c r="M106" s="348"/>
      <c r="N106" s="348"/>
      <c r="O106" s="348"/>
      <c r="P106" s="348"/>
      <c r="Q106" s="348"/>
      <c r="R106" s="348"/>
      <c r="S106" s="348"/>
      <c r="T106" s="348"/>
      <c r="U106" s="348" t="s">
        <v>96</v>
      </c>
      <c r="V106" s="348" t="s">
        <v>96</v>
      </c>
      <c r="W106" s="348"/>
      <c r="X106" s="348" t="s">
        <v>96</v>
      </c>
      <c r="Y106" s="772" t="s">
        <v>96</v>
      </c>
      <c r="Z106" s="772" t="s">
        <v>96</v>
      </c>
      <c r="AA106" s="348"/>
      <c r="AB106" s="153"/>
      <c r="AC106" s="348"/>
      <c r="AD106" s="348"/>
      <c r="AE106" s="348"/>
      <c r="AF106" s="348"/>
      <c r="AG106" s="348"/>
      <c r="AH106" s="348"/>
      <c r="AI106" s="348"/>
      <c r="AJ106" s="348"/>
      <c r="AK106" s="348"/>
      <c r="AL106" s="348"/>
      <c r="AM106" s="348"/>
      <c r="AN106" s="348"/>
      <c r="AO106" s="348"/>
      <c r="AP106" s="348"/>
      <c r="AQ106" s="348"/>
      <c r="AR106" s="348"/>
      <c r="AS106" s="348"/>
      <c r="AT106" s="348"/>
      <c r="AU106" s="348"/>
      <c r="AV106" s="348"/>
      <c r="AW106" s="348"/>
      <c r="AX106" s="348"/>
      <c r="AY106" s="348"/>
      <c r="AZ106" s="348"/>
      <c r="BA106" s="348"/>
      <c r="BB106" s="348"/>
      <c r="BC106" s="348"/>
      <c r="BD106" s="348"/>
      <c r="BE106" s="348"/>
      <c r="BF106" s="348"/>
      <c r="BG106" s="348"/>
      <c r="BH106" s="348"/>
      <c r="BI106" s="348"/>
      <c r="BJ106" s="348"/>
      <c r="BK106" s="348"/>
      <c r="BL106" s="348"/>
      <c r="BM106" s="348"/>
      <c r="BN106" s="348"/>
      <c r="BO106" s="348"/>
      <c r="BP106" s="348"/>
      <c r="BQ106" s="348"/>
      <c r="BR106" s="348"/>
      <c r="BS106" s="348"/>
      <c r="BT106" s="348"/>
      <c r="BU106" s="348"/>
      <c r="BV106" s="348"/>
      <c r="BW106" s="806" t="s">
        <v>96</v>
      </c>
      <c r="BX106" s="806"/>
      <c r="BY106" s="806"/>
      <c r="BZ106" s="806" t="str">
        <f>IFERROR(__xludf.DUMMYFUNCTION("""COMPUTED_VALUE"""),"")</f>
        <v/>
      </c>
      <c r="CA106" s="806"/>
      <c r="CB106" s="806"/>
      <c r="CC106" s="806"/>
      <c r="CD106" s="806"/>
      <c r="CE106" s="806"/>
      <c r="CF106" s="806"/>
      <c r="CG106" s="806"/>
      <c r="CH106" s="806"/>
      <c r="CI106" s="806"/>
      <c r="CJ106" s="806"/>
      <c r="CK106" s="806"/>
    </row>
    <row r="107">
      <c r="A107" s="348"/>
      <c r="B107" s="348"/>
      <c r="C107" s="236"/>
      <c r="D107" s="348"/>
      <c r="E107" s="348"/>
      <c r="F107" s="348"/>
      <c r="G107" s="348"/>
      <c r="H107" s="348"/>
      <c r="I107" s="348"/>
      <c r="J107" s="348"/>
      <c r="K107" s="348"/>
      <c r="L107" s="348"/>
      <c r="M107" s="348"/>
      <c r="N107" s="348"/>
      <c r="O107" s="348"/>
      <c r="P107" s="348"/>
      <c r="Q107" s="348"/>
      <c r="R107" s="348"/>
      <c r="S107" s="348"/>
      <c r="T107" s="348"/>
      <c r="U107" s="348" t="s">
        <v>96</v>
      </c>
      <c r="V107" s="348" t="s">
        <v>96</v>
      </c>
      <c r="W107" s="348"/>
      <c r="X107" s="348" t="s">
        <v>96</v>
      </c>
      <c r="Y107" s="772" t="s">
        <v>96</v>
      </c>
      <c r="Z107" s="772" t="s">
        <v>96</v>
      </c>
      <c r="AA107" s="348"/>
      <c r="AB107" s="153"/>
      <c r="AC107" s="348"/>
      <c r="AD107" s="348"/>
      <c r="AE107" s="348"/>
      <c r="AF107" s="348"/>
      <c r="AG107" s="348"/>
      <c r="AH107" s="348"/>
      <c r="AI107" s="348"/>
      <c r="AJ107" s="348"/>
      <c r="AK107" s="348"/>
      <c r="AL107" s="348"/>
      <c r="AM107" s="348"/>
      <c r="AN107" s="348"/>
      <c r="AO107" s="348"/>
      <c r="AP107" s="348"/>
      <c r="AQ107" s="348"/>
      <c r="AR107" s="348"/>
      <c r="AS107" s="348"/>
      <c r="AT107" s="348"/>
      <c r="AU107" s="348"/>
      <c r="AV107" s="348"/>
      <c r="AW107" s="348"/>
      <c r="AX107" s="348"/>
      <c r="AY107" s="348"/>
      <c r="AZ107" s="348"/>
      <c r="BA107" s="348"/>
      <c r="BB107" s="348"/>
      <c r="BC107" s="348"/>
      <c r="BD107" s="348"/>
      <c r="BE107" s="348"/>
      <c r="BF107" s="348"/>
      <c r="BG107" s="348"/>
      <c r="BH107" s="348"/>
      <c r="BI107" s="348"/>
      <c r="BJ107" s="348"/>
      <c r="BK107" s="348"/>
      <c r="BL107" s="348"/>
      <c r="BM107" s="348"/>
      <c r="BN107" s="348"/>
      <c r="BO107" s="348"/>
      <c r="BP107" s="348"/>
      <c r="BQ107" s="348"/>
      <c r="BR107" s="348"/>
      <c r="BS107" s="348"/>
      <c r="BT107" s="348"/>
      <c r="BU107" s="348"/>
      <c r="BV107" s="348"/>
      <c r="BW107" s="806" t="s">
        <v>96</v>
      </c>
      <c r="BX107" s="806"/>
      <c r="BY107" s="806"/>
      <c r="BZ107" s="806" t="str">
        <f>IFERROR(__xludf.DUMMYFUNCTION("""COMPUTED_VALUE"""),"")</f>
        <v/>
      </c>
      <c r="CA107" s="806"/>
      <c r="CB107" s="806"/>
      <c r="CC107" s="806"/>
      <c r="CD107" s="806"/>
      <c r="CE107" s="806"/>
      <c r="CF107" s="806"/>
      <c r="CG107" s="806"/>
      <c r="CH107" s="806"/>
      <c r="CI107" s="806"/>
      <c r="CJ107" s="806"/>
      <c r="CK107" s="806"/>
    </row>
    <row r="108">
      <c r="A108" s="348"/>
      <c r="B108" s="348"/>
      <c r="C108" s="236"/>
      <c r="D108" s="348"/>
      <c r="E108" s="348"/>
      <c r="F108" s="348"/>
      <c r="G108" s="348"/>
      <c r="H108" s="348"/>
      <c r="I108" s="348"/>
      <c r="J108" s="348"/>
      <c r="K108" s="348"/>
      <c r="L108" s="348"/>
      <c r="M108" s="348"/>
      <c r="N108" s="348"/>
      <c r="O108" s="348"/>
      <c r="P108" s="348"/>
      <c r="Q108" s="348"/>
      <c r="R108" s="348"/>
      <c r="S108" s="348"/>
      <c r="T108" s="348"/>
      <c r="U108" s="348" t="s">
        <v>96</v>
      </c>
      <c r="V108" s="348" t="s">
        <v>96</v>
      </c>
      <c r="W108" s="348"/>
      <c r="X108" s="348" t="s">
        <v>96</v>
      </c>
      <c r="Y108" s="772" t="s">
        <v>96</v>
      </c>
      <c r="Z108" s="772" t="s">
        <v>96</v>
      </c>
      <c r="AA108" s="348"/>
      <c r="AB108" s="153"/>
      <c r="AC108" s="348"/>
      <c r="AD108" s="348"/>
      <c r="AE108" s="348"/>
      <c r="AF108" s="348"/>
      <c r="AG108" s="348"/>
      <c r="AH108" s="348"/>
      <c r="AI108" s="348"/>
      <c r="AJ108" s="348"/>
      <c r="AK108" s="348"/>
      <c r="AL108" s="348"/>
      <c r="AM108" s="348"/>
      <c r="AN108" s="348"/>
      <c r="AO108" s="348"/>
      <c r="AP108" s="348"/>
      <c r="AQ108" s="348"/>
      <c r="AR108" s="348"/>
      <c r="AS108" s="348"/>
      <c r="AT108" s="348"/>
      <c r="AU108" s="348"/>
      <c r="AV108" s="348"/>
      <c r="AW108" s="348"/>
      <c r="AX108" s="348"/>
      <c r="AY108" s="348"/>
      <c r="AZ108" s="348"/>
      <c r="BA108" s="348"/>
      <c r="BB108" s="348"/>
      <c r="BC108" s="348"/>
      <c r="BD108" s="348"/>
      <c r="BE108" s="348"/>
      <c r="BF108" s="348"/>
      <c r="BG108" s="348"/>
      <c r="BH108" s="348"/>
      <c r="BI108" s="348"/>
      <c r="BJ108" s="348"/>
      <c r="BK108" s="348"/>
      <c r="BL108" s="348"/>
      <c r="BM108" s="348"/>
      <c r="BN108" s="348"/>
      <c r="BO108" s="348"/>
      <c r="BP108" s="348"/>
      <c r="BQ108" s="348"/>
      <c r="BR108" s="348"/>
      <c r="BS108" s="348"/>
      <c r="BT108" s="348"/>
      <c r="BU108" s="348"/>
      <c r="BV108" s="348"/>
      <c r="BW108" s="806" t="s">
        <v>96</v>
      </c>
      <c r="BX108" s="806"/>
      <c r="BY108" s="806"/>
      <c r="BZ108" s="806" t="str">
        <f>IFERROR(__xludf.DUMMYFUNCTION("""COMPUTED_VALUE"""),"")</f>
        <v/>
      </c>
      <c r="CA108" s="806"/>
      <c r="CB108" s="806"/>
      <c r="CC108" s="806"/>
      <c r="CD108" s="806"/>
      <c r="CE108" s="806"/>
      <c r="CF108" s="806"/>
      <c r="CG108" s="806"/>
      <c r="CH108" s="806"/>
      <c r="CI108" s="806"/>
      <c r="CJ108" s="806"/>
      <c r="CK108" s="806"/>
    </row>
    <row r="109">
      <c r="A109" s="348"/>
      <c r="B109" s="348"/>
      <c r="C109" s="236"/>
      <c r="D109" s="348"/>
      <c r="E109" s="348"/>
      <c r="F109" s="348"/>
      <c r="G109" s="348"/>
      <c r="H109" s="348"/>
      <c r="I109" s="348"/>
      <c r="J109" s="348"/>
      <c r="K109" s="348"/>
      <c r="L109" s="348"/>
      <c r="M109" s="348"/>
      <c r="N109" s="348"/>
      <c r="O109" s="348"/>
      <c r="P109" s="348"/>
      <c r="Q109" s="348"/>
      <c r="R109" s="348"/>
      <c r="S109" s="348"/>
      <c r="T109" s="348"/>
      <c r="U109" s="348" t="s">
        <v>96</v>
      </c>
      <c r="V109" s="348" t="s">
        <v>96</v>
      </c>
      <c r="W109" s="348"/>
      <c r="X109" s="348" t="s">
        <v>96</v>
      </c>
      <c r="Y109" s="772" t="s">
        <v>96</v>
      </c>
      <c r="Z109" s="772" t="s">
        <v>96</v>
      </c>
      <c r="AA109" s="348"/>
      <c r="AB109" s="153"/>
      <c r="AC109" s="348"/>
      <c r="AD109" s="348"/>
      <c r="AE109" s="348"/>
      <c r="AF109" s="348"/>
      <c r="AG109" s="348"/>
      <c r="AH109" s="348"/>
      <c r="AI109" s="348"/>
      <c r="AJ109" s="348"/>
      <c r="AK109" s="348"/>
      <c r="AL109" s="348"/>
      <c r="AM109" s="348"/>
      <c r="AN109" s="348"/>
      <c r="AO109" s="348"/>
      <c r="AP109" s="348"/>
      <c r="AQ109" s="348"/>
      <c r="AR109" s="348"/>
      <c r="AS109" s="348"/>
      <c r="AT109" s="348"/>
      <c r="AU109" s="348"/>
      <c r="AV109" s="348"/>
      <c r="AW109" s="348"/>
      <c r="AX109" s="348"/>
      <c r="AY109" s="348"/>
      <c r="AZ109" s="348"/>
      <c r="BA109" s="348"/>
      <c r="BB109" s="348"/>
      <c r="BC109" s="348"/>
      <c r="BD109" s="348"/>
      <c r="BE109" s="348"/>
      <c r="BF109" s="348"/>
      <c r="BG109" s="348"/>
      <c r="BH109" s="348"/>
      <c r="BI109" s="348"/>
      <c r="BJ109" s="348"/>
      <c r="BK109" s="348"/>
      <c r="BL109" s="348"/>
      <c r="BM109" s="348"/>
      <c r="BN109" s="348"/>
      <c r="BO109" s="348"/>
      <c r="BP109" s="348"/>
      <c r="BQ109" s="348"/>
      <c r="BR109" s="348"/>
      <c r="BS109" s="348"/>
      <c r="BT109" s="348"/>
      <c r="BU109" s="348"/>
      <c r="BV109" s="348"/>
      <c r="BW109" s="806" t="s">
        <v>96</v>
      </c>
      <c r="BX109" s="806"/>
      <c r="BY109" s="806"/>
      <c r="BZ109" s="806" t="str">
        <f>IFERROR(__xludf.DUMMYFUNCTION("""COMPUTED_VALUE"""),"")</f>
        <v/>
      </c>
      <c r="CA109" s="806"/>
      <c r="CB109" s="806"/>
      <c r="CC109" s="806"/>
      <c r="CD109" s="806"/>
      <c r="CE109" s="806"/>
      <c r="CF109" s="806"/>
      <c r="CG109" s="806"/>
      <c r="CH109" s="806"/>
      <c r="CI109" s="806"/>
      <c r="CJ109" s="806"/>
      <c r="CK109" s="806"/>
    </row>
    <row r="110">
      <c r="A110" s="348"/>
      <c r="B110" s="348"/>
      <c r="C110" s="236"/>
      <c r="D110" s="348"/>
      <c r="E110" s="348"/>
      <c r="F110" s="348"/>
      <c r="G110" s="348"/>
      <c r="H110" s="348"/>
      <c r="I110" s="348"/>
      <c r="J110" s="348"/>
      <c r="K110" s="348"/>
      <c r="L110" s="348"/>
      <c r="M110" s="348"/>
      <c r="N110" s="348"/>
      <c r="O110" s="348"/>
      <c r="P110" s="348"/>
      <c r="Q110" s="348"/>
      <c r="R110" s="348"/>
      <c r="S110" s="348"/>
      <c r="T110" s="348"/>
      <c r="U110" s="348" t="s">
        <v>96</v>
      </c>
      <c r="V110" s="348" t="s">
        <v>96</v>
      </c>
      <c r="W110" s="348"/>
      <c r="X110" s="348" t="s">
        <v>96</v>
      </c>
      <c r="Y110" s="772" t="s">
        <v>96</v>
      </c>
      <c r="Z110" s="772" t="s">
        <v>96</v>
      </c>
      <c r="AA110" s="348"/>
      <c r="AB110" s="153"/>
      <c r="AC110" s="348"/>
      <c r="AD110" s="348"/>
      <c r="AE110" s="348"/>
      <c r="AF110" s="348"/>
      <c r="AG110" s="348"/>
      <c r="AH110" s="348"/>
      <c r="AI110" s="348"/>
      <c r="AJ110" s="348"/>
      <c r="AK110" s="348"/>
      <c r="AL110" s="348"/>
      <c r="AM110" s="348"/>
      <c r="AN110" s="348"/>
      <c r="AO110" s="348"/>
      <c r="AP110" s="348"/>
      <c r="AQ110" s="348"/>
      <c r="AR110" s="348"/>
      <c r="AS110" s="348"/>
      <c r="AT110" s="348"/>
      <c r="AU110" s="348"/>
      <c r="AV110" s="348"/>
      <c r="AW110" s="348"/>
      <c r="AX110" s="348"/>
      <c r="AY110" s="348"/>
      <c r="AZ110" s="348"/>
      <c r="BA110" s="348"/>
      <c r="BB110" s="348"/>
      <c r="BC110" s="348"/>
      <c r="BD110" s="348"/>
      <c r="BE110" s="348"/>
      <c r="BF110" s="348"/>
      <c r="BG110" s="348"/>
      <c r="BH110" s="348"/>
      <c r="BI110" s="348"/>
      <c r="BJ110" s="348"/>
      <c r="BK110" s="348"/>
      <c r="BL110" s="348"/>
      <c r="BM110" s="348"/>
      <c r="BN110" s="348"/>
      <c r="BO110" s="348"/>
      <c r="BP110" s="348"/>
      <c r="BQ110" s="348"/>
      <c r="BR110" s="348"/>
      <c r="BS110" s="348"/>
      <c r="BT110" s="348"/>
      <c r="BU110" s="348"/>
      <c r="BV110" s="348"/>
      <c r="BW110" s="806" t="s">
        <v>96</v>
      </c>
      <c r="BX110" s="806"/>
      <c r="BY110" s="806"/>
      <c r="BZ110" s="806" t="str">
        <f>IFERROR(__xludf.DUMMYFUNCTION("""COMPUTED_VALUE"""),"")</f>
        <v/>
      </c>
      <c r="CA110" s="806"/>
      <c r="CB110" s="806"/>
      <c r="CC110" s="806"/>
      <c r="CD110" s="806"/>
      <c r="CE110" s="806"/>
      <c r="CF110" s="806"/>
      <c r="CG110" s="806"/>
      <c r="CH110" s="806"/>
      <c r="CI110" s="806"/>
      <c r="CJ110" s="806"/>
      <c r="CK110" s="806"/>
    </row>
    <row r="111">
      <c r="A111" s="348"/>
      <c r="B111" s="348"/>
      <c r="C111" s="236"/>
      <c r="D111" s="348"/>
      <c r="E111" s="348"/>
      <c r="F111" s="348"/>
      <c r="G111" s="348"/>
      <c r="H111" s="348"/>
      <c r="I111" s="348"/>
      <c r="J111" s="348"/>
      <c r="K111" s="348"/>
      <c r="L111" s="348"/>
      <c r="M111" s="348"/>
      <c r="N111" s="348"/>
      <c r="O111" s="348"/>
      <c r="P111" s="348"/>
      <c r="Q111" s="348"/>
      <c r="R111" s="348"/>
      <c r="S111" s="348"/>
      <c r="T111" s="348"/>
      <c r="U111" s="348" t="s">
        <v>96</v>
      </c>
      <c r="V111" s="348" t="s">
        <v>96</v>
      </c>
      <c r="W111" s="348"/>
      <c r="X111" s="348" t="s">
        <v>96</v>
      </c>
      <c r="Y111" s="772" t="s">
        <v>96</v>
      </c>
      <c r="Z111" s="772" t="s">
        <v>96</v>
      </c>
      <c r="AA111" s="348"/>
      <c r="AB111" s="153"/>
      <c r="AC111" s="348"/>
      <c r="AD111" s="348"/>
      <c r="AE111" s="348"/>
      <c r="AF111" s="348"/>
      <c r="AG111" s="348"/>
      <c r="AH111" s="348"/>
      <c r="AI111" s="348"/>
      <c r="AJ111" s="348"/>
      <c r="AK111" s="348"/>
      <c r="AL111" s="348"/>
      <c r="AM111" s="348"/>
      <c r="AN111" s="348"/>
      <c r="AO111" s="348"/>
      <c r="AP111" s="348"/>
      <c r="AQ111" s="348"/>
      <c r="AR111" s="348"/>
      <c r="AS111" s="348"/>
      <c r="AT111" s="348"/>
      <c r="AU111" s="348"/>
      <c r="AV111" s="348"/>
      <c r="AW111" s="348"/>
      <c r="AX111" s="348"/>
      <c r="AY111" s="348"/>
      <c r="AZ111" s="348"/>
      <c r="BA111" s="348"/>
      <c r="BB111" s="348"/>
      <c r="BC111" s="348"/>
      <c r="BD111" s="348"/>
      <c r="BE111" s="348"/>
      <c r="BF111" s="348"/>
      <c r="BG111" s="348"/>
      <c r="BH111" s="348"/>
      <c r="BI111" s="348"/>
      <c r="BJ111" s="348"/>
      <c r="BK111" s="348"/>
      <c r="BL111" s="348"/>
      <c r="BM111" s="348"/>
      <c r="BN111" s="348"/>
      <c r="BO111" s="348"/>
      <c r="BP111" s="348"/>
      <c r="BQ111" s="348"/>
      <c r="BR111" s="348"/>
      <c r="BS111" s="348"/>
      <c r="BT111" s="348"/>
      <c r="BU111" s="348"/>
      <c r="BV111" s="348"/>
      <c r="BW111" s="806" t="s">
        <v>96</v>
      </c>
      <c r="BX111" s="806"/>
      <c r="BY111" s="806"/>
      <c r="BZ111" s="806" t="str">
        <f>IFERROR(__xludf.DUMMYFUNCTION("""COMPUTED_VALUE"""),"")</f>
        <v/>
      </c>
      <c r="CA111" s="806"/>
      <c r="CB111" s="806"/>
      <c r="CC111" s="806"/>
      <c r="CD111" s="806"/>
      <c r="CE111" s="806"/>
      <c r="CF111" s="806"/>
      <c r="CG111" s="806"/>
      <c r="CH111" s="806"/>
      <c r="CI111" s="806"/>
      <c r="CJ111" s="806"/>
      <c r="CK111" s="806"/>
    </row>
    <row r="112">
      <c r="A112" s="348"/>
      <c r="B112" s="348"/>
      <c r="C112" s="236"/>
      <c r="D112" s="348"/>
      <c r="E112" s="348"/>
      <c r="F112" s="348"/>
      <c r="G112" s="348"/>
      <c r="H112" s="348"/>
      <c r="I112" s="348"/>
      <c r="J112" s="348"/>
      <c r="K112" s="348"/>
      <c r="L112" s="348"/>
      <c r="M112" s="348"/>
      <c r="N112" s="348"/>
      <c r="O112" s="348"/>
      <c r="P112" s="348"/>
      <c r="Q112" s="348"/>
      <c r="R112" s="348"/>
      <c r="S112" s="348"/>
      <c r="T112" s="348"/>
      <c r="U112" s="348" t="s">
        <v>96</v>
      </c>
      <c r="V112" s="348" t="s">
        <v>96</v>
      </c>
      <c r="W112" s="348"/>
      <c r="X112" s="348" t="s">
        <v>96</v>
      </c>
      <c r="Y112" s="772" t="s">
        <v>96</v>
      </c>
      <c r="Z112" s="772" t="s">
        <v>96</v>
      </c>
      <c r="AA112" s="348"/>
      <c r="AB112" s="153"/>
      <c r="AC112" s="348"/>
      <c r="AD112" s="348"/>
      <c r="AE112" s="348"/>
      <c r="AF112" s="348"/>
      <c r="AG112" s="348"/>
      <c r="AH112" s="348"/>
      <c r="AI112" s="348"/>
      <c r="AJ112" s="348"/>
      <c r="AK112" s="348"/>
      <c r="AL112" s="348"/>
      <c r="AM112" s="348"/>
      <c r="AN112" s="348"/>
      <c r="AO112" s="348"/>
      <c r="AP112" s="348"/>
      <c r="AQ112" s="348"/>
      <c r="AR112" s="348"/>
      <c r="AS112" s="348"/>
      <c r="AT112" s="348"/>
      <c r="AU112" s="348"/>
      <c r="AV112" s="348"/>
      <c r="AW112" s="348"/>
      <c r="AX112" s="348"/>
      <c r="AY112" s="348"/>
      <c r="AZ112" s="348"/>
      <c r="BA112" s="348"/>
      <c r="BB112" s="348"/>
      <c r="BC112" s="348"/>
      <c r="BD112" s="348"/>
      <c r="BE112" s="348"/>
      <c r="BF112" s="348"/>
      <c r="BG112" s="348"/>
      <c r="BH112" s="348"/>
      <c r="BI112" s="348"/>
      <c r="BJ112" s="348"/>
      <c r="BK112" s="348"/>
      <c r="BL112" s="348"/>
      <c r="BM112" s="348"/>
      <c r="BN112" s="348"/>
      <c r="BO112" s="348"/>
      <c r="BP112" s="348"/>
      <c r="BQ112" s="348"/>
      <c r="BR112" s="348"/>
      <c r="BS112" s="348"/>
      <c r="BT112" s="348"/>
      <c r="BU112" s="348"/>
      <c r="BV112" s="348"/>
      <c r="BW112" s="806" t="s">
        <v>96</v>
      </c>
      <c r="BX112" s="806"/>
      <c r="BY112" s="806"/>
      <c r="BZ112" s="806" t="str">
        <f>IFERROR(__xludf.DUMMYFUNCTION("""COMPUTED_VALUE"""),"")</f>
        <v/>
      </c>
      <c r="CA112" s="806"/>
      <c r="CB112" s="806"/>
      <c r="CC112" s="806"/>
      <c r="CD112" s="806"/>
      <c r="CE112" s="806"/>
      <c r="CF112" s="806"/>
      <c r="CG112" s="806"/>
      <c r="CH112" s="806"/>
      <c r="CI112" s="806"/>
      <c r="CJ112" s="806"/>
      <c r="CK112" s="806"/>
    </row>
    <row r="113">
      <c r="A113" s="348"/>
      <c r="B113" s="348"/>
      <c r="C113" s="236"/>
      <c r="D113" s="348"/>
      <c r="E113" s="348"/>
      <c r="F113" s="348"/>
      <c r="G113" s="348"/>
      <c r="H113" s="348"/>
      <c r="I113" s="348"/>
      <c r="J113" s="348"/>
      <c r="K113" s="348"/>
      <c r="L113" s="348"/>
      <c r="M113" s="348"/>
      <c r="N113" s="348"/>
      <c r="O113" s="348"/>
      <c r="P113" s="348"/>
      <c r="Q113" s="348"/>
      <c r="R113" s="348"/>
      <c r="S113" s="348"/>
      <c r="T113" s="348"/>
      <c r="U113" s="348" t="s">
        <v>96</v>
      </c>
      <c r="V113" s="348" t="s">
        <v>96</v>
      </c>
      <c r="W113" s="348"/>
      <c r="X113" s="348" t="s">
        <v>96</v>
      </c>
      <c r="Y113" s="772" t="s">
        <v>96</v>
      </c>
      <c r="Z113" s="772" t="s">
        <v>96</v>
      </c>
      <c r="AA113" s="348"/>
      <c r="AB113" s="153"/>
      <c r="AC113" s="348"/>
      <c r="AD113" s="348"/>
      <c r="AE113" s="348"/>
      <c r="AF113" s="348"/>
      <c r="AG113" s="348"/>
      <c r="AH113" s="348"/>
      <c r="AI113" s="348"/>
      <c r="AJ113" s="348"/>
      <c r="AK113" s="348"/>
      <c r="AL113" s="348"/>
      <c r="AM113" s="348"/>
      <c r="AN113" s="348"/>
      <c r="AO113" s="348"/>
      <c r="AP113" s="348"/>
      <c r="AQ113" s="348"/>
      <c r="AR113" s="348"/>
      <c r="AS113" s="348"/>
      <c r="AT113" s="348"/>
      <c r="AU113" s="348"/>
      <c r="AV113" s="348"/>
      <c r="AW113" s="348"/>
      <c r="AX113" s="348"/>
      <c r="AY113" s="348"/>
      <c r="AZ113" s="348"/>
      <c r="BA113" s="348"/>
      <c r="BB113" s="348"/>
      <c r="BC113" s="348"/>
      <c r="BD113" s="348"/>
      <c r="BE113" s="348"/>
      <c r="BF113" s="348"/>
      <c r="BG113" s="348"/>
      <c r="BH113" s="348"/>
      <c r="BI113" s="348"/>
      <c r="BJ113" s="348"/>
      <c r="BK113" s="348"/>
      <c r="BL113" s="348"/>
      <c r="BM113" s="348"/>
      <c r="BN113" s="348"/>
      <c r="BO113" s="348"/>
      <c r="BP113" s="348"/>
      <c r="BQ113" s="348"/>
      <c r="BR113" s="348"/>
      <c r="BS113" s="348"/>
      <c r="BT113" s="348"/>
      <c r="BU113" s="348"/>
      <c r="BV113" s="348"/>
      <c r="BW113" s="806" t="s">
        <v>96</v>
      </c>
      <c r="BX113" s="806"/>
      <c r="BY113" s="806"/>
      <c r="BZ113" s="806" t="str">
        <f>IFERROR(__xludf.DUMMYFUNCTION("""COMPUTED_VALUE"""),"")</f>
        <v/>
      </c>
      <c r="CA113" s="806"/>
      <c r="CB113" s="806"/>
      <c r="CC113" s="806"/>
      <c r="CD113" s="806"/>
      <c r="CE113" s="806"/>
      <c r="CF113" s="806"/>
      <c r="CG113" s="806"/>
      <c r="CH113" s="806"/>
      <c r="CI113" s="806"/>
      <c r="CJ113" s="806"/>
      <c r="CK113" s="806"/>
    </row>
    <row r="114">
      <c r="A114" s="348"/>
      <c r="B114" s="348"/>
      <c r="C114" s="236"/>
      <c r="D114" s="348"/>
      <c r="E114" s="348"/>
      <c r="F114" s="348"/>
      <c r="G114" s="348"/>
      <c r="H114" s="348"/>
      <c r="I114" s="348"/>
      <c r="J114" s="348"/>
      <c r="K114" s="348"/>
      <c r="L114" s="348"/>
      <c r="M114" s="348"/>
      <c r="N114" s="348"/>
      <c r="O114" s="348"/>
      <c r="P114" s="348"/>
      <c r="Q114" s="348"/>
      <c r="R114" s="348"/>
      <c r="S114" s="348"/>
      <c r="T114" s="348"/>
      <c r="U114" s="348" t="s">
        <v>96</v>
      </c>
      <c r="V114" s="348" t="s">
        <v>96</v>
      </c>
      <c r="W114" s="348"/>
      <c r="X114" s="348" t="s">
        <v>96</v>
      </c>
      <c r="Y114" s="772" t="s">
        <v>96</v>
      </c>
      <c r="Z114" s="772" t="s">
        <v>96</v>
      </c>
      <c r="AA114" s="348"/>
      <c r="AB114" s="153"/>
      <c r="AC114" s="348"/>
      <c r="AD114" s="348"/>
      <c r="AE114" s="348"/>
      <c r="AF114" s="348"/>
      <c r="AG114" s="348"/>
      <c r="AH114" s="348"/>
      <c r="AI114" s="348"/>
      <c r="AJ114" s="348"/>
      <c r="AK114" s="348"/>
      <c r="AL114" s="348"/>
      <c r="AM114" s="348"/>
      <c r="AN114" s="348"/>
      <c r="AO114" s="348"/>
      <c r="AP114" s="348"/>
      <c r="AQ114" s="348"/>
      <c r="AR114" s="348"/>
      <c r="AS114" s="348"/>
      <c r="AT114" s="348"/>
      <c r="AU114" s="348"/>
      <c r="AV114" s="348"/>
      <c r="AW114" s="348"/>
      <c r="AX114" s="348"/>
      <c r="AY114" s="348"/>
      <c r="AZ114" s="348"/>
      <c r="BA114" s="348"/>
      <c r="BB114" s="348"/>
      <c r="BC114" s="348"/>
      <c r="BD114" s="348"/>
      <c r="BE114" s="348"/>
      <c r="BF114" s="348"/>
      <c r="BG114" s="348"/>
      <c r="BH114" s="348"/>
      <c r="BI114" s="348"/>
      <c r="BJ114" s="348"/>
      <c r="BK114" s="348"/>
      <c r="BL114" s="348"/>
      <c r="BM114" s="348"/>
      <c r="BN114" s="348"/>
      <c r="BO114" s="348"/>
      <c r="BP114" s="348"/>
      <c r="BQ114" s="348"/>
      <c r="BR114" s="348"/>
      <c r="BS114" s="348"/>
      <c r="BT114" s="348"/>
      <c r="BU114" s="348"/>
      <c r="BV114" s="348"/>
      <c r="BW114" s="806" t="s">
        <v>96</v>
      </c>
      <c r="BX114" s="806"/>
      <c r="BY114" s="806"/>
      <c r="BZ114" s="806" t="str">
        <f>IFERROR(__xludf.DUMMYFUNCTION("""COMPUTED_VALUE"""),"")</f>
        <v/>
      </c>
      <c r="CA114" s="806"/>
      <c r="CB114" s="806"/>
      <c r="CC114" s="806"/>
      <c r="CD114" s="806"/>
      <c r="CE114" s="806"/>
      <c r="CF114" s="806"/>
      <c r="CG114" s="806"/>
      <c r="CH114" s="806"/>
      <c r="CI114" s="806"/>
      <c r="CJ114" s="806"/>
      <c r="CK114" s="806"/>
    </row>
    <row r="115">
      <c r="A115" s="348"/>
      <c r="B115" s="348"/>
      <c r="C115" s="236"/>
      <c r="D115" s="348"/>
      <c r="E115" s="348"/>
      <c r="F115" s="348"/>
      <c r="G115" s="348"/>
      <c r="H115" s="348"/>
      <c r="I115" s="348"/>
      <c r="J115" s="348"/>
      <c r="K115" s="348"/>
      <c r="L115" s="348"/>
      <c r="M115" s="348"/>
      <c r="N115" s="348"/>
      <c r="O115" s="348"/>
      <c r="P115" s="348"/>
      <c r="Q115" s="348"/>
      <c r="R115" s="348"/>
      <c r="S115" s="348"/>
      <c r="T115" s="348"/>
      <c r="U115" s="348" t="s">
        <v>96</v>
      </c>
      <c r="V115" s="348" t="s">
        <v>96</v>
      </c>
      <c r="W115" s="348"/>
      <c r="X115" s="348" t="s">
        <v>96</v>
      </c>
      <c r="Y115" s="772" t="s">
        <v>96</v>
      </c>
      <c r="Z115" s="772" t="s">
        <v>96</v>
      </c>
      <c r="AA115" s="348"/>
      <c r="AB115" s="153"/>
      <c r="AC115" s="348"/>
      <c r="AD115" s="348"/>
      <c r="AE115" s="348"/>
      <c r="AF115" s="348"/>
      <c r="AG115" s="348"/>
      <c r="AH115" s="348"/>
      <c r="AI115" s="348"/>
      <c r="AJ115" s="348"/>
      <c r="AK115" s="348"/>
      <c r="AL115" s="348"/>
      <c r="AM115" s="348"/>
      <c r="AN115" s="348"/>
      <c r="AO115" s="348"/>
      <c r="AP115" s="348"/>
      <c r="AQ115" s="348"/>
      <c r="AR115" s="348"/>
      <c r="AS115" s="348"/>
      <c r="AT115" s="348"/>
      <c r="AU115" s="348"/>
      <c r="AV115" s="348"/>
      <c r="AW115" s="348"/>
      <c r="AX115" s="348"/>
      <c r="AY115" s="348"/>
      <c r="AZ115" s="348"/>
      <c r="BA115" s="348"/>
      <c r="BB115" s="348"/>
      <c r="BC115" s="348"/>
      <c r="BD115" s="348"/>
      <c r="BE115" s="348"/>
      <c r="BF115" s="348"/>
      <c r="BG115" s="348"/>
      <c r="BH115" s="348"/>
      <c r="BI115" s="348"/>
      <c r="BJ115" s="348"/>
      <c r="BK115" s="348"/>
      <c r="BL115" s="348"/>
      <c r="BM115" s="348"/>
      <c r="BN115" s="348"/>
      <c r="BO115" s="348"/>
      <c r="BP115" s="348"/>
      <c r="BQ115" s="348"/>
      <c r="BR115" s="348"/>
      <c r="BS115" s="348"/>
      <c r="BT115" s="348"/>
      <c r="BU115" s="348"/>
      <c r="BV115" s="348"/>
      <c r="BW115" s="806" t="s">
        <v>96</v>
      </c>
      <c r="BX115" s="806"/>
      <c r="BY115" s="806"/>
      <c r="BZ115" s="806" t="str">
        <f>IFERROR(__xludf.DUMMYFUNCTION("""COMPUTED_VALUE"""),"")</f>
        <v/>
      </c>
      <c r="CA115" s="806"/>
      <c r="CB115" s="806"/>
      <c r="CC115" s="806"/>
      <c r="CD115" s="806"/>
      <c r="CE115" s="806"/>
      <c r="CF115" s="806"/>
      <c r="CG115" s="806"/>
      <c r="CH115" s="806"/>
      <c r="CI115" s="806"/>
      <c r="CJ115" s="806"/>
      <c r="CK115" s="806"/>
    </row>
    <row r="116">
      <c r="A116" s="348"/>
      <c r="B116" s="348"/>
      <c r="C116" s="236"/>
      <c r="D116" s="348"/>
      <c r="E116" s="348"/>
      <c r="F116" s="348"/>
      <c r="G116" s="348"/>
      <c r="H116" s="348"/>
      <c r="I116" s="348"/>
      <c r="J116" s="348"/>
      <c r="K116" s="348"/>
      <c r="L116" s="348"/>
      <c r="M116" s="348"/>
      <c r="N116" s="348"/>
      <c r="O116" s="348"/>
      <c r="P116" s="348"/>
      <c r="Q116" s="348"/>
      <c r="R116" s="348"/>
      <c r="S116" s="348"/>
      <c r="T116" s="348"/>
      <c r="U116" s="348" t="s">
        <v>96</v>
      </c>
      <c r="V116" s="348" t="s">
        <v>96</v>
      </c>
      <c r="W116" s="348"/>
      <c r="X116" s="348" t="s">
        <v>96</v>
      </c>
      <c r="Y116" s="772" t="s">
        <v>96</v>
      </c>
      <c r="Z116" s="772" t="s">
        <v>96</v>
      </c>
      <c r="AA116" s="348"/>
      <c r="AB116" s="153"/>
      <c r="AC116" s="348"/>
      <c r="AD116" s="348"/>
      <c r="AE116" s="348"/>
      <c r="AF116" s="348"/>
      <c r="AG116" s="348"/>
      <c r="AH116" s="348"/>
      <c r="AI116" s="348"/>
      <c r="AJ116" s="348"/>
      <c r="AK116" s="348"/>
      <c r="AL116" s="348"/>
      <c r="AM116" s="348"/>
      <c r="AN116" s="348"/>
      <c r="AO116" s="348"/>
      <c r="AP116" s="348"/>
      <c r="AQ116" s="348"/>
      <c r="AR116" s="348"/>
      <c r="AS116" s="348"/>
      <c r="AT116" s="348"/>
      <c r="AU116" s="348"/>
      <c r="AV116" s="348"/>
      <c r="AW116" s="348"/>
      <c r="AX116" s="348"/>
      <c r="AY116" s="348"/>
      <c r="AZ116" s="348"/>
      <c r="BA116" s="348"/>
      <c r="BB116" s="348"/>
      <c r="BC116" s="348"/>
      <c r="BD116" s="348"/>
      <c r="BE116" s="348"/>
      <c r="BF116" s="348"/>
      <c r="BG116" s="348"/>
      <c r="BH116" s="348"/>
      <c r="BI116" s="348"/>
      <c r="BJ116" s="348"/>
      <c r="BK116" s="348"/>
      <c r="BL116" s="348"/>
      <c r="BM116" s="348"/>
      <c r="BN116" s="348"/>
      <c r="BO116" s="348"/>
      <c r="BP116" s="348"/>
      <c r="BQ116" s="348"/>
      <c r="BR116" s="348"/>
      <c r="BS116" s="348"/>
      <c r="BT116" s="348"/>
      <c r="BU116" s="348"/>
      <c r="BV116" s="348"/>
      <c r="BW116" s="806" t="s">
        <v>96</v>
      </c>
      <c r="BX116" s="806"/>
      <c r="BY116" s="806"/>
      <c r="BZ116" s="806" t="str">
        <f>IFERROR(__xludf.DUMMYFUNCTION("""COMPUTED_VALUE"""),"")</f>
        <v/>
      </c>
      <c r="CA116" s="806"/>
      <c r="CB116" s="806"/>
      <c r="CC116" s="806"/>
      <c r="CD116" s="806"/>
      <c r="CE116" s="806"/>
      <c r="CF116" s="806"/>
      <c r="CG116" s="806"/>
      <c r="CH116" s="806"/>
      <c r="CI116" s="806"/>
      <c r="CJ116" s="806"/>
      <c r="CK116" s="806"/>
    </row>
    <row r="117">
      <c r="A117" s="348"/>
      <c r="B117" s="348"/>
      <c r="C117" s="236"/>
      <c r="D117" s="348"/>
      <c r="E117" s="348"/>
      <c r="F117" s="348"/>
      <c r="G117" s="348"/>
      <c r="H117" s="348"/>
      <c r="I117" s="348"/>
      <c r="J117" s="348"/>
      <c r="K117" s="348"/>
      <c r="L117" s="348"/>
      <c r="M117" s="348"/>
      <c r="N117" s="348"/>
      <c r="O117" s="348"/>
      <c r="P117" s="348"/>
      <c r="Q117" s="348"/>
      <c r="R117" s="348"/>
      <c r="S117" s="348"/>
      <c r="T117" s="348"/>
      <c r="U117" s="348" t="s">
        <v>96</v>
      </c>
      <c r="V117" s="348" t="s">
        <v>96</v>
      </c>
      <c r="W117" s="348"/>
      <c r="X117" s="348" t="s">
        <v>96</v>
      </c>
      <c r="Y117" s="772" t="s">
        <v>96</v>
      </c>
      <c r="Z117" s="772" t="s">
        <v>96</v>
      </c>
      <c r="AA117" s="348"/>
      <c r="AB117" s="153"/>
      <c r="AC117" s="348"/>
      <c r="AD117" s="348"/>
      <c r="AE117" s="348"/>
      <c r="AF117" s="348"/>
      <c r="AG117" s="348"/>
      <c r="AH117" s="348"/>
      <c r="AI117" s="348"/>
      <c r="AJ117" s="348"/>
      <c r="AK117" s="348"/>
      <c r="AL117" s="348"/>
      <c r="AM117" s="348"/>
      <c r="AN117" s="348"/>
      <c r="AO117" s="348"/>
      <c r="AP117" s="348"/>
      <c r="AQ117" s="348"/>
      <c r="AR117" s="348"/>
      <c r="AS117" s="348"/>
      <c r="AT117" s="348"/>
      <c r="AU117" s="348"/>
      <c r="AV117" s="348"/>
      <c r="AW117" s="348"/>
      <c r="AX117" s="348"/>
      <c r="AY117" s="348"/>
      <c r="AZ117" s="348"/>
      <c r="BA117" s="348"/>
      <c r="BB117" s="348"/>
      <c r="BC117" s="348"/>
      <c r="BD117" s="348"/>
      <c r="BE117" s="348"/>
      <c r="BF117" s="348"/>
      <c r="BG117" s="348"/>
      <c r="BH117" s="348"/>
      <c r="BI117" s="348"/>
      <c r="BJ117" s="348"/>
      <c r="BK117" s="348"/>
      <c r="BL117" s="348"/>
      <c r="BM117" s="348"/>
      <c r="BN117" s="348"/>
      <c r="BO117" s="348"/>
      <c r="BP117" s="348"/>
      <c r="BQ117" s="348"/>
      <c r="BR117" s="348"/>
      <c r="BS117" s="348"/>
      <c r="BT117" s="348"/>
      <c r="BU117" s="348"/>
      <c r="BV117" s="348"/>
      <c r="BW117" s="806" t="s">
        <v>96</v>
      </c>
      <c r="BX117" s="806"/>
      <c r="BY117" s="806"/>
      <c r="BZ117" s="806" t="str">
        <f>IFERROR(__xludf.DUMMYFUNCTION("""COMPUTED_VALUE"""),"")</f>
        <v/>
      </c>
      <c r="CA117" s="806"/>
      <c r="CB117" s="806"/>
      <c r="CC117" s="806"/>
      <c r="CD117" s="806"/>
      <c r="CE117" s="806"/>
      <c r="CF117" s="806"/>
      <c r="CG117" s="806"/>
      <c r="CH117" s="806"/>
      <c r="CI117" s="806"/>
      <c r="CJ117" s="806"/>
      <c r="CK117" s="806"/>
    </row>
    <row r="118">
      <c r="A118" s="348"/>
      <c r="B118" s="348"/>
      <c r="C118" s="236"/>
      <c r="D118" s="348"/>
      <c r="E118" s="348"/>
      <c r="F118" s="348"/>
      <c r="G118" s="348"/>
      <c r="H118" s="348"/>
      <c r="I118" s="348"/>
      <c r="J118" s="348"/>
      <c r="K118" s="348"/>
      <c r="L118" s="348"/>
      <c r="M118" s="348"/>
      <c r="N118" s="348"/>
      <c r="O118" s="348"/>
      <c r="P118" s="348"/>
      <c r="Q118" s="348"/>
      <c r="R118" s="348"/>
      <c r="S118" s="348"/>
      <c r="T118" s="348"/>
      <c r="U118" s="348" t="s">
        <v>96</v>
      </c>
      <c r="V118" s="348" t="s">
        <v>96</v>
      </c>
      <c r="W118" s="348"/>
      <c r="X118" s="348" t="s">
        <v>96</v>
      </c>
      <c r="Y118" s="772" t="s">
        <v>96</v>
      </c>
      <c r="Z118" s="772" t="s">
        <v>96</v>
      </c>
      <c r="AA118" s="348"/>
      <c r="AB118" s="153"/>
      <c r="AC118" s="348"/>
      <c r="AD118" s="348"/>
      <c r="AE118" s="348"/>
      <c r="AF118" s="348"/>
      <c r="AG118" s="348"/>
      <c r="AH118" s="348"/>
      <c r="AI118" s="348"/>
      <c r="AJ118" s="348"/>
      <c r="AK118" s="348"/>
      <c r="AL118" s="348"/>
      <c r="AM118" s="348"/>
      <c r="AN118" s="348"/>
      <c r="AO118" s="348"/>
      <c r="AP118" s="348"/>
      <c r="AQ118" s="348"/>
      <c r="AR118" s="348"/>
      <c r="AS118" s="348"/>
      <c r="AT118" s="348"/>
      <c r="AU118" s="348"/>
      <c r="AV118" s="348"/>
      <c r="AW118" s="348"/>
      <c r="AX118" s="348"/>
      <c r="AY118" s="348"/>
      <c r="AZ118" s="348"/>
      <c r="BA118" s="348"/>
      <c r="BB118" s="348"/>
      <c r="BC118" s="348"/>
      <c r="BD118" s="348"/>
      <c r="BE118" s="348"/>
      <c r="BF118" s="348"/>
      <c r="BG118" s="348"/>
      <c r="BH118" s="348"/>
      <c r="BI118" s="348"/>
      <c r="BJ118" s="348"/>
      <c r="BK118" s="348"/>
      <c r="BL118" s="348"/>
      <c r="BM118" s="348"/>
      <c r="BN118" s="348"/>
      <c r="BO118" s="348"/>
      <c r="BP118" s="348"/>
      <c r="BQ118" s="348"/>
      <c r="BR118" s="348"/>
      <c r="BS118" s="348"/>
      <c r="BT118" s="348"/>
      <c r="BU118" s="348"/>
      <c r="BV118" s="348"/>
      <c r="BW118" s="806" t="s">
        <v>96</v>
      </c>
      <c r="BX118" s="806"/>
      <c r="BY118" s="806"/>
      <c r="BZ118" s="806" t="str">
        <f>IFERROR(__xludf.DUMMYFUNCTION("""COMPUTED_VALUE"""),"")</f>
        <v/>
      </c>
      <c r="CA118" s="806"/>
      <c r="CB118" s="806"/>
      <c r="CC118" s="806"/>
      <c r="CD118" s="806"/>
      <c r="CE118" s="806"/>
      <c r="CF118" s="806"/>
      <c r="CG118" s="806"/>
      <c r="CH118" s="806"/>
      <c r="CI118" s="806"/>
      <c r="CJ118" s="806"/>
      <c r="CK118" s="806"/>
    </row>
    <row r="119">
      <c r="A119" s="348"/>
      <c r="B119" s="348"/>
      <c r="C119" s="236"/>
      <c r="D119" s="348"/>
      <c r="E119" s="348"/>
      <c r="F119" s="348"/>
      <c r="G119" s="348"/>
      <c r="H119" s="348"/>
      <c r="I119" s="348"/>
      <c r="J119" s="348"/>
      <c r="K119" s="348"/>
      <c r="L119" s="348"/>
      <c r="M119" s="348"/>
      <c r="N119" s="348"/>
      <c r="O119" s="348"/>
      <c r="P119" s="348"/>
      <c r="Q119" s="348"/>
      <c r="R119" s="348"/>
      <c r="S119" s="348"/>
      <c r="T119" s="348"/>
      <c r="U119" s="348" t="s">
        <v>96</v>
      </c>
      <c r="V119" s="348" t="s">
        <v>96</v>
      </c>
      <c r="W119" s="348"/>
      <c r="X119" s="348" t="s">
        <v>96</v>
      </c>
      <c r="Y119" s="772" t="s">
        <v>96</v>
      </c>
      <c r="Z119" s="772" t="s">
        <v>96</v>
      </c>
      <c r="AA119" s="348"/>
      <c r="AB119" s="153"/>
      <c r="AC119" s="348"/>
      <c r="AD119" s="348"/>
      <c r="AE119" s="348"/>
      <c r="AF119" s="348"/>
      <c r="AG119" s="348"/>
      <c r="AH119" s="348"/>
      <c r="AI119" s="348"/>
      <c r="AJ119" s="348"/>
      <c r="AK119" s="348"/>
      <c r="AL119" s="348"/>
      <c r="AM119" s="348"/>
      <c r="AN119" s="348"/>
      <c r="AO119" s="348"/>
      <c r="AP119" s="348"/>
      <c r="AQ119" s="348"/>
      <c r="AR119" s="348"/>
      <c r="AS119" s="348"/>
      <c r="AT119" s="348"/>
      <c r="AU119" s="348"/>
      <c r="AV119" s="348"/>
      <c r="AW119" s="348"/>
      <c r="AX119" s="348"/>
      <c r="AY119" s="348"/>
      <c r="AZ119" s="348"/>
      <c r="BA119" s="348"/>
      <c r="BB119" s="348"/>
      <c r="BC119" s="348"/>
      <c r="BD119" s="348"/>
      <c r="BE119" s="348"/>
      <c r="BF119" s="348"/>
      <c r="BG119" s="348"/>
      <c r="BH119" s="348"/>
      <c r="BI119" s="348"/>
      <c r="BJ119" s="348"/>
      <c r="BK119" s="348"/>
      <c r="BL119" s="348"/>
      <c r="BM119" s="348"/>
      <c r="BN119" s="348"/>
      <c r="BO119" s="348"/>
      <c r="BP119" s="348"/>
      <c r="BQ119" s="348"/>
      <c r="BR119" s="348"/>
      <c r="BS119" s="348"/>
      <c r="BT119" s="348"/>
      <c r="BU119" s="348"/>
      <c r="BV119" s="348"/>
      <c r="BW119" s="806" t="s">
        <v>96</v>
      </c>
      <c r="BX119" s="806"/>
      <c r="BY119" s="806"/>
      <c r="BZ119" s="806" t="str">
        <f>IFERROR(__xludf.DUMMYFUNCTION("""COMPUTED_VALUE"""),"")</f>
        <v/>
      </c>
      <c r="CA119" s="806"/>
      <c r="CB119" s="806"/>
      <c r="CC119" s="806"/>
      <c r="CD119" s="806"/>
      <c r="CE119" s="806"/>
      <c r="CF119" s="806"/>
      <c r="CG119" s="806"/>
      <c r="CH119" s="806"/>
      <c r="CI119" s="806"/>
      <c r="CJ119" s="806"/>
      <c r="CK119" s="806"/>
    </row>
    <row r="120">
      <c r="A120" s="348"/>
      <c r="B120" s="348"/>
      <c r="C120" s="236"/>
      <c r="D120" s="348"/>
      <c r="E120" s="348"/>
      <c r="F120" s="348"/>
      <c r="G120" s="348"/>
      <c r="H120" s="348"/>
      <c r="I120" s="348"/>
      <c r="J120" s="348"/>
      <c r="K120" s="348"/>
      <c r="L120" s="348"/>
      <c r="M120" s="348"/>
      <c r="N120" s="348"/>
      <c r="O120" s="348"/>
      <c r="P120" s="348"/>
      <c r="Q120" s="348"/>
      <c r="R120" s="348"/>
      <c r="S120" s="348"/>
      <c r="T120" s="348"/>
      <c r="U120" s="348" t="s">
        <v>96</v>
      </c>
      <c r="V120" s="348" t="s">
        <v>96</v>
      </c>
      <c r="W120" s="348"/>
      <c r="X120" s="348" t="s">
        <v>96</v>
      </c>
      <c r="Y120" s="772" t="s">
        <v>96</v>
      </c>
      <c r="Z120" s="772" t="s">
        <v>96</v>
      </c>
      <c r="AA120" s="348"/>
      <c r="AB120" s="153"/>
      <c r="AC120" s="348"/>
      <c r="AD120" s="348"/>
      <c r="AE120" s="348"/>
      <c r="AF120" s="348"/>
      <c r="AG120" s="348"/>
      <c r="AH120" s="348"/>
      <c r="AI120" s="348"/>
      <c r="AJ120" s="348"/>
      <c r="AK120" s="348"/>
      <c r="AL120" s="348"/>
      <c r="AM120" s="348"/>
      <c r="AN120" s="348"/>
      <c r="AO120" s="348"/>
      <c r="AP120" s="348"/>
      <c r="AQ120" s="348"/>
      <c r="AR120" s="348"/>
      <c r="AS120" s="348"/>
      <c r="AT120" s="348"/>
      <c r="AU120" s="348"/>
      <c r="AV120" s="348"/>
      <c r="AW120" s="348"/>
      <c r="AX120" s="348"/>
      <c r="AY120" s="348"/>
      <c r="AZ120" s="348"/>
      <c r="BA120" s="348"/>
      <c r="BB120" s="348"/>
      <c r="BC120" s="348"/>
      <c r="BD120" s="348"/>
      <c r="BE120" s="348"/>
      <c r="BF120" s="348"/>
      <c r="BG120" s="348"/>
      <c r="BH120" s="348"/>
      <c r="BI120" s="348"/>
      <c r="BJ120" s="348"/>
      <c r="BK120" s="348"/>
      <c r="BL120" s="348"/>
      <c r="BM120" s="348"/>
      <c r="BN120" s="348"/>
      <c r="BO120" s="348"/>
      <c r="BP120" s="348"/>
      <c r="BQ120" s="348"/>
      <c r="BR120" s="348"/>
      <c r="BS120" s="348"/>
      <c r="BT120" s="348"/>
      <c r="BU120" s="348"/>
      <c r="BV120" s="348"/>
      <c r="BW120" s="806" t="s">
        <v>96</v>
      </c>
      <c r="BX120" s="806"/>
      <c r="BY120" s="806"/>
      <c r="BZ120" s="806" t="str">
        <f>IFERROR(__xludf.DUMMYFUNCTION("""COMPUTED_VALUE"""),"")</f>
        <v/>
      </c>
      <c r="CA120" s="806"/>
      <c r="CB120" s="806"/>
      <c r="CC120" s="806"/>
      <c r="CD120" s="806"/>
      <c r="CE120" s="806"/>
      <c r="CF120" s="806"/>
      <c r="CG120" s="806"/>
      <c r="CH120" s="806"/>
      <c r="CI120" s="806"/>
      <c r="CJ120" s="806"/>
      <c r="CK120" s="806"/>
    </row>
    <row r="121">
      <c r="A121" s="348"/>
      <c r="B121" s="348"/>
      <c r="C121" s="236"/>
      <c r="D121" s="348"/>
      <c r="E121" s="348"/>
      <c r="F121" s="348"/>
      <c r="G121" s="348"/>
      <c r="H121" s="348"/>
      <c r="I121" s="348"/>
      <c r="J121" s="348"/>
      <c r="K121" s="348"/>
      <c r="L121" s="348"/>
      <c r="M121" s="348"/>
      <c r="N121" s="348"/>
      <c r="O121" s="348"/>
      <c r="P121" s="348"/>
      <c r="Q121" s="348"/>
      <c r="R121" s="348"/>
      <c r="S121" s="348"/>
      <c r="T121" s="348"/>
      <c r="U121" s="348" t="s">
        <v>96</v>
      </c>
      <c r="V121" s="348" t="s">
        <v>96</v>
      </c>
      <c r="W121" s="348"/>
      <c r="X121" s="348" t="s">
        <v>96</v>
      </c>
      <c r="Y121" s="772" t="s">
        <v>96</v>
      </c>
      <c r="Z121" s="772" t="s">
        <v>96</v>
      </c>
      <c r="AA121" s="348"/>
      <c r="AB121" s="153"/>
      <c r="AC121" s="348"/>
      <c r="AD121" s="348"/>
      <c r="AE121" s="348"/>
      <c r="AF121" s="348"/>
      <c r="AG121" s="348"/>
      <c r="AH121" s="348"/>
      <c r="AI121" s="348"/>
      <c r="AJ121" s="348"/>
      <c r="AK121" s="348"/>
      <c r="AL121" s="348"/>
      <c r="AM121" s="348"/>
      <c r="AN121" s="348"/>
      <c r="AO121" s="348"/>
      <c r="AP121" s="348"/>
      <c r="AQ121" s="348"/>
      <c r="AR121" s="348"/>
      <c r="AS121" s="348"/>
      <c r="AT121" s="348"/>
      <c r="AU121" s="348"/>
      <c r="AV121" s="348"/>
      <c r="AW121" s="348"/>
      <c r="AX121" s="348"/>
      <c r="AY121" s="348"/>
      <c r="AZ121" s="348"/>
      <c r="BA121" s="348"/>
      <c r="BB121" s="348"/>
      <c r="BC121" s="348"/>
      <c r="BD121" s="348"/>
      <c r="BE121" s="348"/>
      <c r="BF121" s="348"/>
      <c r="BG121" s="348"/>
      <c r="BH121" s="348"/>
      <c r="BI121" s="348"/>
      <c r="BJ121" s="348"/>
      <c r="BK121" s="348"/>
      <c r="BL121" s="348"/>
      <c r="BM121" s="348"/>
      <c r="BN121" s="348"/>
      <c r="BO121" s="348"/>
      <c r="BP121" s="348"/>
      <c r="BQ121" s="348"/>
      <c r="BR121" s="348"/>
      <c r="BS121" s="348"/>
      <c r="BT121" s="348"/>
      <c r="BU121" s="348"/>
      <c r="BV121" s="348"/>
      <c r="BW121" s="806" t="s">
        <v>96</v>
      </c>
      <c r="BX121" s="806"/>
      <c r="BY121" s="806"/>
      <c r="BZ121" s="806" t="str">
        <f>IFERROR(__xludf.DUMMYFUNCTION("""COMPUTED_VALUE"""),"")</f>
        <v/>
      </c>
      <c r="CA121" s="806"/>
      <c r="CB121" s="806"/>
      <c r="CC121" s="806"/>
      <c r="CD121" s="806"/>
      <c r="CE121" s="806"/>
      <c r="CF121" s="806"/>
      <c r="CG121" s="806"/>
      <c r="CH121" s="806"/>
      <c r="CI121" s="806"/>
      <c r="CJ121" s="806"/>
      <c r="CK121" s="806"/>
    </row>
    <row r="122">
      <c r="A122" s="348"/>
      <c r="B122" s="348"/>
      <c r="C122" s="236"/>
      <c r="D122" s="348"/>
      <c r="E122" s="348"/>
      <c r="F122" s="348"/>
      <c r="G122" s="348"/>
      <c r="H122" s="348"/>
      <c r="I122" s="348"/>
      <c r="J122" s="348"/>
      <c r="K122" s="348"/>
      <c r="L122" s="348"/>
      <c r="M122" s="348"/>
      <c r="N122" s="348"/>
      <c r="O122" s="348"/>
      <c r="P122" s="348"/>
      <c r="Q122" s="348"/>
      <c r="R122" s="348"/>
      <c r="S122" s="348"/>
      <c r="T122" s="348"/>
      <c r="U122" s="348" t="s">
        <v>96</v>
      </c>
      <c r="V122" s="348" t="s">
        <v>96</v>
      </c>
      <c r="W122" s="348"/>
      <c r="X122" s="348" t="s">
        <v>96</v>
      </c>
      <c r="Y122" s="772" t="s">
        <v>96</v>
      </c>
      <c r="Z122" s="772" t="s">
        <v>96</v>
      </c>
      <c r="AA122" s="348"/>
      <c r="AB122" s="153"/>
      <c r="AC122" s="348"/>
      <c r="AD122" s="348"/>
      <c r="AE122" s="348"/>
      <c r="AF122" s="348"/>
      <c r="AG122" s="348"/>
      <c r="AH122" s="348"/>
      <c r="AI122" s="348"/>
      <c r="AJ122" s="348"/>
      <c r="AK122" s="348"/>
      <c r="AL122" s="348"/>
      <c r="AM122" s="348"/>
      <c r="AN122" s="348"/>
      <c r="AO122" s="348"/>
      <c r="AP122" s="348"/>
      <c r="AQ122" s="348"/>
      <c r="AR122" s="348"/>
      <c r="AS122" s="348"/>
      <c r="AT122" s="348"/>
      <c r="AU122" s="348"/>
      <c r="AV122" s="348"/>
      <c r="AW122" s="348"/>
      <c r="AX122" s="348"/>
      <c r="AY122" s="348"/>
      <c r="AZ122" s="348"/>
      <c r="BA122" s="348"/>
      <c r="BB122" s="348"/>
      <c r="BC122" s="348"/>
      <c r="BD122" s="348"/>
      <c r="BE122" s="348"/>
      <c r="BF122" s="348"/>
      <c r="BG122" s="348"/>
      <c r="BH122" s="348"/>
      <c r="BI122" s="348"/>
      <c r="BJ122" s="348"/>
      <c r="BK122" s="348"/>
      <c r="BL122" s="348"/>
      <c r="BM122" s="348"/>
      <c r="BN122" s="348"/>
      <c r="BO122" s="348"/>
      <c r="BP122" s="348"/>
      <c r="BQ122" s="348"/>
      <c r="BR122" s="348"/>
      <c r="BS122" s="348"/>
      <c r="BT122" s="348"/>
      <c r="BU122" s="348"/>
      <c r="BV122" s="348"/>
      <c r="BW122" s="806" t="s">
        <v>96</v>
      </c>
      <c r="BX122" s="806"/>
      <c r="BY122" s="806"/>
      <c r="BZ122" s="806" t="str">
        <f>IFERROR(__xludf.DUMMYFUNCTION("""COMPUTED_VALUE"""),"")</f>
        <v/>
      </c>
      <c r="CA122" s="806"/>
      <c r="CB122" s="806"/>
      <c r="CC122" s="806"/>
      <c r="CD122" s="806"/>
      <c r="CE122" s="806"/>
      <c r="CF122" s="806"/>
      <c r="CG122" s="806"/>
      <c r="CH122" s="806"/>
      <c r="CI122" s="806"/>
      <c r="CJ122" s="806"/>
      <c r="CK122" s="806"/>
    </row>
    <row r="123">
      <c r="A123" s="348"/>
      <c r="B123" s="348"/>
      <c r="C123" s="236"/>
      <c r="D123" s="348"/>
      <c r="E123" s="348"/>
      <c r="F123" s="348"/>
      <c r="G123" s="348"/>
      <c r="H123" s="348"/>
      <c r="I123" s="348"/>
      <c r="J123" s="348"/>
      <c r="K123" s="348"/>
      <c r="L123" s="348"/>
      <c r="M123" s="348"/>
      <c r="N123" s="348"/>
      <c r="O123" s="348"/>
      <c r="P123" s="348"/>
      <c r="Q123" s="348"/>
      <c r="R123" s="348"/>
      <c r="S123" s="348"/>
      <c r="T123" s="348"/>
      <c r="U123" s="348" t="s">
        <v>96</v>
      </c>
      <c r="V123" s="348" t="s">
        <v>96</v>
      </c>
      <c r="W123" s="348"/>
      <c r="X123" s="348" t="s">
        <v>96</v>
      </c>
      <c r="Y123" s="772" t="s">
        <v>96</v>
      </c>
      <c r="Z123" s="772" t="s">
        <v>96</v>
      </c>
      <c r="AA123" s="348"/>
      <c r="AB123" s="153"/>
      <c r="AC123" s="348"/>
      <c r="AD123" s="348"/>
      <c r="AE123" s="348"/>
      <c r="AF123" s="348"/>
      <c r="AG123" s="348"/>
      <c r="AH123" s="348"/>
      <c r="AI123" s="348"/>
      <c r="AJ123" s="348"/>
      <c r="AK123" s="348"/>
      <c r="AL123" s="348"/>
      <c r="AM123" s="348"/>
      <c r="AN123" s="348"/>
      <c r="AO123" s="348"/>
      <c r="AP123" s="348"/>
      <c r="AQ123" s="348"/>
      <c r="AR123" s="348"/>
      <c r="AS123" s="348"/>
      <c r="AT123" s="348"/>
      <c r="AU123" s="348"/>
      <c r="AV123" s="348"/>
      <c r="AW123" s="348"/>
      <c r="AX123" s="348"/>
      <c r="AY123" s="348"/>
      <c r="AZ123" s="348"/>
      <c r="BA123" s="348"/>
      <c r="BB123" s="348"/>
      <c r="BC123" s="348"/>
      <c r="BD123" s="348"/>
      <c r="BE123" s="348"/>
      <c r="BF123" s="348"/>
      <c r="BG123" s="348"/>
      <c r="BH123" s="348"/>
      <c r="BI123" s="348"/>
      <c r="BJ123" s="348"/>
      <c r="BK123" s="348"/>
      <c r="BL123" s="348"/>
      <c r="BM123" s="348"/>
      <c r="BN123" s="348"/>
      <c r="BO123" s="348"/>
      <c r="BP123" s="348"/>
      <c r="BQ123" s="348"/>
      <c r="BR123" s="348"/>
      <c r="BS123" s="348"/>
      <c r="BT123" s="348"/>
      <c r="BU123" s="348"/>
      <c r="BV123" s="348"/>
      <c r="BW123" s="806" t="s">
        <v>96</v>
      </c>
      <c r="BX123" s="806"/>
      <c r="BY123" s="806"/>
      <c r="BZ123" s="806" t="str">
        <f>IFERROR(__xludf.DUMMYFUNCTION("""COMPUTED_VALUE"""),"")</f>
        <v/>
      </c>
      <c r="CA123" s="806"/>
      <c r="CB123" s="806"/>
      <c r="CC123" s="806"/>
      <c r="CD123" s="806"/>
      <c r="CE123" s="806"/>
      <c r="CF123" s="806"/>
      <c r="CG123" s="806"/>
      <c r="CH123" s="806"/>
      <c r="CI123" s="806"/>
      <c r="CJ123" s="806"/>
      <c r="CK123" s="806"/>
    </row>
    <row r="124">
      <c r="A124" s="348"/>
      <c r="B124" s="348"/>
      <c r="C124" s="236"/>
      <c r="D124" s="348"/>
      <c r="E124" s="348"/>
      <c r="F124" s="348"/>
      <c r="G124" s="348"/>
      <c r="H124" s="348"/>
      <c r="I124" s="348"/>
      <c r="J124" s="348"/>
      <c r="K124" s="348"/>
      <c r="L124" s="348"/>
      <c r="M124" s="348"/>
      <c r="N124" s="348"/>
      <c r="O124" s="348"/>
      <c r="P124" s="348"/>
      <c r="Q124" s="348"/>
      <c r="R124" s="348"/>
      <c r="S124" s="348"/>
      <c r="T124" s="348"/>
      <c r="U124" s="348" t="s">
        <v>96</v>
      </c>
      <c r="V124" s="348" t="s">
        <v>96</v>
      </c>
      <c r="W124" s="348"/>
      <c r="X124" s="348" t="s">
        <v>96</v>
      </c>
      <c r="Y124" s="772" t="s">
        <v>96</v>
      </c>
      <c r="Z124" s="772" t="s">
        <v>96</v>
      </c>
      <c r="AA124" s="348"/>
      <c r="AB124" s="153"/>
      <c r="AC124" s="348"/>
      <c r="AD124" s="348"/>
      <c r="AE124" s="348"/>
      <c r="AF124" s="348"/>
      <c r="AG124" s="348"/>
      <c r="AH124" s="348"/>
      <c r="AI124" s="348"/>
      <c r="AJ124" s="348"/>
      <c r="AK124" s="348"/>
      <c r="AL124" s="348"/>
      <c r="AM124" s="348"/>
      <c r="AN124" s="348"/>
      <c r="AO124" s="348"/>
      <c r="AP124" s="348"/>
      <c r="AQ124" s="348"/>
      <c r="AR124" s="348"/>
      <c r="AS124" s="348"/>
      <c r="AT124" s="348"/>
      <c r="AU124" s="348"/>
      <c r="AV124" s="348"/>
      <c r="AW124" s="348"/>
      <c r="AX124" s="348"/>
      <c r="AY124" s="348"/>
      <c r="AZ124" s="348"/>
      <c r="BA124" s="348"/>
      <c r="BB124" s="348"/>
      <c r="BC124" s="348"/>
      <c r="BD124" s="348"/>
      <c r="BE124" s="348"/>
      <c r="BF124" s="348"/>
      <c r="BG124" s="348"/>
      <c r="BH124" s="348"/>
      <c r="BI124" s="348"/>
      <c r="BJ124" s="348"/>
      <c r="BK124" s="348"/>
      <c r="BL124" s="348"/>
      <c r="BM124" s="348"/>
      <c r="BN124" s="348"/>
      <c r="BO124" s="348"/>
      <c r="BP124" s="348"/>
      <c r="BQ124" s="348"/>
      <c r="BR124" s="348"/>
      <c r="BS124" s="348"/>
      <c r="BT124" s="348"/>
      <c r="BU124" s="348"/>
      <c r="BV124" s="348"/>
      <c r="BW124" s="806" t="s">
        <v>96</v>
      </c>
      <c r="BX124" s="806"/>
      <c r="BY124" s="806"/>
      <c r="BZ124" s="806" t="str">
        <f>IFERROR(__xludf.DUMMYFUNCTION("""COMPUTED_VALUE"""),"")</f>
        <v/>
      </c>
      <c r="CA124" s="806"/>
      <c r="CB124" s="806"/>
      <c r="CC124" s="806"/>
      <c r="CD124" s="806"/>
      <c r="CE124" s="806"/>
      <c r="CF124" s="806"/>
      <c r="CG124" s="806"/>
      <c r="CH124" s="806"/>
      <c r="CI124" s="806"/>
      <c r="CJ124" s="806"/>
      <c r="CK124" s="806"/>
    </row>
    <row r="125">
      <c r="A125" s="348"/>
      <c r="B125" s="348"/>
      <c r="C125" s="236"/>
      <c r="D125" s="348"/>
      <c r="E125" s="348"/>
      <c r="F125" s="348"/>
      <c r="G125" s="348"/>
      <c r="H125" s="348"/>
      <c r="I125" s="348"/>
      <c r="J125" s="348"/>
      <c r="K125" s="348"/>
      <c r="L125" s="348"/>
      <c r="M125" s="348"/>
      <c r="N125" s="348"/>
      <c r="O125" s="348"/>
      <c r="P125" s="348"/>
      <c r="Q125" s="348"/>
      <c r="R125" s="348"/>
      <c r="S125" s="348"/>
      <c r="T125" s="348"/>
      <c r="U125" s="348" t="s">
        <v>96</v>
      </c>
      <c r="V125" s="348" t="s">
        <v>96</v>
      </c>
      <c r="W125" s="348"/>
      <c r="X125" s="348" t="s">
        <v>96</v>
      </c>
      <c r="Y125" s="772" t="s">
        <v>96</v>
      </c>
      <c r="Z125" s="772" t="s">
        <v>96</v>
      </c>
      <c r="AA125" s="348"/>
      <c r="AB125" s="153"/>
      <c r="AC125" s="348"/>
      <c r="AD125" s="348"/>
      <c r="AE125" s="348"/>
      <c r="AF125" s="348"/>
      <c r="AG125" s="348"/>
      <c r="AH125" s="348"/>
      <c r="AI125" s="348"/>
      <c r="AJ125" s="348"/>
      <c r="AK125" s="348"/>
      <c r="AL125" s="348"/>
      <c r="AM125" s="348"/>
      <c r="AN125" s="348"/>
      <c r="AO125" s="348"/>
      <c r="AP125" s="348"/>
      <c r="AQ125" s="348"/>
      <c r="AR125" s="348"/>
      <c r="AS125" s="348"/>
      <c r="AT125" s="348"/>
      <c r="AU125" s="348"/>
      <c r="AV125" s="348"/>
      <c r="AW125" s="348"/>
      <c r="AX125" s="348"/>
      <c r="AY125" s="348"/>
      <c r="AZ125" s="348"/>
      <c r="BA125" s="348"/>
      <c r="BB125" s="348"/>
      <c r="BC125" s="348"/>
      <c r="BD125" s="348"/>
      <c r="BE125" s="348"/>
      <c r="BF125" s="348"/>
      <c r="BG125" s="348"/>
      <c r="BH125" s="348"/>
      <c r="BI125" s="348"/>
      <c r="BJ125" s="348"/>
      <c r="BK125" s="348"/>
      <c r="BL125" s="348"/>
      <c r="BM125" s="348"/>
      <c r="BN125" s="348"/>
      <c r="BO125" s="348"/>
      <c r="BP125" s="348"/>
      <c r="BQ125" s="348"/>
      <c r="BR125" s="348"/>
      <c r="BS125" s="348"/>
      <c r="BT125" s="348"/>
      <c r="BU125" s="348"/>
      <c r="BV125" s="348"/>
      <c r="BW125" s="806" t="s">
        <v>96</v>
      </c>
      <c r="BX125" s="806"/>
      <c r="BY125" s="806"/>
      <c r="BZ125" s="806" t="str">
        <f>IFERROR(__xludf.DUMMYFUNCTION("""COMPUTED_VALUE"""),"")</f>
        <v/>
      </c>
      <c r="CA125" s="806"/>
      <c r="CB125" s="806"/>
      <c r="CC125" s="806"/>
      <c r="CD125" s="806"/>
      <c r="CE125" s="806"/>
      <c r="CF125" s="806"/>
      <c r="CG125" s="806"/>
      <c r="CH125" s="806"/>
      <c r="CI125" s="806"/>
      <c r="CJ125" s="806"/>
      <c r="CK125" s="806"/>
    </row>
    <row r="126">
      <c r="A126" s="348"/>
      <c r="B126" s="348"/>
      <c r="C126" s="236"/>
      <c r="D126" s="348"/>
      <c r="E126" s="348"/>
      <c r="F126" s="348"/>
      <c r="G126" s="348"/>
      <c r="H126" s="348"/>
      <c r="I126" s="348"/>
      <c r="J126" s="348"/>
      <c r="K126" s="348"/>
      <c r="L126" s="348"/>
      <c r="M126" s="348"/>
      <c r="N126" s="348"/>
      <c r="O126" s="348"/>
      <c r="P126" s="348"/>
      <c r="Q126" s="348"/>
      <c r="R126" s="348"/>
      <c r="S126" s="348"/>
      <c r="T126" s="348"/>
      <c r="U126" s="348" t="s">
        <v>96</v>
      </c>
      <c r="V126" s="348" t="s">
        <v>96</v>
      </c>
      <c r="W126" s="348"/>
      <c r="X126" s="348" t="s">
        <v>96</v>
      </c>
      <c r="Y126" s="772" t="s">
        <v>96</v>
      </c>
      <c r="Z126" s="772" t="s">
        <v>96</v>
      </c>
      <c r="AA126" s="348"/>
      <c r="AB126" s="153"/>
      <c r="AC126" s="348"/>
      <c r="AD126" s="348"/>
      <c r="AE126" s="348"/>
      <c r="AF126" s="348"/>
      <c r="AG126" s="348"/>
      <c r="AH126" s="348"/>
      <c r="AI126" s="348"/>
      <c r="AJ126" s="348"/>
      <c r="AK126" s="348"/>
      <c r="AL126" s="348"/>
      <c r="AM126" s="348"/>
      <c r="AN126" s="348"/>
      <c r="AO126" s="348"/>
      <c r="AP126" s="348"/>
      <c r="AQ126" s="348"/>
      <c r="AR126" s="348"/>
      <c r="AS126" s="348"/>
      <c r="AT126" s="348"/>
      <c r="AU126" s="348"/>
      <c r="AV126" s="348"/>
      <c r="AW126" s="348"/>
      <c r="AX126" s="348"/>
      <c r="AY126" s="348"/>
      <c r="AZ126" s="348"/>
      <c r="BA126" s="348"/>
      <c r="BB126" s="348"/>
      <c r="BC126" s="348"/>
      <c r="BD126" s="348"/>
      <c r="BE126" s="348"/>
      <c r="BF126" s="348"/>
      <c r="BG126" s="348"/>
      <c r="BH126" s="348"/>
      <c r="BI126" s="348"/>
      <c r="BJ126" s="348"/>
      <c r="BK126" s="348"/>
      <c r="BL126" s="348"/>
      <c r="BM126" s="348"/>
      <c r="BN126" s="348"/>
      <c r="BO126" s="348"/>
      <c r="BP126" s="348"/>
      <c r="BQ126" s="348"/>
      <c r="BR126" s="348"/>
      <c r="BS126" s="348"/>
      <c r="BT126" s="348"/>
      <c r="BU126" s="348"/>
      <c r="BV126" s="348"/>
      <c r="BW126" s="806" t="s">
        <v>96</v>
      </c>
      <c r="BX126" s="806"/>
      <c r="BY126" s="806"/>
      <c r="BZ126" s="806" t="str">
        <f>IFERROR(__xludf.DUMMYFUNCTION("""COMPUTED_VALUE"""),"")</f>
        <v/>
      </c>
      <c r="CA126" s="806"/>
      <c r="CB126" s="806"/>
      <c r="CC126" s="806"/>
      <c r="CD126" s="806"/>
      <c r="CE126" s="806"/>
      <c r="CF126" s="806"/>
      <c r="CG126" s="806"/>
      <c r="CH126" s="806"/>
      <c r="CI126" s="806"/>
      <c r="CJ126" s="806"/>
      <c r="CK126" s="806"/>
    </row>
    <row r="127">
      <c r="A127" s="348"/>
      <c r="B127" s="348"/>
      <c r="C127" s="236"/>
      <c r="D127" s="348"/>
      <c r="E127" s="348"/>
      <c r="F127" s="348"/>
      <c r="G127" s="348"/>
      <c r="H127" s="348"/>
      <c r="I127" s="348"/>
      <c r="J127" s="348"/>
      <c r="K127" s="348"/>
      <c r="L127" s="348"/>
      <c r="M127" s="348"/>
      <c r="N127" s="348"/>
      <c r="O127" s="348"/>
      <c r="P127" s="348"/>
      <c r="Q127" s="348"/>
      <c r="R127" s="348"/>
      <c r="S127" s="348"/>
      <c r="T127" s="348"/>
      <c r="U127" s="348" t="s">
        <v>96</v>
      </c>
      <c r="V127" s="348" t="s">
        <v>96</v>
      </c>
      <c r="W127" s="348"/>
      <c r="X127" s="348" t="s">
        <v>96</v>
      </c>
      <c r="Y127" s="772" t="s">
        <v>96</v>
      </c>
      <c r="Z127" s="772" t="s">
        <v>96</v>
      </c>
      <c r="AA127" s="348"/>
      <c r="AB127" s="153"/>
      <c r="AC127" s="348"/>
      <c r="AD127" s="348"/>
      <c r="AE127" s="348"/>
      <c r="AF127" s="348"/>
      <c r="AG127" s="348"/>
      <c r="AH127" s="348"/>
      <c r="AI127" s="348"/>
      <c r="AJ127" s="348"/>
      <c r="AK127" s="348"/>
      <c r="AL127" s="348"/>
      <c r="AM127" s="348"/>
      <c r="AN127" s="348"/>
      <c r="AO127" s="348"/>
      <c r="AP127" s="348"/>
      <c r="AQ127" s="348"/>
      <c r="AR127" s="348"/>
      <c r="AS127" s="348"/>
      <c r="AT127" s="348"/>
      <c r="AU127" s="348"/>
      <c r="AV127" s="348"/>
      <c r="AW127" s="348"/>
      <c r="AX127" s="348"/>
      <c r="AY127" s="348"/>
      <c r="AZ127" s="348"/>
      <c r="BA127" s="348"/>
      <c r="BB127" s="348"/>
      <c r="BC127" s="348"/>
      <c r="BD127" s="348"/>
      <c r="BE127" s="348"/>
      <c r="BF127" s="348"/>
      <c r="BG127" s="348"/>
      <c r="BH127" s="348"/>
      <c r="BI127" s="348"/>
      <c r="BJ127" s="348"/>
      <c r="BK127" s="348"/>
      <c r="BL127" s="348"/>
      <c r="BM127" s="348"/>
      <c r="BN127" s="348"/>
      <c r="BO127" s="348"/>
      <c r="BP127" s="348"/>
      <c r="BQ127" s="348"/>
      <c r="BR127" s="348"/>
      <c r="BS127" s="348"/>
      <c r="BT127" s="348"/>
      <c r="BU127" s="348"/>
      <c r="BV127" s="348"/>
      <c r="BW127" s="806" t="s">
        <v>96</v>
      </c>
      <c r="BX127" s="806"/>
      <c r="BY127" s="806"/>
      <c r="BZ127" s="806" t="str">
        <f>IFERROR(__xludf.DUMMYFUNCTION("""COMPUTED_VALUE"""),"")</f>
        <v/>
      </c>
      <c r="CA127" s="806"/>
      <c r="CB127" s="806"/>
      <c r="CC127" s="806"/>
      <c r="CD127" s="806"/>
      <c r="CE127" s="806"/>
      <c r="CF127" s="806"/>
      <c r="CG127" s="806"/>
      <c r="CH127" s="806"/>
      <c r="CI127" s="806"/>
      <c r="CJ127" s="806"/>
      <c r="CK127" s="806"/>
    </row>
    <row r="128">
      <c r="A128" s="348"/>
      <c r="B128" s="348"/>
      <c r="C128" s="236"/>
      <c r="D128" s="348"/>
      <c r="E128" s="348"/>
      <c r="F128" s="348"/>
      <c r="G128" s="348"/>
      <c r="H128" s="348"/>
      <c r="I128" s="348"/>
      <c r="J128" s="348"/>
      <c r="K128" s="348"/>
      <c r="L128" s="348"/>
      <c r="M128" s="348"/>
      <c r="N128" s="348"/>
      <c r="O128" s="348"/>
      <c r="P128" s="348"/>
      <c r="Q128" s="348"/>
      <c r="R128" s="348"/>
      <c r="S128" s="348"/>
      <c r="T128" s="348"/>
      <c r="U128" s="348" t="s">
        <v>96</v>
      </c>
      <c r="V128" s="348" t="s">
        <v>96</v>
      </c>
      <c r="W128" s="348"/>
      <c r="X128" s="348" t="s">
        <v>96</v>
      </c>
      <c r="Y128" s="772" t="s">
        <v>96</v>
      </c>
      <c r="Z128" s="772" t="s">
        <v>96</v>
      </c>
      <c r="AA128" s="348"/>
      <c r="AB128" s="153"/>
      <c r="AC128" s="348"/>
      <c r="AD128" s="348"/>
      <c r="AE128" s="348"/>
      <c r="AF128" s="348"/>
      <c r="AG128" s="348"/>
      <c r="AH128" s="348"/>
      <c r="AI128" s="348"/>
      <c r="AJ128" s="348"/>
      <c r="AK128" s="348"/>
      <c r="AL128" s="348"/>
      <c r="AM128" s="348"/>
      <c r="AN128" s="348"/>
      <c r="AO128" s="348"/>
      <c r="AP128" s="348"/>
      <c r="AQ128" s="348"/>
      <c r="AR128" s="348"/>
      <c r="AS128" s="348"/>
      <c r="AT128" s="348"/>
      <c r="AU128" s="348"/>
      <c r="AV128" s="348"/>
      <c r="AW128" s="348"/>
      <c r="AX128" s="348"/>
      <c r="AY128" s="348"/>
      <c r="AZ128" s="348"/>
      <c r="BA128" s="348"/>
      <c r="BB128" s="348"/>
      <c r="BC128" s="348"/>
      <c r="BD128" s="348"/>
      <c r="BE128" s="348"/>
      <c r="BF128" s="348"/>
      <c r="BG128" s="348"/>
      <c r="BH128" s="348"/>
      <c r="BI128" s="348"/>
      <c r="BJ128" s="348"/>
      <c r="BK128" s="348"/>
      <c r="BL128" s="348"/>
      <c r="BM128" s="348"/>
      <c r="BN128" s="348"/>
      <c r="BO128" s="348"/>
      <c r="BP128" s="348"/>
      <c r="BQ128" s="348"/>
      <c r="BR128" s="348"/>
      <c r="BS128" s="348"/>
      <c r="BT128" s="348"/>
      <c r="BU128" s="348"/>
      <c r="BV128" s="348"/>
      <c r="BW128" s="806" t="s">
        <v>96</v>
      </c>
      <c r="BX128" s="806"/>
      <c r="BY128" s="806"/>
      <c r="BZ128" s="806" t="str">
        <f>IFERROR(__xludf.DUMMYFUNCTION("""COMPUTED_VALUE"""),"")</f>
        <v/>
      </c>
      <c r="CA128" s="806"/>
      <c r="CB128" s="806"/>
      <c r="CC128" s="806"/>
      <c r="CD128" s="806"/>
      <c r="CE128" s="806"/>
      <c r="CF128" s="806"/>
      <c r="CG128" s="806"/>
      <c r="CH128" s="806"/>
      <c r="CI128" s="806"/>
      <c r="CJ128" s="806"/>
      <c r="CK128" s="806"/>
    </row>
    <row r="129">
      <c r="A129" s="348"/>
      <c r="B129" s="348"/>
      <c r="C129" s="236"/>
      <c r="D129" s="348"/>
      <c r="E129" s="348"/>
      <c r="F129" s="348"/>
      <c r="G129" s="348"/>
      <c r="H129" s="348"/>
      <c r="I129" s="348"/>
      <c r="J129" s="348"/>
      <c r="K129" s="348"/>
      <c r="L129" s="348"/>
      <c r="M129" s="348"/>
      <c r="N129" s="348"/>
      <c r="O129" s="348"/>
      <c r="P129" s="348"/>
      <c r="Q129" s="348"/>
      <c r="R129" s="348"/>
      <c r="S129" s="348"/>
      <c r="T129" s="348"/>
      <c r="U129" s="348" t="s">
        <v>96</v>
      </c>
      <c r="V129" s="348" t="s">
        <v>96</v>
      </c>
      <c r="W129" s="348"/>
      <c r="X129" s="348" t="s">
        <v>96</v>
      </c>
      <c r="Y129" s="772" t="s">
        <v>96</v>
      </c>
      <c r="Z129" s="772" t="s">
        <v>96</v>
      </c>
      <c r="AA129" s="348"/>
      <c r="AB129" s="153"/>
      <c r="AC129" s="348"/>
      <c r="AD129" s="348"/>
      <c r="AE129" s="348"/>
      <c r="AF129" s="348"/>
      <c r="AG129" s="348"/>
      <c r="AH129" s="348"/>
      <c r="AI129" s="348"/>
      <c r="AJ129" s="348"/>
      <c r="AK129" s="348"/>
      <c r="AL129" s="348"/>
      <c r="AM129" s="348"/>
      <c r="AN129" s="348"/>
      <c r="AO129" s="348"/>
      <c r="AP129" s="348"/>
      <c r="AQ129" s="348"/>
      <c r="AR129" s="348"/>
      <c r="AS129" s="348"/>
      <c r="AT129" s="348"/>
      <c r="AU129" s="348"/>
      <c r="AV129" s="348"/>
      <c r="AW129" s="348"/>
      <c r="AX129" s="348"/>
      <c r="AY129" s="348"/>
      <c r="AZ129" s="348"/>
      <c r="BA129" s="348"/>
      <c r="BB129" s="348"/>
      <c r="BC129" s="348"/>
      <c r="BD129" s="348"/>
      <c r="BE129" s="348"/>
      <c r="BF129" s="348"/>
      <c r="BG129" s="348"/>
      <c r="BH129" s="348"/>
      <c r="BI129" s="348"/>
      <c r="BJ129" s="348"/>
      <c r="BK129" s="348"/>
      <c r="BL129" s="348"/>
      <c r="BM129" s="348"/>
      <c r="BN129" s="348"/>
      <c r="BO129" s="348"/>
      <c r="BP129" s="348"/>
      <c r="BQ129" s="348"/>
      <c r="BR129" s="348"/>
      <c r="BS129" s="348"/>
      <c r="BT129" s="348"/>
      <c r="BU129" s="348"/>
      <c r="BV129" s="348"/>
      <c r="BW129" s="806" t="s">
        <v>96</v>
      </c>
      <c r="BX129" s="806"/>
      <c r="BY129" s="806"/>
      <c r="BZ129" s="806" t="str">
        <f>IFERROR(__xludf.DUMMYFUNCTION("""COMPUTED_VALUE"""),"")</f>
        <v/>
      </c>
      <c r="CA129" s="806"/>
      <c r="CB129" s="806"/>
      <c r="CC129" s="806"/>
      <c r="CD129" s="806"/>
      <c r="CE129" s="806"/>
      <c r="CF129" s="806"/>
      <c r="CG129" s="806"/>
      <c r="CH129" s="806"/>
      <c r="CI129" s="806"/>
      <c r="CJ129" s="806"/>
      <c r="CK129" s="806"/>
    </row>
    <row r="130">
      <c r="A130" s="348"/>
      <c r="B130" s="348"/>
      <c r="C130" s="236"/>
      <c r="D130" s="348"/>
      <c r="E130" s="348"/>
      <c r="F130" s="348"/>
      <c r="G130" s="348"/>
      <c r="H130" s="348"/>
      <c r="I130" s="348"/>
      <c r="J130" s="348"/>
      <c r="K130" s="348"/>
      <c r="L130" s="348"/>
      <c r="M130" s="348"/>
      <c r="N130" s="348"/>
      <c r="O130" s="348"/>
      <c r="P130" s="348"/>
      <c r="Q130" s="348"/>
      <c r="R130" s="348"/>
      <c r="S130" s="348"/>
      <c r="T130" s="348"/>
      <c r="U130" s="348" t="s">
        <v>96</v>
      </c>
      <c r="V130" s="348" t="s">
        <v>96</v>
      </c>
      <c r="W130" s="348"/>
      <c r="X130" s="348" t="s">
        <v>96</v>
      </c>
      <c r="Y130" s="772" t="s">
        <v>96</v>
      </c>
      <c r="Z130" s="772" t="s">
        <v>96</v>
      </c>
      <c r="AA130" s="348"/>
      <c r="AB130" s="153"/>
      <c r="AC130" s="348"/>
      <c r="AD130" s="348"/>
      <c r="AE130" s="348"/>
      <c r="AF130" s="348"/>
      <c r="AG130" s="348"/>
      <c r="AH130" s="348"/>
      <c r="AI130" s="348"/>
      <c r="AJ130" s="348"/>
      <c r="AK130" s="348"/>
      <c r="AL130" s="348"/>
      <c r="AM130" s="348"/>
      <c r="AN130" s="348"/>
      <c r="AO130" s="348"/>
      <c r="AP130" s="348"/>
      <c r="AQ130" s="348"/>
      <c r="AR130" s="348"/>
      <c r="AS130" s="348"/>
      <c r="AT130" s="348"/>
      <c r="AU130" s="348"/>
      <c r="AV130" s="348"/>
      <c r="AW130" s="348"/>
      <c r="AX130" s="348"/>
      <c r="AY130" s="348"/>
      <c r="AZ130" s="348"/>
      <c r="BA130" s="348"/>
      <c r="BB130" s="348"/>
      <c r="BC130" s="348"/>
      <c r="BD130" s="348"/>
      <c r="BE130" s="348"/>
      <c r="BF130" s="348"/>
      <c r="BG130" s="348"/>
      <c r="BH130" s="348"/>
      <c r="BI130" s="348"/>
      <c r="BJ130" s="348"/>
      <c r="BK130" s="348"/>
      <c r="BL130" s="348"/>
      <c r="BM130" s="348"/>
      <c r="BN130" s="348"/>
      <c r="BO130" s="348"/>
      <c r="BP130" s="348"/>
      <c r="BQ130" s="348"/>
      <c r="BR130" s="348"/>
      <c r="BS130" s="348"/>
      <c r="BT130" s="348"/>
      <c r="BU130" s="348"/>
      <c r="BV130" s="348"/>
      <c r="BW130" s="806" t="s">
        <v>96</v>
      </c>
      <c r="BX130" s="806"/>
      <c r="BY130" s="806"/>
      <c r="BZ130" s="806" t="str">
        <f>IFERROR(__xludf.DUMMYFUNCTION("""COMPUTED_VALUE"""),"")</f>
        <v/>
      </c>
      <c r="CA130" s="806"/>
      <c r="CB130" s="806"/>
      <c r="CC130" s="806"/>
      <c r="CD130" s="806"/>
      <c r="CE130" s="806"/>
      <c r="CF130" s="806"/>
      <c r="CG130" s="806"/>
      <c r="CH130" s="806"/>
      <c r="CI130" s="806"/>
      <c r="CJ130" s="806"/>
      <c r="CK130" s="806"/>
    </row>
    <row r="131">
      <c r="A131" s="348"/>
      <c r="B131" s="348"/>
      <c r="C131" s="236"/>
      <c r="D131" s="348"/>
      <c r="E131" s="348"/>
      <c r="F131" s="348"/>
      <c r="G131" s="348"/>
      <c r="H131" s="348"/>
      <c r="I131" s="348"/>
      <c r="J131" s="348"/>
      <c r="K131" s="348"/>
      <c r="L131" s="348"/>
      <c r="M131" s="348"/>
      <c r="N131" s="348"/>
      <c r="O131" s="348"/>
      <c r="P131" s="348"/>
      <c r="Q131" s="348"/>
      <c r="R131" s="348"/>
      <c r="S131" s="348"/>
      <c r="T131" s="348"/>
      <c r="U131" s="348" t="s">
        <v>96</v>
      </c>
      <c r="V131" s="348" t="s">
        <v>96</v>
      </c>
      <c r="W131" s="348"/>
      <c r="X131" s="348" t="s">
        <v>96</v>
      </c>
      <c r="Y131" s="772" t="s">
        <v>96</v>
      </c>
      <c r="Z131" s="772" t="s">
        <v>96</v>
      </c>
      <c r="AA131" s="348"/>
      <c r="AB131" s="153"/>
      <c r="AC131" s="348"/>
      <c r="AD131" s="348"/>
      <c r="AE131" s="348"/>
      <c r="AF131" s="348"/>
      <c r="AG131" s="348"/>
      <c r="AH131" s="348"/>
      <c r="AI131" s="348"/>
      <c r="AJ131" s="348"/>
      <c r="AK131" s="348"/>
      <c r="AL131" s="348"/>
      <c r="AM131" s="348"/>
      <c r="AN131" s="348"/>
      <c r="AO131" s="348"/>
      <c r="AP131" s="348"/>
      <c r="AQ131" s="348"/>
      <c r="AR131" s="348"/>
      <c r="AS131" s="348"/>
      <c r="AT131" s="348"/>
      <c r="AU131" s="348"/>
      <c r="AV131" s="348"/>
      <c r="AW131" s="348"/>
      <c r="AX131" s="348"/>
      <c r="AY131" s="348"/>
      <c r="AZ131" s="348"/>
      <c r="BA131" s="348"/>
      <c r="BB131" s="348"/>
      <c r="BC131" s="348"/>
      <c r="BD131" s="348"/>
      <c r="BE131" s="348"/>
      <c r="BF131" s="348"/>
      <c r="BG131" s="348"/>
      <c r="BH131" s="348"/>
      <c r="BI131" s="348"/>
      <c r="BJ131" s="348"/>
      <c r="BK131" s="348"/>
      <c r="BL131" s="348"/>
      <c r="BM131" s="348"/>
      <c r="BN131" s="348"/>
      <c r="BO131" s="348"/>
      <c r="BP131" s="348"/>
      <c r="BQ131" s="348"/>
      <c r="BR131" s="348"/>
      <c r="BS131" s="348"/>
      <c r="BT131" s="348"/>
      <c r="BU131" s="348"/>
      <c r="BV131" s="348"/>
      <c r="BW131" s="806" t="s">
        <v>96</v>
      </c>
      <c r="BX131" s="806"/>
      <c r="BY131" s="806"/>
      <c r="BZ131" s="806" t="str">
        <f>IFERROR(__xludf.DUMMYFUNCTION("""COMPUTED_VALUE"""),"")</f>
        <v/>
      </c>
      <c r="CA131" s="806"/>
      <c r="CB131" s="806"/>
      <c r="CC131" s="806"/>
      <c r="CD131" s="806"/>
      <c r="CE131" s="806"/>
      <c r="CF131" s="806"/>
      <c r="CG131" s="806"/>
      <c r="CH131" s="806"/>
      <c r="CI131" s="806"/>
      <c r="CJ131" s="806"/>
      <c r="CK131" s="806"/>
    </row>
    <row r="132">
      <c r="A132" s="348"/>
      <c r="B132" s="348"/>
      <c r="C132" s="236"/>
      <c r="D132" s="348"/>
      <c r="E132" s="348"/>
      <c r="F132" s="348"/>
      <c r="G132" s="348"/>
      <c r="H132" s="348"/>
      <c r="I132" s="348"/>
      <c r="J132" s="348"/>
      <c r="K132" s="348"/>
      <c r="L132" s="348"/>
      <c r="M132" s="348"/>
      <c r="N132" s="348"/>
      <c r="O132" s="348"/>
      <c r="P132" s="348"/>
      <c r="Q132" s="348"/>
      <c r="R132" s="348"/>
      <c r="S132" s="348"/>
      <c r="T132" s="348"/>
      <c r="U132" s="348" t="s">
        <v>96</v>
      </c>
      <c r="V132" s="348" t="s">
        <v>96</v>
      </c>
      <c r="W132" s="348"/>
      <c r="X132" s="348" t="s">
        <v>96</v>
      </c>
      <c r="Y132" s="772" t="s">
        <v>96</v>
      </c>
      <c r="Z132" s="772" t="s">
        <v>96</v>
      </c>
      <c r="AA132" s="348"/>
      <c r="AB132" s="153"/>
      <c r="AC132" s="348"/>
      <c r="AD132" s="348"/>
      <c r="AE132" s="348"/>
      <c r="AF132" s="348"/>
      <c r="AG132" s="348"/>
      <c r="AH132" s="348"/>
      <c r="AI132" s="348"/>
      <c r="AJ132" s="348"/>
      <c r="AK132" s="348"/>
      <c r="AL132" s="348"/>
      <c r="AM132" s="348"/>
      <c r="AN132" s="348"/>
      <c r="AO132" s="348"/>
      <c r="AP132" s="348"/>
      <c r="AQ132" s="348"/>
      <c r="AR132" s="348"/>
      <c r="AS132" s="348"/>
      <c r="AT132" s="348"/>
      <c r="AU132" s="348"/>
      <c r="AV132" s="348"/>
      <c r="AW132" s="348"/>
      <c r="AX132" s="348"/>
      <c r="AY132" s="348"/>
      <c r="AZ132" s="348"/>
      <c r="BA132" s="348"/>
      <c r="BB132" s="348"/>
      <c r="BC132" s="348"/>
      <c r="BD132" s="348"/>
      <c r="BE132" s="348"/>
      <c r="BF132" s="348"/>
      <c r="BG132" s="348"/>
      <c r="BH132" s="348"/>
      <c r="BI132" s="348"/>
      <c r="BJ132" s="348"/>
      <c r="BK132" s="348"/>
      <c r="BL132" s="348"/>
      <c r="BM132" s="348"/>
      <c r="BN132" s="348"/>
      <c r="BO132" s="348"/>
      <c r="BP132" s="348"/>
      <c r="BQ132" s="348"/>
      <c r="BR132" s="348"/>
      <c r="BS132" s="348"/>
      <c r="BT132" s="348"/>
      <c r="BU132" s="348"/>
      <c r="BV132" s="348"/>
      <c r="BW132" s="806" t="s">
        <v>96</v>
      </c>
      <c r="BX132" s="806"/>
      <c r="BY132" s="806"/>
      <c r="BZ132" s="806" t="str">
        <f>IFERROR(__xludf.DUMMYFUNCTION("""COMPUTED_VALUE"""),"")</f>
        <v/>
      </c>
      <c r="CA132" s="806"/>
      <c r="CB132" s="806"/>
      <c r="CC132" s="806"/>
      <c r="CD132" s="806"/>
      <c r="CE132" s="806"/>
      <c r="CF132" s="806"/>
      <c r="CG132" s="806"/>
      <c r="CH132" s="806"/>
      <c r="CI132" s="806"/>
      <c r="CJ132" s="806"/>
      <c r="CK132" s="806"/>
    </row>
    <row r="133">
      <c r="A133" s="348"/>
      <c r="B133" s="348"/>
      <c r="C133" s="236"/>
      <c r="D133" s="348"/>
      <c r="E133" s="348"/>
      <c r="F133" s="348"/>
      <c r="G133" s="348"/>
      <c r="H133" s="348"/>
      <c r="I133" s="348"/>
      <c r="J133" s="348"/>
      <c r="K133" s="348"/>
      <c r="L133" s="348"/>
      <c r="M133" s="348"/>
      <c r="N133" s="348"/>
      <c r="O133" s="348"/>
      <c r="P133" s="348"/>
      <c r="Q133" s="348"/>
      <c r="R133" s="348"/>
      <c r="S133" s="348"/>
      <c r="T133" s="348"/>
      <c r="U133" s="348" t="s">
        <v>96</v>
      </c>
      <c r="V133" s="348" t="s">
        <v>96</v>
      </c>
      <c r="W133" s="348"/>
      <c r="X133" s="348" t="s">
        <v>96</v>
      </c>
      <c r="Y133" s="772" t="s">
        <v>96</v>
      </c>
      <c r="Z133" s="772" t="s">
        <v>96</v>
      </c>
      <c r="AA133" s="348"/>
      <c r="AB133" s="153"/>
      <c r="AC133" s="348"/>
      <c r="AD133" s="348"/>
      <c r="AE133" s="348"/>
      <c r="AF133" s="348"/>
      <c r="AG133" s="348"/>
      <c r="AH133" s="348"/>
      <c r="AI133" s="348"/>
      <c r="AJ133" s="348"/>
      <c r="AK133" s="348"/>
      <c r="AL133" s="348"/>
      <c r="AM133" s="348"/>
      <c r="AN133" s="348"/>
      <c r="AO133" s="348"/>
      <c r="AP133" s="348"/>
      <c r="AQ133" s="348"/>
      <c r="AR133" s="348"/>
      <c r="AS133" s="348"/>
      <c r="AT133" s="348"/>
      <c r="AU133" s="348"/>
      <c r="AV133" s="348"/>
      <c r="AW133" s="348"/>
      <c r="AX133" s="348"/>
      <c r="AY133" s="348"/>
      <c r="AZ133" s="348"/>
      <c r="BA133" s="348"/>
      <c r="BB133" s="348"/>
      <c r="BC133" s="348"/>
      <c r="BD133" s="348"/>
      <c r="BE133" s="348"/>
      <c r="BF133" s="348"/>
      <c r="BG133" s="348"/>
      <c r="BH133" s="348"/>
      <c r="BI133" s="348"/>
      <c r="BJ133" s="348"/>
      <c r="BK133" s="348"/>
      <c r="BL133" s="348"/>
      <c r="BM133" s="348"/>
      <c r="BN133" s="348"/>
      <c r="BO133" s="348"/>
      <c r="BP133" s="348"/>
      <c r="BQ133" s="348"/>
      <c r="BR133" s="348"/>
      <c r="BS133" s="348"/>
      <c r="BT133" s="348"/>
      <c r="BU133" s="348"/>
      <c r="BV133" s="348"/>
      <c r="BW133" s="806" t="s">
        <v>96</v>
      </c>
      <c r="BX133" s="806"/>
      <c r="BY133" s="806"/>
      <c r="BZ133" s="806" t="str">
        <f>IFERROR(__xludf.DUMMYFUNCTION("""COMPUTED_VALUE"""),"")</f>
        <v/>
      </c>
      <c r="CA133" s="806"/>
      <c r="CB133" s="806"/>
      <c r="CC133" s="806"/>
      <c r="CD133" s="806"/>
      <c r="CE133" s="806"/>
      <c r="CF133" s="806"/>
      <c r="CG133" s="806"/>
      <c r="CH133" s="806"/>
      <c r="CI133" s="806"/>
      <c r="CJ133" s="806"/>
      <c r="CK133" s="806"/>
    </row>
    <row r="134">
      <c r="A134" s="348"/>
      <c r="B134" s="348"/>
      <c r="C134" s="236"/>
      <c r="D134" s="348"/>
      <c r="E134" s="348"/>
      <c r="F134" s="348"/>
      <c r="G134" s="348"/>
      <c r="H134" s="348"/>
      <c r="I134" s="348"/>
      <c r="J134" s="348"/>
      <c r="K134" s="348"/>
      <c r="L134" s="348"/>
      <c r="M134" s="348"/>
      <c r="N134" s="348"/>
      <c r="O134" s="348"/>
      <c r="P134" s="348"/>
      <c r="Q134" s="348"/>
      <c r="R134" s="348"/>
      <c r="S134" s="348"/>
      <c r="T134" s="348"/>
      <c r="U134" s="348" t="s">
        <v>96</v>
      </c>
      <c r="V134" s="348" t="s">
        <v>96</v>
      </c>
      <c r="W134" s="348"/>
      <c r="X134" s="348" t="s">
        <v>96</v>
      </c>
      <c r="Y134" s="772" t="s">
        <v>96</v>
      </c>
      <c r="Z134" s="772" t="s">
        <v>96</v>
      </c>
      <c r="AA134" s="348"/>
      <c r="AB134" s="153"/>
      <c r="AC134" s="348"/>
      <c r="AD134" s="348"/>
      <c r="AE134" s="348"/>
      <c r="AF134" s="348"/>
      <c r="AG134" s="348"/>
      <c r="AH134" s="348"/>
      <c r="AI134" s="348"/>
      <c r="AJ134" s="348"/>
      <c r="AK134" s="348"/>
      <c r="AL134" s="348"/>
      <c r="AM134" s="348"/>
      <c r="AN134" s="348"/>
      <c r="AO134" s="348"/>
      <c r="AP134" s="348"/>
      <c r="AQ134" s="348"/>
      <c r="AR134" s="348"/>
      <c r="AS134" s="348"/>
      <c r="AT134" s="348"/>
      <c r="AU134" s="348"/>
      <c r="AV134" s="348"/>
      <c r="AW134" s="348"/>
      <c r="AX134" s="348"/>
      <c r="AY134" s="348"/>
      <c r="AZ134" s="348"/>
      <c r="BA134" s="348"/>
      <c r="BB134" s="348"/>
      <c r="BC134" s="348"/>
      <c r="BD134" s="348"/>
      <c r="BE134" s="348"/>
      <c r="BF134" s="348"/>
      <c r="BG134" s="348"/>
      <c r="BH134" s="348"/>
      <c r="BI134" s="348"/>
      <c r="BJ134" s="348"/>
      <c r="BK134" s="348"/>
      <c r="BL134" s="348"/>
      <c r="BM134" s="348"/>
      <c r="BN134" s="348"/>
      <c r="BO134" s="348"/>
      <c r="BP134" s="348"/>
      <c r="BQ134" s="348"/>
      <c r="BR134" s="348"/>
      <c r="BS134" s="348"/>
      <c r="BT134" s="348"/>
      <c r="BU134" s="348"/>
      <c r="BV134" s="348"/>
      <c r="BW134" s="806" t="s">
        <v>96</v>
      </c>
      <c r="BX134" s="806"/>
      <c r="BY134" s="806"/>
      <c r="BZ134" s="806" t="str">
        <f>IFERROR(__xludf.DUMMYFUNCTION("""COMPUTED_VALUE"""),"")</f>
        <v/>
      </c>
      <c r="CA134" s="806"/>
      <c r="CB134" s="806"/>
      <c r="CC134" s="806"/>
      <c r="CD134" s="806"/>
      <c r="CE134" s="806"/>
      <c r="CF134" s="806"/>
      <c r="CG134" s="806"/>
      <c r="CH134" s="806"/>
      <c r="CI134" s="806"/>
      <c r="CJ134" s="806"/>
      <c r="CK134" s="806"/>
    </row>
    <row r="135">
      <c r="A135" s="348"/>
      <c r="B135" s="348"/>
      <c r="C135" s="236"/>
      <c r="D135" s="348"/>
      <c r="E135" s="348"/>
      <c r="F135" s="348"/>
      <c r="G135" s="348"/>
      <c r="H135" s="348"/>
      <c r="I135" s="348"/>
      <c r="J135" s="348"/>
      <c r="K135" s="348"/>
      <c r="L135" s="348"/>
      <c r="M135" s="348"/>
      <c r="N135" s="348"/>
      <c r="O135" s="348"/>
      <c r="P135" s="348"/>
      <c r="Q135" s="348"/>
      <c r="R135" s="348"/>
      <c r="S135" s="348"/>
      <c r="T135" s="348"/>
      <c r="U135" s="348" t="s">
        <v>96</v>
      </c>
      <c r="V135" s="348" t="s">
        <v>96</v>
      </c>
      <c r="W135" s="348"/>
      <c r="X135" s="348" t="s">
        <v>96</v>
      </c>
      <c r="Y135" s="772" t="s">
        <v>96</v>
      </c>
      <c r="Z135" s="772" t="s">
        <v>96</v>
      </c>
      <c r="AA135" s="348"/>
      <c r="AB135" s="153"/>
      <c r="AC135" s="348"/>
      <c r="AD135" s="348"/>
      <c r="AE135" s="348"/>
      <c r="AF135" s="348"/>
      <c r="AG135" s="348"/>
      <c r="AH135" s="348"/>
      <c r="AI135" s="348"/>
      <c r="AJ135" s="348"/>
      <c r="AK135" s="348"/>
      <c r="AL135" s="348"/>
      <c r="AM135" s="348"/>
      <c r="AN135" s="348"/>
      <c r="AO135" s="348"/>
      <c r="AP135" s="348"/>
      <c r="AQ135" s="348"/>
      <c r="AR135" s="348"/>
      <c r="AS135" s="348"/>
      <c r="AT135" s="348"/>
      <c r="AU135" s="348"/>
      <c r="AV135" s="348"/>
      <c r="AW135" s="348"/>
      <c r="AX135" s="348"/>
      <c r="AY135" s="348"/>
      <c r="AZ135" s="348"/>
      <c r="BA135" s="348"/>
      <c r="BB135" s="348"/>
      <c r="BC135" s="348"/>
      <c r="BD135" s="348"/>
      <c r="BE135" s="348"/>
      <c r="BF135" s="348"/>
      <c r="BG135" s="348"/>
      <c r="BH135" s="348"/>
      <c r="BI135" s="348"/>
      <c r="BJ135" s="348"/>
      <c r="BK135" s="348"/>
      <c r="BL135" s="348"/>
      <c r="BM135" s="348"/>
      <c r="BN135" s="348"/>
      <c r="BO135" s="348"/>
      <c r="BP135" s="348"/>
      <c r="BQ135" s="348"/>
      <c r="BR135" s="348"/>
      <c r="BS135" s="348"/>
      <c r="BT135" s="348"/>
      <c r="BU135" s="348"/>
      <c r="BV135" s="348"/>
      <c r="BW135" s="806" t="s">
        <v>96</v>
      </c>
      <c r="BX135" s="806"/>
      <c r="BY135" s="806"/>
      <c r="BZ135" s="806" t="str">
        <f>IFERROR(__xludf.DUMMYFUNCTION("""COMPUTED_VALUE"""),"")</f>
        <v/>
      </c>
      <c r="CA135" s="806"/>
      <c r="CB135" s="806"/>
      <c r="CC135" s="806"/>
      <c r="CD135" s="806"/>
      <c r="CE135" s="806"/>
      <c r="CF135" s="806"/>
      <c r="CG135" s="806"/>
      <c r="CH135" s="806"/>
      <c r="CI135" s="806"/>
      <c r="CJ135" s="806"/>
      <c r="CK135" s="806"/>
    </row>
    <row r="136">
      <c r="A136" s="348"/>
      <c r="B136" s="348"/>
      <c r="C136" s="236"/>
      <c r="D136" s="348"/>
      <c r="E136" s="348"/>
      <c r="F136" s="348"/>
      <c r="G136" s="348"/>
      <c r="H136" s="348"/>
      <c r="I136" s="348"/>
      <c r="J136" s="348"/>
      <c r="K136" s="348"/>
      <c r="L136" s="348"/>
      <c r="M136" s="348"/>
      <c r="N136" s="348"/>
      <c r="O136" s="348"/>
      <c r="P136" s="348"/>
      <c r="Q136" s="348"/>
      <c r="R136" s="348"/>
      <c r="S136" s="348"/>
      <c r="T136" s="348"/>
      <c r="U136" s="348" t="s">
        <v>96</v>
      </c>
      <c r="V136" s="348" t="s">
        <v>96</v>
      </c>
      <c r="W136" s="348"/>
      <c r="X136" s="348" t="s">
        <v>96</v>
      </c>
      <c r="Y136" s="772" t="s">
        <v>96</v>
      </c>
      <c r="Z136" s="772" t="s">
        <v>96</v>
      </c>
      <c r="AA136" s="348"/>
      <c r="AB136" s="153"/>
      <c r="AC136" s="348"/>
      <c r="AD136" s="348"/>
      <c r="AE136" s="348"/>
      <c r="AF136" s="348"/>
      <c r="AG136" s="348"/>
      <c r="AH136" s="348"/>
      <c r="AI136" s="348"/>
      <c r="AJ136" s="348"/>
      <c r="AK136" s="348"/>
      <c r="AL136" s="348"/>
      <c r="AM136" s="348"/>
      <c r="AN136" s="348"/>
      <c r="AO136" s="348"/>
      <c r="AP136" s="348"/>
      <c r="AQ136" s="348"/>
      <c r="AR136" s="348"/>
      <c r="AS136" s="348"/>
      <c r="AT136" s="348"/>
      <c r="AU136" s="348"/>
      <c r="AV136" s="348"/>
      <c r="AW136" s="348"/>
      <c r="AX136" s="348"/>
      <c r="AY136" s="348"/>
      <c r="AZ136" s="348"/>
      <c r="BA136" s="348"/>
      <c r="BB136" s="348"/>
      <c r="BC136" s="348"/>
      <c r="BD136" s="348"/>
      <c r="BE136" s="348"/>
      <c r="BF136" s="348"/>
      <c r="BG136" s="348"/>
      <c r="BH136" s="348"/>
      <c r="BI136" s="348"/>
      <c r="BJ136" s="348"/>
      <c r="BK136" s="348"/>
      <c r="BL136" s="348"/>
      <c r="BM136" s="348"/>
      <c r="BN136" s="348"/>
      <c r="BO136" s="348"/>
      <c r="BP136" s="348"/>
      <c r="BQ136" s="348"/>
      <c r="BR136" s="348"/>
      <c r="BS136" s="348"/>
      <c r="BT136" s="348"/>
      <c r="BU136" s="348"/>
      <c r="BV136" s="348"/>
      <c r="BW136" s="806" t="s">
        <v>96</v>
      </c>
      <c r="BX136" s="806"/>
      <c r="BY136" s="806"/>
      <c r="BZ136" s="806" t="str">
        <f>IFERROR(__xludf.DUMMYFUNCTION("""COMPUTED_VALUE"""),"")</f>
        <v/>
      </c>
      <c r="CA136" s="806"/>
      <c r="CB136" s="806"/>
      <c r="CC136" s="806"/>
      <c r="CD136" s="806"/>
      <c r="CE136" s="806"/>
      <c r="CF136" s="806"/>
      <c r="CG136" s="806"/>
      <c r="CH136" s="806"/>
      <c r="CI136" s="806"/>
      <c r="CJ136" s="806"/>
      <c r="CK136" s="806"/>
    </row>
    <row r="137">
      <c r="A137" s="348"/>
      <c r="B137" s="348"/>
      <c r="C137" s="236"/>
      <c r="D137" s="348"/>
      <c r="E137" s="348"/>
      <c r="F137" s="348"/>
      <c r="G137" s="348"/>
      <c r="H137" s="348"/>
      <c r="I137" s="348"/>
      <c r="J137" s="348"/>
      <c r="K137" s="348"/>
      <c r="L137" s="348"/>
      <c r="M137" s="348"/>
      <c r="N137" s="348"/>
      <c r="O137" s="348"/>
      <c r="P137" s="348"/>
      <c r="Q137" s="348"/>
      <c r="R137" s="348"/>
      <c r="S137" s="348"/>
      <c r="T137" s="348"/>
      <c r="U137" s="348" t="s">
        <v>96</v>
      </c>
      <c r="V137" s="348" t="s">
        <v>96</v>
      </c>
      <c r="W137" s="348"/>
      <c r="X137" s="348" t="s">
        <v>96</v>
      </c>
      <c r="Y137" s="772" t="s">
        <v>96</v>
      </c>
      <c r="Z137" s="772" t="s">
        <v>96</v>
      </c>
      <c r="AA137" s="348"/>
      <c r="AB137" s="153"/>
      <c r="AC137" s="348"/>
      <c r="AD137" s="348"/>
      <c r="AE137" s="348"/>
      <c r="AF137" s="348"/>
      <c r="AG137" s="348"/>
      <c r="AH137" s="348"/>
      <c r="AI137" s="348"/>
      <c r="AJ137" s="348"/>
      <c r="AK137" s="348"/>
      <c r="AL137" s="348"/>
      <c r="AM137" s="348"/>
      <c r="AN137" s="348"/>
      <c r="AO137" s="348"/>
      <c r="AP137" s="348"/>
      <c r="AQ137" s="348"/>
      <c r="AR137" s="348"/>
      <c r="AS137" s="348"/>
      <c r="AT137" s="348"/>
      <c r="AU137" s="348"/>
      <c r="AV137" s="348"/>
      <c r="AW137" s="348"/>
      <c r="AX137" s="348"/>
      <c r="AY137" s="348"/>
      <c r="AZ137" s="348"/>
      <c r="BA137" s="348"/>
      <c r="BB137" s="348"/>
      <c r="BC137" s="348"/>
      <c r="BD137" s="348"/>
      <c r="BE137" s="348"/>
      <c r="BF137" s="348"/>
      <c r="BG137" s="348"/>
      <c r="BH137" s="348"/>
      <c r="BI137" s="348"/>
      <c r="BJ137" s="348"/>
      <c r="BK137" s="348"/>
      <c r="BL137" s="348"/>
      <c r="BM137" s="348"/>
      <c r="BN137" s="348"/>
      <c r="BO137" s="348"/>
      <c r="BP137" s="348"/>
      <c r="BQ137" s="348"/>
      <c r="BR137" s="348"/>
      <c r="BS137" s="348"/>
      <c r="BT137" s="348"/>
      <c r="BU137" s="348"/>
      <c r="BV137" s="348"/>
      <c r="BW137" s="806" t="s">
        <v>96</v>
      </c>
      <c r="BX137" s="806"/>
      <c r="BY137" s="806"/>
      <c r="BZ137" s="806" t="str">
        <f>IFERROR(__xludf.DUMMYFUNCTION("""COMPUTED_VALUE"""),"")</f>
        <v/>
      </c>
      <c r="CA137" s="806"/>
      <c r="CB137" s="806"/>
      <c r="CC137" s="806"/>
      <c r="CD137" s="806"/>
      <c r="CE137" s="806"/>
      <c r="CF137" s="806"/>
      <c r="CG137" s="806"/>
      <c r="CH137" s="806"/>
      <c r="CI137" s="806"/>
      <c r="CJ137" s="806"/>
      <c r="CK137" s="806"/>
    </row>
    <row r="138">
      <c r="A138" s="348"/>
      <c r="B138" s="348"/>
      <c r="C138" s="236"/>
      <c r="D138" s="348"/>
      <c r="E138" s="348"/>
      <c r="F138" s="348"/>
      <c r="G138" s="348"/>
      <c r="H138" s="348"/>
      <c r="I138" s="348"/>
      <c r="J138" s="348"/>
      <c r="K138" s="348"/>
      <c r="L138" s="348"/>
      <c r="M138" s="348"/>
      <c r="N138" s="348"/>
      <c r="O138" s="348"/>
      <c r="P138" s="348"/>
      <c r="Q138" s="348"/>
      <c r="R138" s="348"/>
      <c r="S138" s="348"/>
      <c r="T138" s="348"/>
      <c r="U138" s="348" t="s">
        <v>96</v>
      </c>
      <c r="V138" s="348" t="s">
        <v>96</v>
      </c>
      <c r="W138" s="348"/>
      <c r="X138" s="348" t="s">
        <v>96</v>
      </c>
      <c r="Y138" s="772" t="s">
        <v>96</v>
      </c>
      <c r="Z138" s="772" t="s">
        <v>96</v>
      </c>
      <c r="AA138" s="348"/>
      <c r="AB138" s="153"/>
      <c r="AC138" s="348"/>
      <c r="AD138" s="348"/>
      <c r="AE138" s="348"/>
      <c r="AF138" s="348"/>
      <c r="AG138" s="348"/>
      <c r="AH138" s="348"/>
      <c r="AI138" s="348"/>
      <c r="AJ138" s="348"/>
      <c r="AK138" s="348"/>
      <c r="AL138" s="348"/>
      <c r="AM138" s="348"/>
      <c r="AN138" s="348"/>
      <c r="AO138" s="348"/>
      <c r="AP138" s="348"/>
      <c r="AQ138" s="348"/>
      <c r="AR138" s="348"/>
      <c r="AS138" s="348"/>
      <c r="AT138" s="348"/>
      <c r="AU138" s="348"/>
      <c r="AV138" s="348"/>
      <c r="AW138" s="348"/>
      <c r="AX138" s="348"/>
      <c r="AY138" s="348"/>
      <c r="AZ138" s="348"/>
      <c r="BA138" s="348"/>
      <c r="BB138" s="348"/>
      <c r="BC138" s="348"/>
      <c r="BD138" s="348"/>
      <c r="BE138" s="348"/>
      <c r="BF138" s="348"/>
      <c r="BG138" s="348"/>
      <c r="BH138" s="348"/>
      <c r="BI138" s="348"/>
      <c r="BJ138" s="348"/>
      <c r="BK138" s="348"/>
      <c r="BL138" s="348"/>
      <c r="BM138" s="348"/>
      <c r="BN138" s="348"/>
      <c r="BO138" s="348"/>
      <c r="BP138" s="348"/>
      <c r="BQ138" s="348"/>
      <c r="BR138" s="348"/>
      <c r="BS138" s="348"/>
      <c r="BT138" s="348"/>
      <c r="BU138" s="348"/>
      <c r="BV138" s="348"/>
      <c r="BW138" s="806" t="s">
        <v>96</v>
      </c>
      <c r="BX138" s="806"/>
      <c r="BY138" s="806"/>
      <c r="BZ138" s="806" t="str">
        <f>IFERROR(__xludf.DUMMYFUNCTION("""COMPUTED_VALUE"""),"")</f>
        <v/>
      </c>
      <c r="CA138" s="806"/>
      <c r="CB138" s="806"/>
      <c r="CC138" s="806"/>
      <c r="CD138" s="806"/>
      <c r="CE138" s="806"/>
      <c r="CF138" s="806"/>
      <c r="CG138" s="806"/>
      <c r="CH138" s="806"/>
      <c r="CI138" s="806"/>
      <c r="CJ138" s="806"/>
      <c r="CK138" s="806"/>
    </row>
    <row r="139">
      <c r="A139" s="348"/>
      <c r="B139" s="348"/>
      <c r="C139" s="236"/>
      <c r="D139" s="348"/>
      <c r="E139" s="348"/>
      <c r="F139" s="348"/>
      <c r="G139" s="348"/>
      <c r="H139" s="348"/>
      <c r="I139" s="348"/>
      <c r="J139" s="348"/>
      <c r="K139" s="348"/>
      <c r="L139" s="348"/>
      <c r="M139" s="348"/>
      <c r="N139" s="348"/>
      <c r="O139" s="348"/>
      <c r="P139" s="348"/>
      <c r="Q139" s="348"/>
      <c r="R139" s="348"/>
      <c r="S139" s="348"/>
      <c r="T139" s="348"/>
      <c r="U139" s="348" t="s">
        <v>96</v>
      </c>
      <c r="V139" s="348" t="s">
        <v>96</v>
      </c>
      <c r="W139" s="348"/>
      <c r="X139" s="348" t="s">
        <v>96</v>
      </c>
      <c r="Y139" s="772" t="s">
        <v>96</v>
      </c>
      <c r="Z139" s="772" t="s">
        <v>96</v>
      </c>
      <c r="AA139" s="348"/>
      <c r="AB139" s="153"/>
      <c r="AC139" s="348"/>
      <c r="AD139" s="348"/>
      <c r="AE139" s="348"/>
      <c r="AF139" s="348"/>
      <c r="AG139" s="348"/>
      <c r="AH139" s="348"/>
      <c r="AI139" s="348"/>
      <c r="AJ139" s="348"/>
      <c r="AK139" s="348"/>
      <c r="AL139" s="348"/>
      <c r="AM139" s="348"/>
      <c r="AN139" s="348"/>
      <c r="AO139" s="348"/>
      <c r="AP139" s="348"/>
      <c r="AQ139" s="348"/>
      <c r="AR139" s="348"/>
      <c r="AS139" s="348"/>
      <c r="AT139" s="348"/>
      <c r="AU139" s="348"/>
      <c r="AV139" s="348"/>
      <c r="AW139" s="348"/>
      <c r="AX139" s="348"/>
      <c r="AY139" s="348"/>
      <c r="AZ139" s="348"/>
      <c r="BA139" s="348"/>
      <c r="BB139" s="348"/>
      <c r="BC139" s="348"/>
      <c r="BD139" s="348"/>
      <c r="BE139" s="348"/>
      <c r="BF139" s="348"/>
      <c r="BG139" s="348"/>
      <c r="BH139" s="348"/>
      <c r="BI139" s="348"/>
      <c r="BJ139" s="348"/>
      <c r="BK139" s="348"/>
      <c r="BL139" s="348"/>
      <c r="BM139" s="348"/>
      <c r="BN139" s="348"/>
      <c r="BO139" s="348"/>
      <c r="BP139" s="348"/>
      <c r="BQ139" s="348"/>
      <c r="BR139" s="348"/>
      <c r="BS139" s="348"/>
      <c r="BT139" s="348"/>
      <c r="BU139" s="348"/>
      <c r="BV139" s="348"/>
      <c r="BW139" s="806" t="s">
        <v>96</v>
      </c>
      <c r="BX139" s="806"/>
      <c r="BY139" s="806"/>
      <c r="BZ139" s="806" t="str">
        <f>IFERROR(__xludf.DUMMYFUNCTION("""COMPUTED_VALUE"""),"")</f>
        <v/>
      </c>
      <c r="CA139" s="806"/>
      <c r="CB139" s="806"/>
      <c r="CC139" s="806"/>
      <c r="CD139" s="806"/>
      <c r="CE139" s="806"/>
      <c r="CF139" s="806"/>
      <c r="CG139" s="806"/>
      <c r="CH139" s="806"/>
      <c r="CI139" s="806"/>
      <c r="CJ139" s="806"/>
      <c r="CK139" s="806"/>
    </row>
    <row r="140">
      <c r="A140" s="348"/>
      <c r="B140" s="348"/>
      <c r="C140" s="236"/>
      <c r="D140" s="348"/>
      <c r="E140" s="348"/>
      <c r="F140" s="348"/>
      <c r="G140" s="348"/>
      <c r="H140" s="348"/>
      <c r="I140" s="348"/>
      <c r="J140" s="348"/>
      <c r="K140" s="348"/>
      <c r="L140" s="348"/>
      <c r="M140" s="348"/>
      <c r="N140" s="348"/>
      <c r="O140" s="348"/>
      <c r="P140" s="348"/>
      <c r="Q140" s="348"/>
      <c r="R140" s="348"/>
      <c r="S140" s="348"/>
      <c r="T140" s="348"/>
      <c r="U140" s="348" t="s">
        <v>96</v>
      </c>
      <c r="V140" s="348" t="s">
        <v>96</v>
      </c>
      <c r="W140" s="348"/>
      <c r="X140" s="348" t="s">
        <v>96</v>
      </c>
      <c r="Y140" s="772" t="s">
        <v>96</v>
      </c>
      <c r="Z140" s="772" t="s">
        <v>96</v>
      </c>
      <c r="AA140" s="348"/>
      <c r="AB140" s="153"/>
      <c r="AC140" s="348"/>
      <c r="AD140" s="348"/>
      <c r="AE140" s="348"/>
      <c r="AF140" s="348"/>
      <c r="AG140" s="348"/>
      <c r="AH140" s="348"/>
      <c r="AI140" s="348"/>
      <c r="AJ140" s="348"/>
      <c r="AK140" s="348"/>
      <c r="AL140" s="348"/>
      <c r="AM140" s="348"/>
      <c r="AN140" s="348"/>
      <c r="AO140" s="348"/>
      <c r="AP140" s="348"/>
      <c r="AQ140" s="348"/>
      <c r="AR140" s="348"/>
      <c r="AS140" s="348"/>
      <c r="AT140" s="348"/>
      <c r="AU140" s="348"/>
      <c r="AV140" s="348"/>
      <c r="AW140" s="348"/>
      <c r="AX140" s="348"/>
      <c r="AY140" s="348"/>
      <c r="AZ140" s="348"/>
      <c r="BA140" s="348"/>
      <c r="BB140" s="348"/>
      <c r="BC140" s="348"/>
      <c r="BD140" s="348"/>
      <c r="BE140" s="348"/>
      <c r="BF140" s="348"/>
      <c r="BG140" s="348"/>
      <c r="BH140" s="348"/>
      <c r="BI140" s="348"/>
      <c r="BJ140" s="348"/>
      <c r="BK140" s="348"/>
      <c r="BL140" s="348"/>
      <c r="BM140" s="348"/>
      <c r="BN140" s="348"/>
      <c r="BO140" s="348"/>
      <c r="BP140" s="348"/>
      <c r="BQ140" s="348"/>
      <c r="BR140" s="348"/>
      <c r="BS140" s="348"/>
      <c r="BT140" s="348"/>
      <c r="BU140" s="348"/>
      <c r="BV140" s="348"/>
      <c r="BW140" s="806" t="s">
        <v>96</v>
      </c>
      <c r="BX140" s="806"/>
      <c r="BY140" s="806"/>
      <c r="BZ140" s="806" t="str">
        <f>IFERROR(__xludf.DUMMYFUNCTION("""COMPUTED_VALUE"""),"")</f>
        <v/>
      </c>
      <c r="CA140" s="806"/>
      <c r="CB140" s="806"/>
      <c r="CC140" s="806"/>
      <c r="CD140" s="806"/>
      <c r="CE140" s="806"/>
      <c r="CF140" s="806"/>
      <c r="CG140" s="806"/>
      <c r="CH140" s="806"/>
      <c r="CI140" s="806"/>
      <c r="CJ140" s="806"/>
      <c r="CK140" s="806"/>
    </row>
    <row r="141">
      <c r="A141" s="348"/>
      <c r="B141" s="348"/>
      <c r="C141" s="236"/>
      <c r="D141" s="348"/>
      <c r="E141" s="348"/>
      <c r="F141" s="348"/>
      <c r="G141" s="348"/>
      <c r="H141" s="348"/>
      <c r="I141" s="348"/>
      <c r="J141" s="348"/>
      <c r="K141" s="348"/>
      <c r="L141" s="348"/>
      <c r="M141" s="348"/>
      <c r="N141" s="348"/>
      <c r="O141" s="348"/>
      <c r="P141" s="348"/>
      <c r="Q141" s="348"/>
      <c r="R141" s="348"/>
      <c r="S141" s="348"/>
      <c r="T141" s="348"/>
      <c r="U141" s="348" t="s">
        <v>96</v>
      </c>
      <c r="V141" s="348" t="s">
        <v>96</v>
      </c>
      <c r="W141" s="348"/>
      <c r="X141" s="348" t="s">
        <v>96</v>
      </c>
      <c r="Y141" s="772" t="s">
        <v>96</v>
      </c>
      <c r="Z141" s="772" t="s">
        <v>96</v>
      </c>
      <c r="AA141" s="348"/>
      <c r="AB141" s="153"/>
      <c r="AC141" s="348"/>
      <c r="AD141" s="348"/>
      <c r="AE141" s="348"/>
      <c r="AF141" s="348"/>
      <c r="AG141" s="348"/>
      <c r="AH141" s="348"/>
      <c r="AI141" s="348"/>
      <c r="AJ141" s="348"/>
      <c r="AK141" s="348"/>
      <c r="AL141" s="348"/>
      <c r="AM141" s="348"/>
      <c r="AN141" s="348"/>
      <c r="AO141" s="348"/>
      <c r="AP141" s="348"/>
      <c r="AQ141" s="348"/>
      <c r="AR141" s="348"/>
      <c r="AS141" s="348"/>
      <c r="AT141" s="348"/>
      <c r="AU141" s="348"/>
      <c r="AV141" s="348"/>
      <c r="AW141" s="348"/>
      <c r="AX141" s="348"/>
      <c r="AY141" s="348"/>
      <c r="AZ141" s="348"/>
      <c r="BA141" s="348"/>
      <c r="BB141" s="348"/>
      <c r="BC141" s="348"/>
      <c r="BD141" s="348"/>
      <c r="BE141" s="348"/>
      <c r="BF141" s="348"/>
      <c r="BG141" s="348"/>
      <c r="BH141" s="348"/>
      <c r="BI141" s="348"/>
      <c r="BJ141" s="348"/>
      <c r="BK141" s="348"/>
      <c r="BL141" s="348"/>
      <c r="BM141" s="348"/>
      <c r="BN141" s="348"/>
      <c r="BO141" s="348"/>
      <c r="BP141" s="348"/>
      <c r="BQ141" s="348"/>
      <c r="BR141" s="348"/>
      <c r="BS141" s="348"/>
      <c r="BT141" s="348"/>
      <c r="BU141" s="348"/>
      <c r="BV141" s="348"/>
      <c r="BW141" s="806" t="s">
        <v>96</v>
      </c>
      <c r="BX141" s="806"/>
      <c r="BY141" s="806"/>
      <c r="BZ141" s="806" t="str">
        <f>IFERROR(__xludf.DUMMYFUNCTION("""COMPUTED_VALUE"""),"")</f>
        <v/>
      </c>
      <c r="CA141" s="806"/>
      <c r="CB141" s="806"/>
      <c r="CC141" s="806"/>
      <c r="CD141" s="806"/>
      <c r="CE141" s="806"/>
      <c r="CF141" s="806"/>
      <c r="CG141" s="806"/>
      <c r="CH141" s="806"/>
      <c r="CI141" s="806"/>
      <c r="CJ141" s="806"/>
      <c r="CK141" s="806"/>
    </row>
    <row r="142">
      <c r="A142" s="348"/>
      <c r="B142" s="348"/>
      <c r="C142" s="236"/>
      <c r="D142" s="348"/>
      <c r="E142" s="348"/>
      <c r="F142" s="348"/>
      <c r="G142" s="348"/>
      <c r="H142" s="348"/>
      <c r="I142" s="348"/>
      <c r="J142" s="348"/>
      <c r="K142" s="348"/>
      <c r="L142" s="348"/>
      <c r="M142" s="348"/>
      <c r="N142" s="348"/>
      <c r="O142" s="348"/>
      <c r="P142" s="348"/>
      <c r="Q142" s="348"/>
      <c r="R142" s="348"/>
      <c r="S142" s="348"/>
      <c r="T142" s="348"/>
      <c r="U142" s="348" t="s">
        <v>96</v>
      </c>
      <c r="V142" s="348" t="s">
        <v>96</v>
      </c>
      <c r="W142" s="348"/>
      <c r="X142" s="348" t="s">
        <v>96</v>
      </c>
      <c r="Y142" s="772" t="s">
        <v>96</v>
      </c>
      <c r="Z142" s="772" t="s">
        <v>96</v>
      </c>
      <c r="AA142" s="348"/>
      <c r="AB142" s="153"/>
      <c r="AC142" s="348"/>
      <c r="AD142" s="348"/>
      <c r="AE142" s="348"/>
      <c r="AF142" s="348"/>
      <c r="AG142" s="348"/>
      <c r="AH142" s="348"/>
      <c r="AI142" s="348"/>
      <c r="AJ142" s="348"/>
      <c r="AK142" s="348"/>
      <c r="AL142" s="348"/>
      <c r="AM142" s="348"/>
      <c r="AN142" s="348"/>
      <c r="AO142" s="348"/>
      <c r="AP142" s="348"/>
      <c r="AQ142" s="348"/>
      <c r="AR142" s="348"/>
      <c r="AS142" s="348"/>
      <c r="AT142" s="348"/>
      <c r="AU142" s="348"/>
      <c r="AV142" s="348"/>
      <c r="AW142" s="348"/>
      <c r="AX142" s="348"/>
      <c r="AY142" s="348"/>
      <c r="AZ142" s="348"/>
      <c r="BA142" s="348"/>
      <c r="BB142" s="348"/>
      <c r="BC142" s="348"/>
      <c r="BD142" s="348"/>
      <c r="BE142" s="348"/>
      <c r="BF142" s="348"/>
      <c r="BG142" s="348"/>
      <c r="BH142" s="348"/>
      <c r="BI142" s="348"/>
      <c r="BJ142" s="348"/>
      <c r="BK142" s="348"/>
      <c r="BL142" s="348"/>
      <c r="BM142" s="348"/>
      <c r="BN142" s="348"/>
      <c r="BO142" s="348"/>
      <c r="BP142" s="348"/>
      <c r="BQ142" s="348"/>
      <c r="BR142" s="348"/>
      <c r="BS142" s="348"/>
      <c r="BT142" s="348"/>
      <c r="BU142" s="348"/>
      <c r="BV142" s="348"/>
      <c r="BW142" s="806" t="s">
        <v>96</v>
      </c>
      <c r="BX142" s="806"/>
      <c r="BY142" s="806"/>
      <c r="BZ142" s="806" t="str">
        <f>IFERROR(__xludf.DUMMYFUNCTION("""COMPUTED_VALUE"""),"")</f>
        <v/>
      </c>
      <c r="CA142" s="806"/>
      <c r="CB142" s="806"/>
      <c r="CC142" s="806"/>
      <c r="CD142" s="806"/>
      <c r="CE142" s="806"/>
      <c r="CF142" s="806"/>
      <c r="CG142" s="806"/>
      <c r="CH142" s="806"/>
      <c r="CI142" s="806"/>
      <c r="CJ142" s="806"/>
      <c r="CK142" s="806"/>
    </row>
    <row r="143">
      <c r="A143" s="348"/>
      <c r="B143" s="348"/>
      <c r="C143" s="236"/>
      <c r="D143" s="348"/>
      <c r="E143" s="348"/>
      <c r="F143" s="348"/>
      <c r="G143" s="348"/>
      <c r="H143" s="348"/>
      <c r="I143" s="348"/>
      <c r="J143" s="348"/>
      <c r="K143" s="348"/>
      <c r="L143" s="348"/>
      <c r="M143" s="348"/>
      <c r="N143" s="348"/>
      <c r="O143" s="348"/>
      <c r="P143" s="348"/>
      <c r="Q143" s="348"/>
      <c r="R143" s="348"/>
      <c r="S143" s="348"/>
      <c r="T143" s="348"/>
      <c r="U143" s="348" t="s">
        <v>96</v>
      </c>
      <c r="V143" s="348" t="s">
        <v>96</v>
      </c>
      <c r="W143" s="348"/>
      <c r="X143" s="348" t="s">
        <v>96</v>
      </c>
      <c r="Y143" s="772" t="s">
        <v>96</v>
      </c>
      <c r="Z143" s="772" t="s">
        <v>96</v>
      </c>
      <c r="AA143" s="348"/>
      <c r="AB143" s="153"/>
      <c r="AC143" s="348"/>
      <c r="AD143" s="348"/>
      <c r="AE143" s="348"/>
      <c r="AF143" s="348"/>
      <c r="AG143" s="348"/>
      <c r="AH143" s="348"/>
      <c r="AI143" s="348"/>
      <c r="AJ143" s="348"/>
      <c r="AK143" s="348"/>
      <c r="AL143" s="348"/>
      <c r="AM143" s="348"/>
      <c r="AN143" s="348"/>
      <c r="AO143" s="348"/>
      <c r="AP143" s="348"/>
      <c r="AQ143" s="348"/>
      <c r="AR143" s="348"/>
      <c r="AS143" s="348"/>
      <c r="AT143" s="348"/>
      <c r="AU143" s="348"/>
      <c r="AV143" s="348"/>
      <c r="AW143" s="348"/>
      <c r="AX143" s="348"/>
      <c r="AY143" s="348"/>
      <c r="AZ143" s="348"/>
      <c r="BA143" s="348"/>
      <c r="BB143" s="348"/>
      <c r="BC143" s="348"/>
      <c r="BD143" s="348"/>
      <c r="BE143" s="348"/>
      <c r="BF143" s="348"/>
      <c r="BG143" s="348"/>
      <c r="BH143" s="348"/>
      <c r="BI143" s="348"/>
      <c r="BJ143" s="348"/>
      <c r="BK143" s="348"/>
      <c r="BL143" s="348"/>
      <c r="BM143" s="348"/>
      <c r="BN143" s="348"/>
      <c r="BO143" s="348"/>
      <c r="BP143" s="348"/>
      <c r="BQ143" s="348"/>
      <c r="BR143" s="348"/>
      <c r="BS143" s="348"/>
      <c r="BT143" s="348"/>
      <c r="BU143" s="348"/>
      <c r="BV143" s="348"/>
      <c r="BW143" s="806" t="s">
        <v>96</v>
      </c>
      <c r="BX143" s="806"/>
      <c r="BY143" s="806"/>
      <c r="BZ143" s="806" t="str">
        <f>IFERROR(__xludf.DUMMYFUNCTION("""COMPUTED_VALUE"""),"")</f>
        <v/>
      </c>
      <c r="CA143" s="806"/>
      <c r="CB143" s="806"/>
      <c r="CC143" s="806"/>
      <c r="CD143" s="806"/>
      <c r="CE143" s="806"/>
      <c r="CF143" s="806"/>
      <c r="CG143" s="806"/>
      <c r="CH143" s="806"/>
      <c r="CI143" s="806"/>
      <c r="CJ143" s="806"/>
      <c r="CK143" s="806"/>
    </row>
    <row r="144">
      <c r="A144" s="348"/>
      <c r="B144" s="348"/>
      <c r="C144" s="236"/>
      <c r="D144" s="348"/>
      <c r="E144" s="348"/>
      <c r="F144" s="348"/>
      <c r="G144" s="348"/>
      <c r="H144" s="348"/>
      <c r="I144" s="348"/>
      <c r="J144" s="348"/>
      <c r="K144" s="348"/>
      <c r="L144" s="348"/>
      <c r="M144" s="348"/>
      <c r="N144" s="348"/>
      <c r="O144" s="348"/>
      <c r="P144" s="348"/>
      <c r="Q144" s="348"/>
      <c r="R144" s="348"/>
      <c r="S144" s="348"/>
      <c r="T144" s="348"/>
      <c r="U144" s="348" t="s">
        <v>96</v>
      </c>
      <c r="V144" s="348" t="s">
        <v>96</v>
      </c>
      <c r="W144" s="348"/>
      <c r="X144" s="348" t="s">
        <v>96</v>
      </c>
      <c r="Y144" s="772" t="s">
        <v>96</v>
      </c>
      <c r="Z144" s="772" t="s">
        <v>96</v>
      </c>
      <c r="AA144" s="348"/>
      <c r="AB144" s="153"/>
      <c r="AC144" s="348"/>
      <c r="AD144" s="348"/>
      <c r="AE144" s="348"/>
      <c r="AF144" s="348"/>
      <c r="AG144" s="348"/>
      <c r="AH144" s="348"/>
      <c r="AI144" s="348"/>
      <c r="AJ144" s="348"/>
      <c r="AK144" s="348"/>
      <c r="AL144" s="348"/>
      <c r="AM144" s="348"/>
      <c r="AN144" s="348"/>
      <c r="AO144" s="348"/>
      <c r="AP144" s="348"/>
      <c r="AQ144" s="348"/>
      <c r="AR144" s="348"/>
      <c r="AS144" s="348"/>
      <c r="AT144" s="348"/>
      <c r="AU144" s="348"/>
      <c r="AV144" s="348"/>
      <c r="AW144" s="348"/>
      <c r="AX144" s="348"/>
      <c r="AY144" s="348"/>
      <c r="AZ144" s="348"/>
      <c r="BA144" s="348"/>
      <c r="BB144" s="348"/>
      <c r="BC144" s="348"/>
      <c r="BD144" s="348"/>
      <c r="BE144" s="348"/>
      <c r="BF144" s="348"/>
      <c r="BG144" s="348"/>
      <c r="BH144" s="348"/>
      <c r="BI144" s="348"/>
      <c r="BJ144" s="348"/>
      <c r="BK144" s="348"/>
      <c r="BL144" s="348"/>
      <c r="BM144" s="348"/>
      <c r="BN144" s="348"/>
      <c r="BO144" s="348"/>
      <c r="BP144" s="348"/>
      <c r="BQ144" s="348"/>
      <c r="BR144" s="348"/>
      <c r="BS144" s="348"/>
      <c r="BT144" s="348"/>
      <c r="BU144" s="348"/>
      <c r="BV144" s="348"/>
      <c r="BW144" s="806" t="s">
        <v>96</v>
      </c>
      <c r="BX144" s="806"/>
      <c r="BY144" s="806"/>
      <c r="BZ144" s="806" t="str">
        <f>IFERROR(__xludf.DUMMYFUNCTION("""COMPUTED_VALUE"""),"")</f>
        <v/>
      </c>
      <c r="CA144" s="806"/>
      <c r="CB144" s="806"/>
      <c r="CC144" s="806"/>
      <c r="CD144" s="806"/>
      <c r="CE144" s="806"/>
      <c r="CF144" s="806"/>
      <c r="CG144" s="806"/>
      <c r="CH144" s="806"/>
      <c r="CI144" s="806"/>
      <c r="CJ144" s="806"/>
      <c r="CK144" s="806"/>
    </row>
    <row r="145">
      <c r="A145" s="348"/>
      <c r="B145" s="348"/>
      <c r="C145" s="236"/>
      <c r="D145" s="348"/>
      <c r="E145" s="348"/>
      <c r="F145" s="348"/>
      <c r="G145" s="348"/>
      <c r="H145" s="348"/>
      <c r="I145" s="348"/>
      <c r="J145" s="348"/>
      <c r="K145" s="348"/>
      <c r="L145" s="348"/>
      <c r="M145" s="348"/>
      <c r="N145" s="348"/>
      <c r="O145" s="348"/>
      <c r="P145" s="348"/>
      <c r="Q145" s="348"/>
      <c r="R145" s="348"/>
      <c r="S145" s="348"/>
      <c r="T145" s="348"/>
      <c r="U145" s="348" t="s">
        <v>96</v>
      </c>
      <c r="V145" s="348" t="s">
        <v>96</v>
      </c>
      <c r="W145" s="348"/>
      <c r="X145" s="348" t="s">
        <v>96</v>
      </c>
      <c r="Y145" s="772" t="s">
        <v>96</v>
      </c>
      <c r="Z145" s="772" t="s">
        <v>96</v>
      </c>
      <c r="AA145" s="348"/>
      <c r="AB145" s="153"/>
      <c r="AC145" s="348"/>
      <c r="AD145" s="348"/>
      <c r="AE145" s="348"/>
      <c r="AF145" s="348"/>
      <c r="AG145" s="348"/>
      <c r="AH145" s="348"/>
      <c r="AI145" s="348"/>
      <c r="AJ145" s="348"/>
      <c r="AK145" s="348"/>
      <c r="AL145" s="348"/>
      <c r="AM145" s="348"/>
      <c r="AN145" s="348"/>
      <c r="AO145" s="348"/>
      <c r="AP145" s="348"/>
      <c r="AQ145" s="348"/>
      <c r="AR145" s="348"/>
      <c r="AS145" s="348"/>
      <c r="AT145" s="348"/>
      <c r="AU145" s="348"/>
      <c r="AV145" s="348"/>
      <c r="AW145" s="348"/>
      <c r="AX145" s="348"/>
      <c r="AY145" s="348"/>
      <c r="AZ145" s="348"/>
      <c r="BA145" s="348"/>
      <c r="BB145" s="348"/>
      <c r="BC145" s="348"/>
      <c r="BD145" s="348"/>
      <c r="BE145" s="348"/>
      <c r="BF145" s="348"/>
      <c r="BG145" s="348"/>
      <c r="BH145" s="348"/>
      <c r="BI145" s="348"/>
      <c r="BJ145" s="348"/>
      <c r="BK145" s="348"/>
      <c r="BL145" s="348"/>
      <c r="BM145" s="348"/>
      <c r="BN145" s="348"/>
      <c r="BO145" s="348"/>
      <c r="BP145" s="348"/>
      <c r="BQ145" s="348"/>
      <c r="BR145" s="348"/>
      <c r="BS145" s="348"/>
      <c r="BT145" s="348"/>
      <c r="BU145" s="348"/>
      <c r="BV145" s="348"/>
      <c r="BW145" s="806" t="s">
        <v>96</v>
      </c>
      <c r="BX145" s="806"/>
      <c r="BY145" s="806"/>
      <c r="BZ145" s="806" t="str">
        <f>IFERROR(__xludf.DUMMYFUNCTION("""COMPUTED_VALUE"""),"")</f>
        <v/>
      </c>
      <c r="CA145" s="806"/>
      <c r="CB145" s="806"/>
      <c r="CC145" s="806"/>
      <c r="CD145" s="806"/>
      <c r="CE145" s="806"/>
      <c r="CF145" s="806"/>
      <c r="CG145" s="806"/>
      <c r="CH145" s="806"/>
      <c r="CI145" s="806"/>
      <c r="CJ145" s="806"/>
      <c r="CK145" s="806"/>
    </row>
    <row r="146">
      <c r="A146" s="348"/>
      <c r="B146" s="348"/>
      <c r="C146" s="236"/>
      <c r="D146" s="348"/>
      <c r="E146" s="348"/>
      <c r="F146" s="348"/>
      <c r="G146" s="348"/>
      <c r="H146" s="348"/>
      <c r="I146" s="348"/>
      <c r="J146" s="348"/>
      <c r="K146" s="348"/>
      <c r="L146" s="348"/>
      <c r="M146" s="348"/>
      <c r="N146" s="348"/>
      <c r="O146" s="348"/>
      <c r="P146" s="348"/>
      <c r="Q146" s="348"/>
      <c r="R146" s="348"/>
      <c r="S146" s="348"/>
      <c r="T146" s="348"/>
      <c r="U146" s="348" t="s">
        <v>96</v>
      </c>
      <c r="V146" s="348" t="s">
        <v>96</v>
      </c>
      <c r="W146" s="348"/>
      <c r="X146" s="348" t="s">
        <v>96</v>
      </c>
      <c r="Y146" s="772" t="s">
        <v>96</v>
      </c>
      <c r="Z146" s="772" t="s">
        <v>96</v>
      </c>
      <c r="AA146" s="348"/>
      <c r="AB146" s="153"/>
      <c r="AC146" s="348"/>
      <c r="AD146" s="348"/>
      <c r="AE146" s="348"/>
      <c r="AF146" s="348"/>
      <c r="AG146" s="348"/>
      <c r="AH146" s="348"/>
      <c r="AI146" s="348"/>
      <c r="AJ146" s="348"/>
      <c r="AK146" s="348"/>
      <c r="AL146" s="348"/>
      <c r="AM146" s="348"/>
      <c r="AN146" s="348"/>
      <c r="AO146" s="348"/>
      <c r="AP146" s="348"/>
      <c r="AQ146" s="348"/>
      <c r="AR146" s="348"/>
      <c r="AS146" s="348"/>
      <c r="AT146" s="348"/>
      <c r="AU146" s="348"/>
      <c r="AV146" s="348"/>
      <c r="AW146" s="348"/>
      <c r="AX146" s="348"/>
      <c r="AY146" s="348"/>
      <c r="AZ146" s="348"/>
      <c r="BA146" s="348"/>
      <c r="BB146" s="348"/>
      <c r="BC146" s="348"/>
      <c r="BD146" s="348"/>
      <c r="BE146" s="348"/>
      <c r="BF146" s="348"/>
      <c r="BG146" s="348"/>
      <c r="BH146" s="348"/>
      <c r="BI146" s="348"/>
      <c r="BJ146" s="348"/>
      <c r="BK146" s="348"/>
      <c r="BL146" s="348"/>
      <c r="BM146" s="348"/>
      <c r="BN146" s="348"/>
      <c r="BO146" s="348"/>
      <c r="BP146" s="348"/>
      <c r="BQ146" s="348"/>
      <c r="BR146" s="348"/>
      <c r="BS146" s="348"/>
      <c r="BT146" s="348"/>
      <c r="BU146" s="348"/>
      <c r="BV146" s="348"/>
      <c r="BW146" s="806" t="s">
        <v>96</v>
      </c>
      <c r="BX146" s="806"/>
      <c r="BY146" s="806"/>
      <c r="BZ146" s="806" t="str">
        <f>IFERROR(__xludf.DUMMYFUNCTION("""COMPUTED_VALUE"""),"")</f>
        <v/>
      </c>
      <c r="CA146" s="806"/>
      <c r="CB146" s="806"/>
      <c r="CC146" s="806"/>
      <c r="CD146" s="806"/>
      <c r="CE146" s="806"/>
      <c r="CF146" s="806"/>
      <c r="CG146" s="806"/>
      <c r="CH146" s="806"/>
      <c r="CI146" s="806"/>
      <c r="CJ146" s="806"/>
      <c r="CK146" s="806"/>
    </row>
    <row r="147">
      <c r="A147" s="348"/>
      <c r="B147" s="348"/>
      <c r="C147" s="236"/>
      <c r="D147" s="348"/>
      <c r="E147" s="348"/>
      <c r="F147" s="348"/>
      <c r="G147" s="348"/>
      <c r="H147" s="348"/>
      <c r="I147" s="348"/>
      <c r="J147" s="348"/>
      <c r="K147" s="348"/>
      <c r="L147" s="348"/>
      <c r="M147" s="348"/>
      <c r="N147" s="348"/>
      <c r="O147" s="348"/>
      <c r="P147" s="348"/>
      <c r="Q147" s="348"/>
      <c r="R147" s="348"/>
      <c r="S147" s="348"/>
      <c r="T147" s="348"/>
      <c r="U147" s="348" t="s">
        <v>96</v>
      </c>
      <c r="V147" s="348" t="s">
        <v>96</v>
      </c>
      <c r="W147" s="348"/>
      <c r="X147" s="348" t="s">
        <v>96</v>
      </c>
      <c r="Y147" s="772" t="s">
        <v>96</v>
      </c>
      <c r="Z147" s="772" t="s">
        <v>96</v>
      </c>
      <c r="AA147" s="348"/>
      <c r="AB147" s="153"/>
      <c r="AC147" s="348"/>
      <c r="AD147" s="348"/>
      <c r="AE147" s="348"/>
      <c r="AF147" s="348"/>
      <c r="AG147" s="348"/>
      <c r="AH147" s="348"/>
      <c r="AI147" s="348"/>
      <c r="AJ147" s="348"/>
      <c r="AK147" s="348"/>
      <c r="AL147" s="348"/>
      <c r="AM147" s="348"/>
      <c r="AN147" s="348"/>
      <c r="AO147" s="348"/>
      <c r="AP147" s="348"/>
      <c r="AQ147" s="348"/>
      <c r="AR147" s="348"/>
      <c r="AS147" s="348"/>
      <c r="AT147" s="348"/>
      <c r="AU147" s="348"/>
      <c r="AV147" s="348"/>
      <c r="AW147" s="348"/>
      <c r="AX147" s="348"/>
      <c r="AY147" s="348"/>
      <c r="AZ147" s="348"/>
      <c r="BA147" s="348"/>
      <c r="BB147" s="348"/>
      <c r="BC147" s="348"/>
      <c r="BD147" s="348"/>
      <c r="BE147" s="348"/>
      <c r="BF147" s="348"/>
      <c r="BG147" s="348"/>
      <c r="BH147" s="348"/>
      <c r="BI147" s="348"/>
      <c r="BJ147" s="348"/>
      <c r="BK147" s="348"/>
      <c r="BL147" s="348"/>
      <c r="BM147" s="348"/>
      <c r="BN147" s="348"/>
      <c r="BO147" s="348"/>
      <c r="BP147" s="348"/>
      <c r="BQ147" s="348"/>
      <c r="BR147" s="348"/>
      <c r="BS147" s="348"/>
      <c r="BT147" s="348"/>
      <c r="BU147" s="348"/>
      <c r="BV147" s="348"/>
      <c r="BW147" s="806" t="s">
        <v>96</v>
      </c>
      <c r="BX147" s="806"/>
      <c r="BY147" s="806"/>
      <c r="BZ147" s="806" t="str">
        <f>IFERROR(__xludf.DUMMYFUNCTION("""COMPUTED_VALUE"""),"")</f>
        <v/>
      </c>
      <c r="CA147" s="806"/>
      <c r="CB147" s="806"/>
      <c r="CC147" s="806"/>
      <c r="CD147" s="806"/>
      <c r="CE147" s="806"/>
      <c r="CF147" s="806"/>
      <c r="CG147" s="806"/>
      <c r="CH147" s="806"/>
      <c r="CI147" s="806"/>
      <c r="CJ147" s="806"/>
      <c r="CK147" s="806"/>
    </row>
    <row r="148">
      <c r="A148" s="348"/>
      <c r="B148" s="348"/>
      <c r="C148" s="236"/>
      <c r="D148" s="348"/>
      <c r="E148" s="348"/>
      <c r="F148" s="348"/>
      <c r="G148" s="348"/>
      <c r="H148" s="348"/>
      <c r="I148" s="348"/>
      <c r="J148" s="348"/>
      <c r="K148" s="348"/>
      <c r="L148" s="348"/>
      <c r="M148" s="348"/>
      <c r="N148" s="348"/>
      <c r="O148" s="348"/>
      <c r="P148" s="348"/>
      <c r="Q148" s="348"/>
      <c r="R148" s="348"/>
      <c r="S148" s="348"/>
      <c r="T148" s="348"/>
      <c r="U148" s="348" t="s">
        <v>96</v>
      </c>
      <c r="V148" s="348" t="s">
        <v>96</v>
      </c>
      <c r="W148" s="348"/>
      <c r="X148" s="348" t="s">
        <v>96</v>
      </c>
      <c r="Y148" s="772" t="s">
        <v>96</v>
      </c>
      <c r="Z148" s="772" t="s">
        <v>96</v>
      </c>
      <c r="AA148" s="348"/>
      <c r="AB148" s="153"/>
      <c r="AC148" s="348"/>
      <c r="AD148" s="348"/>
      <c r="AE148" s="348"/>
      <c r="AF148" s="348"/>
      <c r="AG148" s="348"/>
      <c r="AH148" s="348"/>
      <c r="AI148" s="348"/>
      <c r="AJ148" s="348"/>
      <c r="AK148" s="348"/>
      <c r="AL148" s="348"/>
      <c r="AM148" s="348"/>
      <c r="AN148" s="348"/>
      <c r="AO148" s="348"/>
      <c r="AP148" s="348"/>
      <c r="AQ148" s="348"/>
      <c r="AR148" s="348"/>
      <c r="AS148" s="348"/>
      <c r="AT148" s="348"/>
      <c r="AU148" s="348"/>
      <c r="AV148" s="348"/>
      <c r="AW148" s="348"/>
      <c r="AX148" s="348"/>
      <c r="AY148" s="348"/>
      <c r="AZ148" s="348"/>
      <c r="BA148" s="348"/>
      <c r="BB148" s="348"/>
      <c r="BC148" s="348"/>
      <c r="BD148" s="348"/>
      <c r="BE148" s="348"/>
      <c r="BF148" s="348"/>
      <c r="BG148" s="348"/>
      <c r="BH148" s="348"/>
      <c r="BI148" s="348"/>
      <c r="BJ148" s="348"/>
      <c r="BK148" s="348"/>
      <c r="BL148" s="348"/>
      <c r="BM148" s="348"/>
      <c r="BN148" s="348"/>
      <c r="BO148" s="348"/>
      <c r="BP148" s="348"/>
      <c r="BQ148" s="348"/>
      <c r="BR148" s="348"/>
      <c r="BS148" s="348"/>
      <c r="BT148" s="348"/>
      <c r="BU148" s="348"/>
      <c r="BV148" s="348"/>
      <c r="BW148" s="806" t="s">
        <v>96</v>
      </c>
      <c r="BX148" s="806"/>
      <c r="BY148" s="806"/>
      <c r="BZ148" s="806" t="str">
        <f>IFERROR(__xludf.DUMMYFUNCTION("""COMPUTED_VALUE"""),"")</f>
        <v/>
      </c>
      <c r="CA148" s="806"/>
      <c r="CB148" s="806"/>
      <c r="CC148" s="806"/>
      <c r="CD148" s="806"/>
      <c r="CE148" s="806"/>
      <c r="CF148" s="806"/>
      <c r="CG148" s="806"/>
      <c r="CH148" s="806"/>
      <c r="CI148" s="806"/>
      <c r="CJ148" s="806"/>
      <c r="CK148" s="806"/>
    </row>
    <row r="149">
      <c r="A149" s="348"/>
      <c r="B149" s="348"/>
      <c r="C149" s="236"/>
      <c r="D149" s="348"/>
      <c r="E149" s="348"/>
      <c r="F149" s="348"/>
      <c r="G149" s="348"/>
      <c r="H149" s="348"/>
      <c r="I149" s="348"/>
      <c r="J149" s="348"/>
      <c r="K149" s="348"/>
      <c r="L149" s="348"/>
      <c r="M149" s="348"/>
      <c r="N149" s="348"/>
      <c r="O149" s="348"/>
      <c r="P149" s="348"/>
      <c r="Q149" s="348"/>
      <c r="R149" s="348"/>
      <c r="S149" s="348"/>
      <c r="T149" s="348"/>
      <c r="U149" s="348" t="s">
        <v>96</v>
      </c>
      <c r="V149" s="348" t="s">
        <v>96</v>
      </c>
      <c r="W149" s="348"/>
      <c r="X149" s="348" t="s">
        <v>96</v>
      </c>
      <c r="Y149" s="772" t="s">
        <v>96</v>
      </c>
      <c r="Z149" s="772" t="s">
        <v>96</v>
      </c>
      <c r="AA149" s="348"/>
      <c r="AB149" s="153"/>
      <c r="AC149" s="348"/>
      <c r="AD149" s="348"/>
      <c r="AE149" s="348"/>
      <c r="AF149" s="348"/>
      <c r="AG149" s="348"/>
      <c r="AH149" s="348"/>
      <c r="AI149" s="348"/>
      <c r="AJ149" s="348"/>
      <c r="AK149" s="348"/>
      <c r="AL149" s="348"/>
      <c r="AM149" s="348"/>
      <c r="AN149" s="348"/>
      <c r="AO149" s="348"/>
      <c r="AP149" s="348"/>
      <c r="AQ149" s="348"/>
      <c r="AR149" s="348"/>
      <c r="AS149" s="348"/>
      <c r="AT149" s="348"/>
      <c r="AU149" s="348"/>
      <c r="AV149" s="348"/>
      <c r="AW149" s="348"/>
      <c r="AX149" s="348"/>
      <c r="AY149" s="348"/>
      <c r="AZ149" s="348"/>
      <c r="BA149" s="348"/>
      <c r="BB149" s="348"/>
      <c r="BC149" s="348"/>
      <c r="BD149" s="348"/>
      <c r="BE149" s="348"/>
      <c r="BF149" s="348"/>
      <c r="BG149" s="348"/>
      <c r="BH149" s="348"/>
      <c r="BI149" s="348"/>
      <c r="BJ149" s="348"/>
      <c r="BK149" s="348"/>
      <c r="BL149" s="348"/>
      <c r="BM149" s="348"/>
      <c r="BN149" s="348"/>
      <c r="BO149" s="348"/>
      <c r="BP149" s="348"/>
      <c r="BQ149" s="348"/>
      <c r="BR149" s="348"/>
      <c r="BS149" s="348"/>
      <c r="BT149" s="348"/>
      <c r="BU149" s="348"/>
      <c r="BV149" s="348"/>
      <c r="BW149" s="806" t="s">
        <v>96</v>
      </c>
      <c r="BX149" s="806"/>
      <c r="BY149" s="806"/>
      <c r="BZ149" s="806" t="str">
        <f>IFERROR(__xludf.DUMMYFUNCTION("""COMPUTED_VALUE"""),"")</f>
        <v/>
      </c>
      <c r="CA149" s="806"/>
      <c r="CB149" s="806"/>
      <c r="CC149" s="806"/>
      <c r="CD149" s="806"/>
      <c r="CE149" s="806"/>
      <c r="CF149" s="806"/>
      <c r="CG149" s="806"/>
      <c r="CH149" s="806"/>
      <c r="CI149" s="806"/>
      <c r="CJ149" s="806"/>
      <c r="CK149" s="806"/>
    </row>
    <row r="150">
      <c r="A150" s="348"/>
      <c r="B150" s="348"/>
      <c r="C150" s="236"/>
      <c r="D150" s="348"/>
      <c r="E150" s="348"/>
      <c r="F150" s="348"/>
      <c r="G150" s="348"/>
      <c r="H150" s="348"/>
      <c r="I150" s="348"/>
      <c r="J150" s="348"/>
      <c r="K150" s="348"/>
      <c r="L150" s="348"/>
      <c r="M150" s="348"/>
      <c r="N150" s="348"/>
      <c r="O150" s="348"/>
      <c r="P150" s="348"/>
      <c r="Q150" s="348"/>
      <c r="R150" s="348"/>
      <c r="S150" s="348"/>
      <c r="T150" s="348"/>
      <c r="U150" s="348" t="s">
        <v>96</v>
      </c>
      <c r="V150" s="348" t="s">
        <v>96</v>
      </c>
      <c r="W150" s="348"/>
      <c r="X150" s="348" t="s">
        <v>96</v>
      </c>
      <c r="Y150" s="772" t="s">
        <v>96</v>
      </c>
      <c r="Z150" s="772" t="s">
        <v>96</v>
      </c>
      <c r="AA150" s="348"/>
      <c r="AB150" s="153"/>
      <c r="AC150" s="348"/>
      <c r="AD150" s="348"/>
      <c r="AE150" s="348"/>
      <c r="AF150" s="348"/>
      <c r="AG150" s="348"/>
      <c r="AH150" s="348"/>
      <c r="AI150" s="348"/>
      <c r="AJ150" s="348"/>
      <c r="AK150" s="348"/>
      <c r="AL150" s="348"/>
      <c r="AM150" s="348"/>
      <c r="AN150" s="348"/>
      <c r="AO150" s="348"/>
      <c r="AP150" s="348"/>
      <c r="AQ150" s="348"/>
      <c r="AR150" s="348"/>
      <c r="AS150" s="348"/>
      <c r="AT150" s="348"/>
      <c r="AU150" s="348"/>
      <c r="AV150" s="348"/>
      <c r="AW150" s="348"/>
      <c r="AX150" s="348"/>
      <c r="AY150" s="348"/>
      <c r="AZ150" s="348"/>
      <c r="BA150" s="348"/>
      <c r="BB150" s="348"/>
      <c r="BC150" s="348"/>
      <c r="BD150" s="348"/>
      <c r="BE150" s="348"/>
      <c r="BF150" s="348"/>
      <c r="BG150" s="348"/>
      <c r="BH150" s="348"/>
      <c r="BI150" s="348"/>
      <c r="BJ150" s="348"/>
      <c r="BK150" s="348"/>
      <c r="BL150" s="348"/>
      <c r="BM150" s="348"/>
      <c r="BN150" s="348"/>
      <c r="BO150" s="348"/>
      <c r="BP150" s="348"/>
      <c r="BQ150" s="348"/>
      <c r="BR150" s="348"/>
      <c r="BS150" s="348"/>
      <c r="BT150" s="348"/>
      <c r="BU150" s="348"/>
      <c r="BV150" s="348"/>
      <c r="BW150" s="806" t="s">
        <v>96</v>
      </c>
      <c r="BX150" s="806"/>
      <c r="BY150" s="806"/>
      <c r="BZ150" s="806" t="str">
        <f>IFERROR(__xludf.DUMMYFUNCTION("""COMPUTED_VALUE"""),"")</f>
        <v/>
      </c>
      <c r="CA150" s="806"/>
      <c r="CB150" s="806"/>
      <c r="CC150" s="806"/>
      <c r="CD150" s="806"/>
      <c r="CE150" s="806"/>
      <c r="CF150" s="806"/>
      <c r="CG150" s="806"/>
      <c r="CH150" s="806"/>
      <c r="CI150" s="806"/>
      <c r="CJ150" s="806"/>
      <c r="CK150" s="806"/>
    </row>
    <row r="151">
      <c r="A151" s="348"/>
      <c r="B151" s="348"/>
      <c r="C151" s="236"/>
      <c r="D151" s="348"/>
      <c r="E151" s="348"/>
      <c r="F151" s="348"/>
      <c r="G151" s="348"/>
      <c r="H151" s="348"/>
      <c r="I151" s="348"/>
      <c r="J151" s="348"/>
      <c r="K151" s="348"/>
      <c r="L151" s="348"/>
      <c r="M151" s="348"/>
      <c r="N151" s="348"/>
      <c r="O151" s="348"/>
      <c r="P151" s="348"/>
      <c r="Q151" s="348"/>
      <c r="R151" s="348"/>
      <c r="S151" s="348"/>
      <c r="T151" s="348"/>
      <c r="U151" s="348" t="s">
        <v>96</v>
      </c>
      <c r="V151" s="348" t="s">
        <v>96</v>
      </c>
      <c r="W151" s="348"/>
      <c r="X151" s="348" t="s">
        <v>96</v>
      </c>
      <c r="Y151" s="772" t="s">
        <v>96</v>
      </c>
      <c r="Z151" s="772" t="s">
        <v>96</v>
      </c>
      <c r="AA151" s="348"/>
      <c r="AB151" s="153"/>
      <c r="AC151" s="348"/>
      <c r="AD151" s="348"/>
      <c r="AE151" s="348"/>
      <c r="AF151" s="348"/>
      <c r="AG151" s="348"/>
      <c r="AH151" s="348"/>
      <c r="AI151" s="348"/>
      <c r="AJ151" s="348"/>
      <c r="AK151" s="348"/>
      <c r="AL151" s="348"/>
      <c r="AM151" s="348"/>
      <c r="AN151" s="348"/>
      <c r="AO151" s="348"/>
      <c r="AP151" s="348"/>
      <c r="AQ151" s="348"/>
      <c r="AR151" s="348"/>
      <c r="AS151" s="348"/>
      <c r="AT151" s="348"/>
      <c r="AU151" s="348"/>
      <c r="AV151" s="348"/>
      <c r="AW151" s="348"/>
      <c r="AX151" s="348"/>
      <c r="AY151" s="348"/>
      <c r="AZ151" s="348"/>
      <c r="BA151" s="348"/>
      <c r="BB151" s="348"/>
      <c r="BC151" s="348"/>
      <c r="BD151" s="348"/>
      <c r="BE151" s="348"/>
      <c r="BF151" s="348"/>
      <c r="BG151" s="348"/>
      <c r="BH151" s="348"/>
      <c r="BI151" s="348"/>
      <c r="BJ151" s="348"/>
      <c r="BK151" s="348"/>
      <c r="BL151" s="348"/>
      <c r="BM151" s="348"/>
      <c r="BN151" s="348"/>
      <c r="BO151" s="348"/>
      <c r="BP151" s="348"/>
      <c r="BQ151" s="348"/>
      <c r="BR151" s="348"/>
      <c r="BS151" s="348"/>
      <c r="BT151" s="348"/>
      <c r="BU151" s="348"/>
      <c r="BV151" s="348"/>
      <c r="BW151" s="806" t="s">
        <v>96</v>
      </c>
      <c r="BX151" s="806"/>
      <c r="BY151" s="806"/>
      <c r="BZ151" s="806" t="str">
        <f>IFERROR(__xludf.DUMMYFUNCTION("""COMPUTED_VALUE"""),"")</f>
        <v/>
      </c>
      <c r="CA151" s="806"/>
      <c r="CB151" s="806"/>
      <c r="CC151" s="806"/>
      <c r="CD151" s="806"/>
      <c r="CE151" s="806"/>
      <c r="CF151" s="806"/>
      <c r="CG151" s="806"/>
      <c r="CH151" s="806"/>
      <c r="CI151" s="806"/>
      <c r="CJ151" s="806"/>
      <c r="CK151" s="806"/>
    </row>
    <row r="152">
      <c r="A152" s="348"/>
      <c r="B152" s="348"/>
      <c r="C152" s="236"/>
      <c r="D152" s="348"/>
      <c r="E152" s="348"/>
      <c r="F152" s="348"/>
      <c r="G152" s="348"/>
      <c r="H152" s="348"/>
      <c r="I152" s="348"/>
      <c r="J152" s="348"/>
      <c r="K152" s="348"/>
      <c r="L152" s="348"/>
      <c r="M152" s="348"/>
      <c r="N152" s="348"/>
      <c r="O152" s="348"/>
      <c r="P152" s="348"/>
      <c r="Q152" s="348"/>
      <c r="R152" s="348"/>
      <c r="S152" s="348"/>
      <c r="T152" s="348"/>
      <c r="U152" s="348" t="s">
        <v>96</v>
      </c>
      <c r="V152" s="348" t="s">
        <v>96</v>
      </c>
      <c r="W152" s="348"/>
      <c r="X152" s="348" t="s">
        <v>96</v>
      </c>
      <c r="Y152" s="772" t="s">
        <v>96</v>
      </c>
      <c r="Z152" s="772" t="s">
        <v>96</v>
      </c>
      <c r="AA152" s="348"/>
      <c r="AB152" s="153"/>
      <c r="AC152" s="348"/>
      <c r="AD152" s="348"/>
      <c r="AE152" s="348"/>
      <c r="AF152" s="348"/>
      <c r="AG152" s="348"/>
      <c r="AH152" s="348"/>
      <c r="AI152" s="348"/>
      <c r="AJ152" s="348"/>
      <c r="AK152" s="348"/>
      <c r="AL152" s="348"/>
      <c r="AM152" s="348"/>
      <c r="AN152" s="348"/>
      <c r="AO152" s="348"/>
      <c r="AP152" s="348"/>
      <c r="AQ152" s="348"/>
      <c r="AR152" s="348"/>
      <c r="AS152" s="348"/>
      <c r="AT152" s="348"/>
      <c r="AU152" s="348"/>
      <c r="AV152" s="348"/>
      <c r="AW152" s="348"/>
      <c r="AX152" s="348"/>
      <c r="AY152" s="348"/>
      <c r="AZ152" s="348"/>
      <c r="BA152" s="348"/>
      <c r="BB152" s="348"/>
      <c r="BC152" s="348"/>
      <c r="BD152" s="348"/>
      <c r="BE152" s="348"/>
      <c r="BF152" s="348"/>
      <c r="BG152" s="348"/>
      <c r="BH152" s="348"/>
      <c r="BI152" s="348"/>
      <c r="BJ152" s="348"/>
      <c r="BK152" s="348"/>
      <c r="BL152" s="348"/>
      <c r="BM152" s="348"/>
      <c r="BN152" s="348"/>
      <c r="BO152" s="348"/>
      <c r="BP152" s="348"/>
      <c r="BQ152" s="348"/>
      <c r="BR152" s="348"/>
      <c r="BS152" s="348"/>
      <c r="BT152" s="348"/>
      <c r="BU152" s="348"/>
      <c r="BV152" s="348"/>
      <c r="BW152" s="806" t="s">
        <v>96</v>
      </c>
      <c r="BX152" s="806"/>
      <c r="BY152" s="806"/>
      <c r="BZ152" s="806" t="str">
        <f>IFERROR(__xludf.DUMMYFUNCTION("""COMPUTED_VALUE"""),"")</f>
        <v/>
      </c>
      <c r="CA152" s="806"/>
      <c r="CB152" s="806"/>
      <c r="CC152" s="806"/>
      <c r="CD152" s="806"/>
      <c r="CE152" s="806"/>
      <c r="CF152" s="806"/>
      <c r="CG152" s="806"/>
      <c r="CH152" s="806"/>
      <c r="CI152" s="806"/>
      <c r="CJ152" s="806"/>
      <c r="CK152" s="806"/>
    </row>
    <row r="153">
      <c r="A153" s="348"/>
      <c r="B153" s="348"/>
      <c r="C153" s="236"/>
      <c r="D153" s="348"/>
      <c r="E153" s="348"/>
      <c r="F153" s="348"/>
      <c r="G153" s="348"/>
      <c r="H153" s="348"/>
      <c r="I153" s="348"/>
      <c r="J153" s="348"/>
      <c r="K153" s="348"/>
      <c r="L153" s="348"/>
      <c r="M153" s="348"/>
      <c r="N153" s="348"/>
      <c r="O153" s="348"/>
      <c r="P153" s="348"/>
      <c r="Q153" s="348"/>
      <c r="R153" s="348"/>
      <c r="S153" s="348"/>
      <c r="T153" s="348"/>
      <c r="U153" s="348" t="s">
        <v>96</v>
      </c>
      <c r="V153" s="348" t="s">
        <v>96</v>
      </c>
      <c r="W153" s="348"/>
      <c r="X153" s="348" t="s">
        <v>96</v>
      </c>
      <c r="Y153" s="772" t="s">
        <v>96</v>
      </c>
      <c r="Z153" s="772" t="s">
        <v>96</v>
      </c>
      <c r="AA153" s="348"/>
      <c r="AB153" s="153"/>
      <c r="AC153" s="348"/>
      <c r="AD153" s="348"/>
      <c r="AE153" s="348"/>
      <c r="AF153" s="348"/>
      <c r="AG153" s="348"/>
      <c r="AH153" s="348"/>
      <c r="AI153" s="348"/>
      <c r="AJ153" s="348"/>
      <c r="AK153" s="348"/>
      <c r="AL153" s="348"/>
      <c r="AM153" s="348"/>
      <c r="AN153" s="348"/>
      <c r="AO153" s="348"/>
      <c r="AP153" s="348"/>
      <c r="AQ153" s="348"/>
      <c r="AR153" s="348"/>
      <c r="AS153" s="348"/>
      <c r="AT153" s="348"/>
      <c r="AU153" s="348"/>
      <c r="AV153" s="348"/>
      <c r="AW153" s="348"/>
      <c r="AX153" s="348"/>
      <c r="AY153" s="348"/>
      <c r="AZ153" s="348"/>
      <c r="BA153" s="348"/>
      <c r="BB153" s="348"/>
      <c r="BC153" s="348"/>
      <c r="BD153" s="348"/>
      <c r="BE153" s="348"/>
      <c r="BF153" s="348"/>
      <c r="BG153" s="348"/>
      <c r="BH153" s="348"/>
      <c r="BI153" s="348"/>
      <c r="BJ153" s="348"/>
      <c r="BK153" s="348"/>
      <c r="BL153" s="348"/>
      <c r="BM153" s="348"/>
      <c r="BN153" s="348"/>
      <c r="BO153" s="348"/>
      <c r="BP153" s="348"/>
      <c r="BQ153" s="348"/>
      <c r="BR153" s="348"/>
      <c r="BS153" s="348"/>
      <c r="BT153" s="348"/>
      <c r="BU153" s="348"/>
      <c r="BV153" s="348"/>
      <c r="BW153" s="806" t="s">
        <v>96</v>
      </c>
      <c r="BX153" s="806"/>
      <c r="BY153" s="806"/>
      <c r="BZ153" s="806" t="str">
        <f>IFERROR(__xludf.DUMMYFUNCTION("""COMPUTED_VALUE"""),"")</f>
        <v/>
      </c>
      <c r="CA153" s="806"/>
      <c r="CB153" s="806"/>
      <c r="CC153" s="806"/>
      <c r="CD153" s="806"/>
      <c r="CE153" s="806"/>
      <c r="CF153" s="806"/>
      <c r="CG153" s="806"/>
      <c r="CH153" s="806"/>
      <c r="CI153" s="806"/>
      <c r="CJ153" s="806"/>
      <c r="CK153" s="806"/>
    </row>
    <row r="154">
      <c r="A154" s="348"/>
      <c r="B154" s="348"/>
      <c r="C154" s="236"/>
      <c r="D154" s="348"/>
      <c r="E154" s="348"/>
      <c r="F154" s="348"/>
      <c r="G154" s="348"/>
      <c r="H154" s="348"/>
      <c r="I154" s="348"/>
      <c r="J154" s="348"/>
      <c r="K154" s="348"/>
      <c r="L154" s="348"/>
      <c r="M154" s="348"/>
      <c r="N154" s="348"/>
      <c r="O154" s="348"/>
      <c r="P154" s="348"/>
      <c r="Q154" s="348"/>
      <c r="R154" s="348"/>
      <c r="S154" s="348"/>
      <c r="T154" s="348"/>
      <c r="U154" s="348" t="s">
        <v>96</v>
      </c>
      <c r="V154" s="348" t="s">
        <v>96</v>
      </c>
      <c r="W154" s="348"/>
      <c r="X154" s="348" t="s">
        <v>96</v>
      </c>
      <c r="Y154" s="772" t="s">
        <v>96</v>
      </c>
      <c r="Z154" s="772" t="s">
        <v>96</v>
      </c>
      <c r="AA154" s="348"/>
      <c r="AB154" s="153"/>
      <c r="AC154" s="348"/>
      <c r="AD154" s="348"/>
      <c r="AE154" s="348"/>
      <c r="AF154" s="348"/>
      <c r="AG154" s="348"/>
      <c r="AH154" s="348"/>
      <c r="AI154" s="348"/>
      <c r="AJ154" s="348"/>
      <c r="AK154" s="348"/>
      <c r="AL154" s="348"/>
      <c r="AM154" s="348"/>
      <c r="AN154" s="348"/>
      <c r="AO154" s="348"/>
      <c r="AP154" s="348"/>
      <c r="AQ154" s="348"/>
      <c r="AR154" s="348"/>
      <c r="AS154" s="348"/>
      <c r="AT154" s="348"/>
      <c r="AU154" s="348"/>
      <c r="AV154" s="348"/>
      <c r="AW154" s="348"/>
      <c r="AX154" s="348"/>
      <c r="AY154" s="348"/>
      <c r="AZ154" s="348"/>
      <c r="BA154" s="348"/>
      <c r="BB154" s="348"/>
      <c r="BC154" s="348"/>
      <c r="BD154" s="348"/>
      <c r="BE154" s="348"/>
      <c r="BF154" s="348"/>
      <c r="BG154" s="348"/>
      <c r="BH154" s="348"/>
      <c r="BI154" s="348"/>
      <c r="BJ154" s="348"/>
      <c r="BK154" s="348"/>
      <c r="BL154" s="348"/>
      <c r="BM154" s="348"/>
      <c r="BN154" s="348"/>
      <c r="BO154" s="348"/>
      <c r="BP154" s="348"/>
      <c r="BQ154" s="348"/>
      <c r="BR154" s="348"/>
      <c r="BS154" s="348"/>
      <c r="BT154" s="348"/>
      <c r="BU154" s="348"/>
      <c r="BV154" s="348"/>
      <c r="BW154" s="806" t="s">
        <v>96</v>
      </c>
      <c r="BX154" s="806"/>
      <c r="BY154" s="806"/>
      <c r="BZ154" s="806" t="str">
        <f>IFERROR(__xludf.DUMMYFUNCTION("""COMPUTED_VALUE"""),"")</f>
        <v/>
      </c>
      <c r="CA154" s="806"/>
      <c r="CB154" s="806"/>
      <c r="CC154" s="806"/>
      <c r="CD154" s="806"/>
      <c r="CE154" s="806"/>
      <c r="CF154" s="806"/>
      <c r="CG154" s="806"/>
      <c r="CH154" s="806"/>
      <c r="CI154" s="806"/>
      <c r="CJ154" s="806"/>
      <c r="CK154" s="806"/>
    </row>
    <row r="155">
      <c r="A155" s="348"/>
      <c r="B155" s="348"/>
      <c r="C155" s="236"/>
      <c r="D155" s="348"/>
      <c r="E155" s="348"/>
      <c r="F155" s="348"/>
      <c r="G155" s="348"/>
      <c r="H155" s="348"/>
      <c r="I155" s="348"/>
      <c r="J155" s="348"/>
      <c r="K155" s="348"/>
      <c r="L155" s="348"/>
      <c r="M155" s="348"/>
      <c r="N155" s="348"/>
      <c r="O155" s="348"/>
      <c r="P155" s="348"/>
      <c r="Q155" s="348"/>
      <c r="R155" s="348"/>
      <c r="S155" s="348"/>
      <c r="T155" s="348"/>
      <c r="U155" s="348" t="s">
        <v>96</v>
      </c>
      <c r="V155" s="348" t="s">
        <v>96</v>
      </c>
      <c r="W155" s="348"/>
      <c r="X155" s="348" t="s">
        <v>96</v>
      </c>
      <c r="Y155" s="772" t="s">
        <v>96</v>
      </c>
      <c r="Z155" s="772" t="s">
        <v>96</v>
      </c>
      <c r="AA155" s="348"/>
      <c r="AB155" s="153"/>
      <c r="AC155" s="348"/>
      <c r="AD155" s="348"/>
      <c r="AE155" s="348"/>
      <c r="AF155" s="348"/>
      <c r="AG155" s="348"/>
      <c r="AH155" s="348"/>
      <c r="AI155" s="348"/>
      <c r="AJ155" s="348"/>
      <c r="AK155" s="348"/>
      <c r="AL155" s="348"/>
      <c r="AM155" s="348"/>
      <c r="AN155" s="348"/>
      <c r="AO155" s="348"/>
      <c r="AP155" s="348"/>
      <c r="AQ155" s="348"/>
      <c r="AR155" s="348"/>
      <c r="AS155" s="348"/>
      <c r="AT155" s="348"/>
      <c r="AU155" s="348"/>
      <c r="AV155" s="348"/>
      <c r="AW155" s="348"/>
      <c r="AX155" s="348"/>
      <c r="AY155" s="348"/>
      <c r="AZ155" s="348"/>
      <c r="BA155" s="348"/>
      <c r="BB155" s="348"/>
      <c r="BC155" s="348"/>
      <c r="BD155" s="348"/>
      <c r="BE155" s="348"/>
      <c r="BF155" s="348"/>
      <c r="BG155" s="348"/>
      <c r="BH155" s="348"/>
      <c r="BI155" s="348"/>
      <c r="BJ155" s="348"/>
      <c r="BK155" s="348"/>
      <c r="BL155" s="348"/>
      <c r="BM155" s="348"/>
      <c r="BN155" s="348"/>
      <c r="BO155" s="348"/>
      <c r="BP155" s="348"/>
      <c r="BQ155" s="348"/>
      <c r="BR155" s="348"/>
      <c r="BS155" s="348"/>
      <c r="BT155" s="348"/>
      <c r="BU155" s="348"/>
      <c r="BV155" s="348"/>
      <c r="BW155" s="806" t="s">
        <v>96</v>
      </c>
      <c r="BX155" s="806"/>
      <c r="BY155" s="806"/>
      <c r="BZ155" s="806" t="str">
        <f>IFERROR(__xludf.DUMMYFUNCTION("""COMPUTED_VALUE"""),"")</f>
        <v/>
      </c>
      <c r="CA155" s="806"/>
      <c r="CB155" s="806"/>
      <c r="CC155" s="806"/>
      <c r="CD155" s="806"/>
      <c r="CE155" s="806"/>
      <c r="CF155" s="806"/>
      <c r="CG155" s="806"/>
      <c r="CH155" s="806"/>
      <c r="CI155" s="806"/>
      <c r="CJ155" s="806"/>
      <c r="CK155" s="806"/>
    </row>
    <row r="156">
      <c r="A156" s="348"/>
      <c r="B156" s="348"/>
      <c r="C156" s="236"/>
      <c r="D156" s="348"/>
      <c r="E156" s="348"/>
      <c r="F156" s="348"/>
      <c r="G156" s="348"/>
      <c r="H156" s="348"/>
      <c r="I156" s="348"/>
      <c r="J156" s="348"/>
      <c r="K156" s="348"/>
      <c r="L156" s="348"/>
      <c r="M156" s="348"/>
      <c r="N156" s="348"/>
      <c r="O156" s="348"/>
      <c r="P156" s="348"/>
      <c r="Q156" s="348"/>
      <c r="R156" s="348"/>
      <c r="S156" s="348"/>
      <c r="T156" s="348"/>
      <c r="U156" s="348" t="s">
        <v>96</v>
      </c>
      <c r="V156" s="348" t="s">
        <v>96</v>
      </c>
      <c r="W156" s="348"/>
      <c r="X156" s="348" t="s">
        <v>96</v>
      </c>
      <c r="Y156" s="772" t="s">
        <v>96</v>
      </c>
      <c r="Z156" s="772" t="s">
        <v>96</v>
      </c>
      <c r="AA156" s="348"/>
      <c r="AB156" s="153"/>
      <c r="AC156" s="348"/>
      <c r="AD156" s="348"/>
      <c r="AE156" s="348"/>
      <c r="AF156" s="348"/>
      <c r="AG156" s="348"/>
      <c r="AH156" s="348"/>
      <c r="AI156" s="348"/>
      <c r="AJ156" s="348"/>
      <c r="AK156" s="348"/>
      <c r="AL156" s="348"/>
      <c r="AM156" s="348"/>
      <c r="AN156" s="348"/>
      <c r="AO156" s="348"/>
      <c r="AP156" s="348"/>
      <c r="AQ156" s="348"/>
      <c r="AR156" s="348"/>
      <c r="AS156" s="348"/>
      <c r="AT156" s="348"/>
      <c r="AU156" s="348"/>
      <c r="AV156" s="348"/>
      <c r="AW156" s="348"/>
      <c r="AX156" s="348"/>
      <c r="AY156" s="348"/>
      <c r="AZ156" s="348"/>
      <c r="BA156" s="348"/>
      <c r="BB156" s="348"/>
      <c r="BC156" s="348"/>
      <c r="BD156" s="348"/>
      <c r="BE156" s="348"/>
      <c r="BF156" s="348"/>
      <c r="BG156" s="348"/>
      <c r="BH156" s="348"/>
      <c r="BI156" s="348"/>
      <c r="BJ156" s="348"/>
      <c r="BK156" s="348"/>
      <c r="BL156" s="348"/>
      <c r="BM156" s="348"/>
      <c r="BN156" s="348"/>
      <c r="BO156" s="348"/>
      <c r="BP156" s="348"/>
      <c r="BQ156" s="348"/>
      <c r="BR156" s="348"/>
      <c r="BS156" s="348"/>
      <c r="BT156" s="348"/>
      <c r="BU156" s="348"/>
      <c r="BV156" s="348"/>
      <c r="BW156" s="806" t="s">
        <v>96</v>
      </c>
      <c r="BX156" s="806"/>
      <c r="BY156" s="806"/>
      <c r="BZ156" s="806" t="str">
        <f>IFERROR(__xludf.DUMMYFUNCTION("""COMPUTED_VALUE"""),"")</f>
        <v/>
      </c>
      <c r="CA156" s="806"/>
      <c r="CB156" s="806"/>
      <c r="CC156" s="806"/>
      <c r="CD156" s="806"/>
      <c r="CE156" s="806"/>
      <c r="CF156" s="806"/>
      <c r="CG156" s="806"/>
      <c r="CH156" s="806"/>
      <c r="CI156" s="806"/>
      <c r="CJ156" s="806"/>
      <c r="CK156" s="806"/>
    </row>
    <row r="157">
      <c r="A157" s="348"/>
      <c r="B157" s="348"/>
      <c r="C157" s="236"/>
      <c r="D157" s="348"/>
      <c r="E157" s="348"/>
      <c r="F157" s="348"/>
      <c r="G157" s="348"/>
      <c r="H157" s="348"/>
      <c r="I157" s="348"/>
      <c r="J157" s="348"/>
      <c r="K157" s="348"/>
      <c r="L157" s="348"/>
      <c r="M157" s="348"/>
      <c r="N157" s="348"/>
      <c r="O157" s="348"/>
      <c r="P157" s="348"/>
      <c r="Q157" s="348"/>
      <c r="R157" s="348"/>
      <c r="S157" s="348"/>
      <c r="T157" s="348"/>
      <c r="U157" s="348" t="s">
        <v>96</v>
      </c>
      <c r="V157" s="348" t="s">
        <v>96</v>
      </c>
      <c r="W157" s="348"/>
      <c r="X157" s="348" t="s">
        <v>96</v>
      </c>
      <c r="Y157" s="772" t="s">
        <v>96</v>
      </c>
      <c r="Z157" s="772" t="s">
        <v>96</v>
      </c>
      <c r="AA157" s="348"/>
      <c r="AB157" s="153"/>
      <c r="AC157" s="348"/>
      <c r="AD157" s="348"/>
      <c r="AE157" s="348"/>
      <c r="AF157" s="348"/>
      <c r="AG157" s="348"/>
      <c r="AH157" s="348"/>
      <c r="AI157" s="348"/>
      <c r="AJ157" s="348"/>
      <c r="AK157" s="348"/>
      <c r="AL157" s="348"/>
      <c r="AM157" s="348"/>
      <c r="AN157" s="348"/>
      <c r="AO157" s="348"/>
      <c r="AP157" s="348"/>
      <c r="AQ157" s="348"/>
      <c r="AR157" s="348"/>
      <c r="AS157" s="348"/>
      <c r="AT157" s="348"/>
      <c r="AU157" s="348"/>
      <c r="AV157" s="348"/>
      <c r="AW157" s="348"/>
      <c r="AX157" s="348"/>
      <c r="AY157" s="348"/>
      <c r="AZ157" s="348"/>
      <c r="BA157" s="348"/>
      <c r="BB157" s="348"/>
      <c r="BC157" s="348"/>
      <c r="BD157" s="348"/>
      <c r="BE157" s="348"/>
      <c r="BF157" s="348"/>
      <c r="BG157" s="348"/>
      <c r="BH157" s="348"/>
      <c r="BI157" s="348"/>
      <c r="BJ157" s="348"/>
      <c r="BK157" s="348"/>
      <c r="BL157" s="348"/>
      <c r="BM157" s="348"/>
      <c r="BN157" s="348"/>
      <c r="BO157" s="348"/>
      <c r="BP157" s="348"/>
      <c r="BQ157" s="348"/>
      <c r="BR157" s="348"/>
      <c r="BS157" s="348"/>
      <c r="BT157" s="348"/>
      <c r="BU157" s="348"/>
      <c r="BV157" s="348"/>
      <c r="BW157" s="806" t="s">
        <v>96</v>
      </c>
      <c r="BX157" s="806"/>
      <c r="BY157" s="806"/>
      <c r="BZ157" s="806" t="str">
        <f>IFERROR(__xludf.DUMMYFUNCTION("""COMPUTED_VALUE"""),"")</f>
        <v/>
      </c>
      <c r="CA157" s="806"/>
      <c r="CB157" s="806"/>
      <c r="CC157" s="806"/>
      <c r="CD157" s="806"/>
      <c r="CE157" s="806"/>
      <c r="CF157" s="806"/>
      <c r="CG157" s="806"/>
      <c r="CH157" s="806"/>
      <c r="CI157" s="806"/>
      <c r="CJ157" s="806"/>
      <c r="CK157" s="806"/>
    </row>
    <row r="158">
      <c r="A158" s="348"/>
      <c r="B158" s="348"/>
      <c r="C158" s="236"/>
      <c r="D158" s="348"/>
      <c r="E158" s="348"/>
      <c r="F158" s="348"/>
      <c r="G158" s="348"/>
      <c r="H158" s="348"/>
      <c r="I158" s="348"/>
      <c r="J158" s="348"/>
      <c r="K158" s="348"/>
      <c r="L158" s="348"/>
      <c r="M158" s="348"/>
      <c r="N158" s="348"/>
      <c r="O158" s="348"/>
      <c r="P158" s="348"/>
      <c r="Q158" s="348"/>
      <c r="R158" s="348"/>
      <c r="S158" s="348"/>
      <c r="T158" s="348"/>
      <c r="U158" s="348" t="s">
        <v>96</v>
      </c>
      <c r="V158" s="348" t="s">
        <v>96</v>
      </c>
      <c r="W158" s="348"/>
      <c r="X158" s="348" t="s">
        <v>96</v>
      </c>
      <c r="Y158" s="772" t="s">
        <v>96</v>
      </c>
      <c r="Z158" s="772" t="s">
        <v>96</v>
      </c>
      <c r="AA158" s="348"/>
      <c r="AB158" s="153"/>
      <c r="AC158" s="348"/>
      <c r="AD158" s="348"/>
      <c r="AE158" s="348"/>
      <c r="AF158" s="348"/>
      <c r="AG158" s="348"/>
      <c r="AH158" s="348"/>
      <c r="AI158" s="348"/>
      <c r="AJ158" s="348"/>
      <c r="AK158" s="348"/>
      <c r="AL158" s="348"/>
      <c r="AM158" s="348"/>
      <c r="AN158" s="348"/>
      <c r="AO158" s="348"/>
      <c r="AP158" s="348"/>
      <c r="AQ158" s="348"/>
      <c r="AR158" s="348"/>
      <c r="AS158" s="348"/>
      <c r="AT158" s="348"/>
      <c r="AU158" s="348"/>
      <c r="AV158" s="348"/>
      <c r="AW158" s="348"/>
      <c r="AX158" s="348"/>
      <c r="AY158" s="348"/>
      <c r="AZ158" s="348"/>
      <c r="BA158" s="348"/>
      <c r="BB158" s="348"/>
      <c r="BC158" s="348"/>
      <c r="BD158" s="348"/>
      <c r="BE158" s="348"/>
      <c r="BF158" s="348"/>
      <c r="BG158" s="348"/>
      <c r="BH158" s="348"/>
      <c r="BI158" s="348"/>
      <c r="BJ158" s="348"/>
      <c r="BK158" s="348"/>
      <c r="BL158" s="348"/>
      <c r="BM158" s="348"/>
      <c r="BN158" s="348"/>
      <c r="BO158" s="348"/>
      <c r="BP158" s="348"/>
      <c r="BQ158" s="348"/>
      <c r="BR158" s="348"/>
      <c r="BS158" s="348"/>
      <c r="BT158" s="348"/>
      <c r="BU158" s="348"/>
      <c r="BV158" s="348"/>
      <c r="BW158" s="806" t="s">
        <v>96</v>
      </c>
      <c r="BX158" s="806"/>
      <c r="BY158" s="806"/>
      <c r="BZ158" s="806" t="str">
        <f>IFERROR(__xludf.DUMMYFUNCTION("""COMPUTED_VALUE"""),"")</f>
        <v/>
      </c>
      <c r="CA158" s="806"/>
      <c r="CB158" s="806"/>
      <c r="CC158" s="806"/>
      <c r="CD158" s="806"/>
      <c r="CE158" s="806"/>
      <c r="CF158" s="806"/>
      <c r="CG158" s="806"/>
      <c r="CH158" s="806"/>
      <c r="CI158" s="806"/>
      <c r="CJ158" s="806"/>
      <c r="CK158" s="806"/>
    </row>
    <row r="159">
      <c r="A159" s="348"/>
      <c r="B159" s="348"/>
      <c r="C159" s="236"/>
      <c r="D159" s="348"/>
      <c r="E159" s="348"/>
      <c r="F159" s="348"/>
      <c r="G159" s="348"/>
      <c r="H159" s="348"/>
      <c r="I159" s="348"/>
      <c r="J159" s="348"/>
      <c r="K159" s="348"/>
      <c r="L159" s="348"/>
      <c r="M159" s="348"/>
      <c r="N159" s="348"/>
      <c r="O159" s="348"/>
      <c r="P159" s="348"/>
      <c r="Q159" s="348"/>
      <c r="R159" s="348"/>
      <c r="S159" s="348"/>
      <c r="T159" s="348"/>
      <c r="U159" s="348" t="s">
        <v>96</v>
      </c>
      <c r="V159" s="348" t="s">
        <v>96</v>
      </c>
      <c r="W159" s="348"/>
      <c r="X159" s="348" t="s">
        <v>96</v>
      </c>
      <c r="Y159" s="772" t="s">
        <v>96</v>
      </c>
      <c r="Z159" s="772" t="s">
        <v>96</v>
      </c>
      <c r="AA159" s="348"/>
      <c r="AB159" s="153"/>
      <c r="AC159" s="348"/>
      <c r="AD159" s="348"/>
      <c r="AE159" s="348"/>
      <c r="AF159" s="348"/>
      <c r="AG159" s="348"/>
      <c r="AH159" s="348"/>
      <c r="AI159" s="348"/>
      <c r="AJ159" s="348"/>
      <c r="AK159" s="348"/>
      <c r="AL159" s="348"/>
      <c r="AM159" s="348"/>
      <c r="AN159" s="348"/>
      <c r="AO159" s="348"/>
      <c r="AP159" s="348"/>
      <c r="AQ159" s="348"/>
      <c r="AR159" s="348"/>
      <c r="AS159" s="348"/>
      <c r="AT159" s="348"/>
      <c r="AU159" s="348"/>
      <c r="AV159" s="348"/>
      <c r="AW159" s="348"/>
      <c r="AX159" s="348"/>
      <c r="AY159" s="348"/>
      <c r="AZ159" s="348"/>
      <c r="BA159" s="348"/>
      <c r="BB159" s="348"/>
      <c r="BC159" s="348"/>
      <c r="BD159" s="348"/>
      <c r="BE159" s="348"/>
      <c r="BF159" s="348"/>
      <c r="BG159" s="348"/>
      <c r="BH159" s="348"/>
      <c r="BI159" s="348"/>
      <c r="BJ159" s="348"/>
      <c r="BK159" s="348"/>
      <c r="BL159" s="348"/>
      <c r="BM159" s="348"/>
      <c r="BN159" s="348"/>
      <c r="BO159" s="348"/>
      <c r="BP159" s="348"/>
      <c r="BQ159" s="348"/>
      <c r="BR159" s="348"/>
      <c r="BS159" s="348"/>
      <c r="BT159" s="348"/>
      <c r="BU159" s="348"/>
      <c r="BV159" s="348"/>
      <c r="BW159" s="806" t="s">
        <v>96</v>
      </c>
      <c r="BX159" s="806"/>
      <c r="BY159" s="806"/>
      <c r="BZ159" s="806" t="str">
        <f>IFERROR(__xludf.DUMMYFUNCTION("""COMPUTED_VALUE"""),"")</f>
        <v/>
      </c>
      <c r="CA159" s="806"/>
      <c r="CB159" s="806"/>
      <c r="CC159" s="806"/>
      <c r="CD159" s="806"/>
      <c r="CE159" s="806"/>
      <c r="CF159" s="806"/>
      <c r="CG159" s="806"/>
      <c r="CH159" s="806"/>
      <c r="CI159" s="806"/>
      <c r="CJ159" s="806"/>
      <c r="CK159" s="806"/>
    </row>
    <row r="160">
      <c r="A160" s="348"/>
      <c r="B160" s="348"/>
      <c r="C160" s="236"/>
      <c r="D160" s="348"/>
      <c r="E160" s="348"/>
      <c r="F160" s="348"/>
      <c r="G160" s="348"/>
      <c r="H160" s="348"/>
      <c r="I160" s="348"/>
      <c r="J160" s="348"/>
      <c r="K160" s="348"/>
      <c r="L160" s="348"/>
      <c r="M160" s="348"/>
      <c r="N160" s="348"/>
      <c r="O160" s="348"/>
      <c r="P160" s="348"/>
      <c r="Q160" s="348"/>
      <c r="R160" s="348"/>
      <c r="S160" s="348"/>
      <c r="T160" s="348"/>
      <c r="U160" s="348" t="s">
        <v>96</v>
      </c>
      <c r="V160" s="348" t="s">
        <v>96</v>
      </c>
      <c r="W160" s="348"/>
      <c r="X160" s="348" t="s">
        <v>96</v>
      </c>
      <c r="Y160" s="772" t="s">
        <v>96</v>
      </c>
      <c r="Z160" s="772" t="s">
        <v>96</v>
      </c>
      <c r="AA160" s="348"/>
      <c r="AB160" s="153"/>
      <c r="AC160" s="348"/>
      <c r="AD160" s="348"/>
      <c r="AE160" s="348"/>
      <c r="AF160" s="348"/>
      <c r="AG160" s="348"/>
      <c r="AH160" s="348"/>
      <c r="AI160" s="348"/>
      <c r="AJ160" s="348"/>
      <c r="AK160" s="348"/>
      <c r="AL160" s="348"/>
      <c r="AM160" s="348"/>
      <c r="AN160" s="348"/>
      <c r="AO160" s="348"/>
      <c r="AP160" s="348"/>
      <c r="AQ160" s="348"/>
      <c r="AR160" s="348"/>
      <c r="AS160" s="348"/>
      <c r="AT160" s="348"/>
      <c r="AU160" s="348"/>
      <c r="AV160" s="348"/>
      <c r="AW160" s="348"/>
      <c r="AX160" s="348"/>
      <c r="AY160" s="348"/>
      <c r="AZ160" s="348"/>
      <c r="BA160" s="348"/>
      <c r="BB160" s="348"/>
      <c r="BC160" s="348"/>
      <c r="BD160" s="348"/>
      <c r="BE160" s="348"/>
      <c r="BF160" s="348"/>
      <c r="BG160" s="348"/>
      <c r="BH160" s="348"/>
      <c r="BI160" s="348"/>
      <c r="BJ160" s="348"/>
      <c r="BK160" s="348"/>
      <c r="BL160" s="348"/>
      <c r="BM160" s="348"/>
      <c r="BN160" s="348"/>
      <c r="BO160" s="348"/>
      <c r="BP160" s="348"/>
      <c r="BQ160" s="348"/>
      <c r="BR160" s="348"/>
      <c r="BS160" s="348"/>
      <c r="BT160" s="348"/>
      <c r="BU160" s="348"/>
      <c r="BV160" s="348"/>
      <c r="BW160" s="806" t="s">
        <v>96</v>
      </c>
      <c r="BX160" s="806"/>
      <c r="BY160" s="806"/>
      <c r="BZ160" s="806" t="str">
        <f>IFERROR(__xludf.DUMMYFUNCTION("""COMPUTED_VALUE"""),"")</f>
        <v/>
      </c>
      <c r="CA160" s="806"/>
      <c r="CB160" s="806"/>
      <c r="CC160" s="806"/>
      <c r="CD160" s="806"/>
      <c r="CE160" s="806"/>
      <c r="CF160" s="806"/>
      <c r="CG160" s="806"/>
      <c r="CH160" s="806"/>
      <c r="CI160" s="806"/>
      <c r="CJ160" s="806"/>
      <c r="CK160" s="806"/>
    </row>
    <row r="161">
      <c r="A161" s="348"/>
      <c r="B161" s="348"/>
      <c r="C161" s="236"/>
      <c r="D161" s="348"/>
      <c r="E161" s="348"/>
      <c r="F161" s="348"/>
      <c r="G161" s="348"/>
      <c r="H161" s="348"/>
      <c r="I161" s="348"/>
      <c r="J161" s="348"/>
      <c r="K161" s="348"/>
      <c r="L161" s="348"/>
      <c r="M161" s="348"/>
      <c r="N161" s="348"/>
      <c r="O161" s="348"/>
      <c r="P161" s="348"/>
      <c r="Q161" s="348"/>
      <c r="R161" s="348"/>
      <c r="S161" s="348"/>
      <c r="T161" s="348"/>
      <c r="U161" s="348" t="s">
        <v>96</v>
      </c>
      <c r="V161" s="348" t="s">
        <v>96</v>
      </c>
      <c r="W161" s="348"/>
      <c r="X161" s="348" t="s">
        <v>96</v>
      </c>
      <c r="Y161" s="772" t="s">
        <v>96</v>
      </c>
      <c r="Z161" s="772" t="s">
        <v>96</v>
      </c>
      <c r="AA161" s="348"/>
      <c r="AB161" s="153"/>
      <c r="AC161" s="348"/>
      <c r="AD161" s="348"/>
      <c r="AE161" s="348"/>
      <c r="AF161" s="348"/>
      <c r="AG161" s="348"/>
      <c r="AH161" s="348"/>
      <c r="AI161" s="348"/>
      <c r="AJ161" s="348"/>
      <c r="AK161" s="348"/>
      <c r="AL161" s="348"/>
      <c r="AM161" s="348"/>
      <c r="AN161" s="348"/>
      <c r="AO161" s="348"/>
      <c r="AP161" s="348"/>
      <c r="AQ161" s="348"/>
      <c r="AR161" s="348"/>
      <c r="AS161" s="348"/>
      <c r="AT161" s="348"/>
      <c r="AU161" s="348"/>
      <c r="AV161" s="348"/>
      <c r="AW161" s="348"/>
      <c r="AX161" s="348"/>
      <c r="AY161" s="348"/>
      <c r="AZ161" s="348"/>
      <c r="BA161" s="348"/>
      <c r="BB161" s="348"/>
      <c r="BC161" s="348"/>
      <c r="BD161" s="348"/>
      <c r="BE161" s="348"/>
      <c r="BF161" s="348"/>
      <c r="BG161" s="348"/>
      <c r="BH161" s="348"/>
      <c r="BI161" s="348"/>
      <c r="BJ161" s="348"/>
      <c r="BK161" s="348"/>
      <c r="BL161" s="348"/>
      <c r="BM161" s="348"/>
      <c r="BN161" s="348"/>
      <c r="BO161" s="348"/>
      <c r="BP161" s="348"/>
      <c r="BQ161" s="348"/>
      <c r="BR161" s="348"/>
      <c r="BS161" s="348"/>
      <c r="BT161" s="348"/>
      <c r="BU161" s="348"/>
      <c r="BV161" s="348"/>
      <c r="BW161" s="806" t="s">
        <v>96</v>
      </c>
      <c r="BX161" s="806"/>
      <c r="BY161" s="806"/>
      <c r="BZ161" s="806" t="str">
        <f>IFERROR(__xludf.DUMMYFUNCTION("""COMPUTED_VALUE"""),"")</f>
        <v/>
      </c>
      <c r="CA161" s="806"/>
      <c r="CB161" s="806"/>
      <c r="CC161" s="806"/>
      <c r="CD161" s="806"/>
      <c r="CE161" s="806"/>
      <c r="CF161" s="806"/>
      <c r="CG161" s="806"/>
      <c r="CH161" s="806"/>
      <c r="CI161" s="806"/>
      <c r="CJ161" s="806"/>
      <c r="CK161" s="806"/>
    </row>
    <row r="162">
      <c r="A162" s="348"/>
      <c r="B162" s="348"/>
      <c r="C162" s="236"/>
      <c r="D162" s="348"/>
      <c r="E162" s="348"/>
      <c r="F162" s="348"/>
      <c r="G162" s="348"/>
      <c r="H162" s="348"/>
      <c r="I162" s="348"/>
      <c r="J162" s="348"/>
      <c r="K162" s="348"/>
      <c r="L162" s="348"/>
      <c r="M162" s="348"/>
      <c r="N162" s="348"/>
      <c r="O162" s="348"/>
      <c r="P162" s="348"/>
      <c r="Q162" s="348"/>
      <c r="R162" s="348"/>
      <c r="S162" s="348"/>
      <c r="T162" s="348"/>
      <c r="U162" s="348" t="s">
        <v>96</v>
      </c>
      <c r="V162" s="348" t="s">
        <v>96</v>
      </c>
      <c r="W162" s="348"/>
      <c r="X162" s="348" t="s">
        <v>96</v>
      </c>
      <c r="Y162" s="772" t="s">
        <v>96</v>
      </c>
      <c r="Z162" s="772" t="s">
        <v>96</v>
      </c>
      <c r="AA162" s="348"/>
      <c r="AB162" s="153"/>
      <c r="AC162" s="348"/>
      <c r="AD162" s="348"/>
      <c r="AE162" s="348"/>
      <c r="AF162" s="348"/>
      <c r="AG162" s="348"/>
      <c r="AH162" s="348"/>
      <c r="AI162" s="348"/>
      <c r="AJ162" s="348"/>
      <c r="AK162" s="348"/>
      <c r="AL162" s="348"/>
      <c r="AM162" s="348"/>
      <c r="AN162" s="348"/>
      <c r="AO162" s="348"/>
      <c r="AP162" s="348"/>
      <c r="AQ162" s="348"/>
      <c r="AR162" s="348"/>
      <c r="AS162" s="348"/>
      <c r="AT162" s="348"/>
      <c r="AU162" s="348"/>
      <c r="AV162" s="348"/>
      <c r="AW162" s="348"/>
      <c r="AX162" s="348"/>
      <c r="AY162" s="348"/>
      <c r="AZ162" s="348"/>
      <c r="BA162" s="348"/>
      <c r="BB162" s="348"/>
      <c r="BC162" s="348"/>
      <c r="BD162" s="348"/>
      <c r="BE162" s="348"/>
      <c r="BF162" s="348"/>
      <c r="BG162" s="348"/>
      <c r="BH162" s="348"/>
      <c r="BI162" s="348"/>
      <c r="BJ162" s="348"/>
      <c r="BK162" s="348"/>
      <c r="BL162" s="348"/>
      <c r="BM162" s="348"/>
      <c r="BN162" s="348"/>
      <c r="BO162" s="348"/>
      <c r="BP162" s="348"/>
      <c r="BQ162" s="348"/>
      <c r="BR162" s="348"/>
      <c r="BS162" s="348"/>
      <c r="BT162" s="348"/>
      <c r="BU162" s="348"/>
      <c r="BV162" s="348"/>
      <c r="BW162" s="806" t="s">
        <v>96</v>
      </c>
      <c r="BX162" s="806"/>
      <c r="BY162" s="806"/>
      <c r="BZ162" s="806" t="str">
        <f>IFERROR(__xludf.DUMMYFUNCTION("""COMPUTED_VALUE"""),"")</f>
        <v/>
      </c>
      <c r="CA162" s="806"/>
      <c r="CB162" s="806"/>
      <c r="CC162" s="806"/>
      <c r="CD162" s="806"/>
      <c r="CE162" s="806"/>
      <c r="CF162" s="806"/>
      <c r="CG162" s="806"/>
      <c r="CH162" s="806"/>
      <c r="CI162" s="806"/>
      <c r="CJ162" s="806"/>
      <c r="CK162" s="806"/>
    </row>
    <row r="163">
      <c r="A163" s="348"/>
      <c r="B163" s="348"/>
      <c r="C163" s="236"/>
      <c r="D163" s="348"/>
      <c r="E163" s="348"/>
      <c r="F163" s="348"/>
      <c r="G163" s="348"/>
      <c r="H163" s="348"/>
      <c r="I163" s="348"/>
      <c r="J163" s="348"/>
      <c r="K163" s="348"/>
      <c r="L163" s="348"/>
      <c r="M163" s="348"/>
      <c r="N163" s="348"/>
      <c r="O163" s="348"/>
      <c r="P163" s="348"/>
      <c r="Q163" s="348"/>
      <c r="R163" s="348"/>
      <c r="S163" s="348"/>
      <c r="T163" s="348"/>
      <c r="U163" s="348" t="s">
        <v>96</v>
      </c>
      <c r="V163" s="348" t="s">
        <v>96</v>
      </c>
      <c r="W163" s="348"/>
      <c r="X163" s="348" t="s">
        <v>96</v>
      </c>
      <c r="Y163" s="772" t="s">
        <v>96</v>
      </c>
      <c r="Z163" s="772" t="s">
        <v>96</v>
      </c>
      <c r="AA163" s="348"/>
      <c r="AB163" s="153"/>
      <c r="AC163" s="348"/>
      <c r="AD163" s="348"/>
      <c r="AE163" s="348"/>
      <c r="AF163" s="348"/>
      <c r="AG163" s="348"/>
      <c r="AH163" s="348"/>
      <c r="AI163" s="348"/>
      <c r="AJ163" s="348"/>
      <c r="AK163" s="348"/>
      <c r="AL163" s="348"/>
      <c r="AM163" s="348"/>
      <c r="AN163" s="348"/>
      <c r="AO163" s="348"/>
      <c r="AP163" s="348"/>
      <c r="AQ163" s="348"/>
      <c r="AR163" s="348"/>
      <c r="AS163" s="348"/>
      <c r="AT163" s="348"/>
      <c r="AU163" s="348"/>
      <c r="AV163" s="348"/>
      <c r="AW163" s="348"/>
      <c r="AX163" s="348"/>
      <c r="AY163" s="348"/>
      <c r="AZ163" s="348"/>
      <c r="BA163" s="348"/>
      <c r="BB163" s="348"/>
      <c r="BC163" s="348"/>
      <c r="BD163" s="348"/>
      <c r="BE163" s="348"/>
      <c r="BF163" s="348"/>
      <c r="BG163" s="348"/>
      <c r="BH163" s="348"/>
      <c r="BI163" s="348"/>
      <c r="BJ163" s="348"/>
      <c r="BK163" s="348"/>
      <c r="BL163" s="348"/>
      <c r="BM163" s="348"/>
      <c r="BN163" s="348"/>
      <c r="BO163" s="348"/>
      <c r="BP163" s="348"/>
      <c r="BQ163" s="348"/>
      <c r="BR163" s="348"/>
      <c r="BS163" s="348"/>
      <c r="BT163" s="348"/>
      <c r="BU163" s="348"/>
      <c r="BV163" s="348"/>
      <c r="BW163" s="806" t="s">
        <v>96</v>
      </c>
      <c r="BX163" s="806"/>
      <c r="BY163" s="806"/>
      <c r="BZ163" s="806" t="str">
        <f>IFERROR(__xludf.DUMMYFUNCTION("""COMPUTED_VALUE"""),"")</f>
        <v/>
      </c>
      <c r="CA163" s="806"/>
      <c r="CB163" s="806"/>
      <c r="CC163" s="806"/>
      <c r="CD163" s="806"/>
      <c r="CE163" s="806"/>
      <c r="CF163" s="806"/>
      <c r="CG163" s="806"/>
      <c r="CH163" s="806"/>
      <c r="CI163" s="806"/>
      <c r="CJ163" s="806"/>
      <c r="CK163" s="806"/>
    </row>
    <row r="164">
      <c r="A164" s="348"/>
      <c r="B164" s="348"/>
      <c r="C164" s="236"/>
      <c r="D164" s="348"/>
      <c r="E164" s="348"/>
      <c r="F164" s="348"/>
      <c r="G164" s="348"/>
      <c r="H164" s="348"/>
      <c r="I164" s="348"/>
      <c r="J164" s="348"/>
      <c r="K164" s="348"/>
      <c r="L164" s="348"/>
      <c r="M164" s="348"/>
      <c r="N164" s="348"/>
      <c r="O164" s="348"/>
      <c r="P164" s="348"/>
      <c r="Q164" s="348"/>
      <c r="R164" s="348"/>
      <c r="S164" s="348"/>
      <c r="T164" s="348"/>
      <c r="U164" s="348" t="s">
        <v>96</v>
      </c>
      <c r="V164" s="348" t="s">
        <v>96</v>
      </c>
      <c r="W164" s="348"/>
      <c r="X164" s="348" t="s">
        <v>96</v>
      </c>
      <c r="Y164" s="772" t="s">
        <v>96</v>
      </c>
      <c r="Z164" s="772" t="s">
        <v>96</v>
      </c>
      <c r="AA164" s="348"/>
      <c r="AB164" s="153"/>
      <c r="AC164" s="348"/>
      <c r="AD164" s="348"/>
      <c r="AE164" s="348"/>
      <c r="AF164" s="348"/>
      <c r="AG164" s="348"/>
      <c r="AH164" s="348"/>
      <c r="AI164" s="348"/>
      <c r="AJ164" s="348"/>
      <c r="AK164" s="348"/>
      <c r="AL164" s="348"/>
      <c r="AM164" s="348"/>
      <c r="AN164" s="348"/>
      <c r="AO164" s="348"/>
      <c r="AP164" s="348"/>
      <c r="AQ164" s="348"/>
      <c r="AR164" s="348"/>
      <c r="AS164" s="348"/>
      <c r="AT164" s="348"/>
      <c r="AU164" s="348"/>
      <c r="AV164" s="348"/>
      <c r="AW164" s="348"/>
      <c r="AX164" s="348"/>
      <c r="AY164" s="348"/>
      <c r="AZ164" s="348"/>
      <c r="BA164" s="348"/>
      <c r="BB164" s="348"/>
      <c r="BC164" s="348"/>
      <c r="BD164" s="348"/>
      <c r="BE164" s="348"/>
      <c r="BF164" s="348"/>
      <c r="BG164" s="348"/>
      <c r="BH164" s="348"/>
      <c r="BI164" s="348"/>
      <c r="BJ164" s="348"/>
      <c r="BK164" s="348"/>
      <c r="BL164" s="348"/>
      <c r="BM164" s="348"/>
      <c r="BN164" s="348"/>
      <c r="BO164" s="348"/>
      <c r="BP164" s="348"/>
      <c r="BQ164" s="348"/>
      <c r="BR164" s="348"/>
      <c r="BS164" s="348"/>
      <c r="BT164" s="348"/>
      <c r="BU164" s="348"/>
      <c r="BV164" s="348"/>
      <c r="BW164" s="806" t="s">
        <v>96</v>
      </c>
      <c r="BX164" s="806"/>
      <c r="BY164" s="806"/>
      <c r="BZ164" s="806" t="str">
        <f>IFERROR(__xludf.DUMMYFUNCTION("""COMPUTED_VALUE"""),"")</f>
        <v/>
      </c>
      <c r="CA164" s="806"/>
      <c r="CB164" s="806"/>
      <c r="CC164" s="806"/>
      <c r="CD164" s="806"/>
      <c r="CE164" s="806"/>
      <c r="CF164" s="806"/>
      <c r="CG164" s="806"/>
      <c r="CH164" s="806"/>
      <c r="CI164" s="806"/>
      <c r="CJ164" s="806"/>
      <c r="CK164" s="806"/>
    </row>
    <row r="165">
      <c r="A165" s="348"/>
      <c r="B165" s="348"/>
      <c r="C165" s="236"/>
      <c r="D165" s="348"/>
      <c r="E165" s="348"/>
      <c r="F165" s="348"/>
      <c r="G165" s="348"/>
      <c r="H165" s="348"/>
      <c r="I165" s="348"/>
      <c r="J165" s="348"/>
      <c r="K165" s="348"/>
      <c r="L165" s="348"/>
      <c r="M165" s="348"/>
      <c r="N165" s="348"/>
      <c r="O165" s="348"/>
      <c r="P165" s="348"/>
      <c r="Q165" s="348"/>
      <c r="R165" s="348"/>
      <c r="S165" s="348"/>
      <c r="T165" s="348"/>
      <c r="U165" s="348" t="s">
        <v>96</v>
      </c>
      <c r="V165" s="348" t="s">
        <v>96</v>
      </c>
      <c r="W165" s="348"/>
      <c r="X165" s="348" t="s">
        <v>96</v>
      </c>
      <c r="Y165" s="772" t="s">
        <v>96</v>
      </c>
      <c r="Z165" s="772" t="s">
        <v>96</v>
      </c>
      <c r="AA165" s="348"/>
      <c r="AB165" s="153"/>
      <c r="AC165" s="348"/>
      <c r="AD165" s="348"/>
      <c r="AE165" s="348"/>
      <c r="AF165" s="348"/>
      <c r="AG165" s="348"/>
      <c r="AH165" s="348"/>
      <c r="AI165" s="348"/>
      <c r="AJ165" s="348"/>
      <c r="AK165" s="348"/>
      <c r="AL165" s="348"/>
      <c r="AM165" s="348"/>
      <c r="AN165" s="348"/>
      <c r="AO165" s="348"/>
      <c r="AP165" s="348"/>
      <c r="AQ165" s="348"/>
      <c r="AR165" s="348"/>
      <c r="AS165" s="348"/>
      <c r="AT165" s="348"/>
      <c r="AU165" s="348"/>
      <c r="AV165" s="348"/>
      <c r="AW165" s="348"/>
      <c r="AX165" s="348"/>
      <c r="AY165" s="348"/>
      <c r="AZ165" s="348"/>
      <c r="BA165" s="348"/>
      <c r="BB165" s="348"/>
      <c r="BC165" s="348"/>
      <c r="BD165" s="348"/>
      <c r="BE165" s="348"/>
      <c r="BF165" s="348"/>
      <c r="BG165" s="348"/>
      <c r="BH165" s="348"/>
      <c r="BI165" s="348"/>
      <c r="BJ165" s="348"/>
      <c r="BK165" s="348"/>
      <c r="BL165" s="348"/>
      <c r="BM165" s="348"/>
      <c r="BN165" s="348"/>
      <c r="BO165" s="348"/>
      <c r="BP165" s="348"/>
      <c r="BQ165" s="348"/>
      <c r="BR165" s="348"/>
      <c r="BS165" s="348"/>
      <c r="BT165" s="348"/>
      <c r="BU165" s="348"/>
      <c r="BV165" s="348"/>
      <c r="BW165" s="806" t="s">
        <v>96</v>
      </c>
      <c r="BX165" s="806"/>
      <c r="BY165" s="806"/>
      <c r="BZ165" s="806" t="str">
        <f>IFERROR(__xludf.DUMMYFUNCTION("""COMPUTED_VALUE"""),"")</f>
        <v/>
      </c>
      <c r="CA165" s="806"/>
      <c r="CB165" s="806"/>
      <c r="CC165" s="806"/>
      <c r="CD165" s="806"/>
      <c r="CE165" s="806"/>
      <c r="CF165" s="806"/>
      <c r="CG165" s="806"/>
      <c r="CH165" s="806"/>
      <c r="CI165" s="806"/>
      <c r="CJ165" s="806"/>
      <c r="CK165" s="806"/>
    </row>
    <row r="166">
      <c r="A166" s="348"/>
      <c r="B166" s="348"/>
      <c r="C166" s="236"/>
      <c r="D166" s="348"/>
      <c r="E166" s="348"/>
      <c r="F166" s="348"/>
      <c r="G166" s="348"/>
      <c r="H166" s="348"/>
      <c r="I166" s="348"/>
      <c r="J166" s="348"/>
      <c r="K166" s="348"/>
      <c r="L166" s="348"/>
      <c r="M166" s="348"/>
      <c r="N166" s="348"/>
      <c r="O166" s="348"/>
      <c r="P166" s="348"/>
      <c r="Q166" s="348"/>
      <c r="R166" s="348"/>
      <c r="S166" s="348"/>
      <c r="T166" s="348"/>
      <c r="U166" s="348" t="s">
        <v>96</v>
      </c>
      <c r="V166" s="348" t="s">
        <v>96</v>
      </c>
      <c r="W166" s="348"/>
      <c r="X166" s="348" t="s">
        <v>96</v>
      </c>
      <c r="Y166" s="772" t="s">
        <v>96</v>
      </c>
      <c r="Z166" s="772" t="s">
        <v>96</v>
      </c>
      <c r="AA166" s="348"/>
      <c r="AB166" s="153"/>
      <c r="AC166" s="348"/>
      <c r="AD166" s="348"/>
      <c r="AE166" s="348"/>
      <c r="AF166" s="348"/>
      <c r="AG166" s="348"/>
      <c r="AH166" s="348"/>
      <c r="AI166" s="348"/>
      <c r="AJ166" s="348"/>
      <c r="AK166" s="348"/>
      <c r="AL166" s="348"/>
      <c r="AM166" s="348"/>
      <c r="AN166" s="348"/>
      <c r="AO166" s="348"/>
      <c r="AP166" s="348"/>
      <c r="AQ166" s="348"/>
      <c r="AR166" s="348"/>
      <c r="AS166" s="348"/>
      <c r="AT166" s="348"/>
      <c r="AU166" s="348"/>
      <c r="AV166" s="348"/>
      <c r="AW166" s="348"/>
      <c r="AX166" s="348"/>
      <c r="AY166" s="348"/>
      <c r="AZ166" s="348"/>
      <c r="BA166" s="348"/>
      <c r="BB166" s="348"/>
      <c r="BC166" s="348"/>
      <c r="BD166" s="348"/>
      <c r="BE166" s="348"/>
      <c r="BF166" s="348"/>
      <c r="BG166" s="348"/>
      <c r="BH166" s="348"/>
      <c r="BI166" s="348"/>
      <c r="BJ166" s="348"/>
      <c r="BK166" s="348"/>
      <c r="BL166" s="348"/>
      <c r="BM166" s="348"/>
      <c r="BN166" s="348"/>
      <c r="BO166" s="348"/>
      <c r="BP166" s="348"/>
      <c r="BQ166" s="348"/>
      <c r="BR166" s="348"/>
      <c r="BS166" s="348"/>
      <c r="BT166" s="348"/>
      <c r="BU166" s="348"/>
      <c r="BV166" s="348"/>
      <c r="BW166" s="806" t="s">
        <v>96</v>
      </c>
      <c r="BX166" s="806"/>
      <c r="BY166" s="806"/>
      <c r="BZ166" s="806" t="str">
        <f>IFERROR(__xludf.DUMMYFUNCTION("""COMPUTED_VALUE"""),"")</f>
        <v/>
      </c>
      <c r="CA166" s="806"/>
      <c r="CB166" s="806"/>
      <c r="CC166" s="806"/>
      <c r="CD166" s="806"/>
      <c r="CE166" s="806"/>
      <c r="CF166" s="806"/>
      <c r="CG166" s="806"/>
      <c r="CH166" s="806"/>
      <c r="CI166" s="806"/>
      <c r="CJ166" s="806"/>
      <c r="CK166" s="806"/>
    </row>
    <row r="167">
      <c r="A167" s="348"/>
      <c r="B167" s="348"/>
      <c r="C167" s="236"/>
      <c r="D167" s="348"/>
      <c r="E167" s="348"/>
      <c r="F167" s="348"/>
      <c r="G167" s="348"/>
      <c r="H167" s="348"/>
      <c r="I167" s="348"/>
      <c r="J167" s="348"/>
      <c r="K167" s="348"/>
      <c r="L167" s="348"/>
      <c r="M167" s="348"/>
      <c r="N167" s="348"/>
      <c r="O167" s="348"/>
      <c r="P167" s="348"/>
      <c r="Q167" s="348"/>
      <c r="R167" s="348"/>
      <c r="S167" s="348"/>
      <c r="T167" s="348"/>
      <c r="U167" s="348" t="s">
        <v>96</v>
      </c>
      <c r="V167" s="348" t="s">
        <v>96</v>
      </c>
      <c r="W167" s="348"/>
      <c r="X167" s="348" t="s">
        <v>96</v>
      </c>
      <c r="Y167" s="772" t="s">
        <v>96</v>
      </c>
      <c r="Z167" s="772" t="s">
        <v>96</v>
      </c>
      <c r="AA167" s="348"/>
      <c r="AB167" s="153"/>
      <c r="AC167" s="348"/>
      <c r="AD167" s="348"/>
      <c r="AE167" s="348"/>
      <c r="AF167" s="348"/>
      <c r="AG167" s="348"/>
      <c r="AH167" s="348"/>
      <c r="AI167" s="348"/>
      <c r="AJ167" s="348"/>
      <c r="AK167" s="348"/>
      <c r="AL167" s="348"/>
      <c r="AM167" s="348"/>
      <c r="AN167" s="348"/>
      <c r="AO167" s="348"/>
      <c r="AP167" s="348"/>
      <c r="AQ167" s="348"/>
      <c r="AR167" s="348"/>
      <c r="AS167" s="348"/>
      <c r="AT167" s="348"/>
      <c r="AU167" s="348"/>
      <c r="AV167" s="348"/>
      <c r="AW167" s="348"/>
      <c r="AX167" s="348"/>
      <c r="AY167" s="348"/>
      <c r="AZ167" s="348"/>
      <c r="BA167" s="348"/>
      <c r="BB167" s="348"/>
      <c r="BC167" s="348"/>
      <c r="BD167" s="348"/>
      <c r="BE167" s="348"/>
      <c r="BF167" s="348"/>
      <c r="BG167" s="348"/>
      <c r="BH167" s="348"/>
      <c r="BI167" s="348"/>
      <c r="BJ167" s="348"/>
      <c r="BK167" s="348"/>
      <c r="BL167" s="348"/>
      <c r="BM167" s="348"/>
      <c r="BN167" s="348"/>
      <c r="BO167" s="348"/>
      <c r="BP167" s="348"/>
      <c r="BQ167" s="348"/>
      <c r="BR167" s="348"/>
      <c r="BS167" s="348"/>
      <c r="BT167" s="348"/>
      <c r="BU167" s="348"/>
      <c r="BV167" s="348"/>
      <c r="BW167" s="806" t="s">
        <v>96</v>
      </c>
      <c r="BX167" s="806"/>
      <c r="BY167" s="806"/>
      <c r="BZ167" s="806" t="str">
        <f>IFERROR(__xludf.DUMMYFUNCTION("""COMPUTED_VALUE"""),"")</f>
        <v/>
      </c>
      <c r="CA167" s="806"/>
      <c r="CB167" s="806"/>
      <c r="CC167" s="806"/>
      <c r="CD167" s="806"/>
      <c r="CE167" s="806"/>
      <c r="CF167" s="806"/>
      <c r="CG167" s="806"/>
      <c r="CH167" s="806"/>
      <c r="CI167" s="806"/>
      <c r="CJ167" s="806"/>
      <c r="CK167" s="806"/>
    </row>
    <row r="168">
      <c r="A168" s="348"/>
      <c r="B168" s="348"/>
      <c r="C168" s="236"/>
      <c r="D168" s="348"/>
      <c r="E168" s="348"/>
      <c r="F168" s="348"/>
      <c r="G168" s="348"/>
      <c r="H168" s="348"/>
      <c r="I168" s="348"/>
      <c r="J168" s="348"/>
      <c r="K168" s="348"/>
      <c r="L168" s="348"/>
      <c r="M168" s="348"/>
      <c r="N168" s="348"/>
      <c r="O168" s="348"/>
      <c r="P168" s="348"/>
      <c r="Q168" s="348"/>
      <c r="R168" s="348"/>
      <c r="S168" s="348"/>
      <c r="T168" s="348"/>
      <c r="U168" s="348" t="s">
        <v>96</v>
      </c>
      <c r="V168" s="348" t="s">
        <v>96</v>
      </c>
      <c r="W168" s="348"/>
      <c r="X168" s="348" t="s">
        <v>96</v>
      </c>
      <c r="Y168" s="772" t="s">
        <v>96</v>
      </c>
      <c r="Z168" s="772" t="s">
        <v>96</v>
      </c>
      <c r="AA168" s="348"/>
      <c r="AB168" s="153"/>
      <c r="AC168" s="348"/>
      <c r="AD168" s="348"/>
      <c r="AE168" s="348"/>
      <c r="AF168" s="348"/>
      <c r="AG168" s="348"/>
      <c r="AH168" s="348"/>
      <c r="AI168" s="348"/>
      <c r="AJ168" s="348"/>
      <c r="AK168" s="348"/>
      <c r="AL168" s="348"/>
      <c r="AM168" s="348"/>
      <c r="AN168" s="348"/>
      <c r="AO168" s="348"/>
      <c r="AP168" s="348"/>
      <c r="AQ168" s="348"/>
      <c r="AR168" s="348"/>
      <c r="AS168" s="348"/>
      <c r="AT168" s="348"/>
      <c r="AU168" s="348"/>
      <c r="AV168" s="348"/>
      <c r="AW168" s="348"/>
      <c r="AX168" s="348"/>
      <c r="AY168" s="348"/>
      <c r="AZ168" s="348"/>
      <c r="BA168" s="348"/>
      <c r="BB168" s="348"/>
      <c r="BC168" s="348"/>
      <c r="BD168" s="348"/>
      <c r="BE168" s="348"/>
      <c r="BF168" s="348"/>
      <c r="BG168" s="348"/>
      <c r="BH168" s="348"/>
      <c r="BI168" s="348"/>
      <c r="BJ168" s="348"/>
      <c r="BK168" s="348"/>
      <c r="BL168" s="348"/>
      <c r="BM168" s="348"/>
      <c r="BN168" s="348"/>
      <c r="BO168" s="348"/>
      <c r="BP168" s="348"/>
      <c r="BQ168" s="348"/>
      <c r="BR168" s="348"/>
      <c r="BS168" s="348"/>
      <c r="BT168" s="348"/>
      <c r="BU168" s="348"/>
      <c r="BV168" s="348"/>
      <c r="BW168" s="806" t="s">
        <v>96</v>
      </c>
      <c r="BX168" s="806"/>
      <c r="BY168" s="806"/>
      <c r="BZ168" s="806" t="str">
        <f>IFERROR(__xludf.DUMMYFUNCTION("""COMPUTED_VALUE"""),"")</f>
        <v/>
      </c>
      <c r="CA168" s="806"/>
      <c r="CB168" s="806"/>
      <c r="CC168" s="806"/>
      <c r="CD168" s="806"/>
      <c r="CE168" s="806"/>
      <c r="CF168" s="806"/>
      <c r="CG168" s="806"/>
      <c r="CH168" s="806"/>
      <c r="CI168" s="806"/>
      <c r="CJ168" s="806"/>
      <c r="CK168" s="806"/>
    </row>
    <row r="169">
      <c r="A169" s="348"/>
      <c r="B169" s="348"/>
      <c r="C169" s="236"/>
      <c r="D169" s="348"/>
      <c r="E169" s="348"/>
      <c r="F169" s="348"/>
      <c r="G169" s="348"/>
      <c r="H169" s="348"/>
      <c r="I169" s="348"/>
      <c r="J169" s="348"/>
      <c r="K169" s="348"/>
      <c r="L169" s="348"/>
      <c r="M169" s="348"/>
      <c r="N169" s="348"/>
      <c r="O169" s="348"/>
      <c r="P169" s="348"/>
      <c r="Q169" s="348"/>
      <c r="R169" s="348"/>
      <c r="S169" s="348"/>
      <c r="T169" s="348"/>
      <c r="U169" s="348" t="s">
        <v>96</v>
      </c>
      <c r="V169" s="348" t="s">
        <v>96</v>
      </c>
      <c r="W169" s="348"/>
      <c r="X169" s="348" t="s">
        <v>96</v>
      </c>
      <c r="Y169" s="772" t="s">
        <v>96</v>
      </c>
      <c r="Z169" s="772" t="s">
        <v>96</v>
      </c>
      <c r="AA169" s="348"/>
      <c r="AB169" s="153"/>
      <c r="AC169" s="348"/>
      <c r="AD169" s="348"/>
      <c r="AE169" s="348"/>
      <c r="AF169" s="348"/>
      <c r="AG169" s="348"/>
      <c r="AH169" s="348"/>
      <c r="AI169" s="348"/>
      <c r="AJ169" s="348"/>
      <c r="AK169" s="348"/>
      <c r="AL169" s="348"/>
      <c r="AM169" s="348"/>
      <c r="AN169" s="348"/>
      <c r="AO169" s="348"/>
      <c r="AP169" s="348"/>
      <c r="AQ169" s="348"/>
      <c r="AR169" s="348"/>
      <c r="AS169" s="348"/>
      <c r="AT169" s="348"/>
      <c r="AU169" s="348"/>
      <c r="AV169" s="348"/>
      <c r="AW169" s="348"/>
      <c r="AX169" s="348"/>
      <c r="AY169" s="348"/>
      <c r="AZ169" s="348"/>
      <c r="BA169" s="348"/>
      <c r="BB169" s="348"/>
      <c r="BC169" s="348"/>
      <c r="BD169" s="348"/>
      <c r="BE169" s="348"/>
      <c r="BF169" s="348"/>
      <c r="BG169" s="348"/>
      <c r="BH169" s="348"/>
      <c r="BI169" s="348"/>
      <c r="BJ169" s="348"/>
      <c r="BK169" s="348"/>
      <c r="BL169" s="348"/>
      <c r="BM169" s="348"/>
      <c r="BN169" s="348"/>
      <c r="BO169" s="348"/>
      <c r="BP169" s="348"/>
      <c r="BQ169" s="348"/>
      <c r="BR169" s="348"/>
      <c r="BS169" s="348"/>
      <c r="BT169" s="348"/>
      <c r="BU169" s="348"/>
      <c r="BV169" s="348"/>
      <c r="BW169" s="806" t="s">
        <v>96</v>
      </c>
      <c r="BX169" s="806"/>
      <c r="BY169" s="806"/>
      <c r="BZ169" s="806" t="str">
        <f>IFERROR(__xludf.DUMMYFUNCTION("""COMPUTED_VALUE"""),"")</f>
        <v/>
      </c>
      <c r="CA169" s="806"/>
      <c r="CB169" s="806"/>
      <c r="CC169" s="806"/>
      <c r="CD169" s="806"/>
      <c r="CE169" s="806"/>
      <c r="CF169" s="806"/>
      <c r="CG169" s="806"/>
      <c r="CH169" s="806"/>
      <c r="CI169" s="806"/>
      <c r="CJ169" s="806"/>
      <c r="CK169" s="806"/>
    </row>
    <row r="170">
      <c r="A170" s="348"/>
      <c r="B170" s="348"/>
      <c r="C170" s="236"/>
      <c r="D170" s="348"/>
      <c r="E170" s="348"/>
      <c r="F170" s="348"/>
      <c r="G170" s="348"/>
      <c r="H170" s="348"/>
      <c r="I170" s="348"/>
      <c r="J170" s="348"/>
      <c r="K170" s="348"/>
      <c r="L170" s="348"/>
      <c r="M170" s="348"/>
      <c r="N170" s="348"/>
      <c r="O170" s="348"/>
      <c r="P170" s="348"/>
      <c r="Q170" s="348"/>
      <c r="R170" s="348"/>
      <c r="S170" s="348"/>
      <c r="T170" s="348"/>
      <c r="U170" s="348" t="s">
        <v>96</v>
      </c>
      <c r="V170" s="348" t="s">
        <v>96</v>
      </c>
      <c r="W170" s="348"/>
      <c r="X170" s="348" t="s">
        <v>96</v>
      </c>
      <c r="Y170" s="772" t="s">
        <v>96</v>
      </c>
      <c r="Z170" s="772" t="s">
        <v>96</v>
      </c>
      <c r="AA170" s="348"/>
      <c r="AB170" s="153"/>
      <c r="AC170" s="348"/>
      <c r="AD170" s="348"/>
      <c r="AE170" s="348"/>
      <c r="AF170" s="348"/>
      <c r="AG170" s="348"/>
      <c r="AH170" s="348"/>
      <c r="AI170" s="348"/>
      <c r="AJ170" s="348"/>
      <c r="AK170" s="348"/>
      <c r="AL170" s="348"/>
      <c r="AM170" s="348"/>
      <c r="AN170" s="348"/>
      <c r="AO170" s="348"/>
      <c r="AP170" s="348"/>
      <c r="AQ170" s="348"/>
      <c r="AR170" s="348"/>
      <c r="AS170" s="348"/>
      <c r="AT170" s="348"/>
      <c r="AU170" s="348"/>
      <c r="AV170" s="348"/>
      <c r="AW170" s="348"/>
      <c r="AX170" s="348"/>
      <c r="AY170" s="348"/>
      <c r="AZ170" s="348"/>
      <c r="BA170" s="348"/>
      <c r="BB170" s="348"/>
      <c r="BC170" s="348"/>
      <c r="BD170" s="348"/>
      <c r="BE170" s="348"/>
      <c r="BF170" s="348"/>
      <c r="BG170" s="348"/>
      <c r="BH170" s="348"/>
      <c r="BI170" s="348"/>
      <c r="BJ170" s="348"/>
      <c r="BK170" s="348"/>
      <c r="BL170" s="348"/>
      <c r="BM170" s="348"/>
      <c r="BN170" s="348"/>
      <c r="BO170" s="348"/>
      <c r="BP170" s="348"/>
      <c r="BQ170" s="348"/>
      <c r="BR170" s="348"/>
      <c r="BS170" s="348"/>
      <c r="BT170" s="348"/>
      <c r="BU170" s="348"/>
      <c r="BV170" s="348"/>
      <c r="BW170" s="806" t="s">
        <v>96</v>
      </c>
      <c r="BX170" s="806"/>
      <c r="BY170" s="806"/>
      <c r="BZ170" s="806" t="str">
        <f>IFERROR(__xludf.DUMMYFUNCTION("""COMPUTED_VALUE"""),"")</f>
        <v/>
      </c>
      <c r="CA170" s="806"/>
      <c r="CB170" s="806"/>
      <c r="CC170" s="806"/>
      <c r="CD170" s="806"/>
      <c r="CE170" s="806"/>
      <c r="CF170" s="806"/>
      <c r="CG170" s="806"/>
      <c r="CH170" s="806"/>
      <c r="CI170" s="806"/>
      <c r="CJ170" s="806"/>
      <c r="CK170" s="806"/>
    </row>
    <row r="171">
      <c r="A171" s="348"/>
      <c r="B171" s="348"/>
      <c r="C171" s="236"/>
      <c r="D171" s="348"/>
      <c r="E171" s="348"/>
      <c r="F171" s="348"/>
      <c r="G171" s="348"/>
      <c r="H171" s="348"/>
      <c r="I171" s="348"/>
      <c r="J171" s="348"/>
      <c r="K171" s="348"/>
      <c r="L171" s="348"/>
      <c r="M171" s="348"/>
      <c r="N171" s="348"/>
      <c r="O171" s="348"/>
      <c r="P171" s="348"/>
      <c r="Q171" s="348"/>
      <c r="R171" s="348"/>
      <c r="S171" s="348"/>
      <c r="T171" s="348"/>
      <c r="U171" s="348" t="s">
        <v>96</v>
      </c>
      <c r="V171" s="348" t="s">
        <v>96</v>
      </c>
      <c r="W171" s="348"/>
      <c r="X171" s="348" t="s">
        <v>96</v>
      </c>
      <c r="Y171" s="772" t="s">
        <v>96</v>
      </c>
      <c r="Z171" s="772" t="s">
        <v>96</v>
      </c>
      <c r="AA171" s="348"/>
      <c r="AB171" s="153"/>
      <c r="AC171" s="348"/>
      <c r="AD171" s="348"/>
      <c r="AE171" s="348"/>
      <c r="AF171" s="348"/>
      <c r="AG171" s="348"/>
      <c r="AH171" s="348"/>
      <c r="AI171" s="348"/>
      <c r="AJ171" s="348"/>
      <c r="AK171" s="348"/>
      <c r="AL171" s="348"/>
      <c r="AM171" s="348"/>
      <c r="AN171" s="348"/>
      <c r="AO171" s="348"/>
      <c r="AP171" s="348"/>
      <c r="AQ171" s="348"/>
      <c r="AR171" s="348"/>
      <c r="AS171" s="348"/>
      <c r="AT171" s="348"/>
      <c r="AU171" s="348"/>
      <c r="AV171" s="348"/>
      <c r="AW171" s="348"/>
      <c r="AX171" s="348"/>
      <c r="AY171" s="348"/>
      <c r="AZ171" s="348"/>
      <c r="BA171" s="348"/>
      <c r="BB171" s="348"/>
      <c r="BC171" s="348"/>
      <c r="BD171" s="348"/>
      <c r="BE171" s="348"/>
      <c r="BF171" s="348"/>
      <c r="BG171" s="348"/>
      <c r="BH171" s="348"/>
      <c r="BI171" s="348"/>
      <c r="BJ171" s="348"/>
      <c r="BK171" s="348"/>
      <c r="BL171" s="348"/>
      <c r="BM171" s="348"/>
      <c r="BN171" s="348"/>
      <c r="BO171" s="348"/>
      <c r="BP171" s="348"/>
      <c r="BQ171" s="348"/>
      <c r="BR171" s="348"/>
      <c r="BS171" s="348"/>
      <c r="BT171" s="348"/>
      <c r="BU171" s="348"/>
      <c r="BV171" s="348"/>
      <c r="BW171" s="806" t="s">
        <v>96</v>
      </c>
      <c r="BX171" s="806"/>
      <c r="BY171" s="806"/>
      <c r="BZ171" s="806" t="str">
        <f>IFERROR(__xludf.DUMMYFUNCTION("""COMPUTED_VALUE"""),"")</f>
        <v/>
      </c>
      <c r="CA171" s="806"/>
      <c r="CB171" s="806"/>
      <c r="CC171" s="806"/>
      <c r="CD171" s="806"/>
      <c r="CE171" s="806"/>
      <c r="CF171" s="806"/>
      <c r="CG171" s="806"/>
      <c r="CH171" s="806"/>
      <c r="CI171" s="806"/>
      <c r="CJ171" s="806"/>
      <c r="CK171" s="806"/>
    </row>
    <row r="172">
      <c r="A172" s="348"/>
      <c r="B172" s="348"/>
      <c r="C172" s="236"/>
      <c r="D172" s="348"/>
      <c r="E172" s="348"/>
      <c r="F172" s="348"/>
      <c r="G172" s="348"/>
      <c r="H172" s="348"/>
      <c r="I172" s="348"/>
      <c r="J172" s="348"/>
      <c r="K172" s="348"/>
      <c r="L172" s="348"/>
      <c r="M172" s="348"/>
      <c r="N172" s="348"/>
      <c r="O172" s="348"/>
      <c r="P172" s="348"/>
      <c r="Q172" s="348"/>
      <c r="R172" s="348"/>
      <c r="S172" s="348"/>
      <c r="T172" s="348"/>
      <c r="U172" s="348" t="s">
        <v>96</v>
      </c>
      <c r="V172" s="348" t="s">
        <v>96</v>
      </c>
      <c r="W172" s="348"/>
      <c r="X172" s="348" t="s">
        <v>96</v>
      </c>
      <c r="Y172" s="772" t="s">
        <v>96</v>
      </c>
      <c r="Z172" s="772" t="s">
        <v>96</v>
      </c>
      <c r="AA172" s="348"/>
      <c r="AB172" s="153"/>
      <c r="AC172" s="348"/>
      <c r="AD172" s="348"/>
      <c r="AE172" s="348"/>
      <c r="AF172" s="348"/>
      <c r="AG172" s="348"/>
      <c r="AH172" s="348"/>
      <c r="AI172" s="348"/>
      <c r="AJ172" s="348"/>
      <c r="AK172" s="348"/>
      <c r="AL172" s="348"/>
      <c r="AM172" s="348"/>
      <c r="AN172" s="348"/>
      <c r="AO172" s="348"/>
      <c r="AP172" s="348"/>
      <c r="AQ172" s="348"/>
      <c r="AR172" s="348"/>
      <c r="AS172" s="348"/>
      <c r="AT172" s="348"/>
      <c r="AU172" s="348"/>
      <c r="AV172" s="348"/>
      <c r="AW172" s="348"/>
      <c r="AX172" s="348"/>
      <c r="AY172" s="348"/>
      <c r="AZ172" s="348"/>
      <c r="BA172" s="348"/>
      <c r="BB172" s="348"/>
      <c r="BC172" s="348"/>
      <c r="BD172" s="348"/>
      <c r="BE172" s="348"/>
      <c r="BF172" s="348"/>
      <c r="BG172" s="348"/>
      <c r="BH172" s="348"/>
      <c r="BI172" s="348"/>
      <c r="BJ172" s="348"/>
      <c r="BK172" s="348"/>
      <c r="BL172" s="348"/>
      <c r="BM172" s="348"/>
      <c r="BN172" s="348"/>
      <c r="BO172" s="348"/>
      <c r="BP172" s="348"/>
      <c r="BQ172" s="348"/>
      <c r="BR172" s="348"/>
      <c r="BS172" s="348"/>
      <c r="BT172" s="348"/>
      <c r="BU172" s="348"/>
      <c r="BV172" s="348"/>
      <c r="BW172" s="806" t="s">
        <v>96</v>
      </c>
      <c r="BX172" s="806"/>
      <c r="BY172" s="806"/>
      <c r="BZ172" s="806" t="str">
        <f>IFERROR(__xludf.DUMMYFUNCTION("""COMPUTED_VALUE"""),"")</f>
        <v/>
      </c>
      <c r="CA172" s="806"/>
      <c r="CB172" s="806"/>
      <c r="CC172" s="806"/>
      <c r="CD172" s="806"/>
      <c r="CE172" s="806"/>
      <c r="CF172" s="806"/>
      <c r="CG172" s="806"/>
      <c r="CH172" s="806"/>
      <c r="CI172" s="806"/>
      <c r="CJ172" s="806"/>
      <c r="CK172" s="806"/>
    </row>
    <row r="173">
      <c r="A173" s="348"/>
      <c r="B173" s="348"/>
      <c r="C173" s="236"/>
      <c r="D173" s="348"/>
      <c r="E173" s="348"/>
      <c r="F173" s="348"/>
      <c r="G173" s="348"/>
      <c r="H173" s="348"/>
      <c r="I173" s="348"/>
      <c r="J173" s="348"/>
      <c r="K173" s="348"/>
      <c r="L173" s="348"/>
      <c r="M173" s="348"/>
      <c r="N173" s="348"/>
      <c r="O173" s="348"/>
      <c r="P173" s="348"/>
      <c r="Q173" s="348"/>
      <c r="R173" s="348"/>
      <c r="S173" s="348"/>
      <c r="T173" s="348"/>
      <c r="U173" s="348" t="s">
        <v>96</v>
      </c>
      <c r="V173" s="348" t="s">
        <v>96</v>
      </c>
      <c r="W173" s="348"/>
      <c r="X173" s="348" t="s">
        <v>96</v>
      </c>
      <c r="Y173" s="772" t="s">
        <v>96</v>
      </c>
      <c r="Z173" s="772" t="s">
        <v>96</v>
      </c>
      <c r="AA173" s="348"/>
      <c r="AB173" s="153"/>
      <c r="AC173" s="348"/>
      <c r="AD173" s="348"/>
      <c r="AE173" s="348"/>
      <c r="AF173" s="348"/>
      <c r="AG173" s="348"/>
      <c r="AH173" s="348"/>
      <c r="AI173" s="348"/>
      <c r="AJ173" s="348"/>
      <c r="AK173" s="348"/>
      <c r="AL173" s="348"/>
      <c r="AM173" s="348"/>
      <c r="AN173" s="348"/>
      <c r="AO173" s="348"/>
      <c r="AP173" s="348"/>
      <c r="AQ173" s="348"/>
      <c r="AR173" s="348"/>
      <c r="AS173" s="348"/>
      <c r="AT173" s="348"/>
      <c r="AU173" s="348"/>
      <c r="AV173" s="348"/>
      <c r="AW173" s="348"/>
      <c r="AX173" s="348"/>
      <c r="AY173" s="348"/>
      <c r="AZ173" s="348"/>
      <c r="BA173" s="348"/>
      <c r="BB173" s="348"/>
      <c r="BC173" s="348"/>
      <c r="BD173" s="348"/>
      <c r="BE173" s="348"/>
      <c r="BF173" s="348"/>
      <c r="BG173" s="348"/>
      <c r="BH173" s="348"/>
      <c r="BI173" s="348"/>
      <c r="BJ173" s="348"/>
      <c r="BK173" s="348"/>
      <c r="BL173" s="348"/>
      <c r="BM173" s="348"/>
      <c r="BN173" s="348"/>
      <c r="BO173" s="348"/>
      <c r="BP173" s="348"/>
      <c r="BQ173" s="348"/>
      <c r="BR173" s="348"/>
      <c r="BS173" s="348"/>
      <c r="BT173" s="348"/>
      <c r="BU173" s="348"/>
      <c r="BV173" s="348"/>
      <c r="BW173" s="806" t="s">
        <v>96</v>
      </c>
      <c r="BX173" s="806"/>
      <c r="BY173" s="806"/>
      <c r="BZ173" s="806" t="str">
        <f>IFERROR(__xludf.DUMMYFUNCTION("""COMPUTED_VALUE"""),"")</f>
        <v/>
      </c>
      <c r="CA173" s="806"/>
      <c r="CB173" s="806"/>
      <c r="CC173" s="806"/>
      <c r="CD173" s="806"/>
      <c r="CE173" s="806"/>
      <c r="CF173" s="806"/>
      <c r="CG173" s="806"/>
      <c r="CH173" s="806"/>
      <c r="CI173" s="806"/>
      <c r="CJ173" s="806"/>
      <c r="CK173" s="806"/>
    </row>
    <row r="174">
      <c r="A174" s="348"/>
      <c r="B174" s="348"/>
      <c r="C174" s="236"/>
      <c r="D174" s="348"/>
      <c r="E174" s="348"/>
      <c r="F174" s="348"/>
      <c r="G174" s="348"/>
      <c r="H174" s="348"/>
      <c r="I174" s="348"/>
      <c r="J174" s="348"/>
      <c r="K174" s="348"/>
      <c r="L174" s="348"/>
      <c r="M174" s="348"/>
      <c r="N174" s="348"/>
      <c r="O174" s="348"/>
      <c r="P174" s="348"/>
      <c r="Q174" s="348"/>
      <c r="R174" s="348"/>
      <c r="S174" s="348"/>
      <c r="T174" s="348"/>
      <c r="U174" s="348" t="s">
        <v>96</v>
      </c>
      <c r="V174" s="348" t="s">
        <v>96</v>
      </c>
      <c r="W174" s="348"/>
      <c r="X174" s="348" t="s">
        <v>96</v>
      </c>
      <c r="Y174" s="772" t="s">
        <v>96</v>
      </c>
      <c r="Z174" s="772" t="s">
        <v>96</v>
      </c>
      <c r="AA174" s="348"/>
      <c r="AB174" s="153"/>
      <c r="AC174" s="348"/>
      <c r="AD174" s="348"/>
      <c r="AE174" s="348"/>
      <c r="AF174" s="348"/>
      <c r="AG174" s="348"/>
      <c r="AH174" s="348"/>
      <c r="AI174" s="348"/>
      <c r="AJ174" s="348"/>
      <c r="AK174" s="348"/>
      <c r="AL174" s="348"/>
      <c r="AM174" s="348"/>
      <c r="AN174" s="348"/>
      <c r="AO174" s="348"/>
      <c r="AP174" s="348"/>
      <c r="AQ174" s="348"/>
      <c r="AR174" s="348"/>
      <c r="AS174" s="348"/>
      <c r="AT174" s="348"/>
      <c r="AU174" s="348"/>
      <c r="AV174" s="348"/>
      <c r="AW174" s="348"/>
      <c r="AX174" s="348"/>
      <c r="AY174" s="348"/>
      <c r="AZ174" s="348"/>
      <c r="BA174" s="348"/>
      <c r="BB174" s="348"/>
      <c r="BC174" s="348"/>
      <c r="BD174" s="348"/>
      <c r="BE174" s="348"/>
      <c r="BF174" s="348"/>
      <c r="BG174" s="348"/>
      <c r="BH174" s="348"/>
      <c r="BI174" s="348"/>
      <c r="BJ174" s="348"/>
      <c r="BK174" s="348"/>
      <c r="BL174" s="348"/>
      <c r="BM174" s="348"/>
      <c r="BN174" s="348"/>
      <c r="BO174" s="348"/>
      <c r="BP174" s="348"/>
      <c r="BQ174" s="348"/>
      <c r="BR174" s="348"/>
      <c r="BS174" s="348"/>
      <c r="BT174" s="348"/>
      <c r="BU174" s="348"/>
      <c r="BV174" s="348"/>
      <c r="BW174" s="806" t="s">
        <v>96</v>
      </c>
      <c r="BX174" s="806"/>
      <c r="BY174" s="806"/>
      <c r="BZ174" s="806" t="str">
        <f>IFERROR(__xludf.DUMMYFUNCTION("""COMPUTED_VALUE"""),"")</f>
        <v/>
      </c>
      <c r="CA174" s="806"/>
      <c r="CB174" s="806"/>
      <c r="CC174" s="806"/>
      <c r="CD174" s="806"/>
      <c r="CE174" s="806"/>
      <c r="CF174" s="806"/>
      <c r="CG174" s="806"/>
      <c r="CH174" s="806"/>
      <c r="CI174" s="806"/>
      <c r="CJ174" s="806"/>
      <c r="CK174" s="806"/>
    </row>
    <row r="175">
      <c r="A175" s="348"/>
      <c r="B175" s="348"/>
      <c r="C175" s="236"/>
      <c r="D175" s="348"/>
      <c r="E175" s="348"/>
      <c r="F175" s="348"/>
      <c r="G175" s="348"/>
      <c r="H175" s="348"/>
      <c r="I175" s="348"/>
      <c r="J175" s="348"/>
      <c r="K175" s="348"/>
      <c r="L175" s="348"/>
      <c r="M175" s="348"/>
      <c r="N175" s="348"/>
      <c r="O175" s="348"/>
      <c r="P175" s="348"/>
      <c r="Q175" s="348"/>
      <c r="R175" s="348"/>
      <c r="S175" s="348"/>
      <c r="T175" s="348"/>
      <c r="U175" s="348" t="s">
        <v>96</v>
      </c>
      <c r="V175" s="348" t="s">
        <v>96</v>
      </c>
      <c r="W175" s="348"/>
      <c r="X175" s="348" t="s">
        <v>96</v>
      </c>
      <c r="Y175" s="772" t="s">
        <v>96</v>
      </c>
      <c r="Z175" s="772" t="s">
        <v>96</v>
      </c>
      <c r="AA175" s="348"/>
      <c r="AB175" s="153"/>
      <c r="AC175" s="348"/>
      <c r="AD175" s="348"/>
      <c r="AE175" s="348"/>
      <c r="AF175" s="348"/>
      <c r="AG175" s="348"/>
      <c r="AH175" s="348"/>
      <c r="AI175" s="348"/>
      <c r="AJ175" s="348"/>
      <c r="AK175" s="348"/>
      <c r="AL175" s="348"/>
      <c r="AM175" s="348"/>
      <c r="AN175" s="348"/>
      <c r="AO175" s="348"/>
      <c r="AP175" s="348"/>
      <c r="AQ175" s="348"/>
      <c r="AR175" s="348"/>
      <c r="AS175" s="348"/>
      <c r="AT175" s="348"/>
      <c r="AU175" s="348"/>
      <c r="AV175" s="348"/>
      <c r="AW175" s="348"/>
      <c r="AX175" s="348"/>
      <c r="AY175" s="348"/>
      <c r="AZ175" s="348"/>
      <c r="BA175" s="348"/>
      <c r="BB175" s="348"/>
      <c r="BC175" s="348"/>
      <c r="BD175" s="348"/>
      <c r="BE175" s="348"/>
      <c r="BF175" s="348"/>
      <c r="BG175" s="348"/>
      <c r="BH175" s="348"/>
      <c r="BI175" s="348"/>
      <c r="BJ175" s="348"/>
      <c r="BK175" s="348"/>
      <c r="BL175" s="348"/>
      <c r="BM175" s="348"/>
      <c r="BN175" s="348"/>
      <c r="BO175" s="348"/>
      <c r="BP175" s="348"/>
      <c r="BQ175" s="348"/>
      <c r="BR175" s="348"/>
      <c r="BS175" s="348"/>
      <c r="BT175" s="348"/>
      <c r="BU175" s="348"/>
      <c r="BV175" s="348"/>
      <c r="BW175" s="806" t="s">
        <v>96</v>
      </c>
      <c r="BX175" s="806"/>
      <c r="BY175" s="806"/>
      <c r="BZ175" s="806" t="str">
        <f>IFERROR(__xludf.DUMMYFUNCTION("""COMPUTED_VALUE"""),"")</f>
        <v/>
      </c>
      <c r="CA175" s="806"/>
      <c r="CB175" s="806"/>
      <c r="CC175" s="806"/>
      <c r="CD175" s="806"/>
      <c r="CE175" s="806"/>
      <c r="CF175" s="806"/>
      <c r="CG175" s="806"/>
      <c r="CH175" s="806"/>
      <c r="CI175" s="806"/>
      <c r="CJ175" s="806"/>
      <c r="CK175" s="806"/>
    </row>
    <row r="176">
      <c r="A176" s="348"/>
      <c r="B176" s="348"/>
      <c r="C176" s="236"/>
      <c r="D176" s="348"/>
      <c r="E176" s="348"/>
      <c r="F176" s="348"/>
      <c r="G176" s="348"/>
      <c r="H176" s="348"/>
      <c r="I176" s="348"/>
      <c r="J176" s="348"/>
      <c r="K176" s="348"/>
      <c r="L176" s="348"/>
      <c r="M176" s="348"/>
      <c r="N176" s="348"/>
      <c r="O176" s="348"/>
      <c r="P176" s="348"/>
      <c r="Q176" s="348"/>
      <c r="R176" s="348"/>
      <c r="S176" s="348"/>
      <c r="T176" s="348"/>
      <c r="U176" s="348" t="s">
        <v>96</v>
      </c>
      <c r="V176" s="348" t="s">
        <v>96</v>
      </c>
      <c r="W176" s="348"/>
      <c r="X176" s="348" t="s">
        <v>96</v>
      </c>
      <c r="Y176" s="772" t="s">
        <v>96</v>
      </c>
      <c r="Z176" s="772" t="s">
        <v>96</v>
      </c>
      <c r="AA176" s="348"/>
      <c r="AB176" s="153"/>
      <c r="AC176" s="348"/>
      <c r="AD176" s="348"/>
      <c r="AE176" s="348"/>
      <c r="AF176" s="348"/>
      <c r="AG176" s="348"/>
      <c r="AH176" s="348"/>
      <c r="AI176" s="348"/>
      <c r="AJ176" s="348"/>
      <c r="AK176" s="348"/>
      <c r="AL176" s="348"/>
      <c r="AM176" s="348"/>
      <c r="AN176" s="348"/>
      <c r="AO176" s="348"/>
      <c r="AP176" s="348"/>
      <c r="AQ176" s="348"/>
      <c r="AR176" s="348"/>
      <c r="AS176" s="348"/>
      <c r="AT176" s="348"/>
      <c r="AU176" s="348"/>
      <c r="AV176" s="348"/>
      <c r="AW176" s="348"/>
      <c r="AX176" s="348"/>
      <c r="AY176" s="348"/>
      <c r="AZ176" s="348"/>
      <c r="BA176" s="348"/>
      <c r="BB176" s="348"/>
      <c r="BC176" s="348"/>
      <c r="BD176" s="348"/>
      <c r="BE176" s="348"/>
      <c r="BF176" s="348"/>
      <c r="BG176" s="348"/>
      <c r="BH176" s="348"/>
      <c r="BI176" s="348"/>
      <c r="BJ176" s="348"/>
      <c r="BK176" s="348"/>
      <c r="BL176" s="348"/>
      <c r="BM176" s="348"/>
      <c r="BN176" s="348"/>
      <c r="BO176" s="348"/>
      <c r="BP176" s="348"/>
      <c r="BQ176" s="348"/>
      <c r="BR176" s="348"/>
      <c r="BS176" s="348"/>
      <c r="BT176" s="348"/>
      <c r="BU176" s="348"/>
      <c r="BV176" s="348"/>
      <c r="BW176" s="806" t="s">
        <v>96</v>
      </c>
      <c r="BX176" s="806"/>
      <c r="BY176" s="806"/>
      <c r="BZ176" s="806" t="str">
        <f>IFERROR(__xludf.DUMMYFUNCTION("""COMPUTED_VALUE"""),"")</f>
        <v/>
      </c>
      <c r="CA176" s="806"/>
      <c r="CB176" s="806"/>
      <c r="CC176" s="806"/>
      <c r="CD176" s="806"/>
      <c r="CE176" s="806"/>
      <c r="CF176" s="806"/>
      <c r="CG176" s="806"/>
      <c r="CH176" s="806"/>
      <c r="CI176" s="806"/>
      <c r="CJ176" s="806"/>
      <c r="CK176" s="806"/>
    </row>
    <row r="177">
      <c r="A177" s="348"/>
      <c r="B177" s="348"/>
      <c r="C177" s="236"/>
      <c r="D177" s="348"/>
      <c r="E177" s="348"/>
      <c r="F177" s="348"/>
      <c r="G177" s="348"/>
      <c r="H177" s="348"/>
      <c r="I177" s="348"/>
      <c r="J177" s="348"/>
      <c r="K177" s="348"/>
      <c r="L177" s="348"/>
      <c r="M177" s="348"/>
      <c r="N177" s="348"/>
      <c r="O177" s="348"/>
      <c r="P177" s="348"/>
      <c r="Q177" s="348"/>
      <c r="R177" s="348"/>
      <c r="S177" s="348"/>
      <c r="T177" s="348"/>
      <c r="U177" s="348" t="s">
        <v>96</v>
      </c>
      <c r="V177" s="348" t="s">
        <v>96</v>
      </c>
      <c r="W177" s="348"/>
      <c r="X177" s="348" t="s">
        <v>96</v>
      </c>
      <c r="Y177" s="772" t="s">
        <v>96</v>
      </c>
      <c r="Z177" s="772" t="s">
        <v>96</v>
      </c>
      <c r="AA177" s="348"/>
      <c r="AB177" s="153"/>
      <c r="AC177" s="348"/>
      <c r="AD177" s="348"/>
      <c r="AE177" s="348"/>
      <c r="AF177" s="348"/>
      <c r="AG177" s="348"/>
      <c r="AH177" s="348"/>
      <c r="AI177" s="348"/>
      <c r="AJ177" s="348"/>
      <c r="AK177" s="348"/>
      <c r="AL177" s="348"/>
      <c r="AM177" s="348"/>
      <c r="AN177" s="348"/>
      <c r="AO177" s="348"/>
      <c r="AP177" s="348"/>
      <c r="AQ177" s="348"/>
      <c r="AR177" s="348"/>
      <c r="AS177" s="348"/>
      <c r="AT177" s="348"/>
      <c r="AU177" s="348"/>
      <c r="AV177" s="348"/>
      <c r="AW177" s="348"/>
      <c r="AX177" s="348"/>
      <c r="AY177" s="348"/>
      <c r="AZ177" s="348"/>
      <c r="BA177" s="348"/>
      <c r="BB177" s="348"/>
      <c r="BC177" s="348"/>
      <c r="BD177" s="348"/>
      <c r="BE177" s="348"/>
      <c r="BF177" s="348"/>
      <c r="BG177" s="348"/>
      <c r="BH177" s="348"/>
      <c r="BI177" s="348"/>
      <c r="BJ177" s="348"/>
      <c r="BK177" s="348"/>
      <c r="BL177" s="348"/>
      <c r="BM177" s="348"/>
      <c r="BN177" s="348"/>
      <c r="BO177" s="348"/>
      <c r="BP177" s="348"/>
      <c r="BQ177" s="348"/>
      <c r="BR177" s="348"/>
      <c r="BS177" s="348"/>
      <c r="BT177" s="348"/>
      <c r="BU177" s="348"/>
      <c r="BV177" s="348"/>
      <c r="BW177" s="806" t="s">
        <v>96</v>
      </c>
      <c r="BX177" s="806"/>
      <c r="BY177" s="806"/>
      <c r="BZ177" s="806" t="str">
        <f>IFERROR(__xludf.DUMMYFUNCTION("""COMPUTED_VALUE"""),"")</f>
        <v/>
      </c>
      <c r="CA177" s="806"/>
      <c r="CB177" s="806"/>
      <c r="CC177" s="806"/>
      <c r="CD177" s="806"/>
      <c r="CE177" s="806"/>
      <c r="CF177" s="806"/>
      <c r="CG177" s="806"/>
      <c r="CH177" s="806"/>
      <c r="CI177" s="806"/>
      <c r="CJ177" s="806"/>
      <c r="CK177" s="806"/>
    </row>
    <row r="178">
      <c r="A178" s="348"/>
      <c r="B178" s="348"/>
      <c r="C178" s="236"/>
      <c r="D178" s="348"/>
      <c r="E178" s="348"/>
      <c r="F178" s="348"/>
      <c r="G178" s="348"/>
      <c r="H178" s="348"/>
      <c r="I178" s="348"/>
      <c r="J178" s="348"/>
      <c r="K178" s="348"/>
      <c r="L178" s="348"/>
      <c r="M178" s="348"/>
      <c r="N178" s="348"/>
      <c r="O178" s="348"/>
      <c r="P178" s="348"/>
      <c r="Q178" s="348"/>
      <c r="R178" s="348"/>
      <c r="S178" s="348"/>
      <c r="T178" s="348"/>
      <c r="U178" s="348" t="s">
        <v>96</v>
      </c>
      <c r="V178" s="348" t="s">
        <v>96</v>
      </c>
      <c r="W178" s="348"/>
      <c r="X178" s="348" t="s">
        <v>96</v>
      </c>
      <c r="Y178" s="772" t="s">
        <v>96</v>
      </c>
      <c r="Z178" s="772" t="s">
        <v>96</v>
      </c>
      <c r="AA178" s="348"/>
      <c r="AB178" s="153"/>
      <c r="AC178" s="348"/>
      <c r="AD178" s="348"/>
      <c r="AE178" s="348"/>
      <c r="AF178" s="348"/>
      <c r="AG178" s="348"/>
      <c r="AH178" s="348"/>
      <c r="AI178" s="348"/>
      <c r="AJ178" s="348"/>
      <c r="AK178" s="348"/>
      <c r="AL178" s="348"/>
      <c r="AM178" s="348"/>
      <c r="AN178" s="348"/>
      <c r="AO178" s="348"/>
      <c r="AP178" s="348"/>
      <c r="AQ178" s="348"/>
      <c r="AR178" s="348"/>
      <c r="AS178" s="348"/>
      <c r="AT178" s="348"/>
      <c r="AU178" s="348"/>
      <c r="AV178" s="348"/>
      <c r="AW178" s="348"/>
      <c r="AX178" s="348"/>
      <c r="AY178" s="348"/>
      <c r="AZ178" s="348"/>
      <c r="BA178" s="348"/>
      <c r="BB178" s="348"/>
      <c r="BC178" s="348"/>
      <c r="BD178" s="348"/>
      <c r="BE178" s="348"/>
      <c r="BF178" s="348"/>
      <c r="BG178" s="348"/>
      <c r="BH178" s="348"/>
      <c r="BI178" s="348"/>
      <c r="BJ178" s="348"/>
      <c r="BK178" s="348"/>
      <c r="BL178" s="348"/>
      <c r="BM178" s="348"/>
      <c r="BN178" s="348"/>
      <c r="BO178" s="348"/>
      <c r="BP178" s="348"/>
      <c r="BQ178" s="348"/>
      <c r="BR178" s="348"/>
      <c r="BS178" s="348"/>
      <c r="BT178" s="348"/>
      <c r="BU178" s="348"/>
      <c r="BV178" s="348"/>
      <c r="BW178" s="806" t="s">
        <v>96</v>
      </c>
      <c r="BX178" s="806"/>
      <c r="BY178" s="806"/>
      <c r="BZ178" s="806" t="str">
        <f>IFERROR(__xludf.DUMMYFUNCTION("""COMPUTED_VALUE"""),"")</f>
        <v/>
      </c>
      <c r="CA178" s="806"/>
      <c r="CB178" s="806"/>
      <c r="CC178" s="806"/>
      <c r="CD178" s="806"/>
      <c r="CE178" s="806"/>
      <c r="CF178" s="806"/>
      <c r="CG178" s="806"/>
      <c r="CH178" s="806"/>
      <c r="CI178" s="806"/>
      <c r="CJ178" s="806"/>
      <c r="CK178" s="806"/>
    </row>
    <row r="179">
      <c r="A179" s="348"/>
      <c r="B179" s="348"/>
      <c r="C179" s="236"/>
      <c r="D179" s="348"/>
      <c r="E179" s="348"/>
      <c r="F179" s="348"/>
      <c r="G179" s="348"/>
      <c r="H179" s="348"/>
      <c r="I179" s="348"/>
      <c r="J179" s="348"/>
      <c r="K179" s="348"/>
      <c r="L179" s="348"/>
      <c r="M179" s="348"/>
      <c r="N179" s="348"/>
      <c r="O179" s="348"/>
      <c r="P179" s="348"/>
      <c r="Q179" s="348"/>
      <c r="R179" s="348"/>
      <c r="S179" s="348"/>
      <c r="T179" s="348"/>
      <c r="U179" s="348" t="s">
        <v>96</v>
      </c>
      <c r="V179" s="348" t="s">
        <v>96</v>
      </c>
      <c r="W179" s="348"/>
      <c r="X179" s="348" t="s">
        <v>96</v>
      </c>
      <c r="Y179" s="772" t="s">
        <v>96</v>
      </c>
      <c r="Z179" s="772" t="s">
        <v>96</v>
      </c>
      <c r="AA179" s="348"/>
      <c r="AB179" s="153"/>
      <c r="AC179" s="348"/>
      <c r="AD179" s="348"/>
      <c r="AE179" s="348"/>
      <c r="AF179" s="348"/>
      <c r="AG179" s="348"/>
      <c r="AH179" s="348"/>
      <c r="AI179" s="348"/>
      <c r="AJ179" s="348"/>
      <c r="AK179" s="348"/>
      <c r="AL179" s="348"/>
      <c r="AM179" s="348"/>
      <c r="AN179" s="348"/>
      <c r="AO179" s="348"/>
      <c r="AP179" s="348"/>
      <c r="AQ179" s="348"/>
      <c r="AR179" s="348"/>
      <c r="AS179" s="348"/>
      <c r="AT179" s="348"/>
      <c r="AU179" s="348"/>
      <c r="AV179" s="348"/>
      <c r="AW179" s="348"/>
      <c r="AX179" s="348"/>
      <c r="AY179" s="348"/>
      <c r="AZ179" s="348"/>
      <c r="BA179" s="348"/>
      <c r="BB179" s="348"/>
      <c r="BC179" s="348"/>
      <c r="BD179" s="348"/>
      <c r="BE179" s="348"/>
      <c r="BF179" s="348"/>
      <c r="BG179" s="348"/>
      <c r="BH179" s="348"/>
      <c r="BI179" s="348"/>
      <c r="BJ179" s="348"/>
      <c r="BK179" s="348"/>
      <c r="BL179" s="348"/>
      <c r="BM179" s="348"/>
      <c r="BN179" s="348"/>
      <c r="BO179" s="348"/>
      <c r="BP179" s="348"/>
      <c r="BQ179" s="348"/>
      <c r="BR179" s="348"/>
      <c r="BS179" s="348"/>
      <c r="BT179" s="348"/>
      <c r="BU179" s="348"/>
      <c r="BV179" s="348"/>
      <c r="BW179" s="806" t="s">
        <v>96</v>
      </c>
      <c r="BX179" s="806"/>
      <c r="BY179" s="806"/>
      <c r="BZ179" s="806" t="str">
        <f>IFERROR(__xludf.DUMMYFUNCTION("""COMPUTED_VALUE"""),"")</f>
        <v/>
      </c>
      <c r="CA179" s="806"/>
      <c r="CB179" s="806"/>
      <c r="CC179" s="806"/>
      <c r="CD179" s="806"/>
      <c r="CE179" s="806"/>
      <c r="CF179" s="806"/>
      <c r="CG179" s="806"/>
      <c r="CH179" s="806"/>
      <c r="CI179" s="806"/>
      <c r="CJ179" s="806"/>
      <c r="CK179" s="806"/>
    </row>
    <row r="180">
      <c r="A180" s="348"/>
      <c r="B180" s="348"/>
      <c r="C180" s="236"/>
      <c r="D180" s="348"/>
      <c r="E180" s="348"/>
      <c r="F180" s="348"/>
      <c r="G180" s="348"/>
      <c r="H180" s="348"/>
      <c r="I180" s="348"/>
      <c r="J180" s="348"/>
      <c r="K180" s="348"/>
      <c r="L180" s="348"/>
      <c r="M180" s="348"/>
      <c r="N180" s="348"/>
      <c r="O180" s="348"/>
      <c r="P180" s="348"/>
      <c r="Q180" s="348"/>
      <c r="R180" s="348"/>
      <c r="S180" s="348"/>
      <c r="T180" s="348"/>
      <c r="U180" s="348" t="s">
        <v>96</v>
      </c>
      <c r="V180" s="348" t="s">
        <v>96</v>
      </c>
      <c r="W180" s="348"/>
      <c r="X180" s="348" t="s">
        <v>96</v>
      </c>
      <c r="Y180" s="772" t="s">
        <v>96</v>
      </c>
      <c r="Z180" s="772" t="s">
        <v>96</v>
      </c>
      <c r="AA180" s="348"/>
      <c r="AB180" s="153"/>
      <c r="AC180" s="348"/>
      <c r="AD180" s="348"/>
      <c r="AE180" s="348"/>
      <c r="AF180" s="348"/>
      <c r="AG180" s="348"/>
      <c r="AH180" s="348"/>
      <c r="AI180" s="348"/>
      <c r="AJ180" s="348"/>
      <c r="AK180" s="348"/>
      <c r="AL180" s="348"/>
      <c r="AM180" s="348"/>
      <c r="AN180" s="348"/>
      <c r="AO180" s="348"/>
      <c r="AP180" s="348"/>
      <c r="AQ180" s="348"/>
      <c r="AR180" s="348"/>
      <c r="AS180" s="348"/>
      <c r="AT180" s="348"/>
      <c r="AU180" s="348"/>
      <c r="AV180" s="348"/>
      <c r="AW180" s="348"/>
      <c r="AX180" s="348"/>
      <c r="AY180" s="348"/>
      <c r="AZ180" s="348"/>
      <c r="BA180" s="348"/>
      <c r="BB180" s="348"/>
      <c r="BC180" s="348"/>
      <c r="BD180" s="348"/>
      <c r="BE180" s="348"/>
      <c r="BF180" s="348"/>
      <c r="BG180" s="348"/>
      <c r="BH180" s="348"/>
      <c r="BI180" s="348"/>
      <c r="BJ180" s="348"/>
      <c r="BK180" s="348"/>
      <c r="BL180" s="348"/>
      <c r="BM180" s="348"/>
      <c r="BN180" s="348"/>
      <c r="BO180" s="348"/>
      <c r="BP180" s="348"/>
      <c r="BQ180" s="348"/>
      <c r="BR180" s="348"/>
      <c r="BS180" s="348"/>
      <c r="BT180" s="348"/>
      <c r="BU180" s="348"/>
      <c r="BV180" s="348"/>
      <c r="BW180" s="806" t="s">
        <v>96</v>
      </c>
      <c r="BX180" s="806"/>
      <c r="BY180" s="806"/>
      <c r="BZ180" s="806" t="str">
        <f>IFERROR(__xludf.DUMMYFUNCTION("""COMPUTED_VALUE"""),"")</f>
        <v/>
      </c>
      <c r="CA180" s="806"/>
      <c r="CB180" s="806"/>
      <c r="CC180" s="806"/>
      <c r="CD180" s="806"/>
      <c r="CE180" s="806"/>
      <c r="CF180" s="806"/>
      <c r="CG180" s="806"/>
      <c r="CH180" s="806"/>
      <c r="CI180" s="806"/>
      <c r="CJ180" s="806"/>
      <c r="CK180" s="806"/>
    </row>
    <row r="181">
      <c r="A181" s="348"/>
      <c r="B181" s="348"/>
      <c r="C181" s="236"/>
      <c r="D181" s="348"/>
      <c r="E181" s="348"/>
      <c r="F181" s="348"/>
      <c r="G181" s="348"/>
      <c r="H181" s="348"/>
      <c r="I181" s="348"/>
      <c r="J181" s="348"/>
      <c r="K181" s="348"/>
      <c r="L181" s="348"/>
      <c r="M181" s="348"/>
      <c r="N181" s="348"/>
      <c r="O181" s="348"/>
      <c r="P181" s="348"/>
      <c r="Q181" s="348"/>
      <c r="R181" s="348"/>
      <c r="S181" s="348"/>
      <c r="T181" s="348"/>
      <c r="U181" s="348" t="s">
        <v>96</v>
      </c>
      <c r="V181" s="348" t="s">
        <v>96</v>
      </c>
      <c r="W181" s="348"/>
      <c r="X181" s="348" t="s">
        <v>96</v>
      </c>
      <c r="Y181" s="772" t="s">
        <v>96</v>
      </c>
      <c r="Z181" s="772" t="s">
        <v>96</v>
      </c>
      <c r="AA181" s="348"/>
      <c r="AB181" s="153"/>
      <c r="AC181" s="348"/>
      <c r="AD181" s="348"/>
      <c r="AE181" s="348"/>
      <c r="AF181" s="348"/>
      <c r="AG181" s="348"/>
      <c r="AH181" s="348"/>
      <c r="AI181" s="348"/>
      <c r="AJ181" s="348"/>
      <c r="AK181" s="348"/>
      <c r="AL181" s="348"/>
      <c r="AM181" s="348"/>
      <c r="AN181" s="348"/>
      <c r="AO181" s="348"/>
      <c r="AP181" s="348"/>
      <c r="AQ181" s="348"/>
      <c r="AR181" s="348"/>
      <c r="AS181" s="348"/>
      <c r="AT181" s="348"/>
      <c r="AU181" s="348"/>
      <c r="AV181" s="348"/>
      <c r="AW181" s="348"/>
      <c r="AX181" s="348"/>
      <c r="AY181" s="348"/>
      <c r="AZ181" s="348"/>
      <c r="BA181" s="348"/>
      <c r="BB181" s="348"/>
      <c r="BC181" s="348"/>
      <c r="BD181" s="348"/>
      <c r="BE181" s="348"/>
      <c r="BF181" s="348"/>
      <c r="BG181" s="348"/>
      <c r="BH181" s="348"/>
      <c r="BI181" s="348"/>
      <c r="BJ181" s="348"/>
      <c r="BK181" s="348"/>
      <c r="BL181" s="348"/>
      <c r="BM181" s="348"/>
      <c r="BN181" s="348"/>
      <c r="BO181" s="348"/>
      <c r="BP181" s="348"/>
      <c r="BQ181" s="348"/>
      <c r="BR181" s="348"/>
      <c r="BS181" s="348"/>
      <c r="BT181" s="348"/>
      <c r="BU181" s="348"/>
      <c r="BV181" s="348"/>
      <c r="BW181" s="806" t="s">
        <v>96</v>
      </c>
      <c r="BX181" s="806"/>
      <c r="BY181" s="806"/>
      <c r="BZ181" s="806" t="str">
        <f>IFERROR(__xludf.DUMMYFUNCTION("""COMPUTED_VALUE"""),"")</f>
        <v/>
      </c>
      <c r="CA181" s="806"/>
      <c r="CB181" s="806"/>
      <c r="CC181" s="806"/>
      <c r="CD181" s="806"/>
      <c r="CE181" s="806"/>
      <c r="CF181" s="806"/>
      <c r="CG181" s="806"/>
      <c r="CH181" s="806"/>
      <c r="CI181" s="806"/>
      <c r="CJ181" s="806"/>
      <c r="CK181" s="806"/>
    </row>
    <row r="182">
      <c r="A182" s="348"/>
      <c r="B182" s="348"/>
      <c r="C182" s="236"/>
      <c r="D182" s="348"/>
      <c r="E182" s="348"/>
      <c r="F182" s="348"/>
      <c r="G182" s="348"/>
      <c r="H182" s="348"/>
      <c r="I182" s="348"/>
      <c r="J182" s="348"/>
      <c r="K182" s="348"/>
      <c r="L182" s="348"/>
      <c r="M182" s="348"/>
      <c r="N182" s="348"/>
      <c r="O182" s="348"/>
      <c r="P182" s="348"/>
      <c r="Q182" s="348"/>
      <c r="R182" s="348"/>
      <c r="S182" s="348"/>
      <c r="T182" s="348"/>
      <c r="U182" s="348" t="s">
        <v>96</v>
      </c>
      <c r="V182" s="348" t="s">
        <v>96</v>
      </c>
      <c r="W182" s="348"/>
      <c r="X182" s="348" t="s">
        <v>96</v>
      </c>
      <c r="Y182" s="772" t="s">
        <v>96</v>
      </c>
      <c r="Z182" s="772" t="s">
        <v>96</v>
      </c>
      <c r="AA182" s="348"/>
      <c r="AB182" s="153"/>
      <c r="AC182" s="348"/>
      <c r="AD182" s="348"/>
      <c r="AE182" s="348"/>
      <c r="AF182" s="348"/>
      <c r="AG182" s="348"/>
      <c r="AH182" s="348"/>
      <c r="AI182" s="348"/>
      <c r="AJ182" s="348"/>
      <c r="AK182" s="348"/>
      <c r="AL182" s="348"/>
      <c r="AM182" s="348"/>
      <c r="AN182" s="348"/>
      <c r="AO182" s="348"/>
      <c r="AP182" s="348"/>
      <c r="AQ182" s="348"/>
      <c r="AR182" s="348"/>
      <c r="AS182" s="348"/>
      <c r="AT182" s="348"/>
      <c r="AU182" s="348"/>
      <c r="AV182" s="348"/>
      <c r="AW182" s="348"/>
      <c r="AX182" s="348"/>
      <c r="AY182" s="348"/>
      <c r="AZ182" s="348"/>
      <c r="BA182" s="348"/>
      <c r="BB182" s="348"/>
      <c r="BC182" s="348"/>
      <c r="BD182" s="348"/>
      <c r="BE182" s="348"/>
      <c r="BF182" s="348"/>
      <c r="BG182" s="348"/>
      <c r="BH182" s="348"/>
      <c r="BI182" s="348"/>
      <c r="BJ182" s="348"/>
      <c r="BK182" s="348"/>
      <c r="BL182" s="348"/>
      <c r="BM182" s="348"/>
      <c r="BN182" s="348"/>
      <c r="BO182" s="348"/>
      <c r="BP182" s="348"/>
      <c r="BQ182" s="348"/>
      <c r="BR182" s="348"/>
      <c r="BS182" s="348"/>
      <c r="BT182" s="348"/>
      <c r="BU182" s="348"/>
      <c r="BV182" s="348"/>
      <c r="BW182" s="806" t="s">
        <v>96</v>
      </c>
      <c r="BX182" s="806"/>
      <c r="BY182" s="806"/>
      <c r="BZ182" s="806" t="str">
        <f>IFERROR(__xludf.DUMMYFUNCTION("""COMPUTED_VALUE"""),"")</f>
        <v/>
      </c>
      <c r="CA182" s="806"/>
      <c r="CB182" s="806"/>
      <c r="CC182" s="806"/>
      <c r="CD182" s="806"/>
      <c r="CE182" s="806"/>
      <c r="CF182" s="806"/>
      <c r="CG182" s="806"/>
      <c r="CH182" s="806"/>
      <c r="CI182" s="806"/>
      <c r="CJ182" s="806"/>
      <c r="CK182" s="806"/>
    </row>
    <row r="183">
      <c r="A183" s="348"/>
      <c r="B183" s="348"/>
      <c r="C183" s="236"/>
      <c r="D183" s="348"/>
      <c r="E183" s="348"/>
      <c r="F183" s="348"/>
      <c r="G183" s="348"/>
      <c r="H183" s="348"/>
      <c r="I183" s="348"/>
      <c r="J183" s="348"/>
      <c r="K183" s="348"/>
      <c r="L183" s="348"/>
      <c r="M183" s="348"/>
      <c r="N183" s="348"/>
      <c r="O183" s="348"/>
      <c r="P183" s="348"/>
      <c r="Q183" s="348"/>
      <c r="R183" s="348"/>
      <c r="S183" s="348"/>
      <c r="T183" s="348"/>
      <c r="U183" s="348" t="s">
        <v>96</v>
      </c>
      <c r="V183" s="348" t="s">
        <v>96</v>
      </c>
      <c r="W183" s="348"/>
      <c r="X183" s="348" t="s">
        <v>96</v>
      </c>
      <c r="Y183" s="772" t="s">
        <v>96</v>
      </c>
      <c r="Z183" s="772" t="s">
        <v>96</v>
      </c>
      <c r="AA183" s="348"/>
      <c r="AB183" s="153"/>
      <c r="AC183" s="348"/>
      <c r="AD183" s="348"/>
      <c r="AE183" s="348"/>
      <c r="AF183" s="348"/>
      <c r="AG183" s="348"/>
      <c r="AH183" s="348"/>
      <c r="AI183" s="348"/>
      <c r="AJ183" s="348"/>
      <c r="AK183" s="348"/>
      <c r="AL183" s="348"/>
      <c r="AM183" s="348"/>
      <c r="AN183" s="348"/>
      <c r="AO183" s="348"/>
      <c r="AP183" s="348"/>
      <c r="AQ183" s="348"/>
      <c r="AR183" s="348"/>
      <c r="AS183" s="348"/>
      <c r="AT183" s="348"/>
      <c r="AU183" s="348"/>
      <c r="AV183" s="348"/>
      <c r="AW183" s="348"/>
      <c r="AX183" s="348"/>
      <c r="AY183" s="348"/>
      <c r="AZ183" s="348"/>
      <c r="BA183" s="348"/>
      <c r="BB183" s="348"/>
      <c r="BC183" s="348"/>
      <c r="BD183" s="348"/>
      <c r="BE183" s="348"/>
      <c r="BF183" s="348"/>
      <c r="BG183" s="348"/>
      <c r="BH183" s="348"/>
      <c r="BI183" s="348"/>
      <c r="BJ183" s="348"/>
      <c r="BK183" s="348"/>
      <c r="BL183" s="348"/>
      <c r="BM183" s="348"/>
      <c r="BN183" s="348"/>
      <c r="BO183" s="348"/>
      <c r="BP183" s="348"/>
      <c r="BQ183" s="348"/>
      <c r="BR183" s="348"/>
      <c r="BS183" s="348"/>
      <c r="BT183" s="348"/>
      <c r="BU183" s="348"/>
      <c r="BV183" s="348"/>
      <c r="BW183" s="806" t="s">
        <v>96</v>
      </c>
      <c r="BX183" s="806"/>
      <c r="BY183" s="806"/>
      <c r="BZ183" s="806" t="str">
        <f>IFERROR(__xludf.DUMMYFUNCTION("""COMPUTED_VALUE"""),"")</f>
        <v/>
      </c>
      <c r="CA183" s="806"/>
      <c r="CB183" s="806"/>
      <c r="CC183" s="806"/>
      <c r="CD183" s="806"/>
      <c r="CE183" s="806"/>
      <c r="CF183" s="806"/>
      <c r="CG183" s="806"/>
      <c r="CH183" s="806"/>
      <c r="CI183" s="806"/>
      <c r="CJ183" s="806"/>
      <c r="CK183" s="806"/>
    </row>
    <row r="184">
      <c r="A184" s="348"/>
      <c r="B184" s="348"/>
      <c r="C184" s="236"/>
      <c r="D184" s="348"/>
      <c r="E184" s="348"/>
      <c r="F184" s="348"/>
      <c r="G184" s="348"/>
      <c r="H184" s="348"/>
      <c r="I184" s="348"/>
      <c r="J184" s="348"/>
      <c r="K184" s="348"/>
      <c r="L184" s="348"/>
      <c r="M184" s="348"/>
      <c r="N184" s="348"/>
      <c r="O184" s="348"/>
      <c r="P184" s="348"/>
      <c r="Q184" s="348"/>
      <c r="R184" s="348"/>
      <c r="S184" s="348"/>
      <c r="T184" s="348"/>
      <c r="U184" s="348" t="s">
        <v>96</v>
      </c>
      <c r="V184" s="348" t="s">
        <v>96</v>
      </c>
      <c r="W184" s="348"/>
      <c r="X184" s="348" t="s">
        <v>96</v>
      </c>
      <c r="Y184" s="772" t="s">
        <v>96</v>
      </c>
      <c r="Z184" s="772" t="s">
        <v>96</v>
      </c>
      <c r="AA184" s="348"/>
      <c r="AB184" s="153"/>
      <c r="AC184" s="348"/>
      <c r="AD184" s="348"/>
      <c r="AE184" s="348"/>
      <c r="AF184" s="348"/>
      <c r="AG184" s="348"/>
      <c r="AH184" s="348"/>
      <c r="AI184" s="348"/>
      <c r="AJ184" s="348"/>
      <c r="AK184" s="348"/>
      <c r="AL184" s="348"/>
      <c r="AM184" s="348"/>
      <c r="AN184" s="348"/>
      <c r="AO184" s="348"/>
      <c r="AP184" s="348"/>
      <c r="AQ184" s="348"/>
      <c r="AR184" s="348"/>
      <c r="AS184" s="348"/>
      <c r="AT184" s="348"/>
      <c r="AU184" s="348"/>
      <c r="AV184" s="348"/>
      <c r="AW184" s="348"/>
      <c r="AX184" s="348"/>
      <c r="AY184" s="348"/>
      <c r="AZ184" s="348"/>
      <c r="BA184" s="348"/>
      <c r="BB184" s="348"/>
      <c r="BC184" s="348"/>
      <c r="BD184" s="348"/>
      <c r="BE184" s="348"/>
      <c r="BF184" s="348"/>
      <c r="BG184" s="348"/>
      <c r="BH184" s="348"/>
      <c r="BI184" s="348"/>
      <c r="BJ184" s="348"/>
      <c r="BK184" s="348"/>
      <c r="BL184" s="348"/>
      <c r="BM184" s="348"/>
      <c r="BN184" s="348"/>
      <c r="BO184" s="348"/>
      <c r="BP184" s="348"/>
      <c r="BQ184" s="348"/>
      <c r="BR184" s="348"/>
      <c r="BS184" s="348"/>
      <c r="BT184" s="348"/>
      <c r="BU184" s="348"/>
      <c r="BV184" s="348"/>
      <c r="BW184" s="806" t="s">
        <v>96</v>
      </c>
      <c r="BX184" s="806"/>
      <c r="BY184" s="806"/>
      <c r="BZ184" s="806" t="str">
        <f>IFERROR(__xludf.DUMMYFUNCTION("""COMPUTED_VALUE"""),"")</f>
        <v/>
      </c>
      <c r="CA184" s="806"/>
      <c r="CB184" s="806"/>
      <c r="CC184" s="806"/>
      <c r="CD184" s="806"/>
      <c r="CE184" s="806"/>
      <c r="CF184" s="806"/>
      <c r="CG184" s="806"/>
      <c r="CH184" s="806"/>
      <c r="CI184" s="806"/>
      <c r="CJ184" s="806"/>
      <c r="CK184" s="806"/>
    </row>
    <row r="185">
      <c r="A185" s="348"/>
      <c r="B185" s="348"/>
      <c r="C185" s="236"/>
      <c r="D185" s="348"/>
      <c r="E185" s="348"/>
      <c r="F185" s="348"/>
      <c r="G185" s="348"/>
      <c r="H185" s="348"/>
      <c r="I185" s="348"/>
      <c r="J185" s="348"/>
      <c r="K185" s="348"/>
      <c r="L185" s="348"/>
      <c r="M185" s="348"/>
      <c r="N185" s="348"/>
      <c r="O185" s="348"/>
      <c r="P185" s="348"/>
      <c r="Q185" s="348"/>
      <c r="R185" s="348"/>
      <c r="S185" s="348"/>
      <c r="T185" s="348"/>
      <c r="U185" s="348" t="s">
        <v>96</v>
      </c>
      <c r="V185" s="348" t="s">
        <v>96</v>
      </c>
      <c r="W185" s="348"/>
      <c r="X185" s="348" t="s">
        <v>96</v>
      </c>
      <c r="Y185" s="772" t="s">
        <v>96</v>
      </c>
      <c r="Z185" s="772" t="s">
        <v>96</v>
      </c>
      <c r="AA185" s="348"/>
      <c r="AB185" s="153"/>
      <c r="AC185" s="348"/>
      <c r="AD185" s="348"/>
      <c r="AE185" s="348"/>
      <c r="AF185" s="348"/>
      <c r="AG185" s="348"/>
      <c r="AH185" s="348"/>
      <c r="AI185" s="348"/>
      <c r="AJ185" s="348"/>
      <c r="AK185" s="348"/>
      <c r="AL185" s="348"/>
      <c r="AM185" s="348"/>
      <c r="AN185" s="348"/>
      <c r="AO185" s="348"/>
      <c r="AP185" s="348"/>
      <c r="AQ185" s="348"/>
      <c r="AR185" s="348"/>
      <c r="AS185" s="348"/>
      <c r="AT185" s="348"/>
      <c r="AU185" s="348"/>
      <c r="AV185" s="348"/>
      <c r="AW185" s="348"/>
      <c r="AX185" s="348"/>
      <c r="AY185" s="348"/>
      <c r="AZ185" s="348"/>
      <c r="BA185" s="348"/>
      <c r="BB185" s="348"/>
      <c r="BC185" s="348"/>
      <c r="BD185" s="348"/>
      <c r="BE185" s="348"/>
      <c r="BF185" s="348"/>
      <c r="BG185" s="348"/>
      <c r="BH185" s="348"/>
      <c r="BI185" s="348"/>
      <c r="BJ185" s="348"/>
      <c r="BK185" s="348"/>
      <c r="BL185" s="348"/>
      <c r="BM185" s="348"/>
      <c r="BN185" s="348"/>
      <c r="BO185" s="348"/>
      <c r="BP185" s="348"/>
      <c r="BQ185" s="348"/>
      <c r="BR185" s="348"/>
      <c r="BS185" s="348"/>
      <c r="BT185" s="348"/>
      <c r="BU185" s="348"/>
      <c r="BV185" s="348"/>
      <c r="BW185" s="806" t="s">
        <v>96</v>
      </c>
      <c r="BX185" s="806"/>
      <c r="BY185" s="806"/>
      <c r="BZ185" s="806" t="str">
        <f>IFERROR(__xludf.DUMMYFUNCTION("""COMPUTED_VALUE"""),"")</f>
        <v/>
      </c>
      <c r="CA185" s="806"/>
      <c r="CB185" s="806"/>
      <c r="CC185" s="806"/>
      <c r="CD185" s="806"/>
      <c r="CE185" s="806"/>
      <c r="CF185" s="806"/>
      <c r="CG185" s="806"/>
      <c r="CH185" s="806"/>
      <c r="CI185" s="806"/>
      <c r="CJ185" s="806"/>
      <c r="CK185" s="806"/>
    </row>
    <row r="186">
      <c r="A186" s="348"/>
      <c r="B186" s="348"/>
      <c r="C186" s="236"/>
      <c r="D186" s="348"/>
      <c r="E186" s="348"/>
      <c r="F186" s="348"/>
      <c r="G186" s="348"/>
      <c r="H186" s="348"/>
      <c r="I186" s="348"/>
      <c r="J186" s="348"/>
      <c r="K186" s="348"/>
      <c r="L186" s="348"/>
      <c r="M186" s="348"/>
      <c r="N186" s="348"/>
      <c r="O186" s="348"/>
      <c r="P186" s="348"/>
      <c r="Q186" s="348"/>
      <c r="R186" s="348"/>
      <c r="S186" s="348"/>
      <c r="T186" s="348"/>
      <c r="U186" s="348" t="s">
        <v>96</v>
      </c>
      <c r="V186" s="348" t="s">
        <v>96</v>
      </c>
      <c r="W186" s="348"/>
      <c r="X186" s="348" t="s">
        <v>96</v>
      </c>
      <c r="Y186" s="772" t="s">
        <v>96</v>
      </c>
      <c r="Z186" s="772" t="s">
        <v>96</v>
      </c>
      <c r="AA186" s="348"/>
      <c r="AB186" s="153"/>
      <c r="AC186" s="348"/>
      <c r="AD186" s="348"/>
      <c r="AE186" s="348"/>
      <c r="AF186" s="348"/>
      <c r="AG186" s="348"/>
      <c r="AH186" s="348"/>
      <c r="AI186" s="348"/>
      <c r="AJ186" s="348"/>
      <c r="AK186" s="348"/>
      <c r="AL186" s="348"/>
      <c r="AM186" s="348"/>
      <c r="AN186" s="348"/>
      <c r="AO186" s="348"/>
      <c r="AP186" s="348"/>
      <c r="AQ186" s="348"/>
      <c r="AR186" s="348"/>
      <c r="AS186" s="348"/>
      <c r="AT186" s="348"/>
      <c r="AU186" s="348"/>
      <c r="AV186" s="348"/>
      <c r="AW186" s="348"/>
      <c r="AX186" s="348"/>
      <c r="AY186" s="348"/>
      <c r="AZ186" s="348"/>
      <c r="BA186" s="348"/>
      <c r="BB186" s="348"/>
      <c r="BC186" s="348"/>
      <c r="BD186" s="348"/>
      <c r="BE186" s="348"/>
      <c r="BF186" s="348"/>
      <c r="BG186" s="348"/>
      <c r="BH186" s="348"/>
      <c r="BI186" s="348"/>
      <c r="BJ186" s="348"/>
      <c r="BK186" s="348"/>
      <c r="BL186" s="348"/>
      <c r="BM186" s="348"/>
      <c r="BN186" s="348"/>
      <c r="BO186" s="348"/>
      <c r="BP186" s="348"/>
      <c r="BQ186" s="348"/>
      <c r="BR186" s="348"/>
      <c r="BS186" s="348"/>
      <c r="BT186" s="348"/>
      <c r="BU186" s="348"/>
      <c r="BV186" s="348"/>
      <c r="BW186" s="806" t="s">
        <v>96</v>
      </c>
      <c r="BX186" s="806"/>
      <c r="BY186" s="806"/>
      <c r="BZ186" s="806" t="str">
        <f>IFERROR(__xludf.DUMMYFUNCTION("""COMPUTED_VALUE"""),"")</f>
        <v/>
      </c>
      <c r="CA186" s="806"/>
      <c r="CB186" s="806"/>
      <c r="CC186" s="806"/>
      <c r="CD186" s="806"/>
      <c r="CE186" s="806"/>
      <c r="CF186" s="806"/>
      <c r="CG186" s="806"/>
      <c r="CH186" s="806"/>
      <c r="CI186" s="806"/>
      <c r="CJ186" s="806"/>
      <c r="CK186" s="806"/>
    </row>
    <row r="187">
      <c r="A187" s="348"/>
      <c r="B187" s="348"/>
      <c r="C187" s="236"/>
      <c r="D187" s="348"/>
      <c r="E187" s="348"/>
      <c r="F187" s="348"/>
      <c r="G187" s="348"/>
      <c r="H187" s="348"/>
      <c r="I187" s="348"/>
      <c r="J187" s="348"/>
      <c r="K187" s="348"/>
      <c r="L187" s="348"/>
      <c r="M187" s="348"/>
      <c r="N187" s="348"/>
      <c r="O187" s="348"/>
      <c r="P187" s="348"/>
      <c r="Q187" s="348"/>
      <c r="R187" s="348"/>
      <c r="S187" s="348"/>
      <c r="T187" s="348"/>
      <c r="U187" s="348" t="s">
        <v>96</v>
      </c>
      <c r="V187" s="348" t="s">
        <v>96</v>
      </c>
      <c r="W187" s="348"/>
      <c r="X187" s="348" t="s">
        <v>96</v>
      </c>
      <c r="Y187" s="772" t="s">
        <v>96</v>
      </c>
      <c r="Z187" s="772" t="s">
        <v>96</v>
      </c>
      <c r="AA187" s="348"/>
      <c r="AB187" s="153"/>
      <c r="AC187" s="348"/>
      <c r="AD187" s="348"/>
      <c r="AE187" s="348"/>
      <c r="AF187" s="348"/>
      <c r="AG187" s="348"/>
      <c r="AH187" s="348"/>
      <c r="AI187" s="348"/>
      <c r="AJ187" s="348"/>
      <c r="AK187" s="348"/>
      <c r="AL187" s="348"/>
      <c r="AM187" s="348"/>
      <c r="AN187" s="348"/>
      <c r="AO187" s="348"/>
      <c r="AP187" s="348"/>
      <c r="AQ187" s="348"/>
      <c r="AR187" s="348"/>
      <c r="AS187" s="348"/>
      <c r="AT187" s="348"/>
      <c r="AU187" s="348"/>
      <c r="AV187" s="348"/>
      <c r="AW187" s="348"/>
      <c r="AX187" s="348"/>
      <c r="AY187" s="348"/>
      <c r="AZ187" s="348"/>
      <c r="BA187" s="348"/>
      <c r="BB187" s="348"/>
      <c r="BC187" s="348"/>
      <c r="BD187" s="348"/>
      <c r="BE187" s="348"/>
      <c r="BF187" s="348"/>
      <c r="BG187" s="348"/>
      <c r="BH187" s="348"/>
      <c r="BI187" s="348"/>
      <c r="BJ187" s="348"/>
      <c r="BK187" s="348"/>
      <c r="BL187" s="348"/>
      <c r="BM187" s="348"/>
      <c r="BN187" s="348"/>
      <c r="BO187" s="348"/>
      <c r="BP187" s="348"/>
      <c r="BQ187" s="348"/>
      <c r="BR187" s="348"/>
      <c r="BS187" s="348"/>
      <c r="BT187" s="348"/>
      <c r="BU187" s="348"/>
      <c r="BV187" s="348"/>
      <c r="BW187" s="806" t="s">
        <v>96</v>
      </c>
      <c r="BX187" s="806"/>
      <c r="BY187" s="806"/>
      <c r="BZ187" s="806" t="str">
        <f>IFERROR(__xludf.DUMMYFUNCTION("""COMPUTED_VALUE"""),"")</f>
        <v/>
      </c>
      <c r="CA187" s="806"/>
      <c r="CB187" s="806"/>
      <c r="CC187" s="806"/>
      <c r="CD187" s="806"/>
      <c r="CE187" s="806"/>
      <c r="CF187" s="806"/>
      <c r="CG187" s="806"/>
      <c r="CH187" s="806"/>
      <c r="CI187" s="806"/>
      <c r="CJ187" s="806"/>
      <c r="CK187" s="806"/>
    </row>
    <row r="188">
      <c r="A188" s="348"/>
      <c r="B188" s="348"/>
      <c r="C188" s="236"/>
      <c r="D188" s="348"/>
      <c r="E188" s="348"/>
      <c r="F188" s="348"/>
      <c r="G188" s="348"/>
      <c r="H188" s="348"/>
      <c r="I188" s="348"/>
      <c r="J188" s="348"/>
      <c r="K188" s="348"/>
      <c r="L188" s="348"/>
      <c r="M188" s="348"/>
      <c r="N188" s="348"/>
      <c r="O188" s="348"/>
      <c r="P188" s="348"/>
      <c r="Q188" s="348"/>
      <c r="R188" s="348"/>
      <c r="S188" s="348"/>
      <c r="T188" s="348"/>
      <c r="U188" s="348" t="s">
        <v>96</v>
      </c>
      <c r="V188" s="348" t="s">
        <v>96</v>
      </c>
      <c r="W188" s="348"/>
      <c r="X188" s="348" t="s">
        <v>96</v>
      </c>
      <c r="Y188" s="772" t="s">
        <v>96</v>
      </c>
      <c r="Z188" s="772" t="s">
        <v>96</v>
      </c>
      <c r="AA188" s="348"/>
      <c r="AB188" s="153"/>
      <c r="AC188" s="348"/>
      <c r="AD188" s="348"/>
      <c r="AE188" s="348"/>
      <c r="AF188" s="348"/>
      <c r="AG188" s="348"/>
      <c r="AH188" s="348"/>
      <c r="AI188" s="348"/>
      <c r="AJ188" s="348"/>
      <c r="AK188" s="348"/>
      <c r="AL188" s="348"/>
      <c r="AM188" s="348"/>
      <c r="AN188" s="348"/>
      <c r="AO188" s="348"/>
      <c r="AP188" s="348"/>
      <c r="AQ188" s="348"/>
      <c r="AR188" s="348"/>
      <c r="AS188" s="348"/>
      <c r="AT188" s="348"/>
      <c r="AU188" s="348"/>
      <c r="AV188" s="348"/>
      <c r="AW188" s="348"/>
      <c r="AX188" s="348"/>
      <c r="AY188" s="348"/>
      <c r="AZ188" s="348"/>
      <c r="BA188" s="348"/>
      <c r="BB188" s="348"/>
      <c r="BC188" s="348"/>
      <c r="BD188" s="348"/>
      <c r="BE188" s="348"/>
      <c r="BF188" s="348"/>
      <c r="BG188" s="348"/>
      <c r="BH188" s="348"/>
      <c r="BI188" s="348"/>
      <c r="BJ188" s="348"/>
      <c r="BK188" s="348"/>
      <c r="BL188" s="348"/>
      <c r="BM188" s="348"/>
      <c r="BN188" s="348"/>
      <c r="BO188" s="348"/>
      <c r="BP188" s="348"/>
      <c r="BQ188" s="348"/>
      <c r="BR188" s="348"/>
      <c r="BS188" s="348"/>
      <c r="BT188" s="348"/>
      <c r="BU188" s="348"/>
      <c r="BV188" s="348"/>
      <c r="BW188" s="806" t="s">
        <v>96</v>
      </c>
      <c r="BX188" s="806"/>
      <c r="BY188" s="806"/>
      <c r="BZ188" s="806" t="str">
        <f>IFERROR(__xludf.DUMMYFUNCTION("""COMPUTED_VALUE"""),"")</f>
        <v/>
      </c>
      <c r="CA188" s="806"/>
      <c r="CB188" s="806"/>
      <c r="CC188" s="806"/>
      <c r="CD188" s="806"/>
      <c r="CE188" s="806"/>
      <c r="CF188" s="806"/>
      <c r="CG188" s="806"/>
      <c r="CH188" s="806"/>
      <c r="CI188" s="806"/>
      <c r="CJ188" s="806"/>
      <c r="CK188" s="806"/>
    </row>
    <row r="189">
      <c r="A189" s="348"/>
      <c r="B189" s="348"/>
      <c r="C189" s="236"/>
      <c r="D189" s="348"/>
      <c r="E189" s="348"/>
      <c r="F189" s="348"/>
      <c r="G189" s="348"/>
      <c r="H189" s="348"/>
      <c r="I189" s="348"/>
      <c r="J189" s="348"/>
      <c r="K189" s="348"/>
      <c r="L189" s="348"/>
      <c r="M189" s="348"/>
      <c r="N189" s="348"/>
      <c r="O189" s="348"/>
      <c r="P189" s="348"/>
      <c r="Q189" s="348"/>
      <c r="R189" s="348"/>
      <c r="S189" s="348"/>
      <c r="T189" s="348"/>
      <c r="U189" s="348" t="s">
        <v>96</v>
      </c>
      <c r="V189" s="348" t="s">
        <v>96</v>
      </c>
      <c r="W189" s="348"/>
      <c r="X189" s="348" t="s">
        <v>96</v>
      </c>
      <c r="Y189" s="772" t="s">
        <v>96</v>
      </c>
      <c r="Z189" s="772" t="s">
        <v>96</v>
      </c>
      <c r="AA189" s="348"/>
      <c r="AB189" s="153"/>
      <c r="AC189" s="348"/>
      <c r="AD189" s="348"/>
      <c r="AE189" s="348"/>
      <c r="AF189" s="348"/>
      <c r="AG189" s="348"/>
      <c r="AH189" s="348"/>
      <c r="AI189" s="348"/>
      <c r="AJ189" s="348"/>
      <c r="AK189" s="348"/>
      <c r="AL189" s="348"/>
      <c r="AM189" s="348"/>
      <c r="AN189" s="348"/>
      <c r="AO189" s="348"/>
      <c r="AP189" s="348"/>
      <c r="AQ189" s="348"/>
      <c r="AR189" s="348"/>
      <c r="AS189" s="348"/>
      <c r="AT189" s="348"/>
      <c r="AU189" s="348"/>
      <c r="AV189" s="348"/>
      <c r="AW189" s="348"/>
      <c r="AX189" s="348"/>
      <c r="AY189" s="348"/>
      <c r="AZ189" s="348"/>
      <c r="BA189" s="348"/>
      <c r="BB189" s="348"/>
      <c r="BC189" s="348"/>
      <c r="BD189" s="348"/>
      <c r="BE189" s="348"/>
      <c r="BF189" s="348"/>
      <c r="BG189" s="348"/>
      <c r="BH189" s="348"/>
      <c r="BI189" s="348"/>
      <c r="BJ189" s="348"/>
      <c r="BK189" s="348"/>
      <c r="BL189" s="348"/>
      <c r="BM189" s="348"/>
      <c r="BN189" s="348"/>
      <c r="BO189" s="348"/>
      <c r="BP189" s="348"/>
      <c r="BQ189" s="348"/>
      <c r="BR189" s="348"/>
      <c r="BS189" s="348"/>
      <c r="BT189" s="348"/>
      <c r="BU189" s="348"/>
      <c r="BV189" s="348"/>
      <c r="BW189" s="806" t="s">
        <v>96</v>
      </c>
      <c r="BX189" s="806"/>
      <c r="BY189" s="806"/>
      <c r="BZ189" s="806" t="str">
        <f>IFERROR(__xludf.DUMMYFUNCTION("""COMPUTED_VALUE"""),"")</f>
        <v/>
      </c>
      <c r="CA189" s="806"/>
      <c r="CB189" s="806"/>
      <c r="CC189" s="806"/>
      <c r="CD189" s="806"/>
      <c r="CE189" s="806"/>
      <c r="CF189" s="806"/>
      <c r="CG189" s="806"/>
      <c r="CH189" s="806"/>
      <c r="CI189" s="806"/>
      <c r="CJ189" s="806"/>
      <c r="CK189" s="806"/>
    </row>
    <row r="190">
      <c r="A190" s="348"/>
      <c r="B190" s="348"/>
      <c r="C190" s="236"/>
      <c r="D190" s="348"/>
      <c r="E190" s="348"/>
      <c r="F190" s="348"/>
      <c r="G190" s="348"/>
      <c r="H190" s="348"/>
      <c r="I190" s="348"/>
      <c r="J190" s="348"/>
      <c r="K190" s="348"/>
      <c r="L190" s="348"/>
      <c r="M190" s="348"/>
      <c r="N190" s="348"/>
      <c r="O190" s="348"/>
      <c r="P190" s="348"/>
      <c r="Q190" s="348"/>
      <c r="R190" s="348"/>
      <c r="S190" s="348"/>
      <c r="T190" s="348"/>
      <c r="U190" s="348" t="s">
        <v>96</v>
      </c>
      <c r="V190" s="348" t="s">
        <v>96</v>
      </c>
      <c r="W190" s="348"/>
      <c r="X190" s="348" t="s">
        <v>96</v>
      </c>
      <c r="Y190" s="772" t="s">
        <v>96</v>
      </c>
      <c r="Z190" s="772" t="s">
        <v>96</v>
      </c>
      <c r="AA190" s="348"/>
      <c r="AB190" s="153"/>
      <c r="AC190" s="348"/>
      <c r="AD190" s="348"/>
      <c r="AE190" s="348"/>
      <c r="AF190" s="348"/>
      <c r="AG190" s="348"/>
      <c r="AH190" s="348"/>
      <c r="AI190" s="348"/>
      <c r="AJ190" s="348"/>
      <c r="AK190" s="348"/>
      <c r="AL190" s="348"/>
      <c r="AM190" s="348"/>
      <c r="AN190" s="348"/>
      <c r="AO190" s="348"/>
      <c r="AP190" s="348"/>
      <c r="AQ190" s="348"/>
      <c r="AR190" s="348"/>
      <c r="AS190" s="348"/>
      <c r="AT190" s="348"/>
      <c r="AU190" s="348"/>
      <c r="AV190" s="348"/>
      <c r="AW190" s="348"/>
      <c r="AX190" s="348"/>
      <c r="AY190" s="348"/>
      <c r="AZ190" s="348"/>
      <c r="BA190" s="348"/>
      <c r="BB190" s="348"/>
      <c r="BC190" s="348"/>
      <c r="BD190" s="348"/>
      <c r="BE190" s="348"/>
      <c r="BF190" s="348"/>
      <c r="BG190" s="348"/>
      <c r="BH190" s="348"/>
      <c r="BI190" s="348"/>
      <c r="BJ190" s="348"/>
      <c r="BK190" s="348"/>
      <c r="BL190" s="348"/>
      <c r="BM190" s="348"/>
      <c r="BN190" s="348"/>
      <c r="BO190" s="348"/>
      <c r="BP190" s="348"/>
      <c r="BQ190" s="348"/>
      <c r="BR190" s="348"/>
      <c r="BS190" s="348"/>
      <c r="BT190" s="348"/>
      <c r="BU190" s="348"/>
      <c r="BV190" s="348"/>
      <c r="BW190" s="806" t="s">
        <v>96</v>
      </c>
      <c r="BX190" s="806"/>
      <c r="BY190" s="806"/>
      <c r="BZ190" s="806" t="str">
        <f>IFERROR(__xludf.DUMMYFUNCTION("""COMPUTED_VALUE"""),"")</f>
        <v/>
      </c>
      <c r="CA190" s="806"/>
      <c r="CB190" s="806"/>
      <c r="CC190" s="806"/>
      <c r="CD190" s="806"/>
      <c r="CE190" s="806"/>
      <c r="CF190" s="806"/>
      <c r="CG190" s="806"/>
      <c r="CH190" s="806"/>
      <c r="CI190" s="806"/>
      <c r="CJ190" s="806"/>
      <c r="CK190" s="806"/>
    </row>
    <row r="191">
      <c r="A191" s="348"/>
      <c r="B191" s="348"/>
      <c r="C191" s="236"/>
      <c r="D191" s="348"/>
      <c r="E191" s="348"/>
      <c r="F191" s="348"/>
      <c r="G191" s="348"/>
      <c r="H191" s="348"/>
      <c r="I191" s="348"/>
      <c r="J191" s="348"/>
      <c r="K191" s="348"/>
      <c r="L191" s="348"/>
      <c r="M191" s="348"/>
      <c r="N191" s="348"/>
      <c r="O191" s="348"/>
      <c r="P191" s="348"/>
      <c r="Q191" s="348"/>
      <c r="R191" s="348"/>
      <c r="S191" s="348"/>
      <c r="T191" s="348"/>
      <c r="U191" s="348" t="s">
        <v>96</v>
      </c>
      <c r="V191" s="348" t="s">
        <v>96</v>
      </c>
      <c r="W191" s="348"/>
      <c r="X191" s="348" t="s">
        <v>96</v>
      </c>
      <c r="Y191" s="772" t="s">
        <v>96</v>
      </c>
      <c r="Z191" s="772" t="s">
        <v>96</v>
      </c>
      <c r="AA191" s="348"/>
      <c r="AB191" s="153"/>
      <c r="AC191" s="348"/>
      <c r="AD191" s="348"/>
      <c r="AE191" s="348"/>
      <c r="AF191" s="348"/>
      <c r="AG191" s="348"/>
      <c r="AH191" s="348"/>
      <c r="AI191" s="348"/>
      <c r="AJ191" s="348"/>
      <c r="AK191" s="348"/>
      <c r="AL191" s="348"/>
      <c r="AM191" s="348"/>
      <c r="AN191" s="348"/>
      <c r="AO191" s="348"/>
      <c r="AP191" s="348"/>
      <c r="AQ191" s="348"/>
      <c r="AR191" s="348"/>
      <c r="AS191" s="348"/>
      <c r="AT191" s="348"/>
      <c r="AU191" s="348"/>
      <c r="AV191" s="348"/>
      <c r="AW191" s="348"/>
      <c r="AX191" s="348"/>
      <c r="AY191" s="348"/>
      <c r="AZ191" s="348"/>
      <c r="BA191" s="348"/>
      <c r="BB191" s="348"/>
      <c r="BC191" s="348"/>
      <c r="BD191" s="348"/>
      <c r="BE191" s="348"/>
      <c r="BF191" s="348"/>
      <c r="BG191" s="348"/>
      <c r="BH191" s="348"/>
      <c r="BI191" s="348"/>
      <c r="BJ191" s="348"/>
      <c r="BK191" s="348"/>
      <c r="BL191" s="348"/>
      <c r="BM191" s="348"/>
      <c r="BN191" s="348"/>
      <c r="BO191" s="348"/>
      <c r="BP191" s="348"/>
      <c r="BQ191" s="348"/>
      <c r="BR191" s="348"/>
      <c r="BS191" s="348"/>
      <c r="BT191" s="348"/>
      <c r="BU191" s="348"/>
      <c r="BV191" s="348"/>
      <c r="BW191" s="806" t="s">
        <v>96</v>
      </c>
      <c r="BX191" s="806"/>
      <c r="BY191" s="806"/>
      <c r="BZ191" s="806" t="str">
        <f>IFERROR(__xludf.DUMMYFUNCTION("""COMPUTED_VALUE"""),"")</f>
        <v/>
      </c>
      <c r="CA191" s="806"/>
      <c r="CB191" s="806"/>
      <c r="CC191" s="806"/>
      <c r="CD191" s="806"/>
      <c r="CE191" s="806"/>
      <c r="CF191" s="806"/>
      <c r="CG191" s="806"/>
      <c r="CH191" s="806"/>
      <c r="CI191" s="806"/>
      <c r="CJ191" s="806"/>
      <c r="CK191" s="806"/>
    </row>
    <row r="192">
      <c r="A192" s="348"/>
      <c r="B192" s="348"/>
      <c r="C192" s="236"/>
      <c r="D192" s="348"/>
      <c r="E192" s="348"/>
      <c r="F192" s="348"/>
      <c r="G192" s="348"/>
      <c r="H192" s="348"/>
      <c r="I192" s="348"/>
      <c r="J192" s="348"/>
      <c r="K192" s="348"/>
      <c r="L192" s="348"/>
      <c r="M192" s="348"/>
      <c r="N192" s="348"/>
      <c r="O192" s="348"/>
      <c r="P192" s="348"/>
      <c r="Q192" s="348"/>
      <c r="R192" s="348"/>
      <c r="S192" s="348"/>
      <c r="T192" s="348"/>
      <c r="U192" s="348" t="s">
        <v>96</v>
      </c>
      <c r="V192" s="348" t="s">
        <v>96</v>
      </c>
      <c r="W192" s="348"/>
      <c r="X192" s="348" t="s">
        <v>96</v>
      </c>
      <c r="Y192" s="772" t="s">
        <v>96</v>
      </c>
      <c r="Z192" s="772" t="s">
        <v>96</v>
      </c>
      <c r="AA192" s="348"/>
      <c r="AB192" s="153"/>
      <c r="AC192" s="348"/>
      <c r="AD192" s="348"/>
      <c r="AE192" s="348"/>
      <c r="AF192" s="348"/>
      <c r="AG192" s="348"/>
      <c r="AH192" s="348"/>
      <c r="AI192" s="348"/>
      <c r="AJ192" s="348"/>
      <c r="AK192" s="348"/>
      <c r="AL192" s="348"/>
      <c r="AM192" s="348"/>
      <c r="AN192" s="348"/>
      <c r="AO192" s="348"/>
      <c r="AP192" s="348"/>
      <c r="AQ192" s="348"/>
      <c r="AR192" s="348"/>
      <c r="AS192" s="348"/>
      <c r="AT192" s="348"/>
      <c r="AU192" s="348"/>
      <c r="AV192" s="348"/>
      <c r="AW192" s="348"/>
      <c r="AX192" s="348"/>
      <c r="AY192" s="348"/>
      <c r="AZ192" s="348"/>
      <c r="BA192" s="348"/>
      <c r="BB192" s="348"/>
      <c r="BC192" s="348"/>
      <c r="BD192" s="348"/>
      <c r="BE192" s="348"/>
      <c r="BF192" s="348"/>
      <c r="BG192" s="348"/>
      <c r="BH192" s="348"/>
      <c r="BI192" s="348"/>
      <c r="BJ192" s="348"/>
      <c r="BK192" s="348"/>
      <c r="BL192" s="348"/>
      <c r="BM192" s="348"/>
      <c r="BN192" s="348"/>
      <c r="BO192" s="348"/>
      <c r="BP192" s="348"/>
      <c r="BQ192" s="348"/>
      <c r="BR192" s="348"/>
      <c r="BS192" s="348"/>
      <c r="BT192" s="348"/>
      <c r="BU192" s="348"/>
      <c r="BV192" s="348"/>
      <c r="BW192" s="806" t="s">
        <v>96</v>
      </c>
      <c r="BX192" s="806"/>
      <c r="BY192" s="806"/>
      <c r="BZ192" s="806" t="str">
        <f>IFERROR(__xludf.DUMMYFUNCTION("""COMPUTED_VALUE"""),"")</f>
        <v/>
      </c>
      <c r="CA192" s="806"/>
      <c r="CB192" s="806"/>
      <c r="CC192" s="806"/>
      <c r="CD192" s="806"/>
      <c r="CE192" s="806"/>
      <c r="CF192" s="806"/>
      <c r="CG192" s="806"/>
      <c r="CH192" s="806"/>
      <c r="CI192" s="806"/>
      <c r="CJ192" s="806"/>
      <c r="CK192" s="806"/>
    </row>
    <row r="193">
      <c r="A193" s="348"/>
      <c r="B193" s="348"/>
      <c r="C193" s="236"/>
      <c r="D193" s="348"/>
      <c r="E193" s="348"/>
      <c r="F193" s="348"/>
      <c r="G193" s="348"/>
      <c r="H193" s="348"/>
      <c r="I193" s="348"/>
      <c r="J193" s="348"/>
      <c r="K193" s="348"/>
      <c r="L193" s="348"/>
      <c r="M193" s="348"/>
      <c r="N193" s="348"/>
      <c r="O193" s="348"/>
      <c r="P193" s="348"/>
      <c r="Q193" s="348"/>
      <c r="R193" s="348"/>
      <c r="S193" s="348"/>
      <c r="T193" s="348"/>
      <c r="U193" s="348" t="s">
        <v>96</v>
      </c>
      <c r="V193" s="348" t="s">
        <v>96</v>
      </c>
      <c r="W193" s="348"/>
      <c r="X193" s="348" t="s">
        <v>96</v>
      </c>
      <c r="Y193" s="772" t="s">
        <v>96</v>
      </c>
      <c r="Z193" s="772" t="s">
        <v>96</v>
      </c>
      <c r="AA193" s="348"/>
      <c r="AB193" s="153"/>
      <c r="AC193" s="348"/>
      <c r="AD193" s="348"/>
      <c r="AE193" s="348"/>
      <c r="AF193" s="348"/>
      <c r="AG193" s="348"/>
      <c r="AH193" s="348"/>
      <c r="AI193" s="348"/>
      <c r="AJ193" s="348"/>
      <c r="AK193" s="348"/>
      <c r="AL193" s="348"/>
      <c r="AM193" s="348"/>
      <c r="AN193" s="348"/>
      <c r="AO193" s="348"/>
      <c r="AP193" s="348"/>
      <c r="AQ193" s="348"/>
      <c r="AR193" s="348"/>
      <c r="AS193" s="348"/>
      <c r="AT193" s="348"/>
      <c r="AU193" s="348"/>
      <c r="AV193" s="348"/>
      <c r="AW193" s="348"/>
      <c r="AX193" s="348"/>
      <c r="AY193" s="348"/>
      <c r="AZ193" s="348"/>
      <c r="BA193" s="348"/>
      <c r="BB193" s="348"/>
      <c r="BC193" s="348"/>
      <c r="BD193" s="348"/>
      <c r="BE193" s="348"/>
      <c r="BF193" s="348"/>
      <c r="BG193" s="348"/>
      <c r="BH193" s="348"/>
      <c r="BI193" s="348"/>
      <c r="BJ193" s="348"/>
      <c r="BK193" s="348"/>
      <c r="BL193" s="348"/>
      <c r="BM193" s="348"/>
      <c r="BN193" s="348"/>
      <c r="BO193" s="348"/>
      <c r="BP193" s="348"/>
      <c r="BQ193" s="348"/>
      <c r="BR193" s="348"/>
      <c r="BS193" s="348"/>
      <c r="BT193" s="348"/>
      <c r="BU193" s="348"/>
      <c r="BV193" s="348"/>
      <c r="BW193" s="806" t="s">
        <v>96</v>
      </c>
      <c r="BX193" s="806"/>
      <c r="BY193" s="806"/>
      <c r="BZ193" s="806" t="str">
        <f>IFERROR(__xludf.DUMMYFUNCTION("""COMPUTED_VALUE"""),"")</f>
        <v/>
      </c>
      <c r="CA193" s="806"/>
      <c r="CB193" s="806"/>
      <c r="CC193" s="806"/>
      <c r="CD193" s="806"/>
      <c r="CE193" s="806"/>
      <c r="CF193" s="806"/>
      <c r="CG193" s="806"/>
      <c r="CH193" s="806"/>
      <c r="CI193" s="806"/>
      <c r="CJ193" s="806"/>
      <c r="CK193" s="806"/>
    </row>
    <row r="194">
      <c r="A194" s="348"/>
      <c r="B194" s="348"/>
      <c r="C194" s="236"/>
      <c r="D194" s="348"/>
      <c r="E194" s="348"/>
      <c r="F194" s="348"/>
      <c r="G194" s="348"/>
      <c r="H194" s="348"/>
      <c r="I194" s="348"/>
      <c r="J194" s="348"/>
      <c r="K194" s="348"/>
      <c r="L194" s="348"/>
      <c r="M194" s="348"/>
      <c r="N194" s="348"/>
      <c r="O194" s="348"/>
      <c r="P194" s="348"/>
      <c r="Q194" s="348"/>
      <c r="R194" s="348"/>
      <c r="S194" s="348"/>
      <c r="T194" s="348"/>
      <c r="U194" s="348" t="s">
        <v>96</v>
      </c>
      <c r="V194" s="348" t="s">
        <v>96</v>
      </c>
      <c r="W194" s="348"/>
      <c r="X194" s="348" t="s">
        <v>96</v>
      </c>
      <c r="Y194" s="772" t="s">
        <v>96</v>
      </c>
      <c r="Z194" s="772" t="s">
        <v>96</v>
      </c>
      <c r="AA194" s="348"/>
      <c r="AB194" s="153"/>
      <c r="AC194" s="348"/>
      <c r="AD194" s="348"/>
      <c r="AE194" s="348"/>
      <c r="AF194" s="348"/>
      <c r="AG194" s="348"/>
      <c r="AH194" s="348"/>
      <c r="AI194" s="348"/>
      <c r="AJ194" s="348"/>
      <c r="AK194" s="348"/>
      <c r="AL194" s="348"/>
      <c r="AM194" s="348"/>
      <c r="AN194" s="348"/>
      <c r="AO194" s="348"/>
      <c r="AP194" s="348"/>
      <c r="AQ194" s="348"/>
      <c r="AR194" s="348"/>
      <c r="AS194" s="348"/>
      <c r="AT194" s="348"/>
      <c r="AU194" s="348"/>
      <c r="AV194" s="348"/>
      <c r="AW194" s="348"/>
      <c r="AX194" s="348"/>
      <c r="AY194" s="348"/>
      <c r="AZ194" s="348"/>
      <c r="BA194" s="348"/>
      <c r="BB194" s="348"/>
      <c r="BC194" s="348"/>
      <c r="BD194" s="348"/>
      <c r="BE194" s="348"/>
      <c r="BF194" s="348"/>
      <c r="BG194" s="348"/>
      <c r="BH194" s="348"/>
      <c r="BI194" s="348"/>
      <c r="BJ194" s="348"/>
      <c r="BK194" s="348"/>
      <c r="BL194" s="348"/>
      <c r="BM194" s="348"/>
      <c r="BN194" s="348"/>
      <c r="BO194" s="348"/>
      <c r="BP194" s="348"/>
      <c r="BQ194" s="348"/>
      <c r="BR194" s="348"/>
      <c r="BS194" s="348"/>
      <c r="BT194" s="348"/>
      <c r="BU194" s="348"/>
      <c r="BV194" s="348"/>
      <c r="BW194" s="806" t="s">
        <v>96</v>
      </c>
      <c r="BX194" s="806"/>
      <c r="BY194" s="806"/>
      <c r="BZ194" s="806" t="str">
        <f>IFERROR(__xludf.DUMMYFUNCTION("""COMPUTED_VALUE"""),"")</f>
        <v/>
      </c>
      <c r="CA194" s="806"/>
      <c r="CB194" s="806"/>
      <c r="CC194" s="806"/>
      <c r="CD194" s="806"/>
      <c r="CE194" s="806"/>
      <c r="CF194" s="806"/>
      <c r="CG194" s="806"/>
      <c r="CH194" s="806"/>
      <c r="CI194" s="806"/>
      <c r="CJ194" s="806"/>
      <c r="CK194" s="806"/>
    </row>
    <row r="195">
      <c r="A195" s="348"/>
      <c r="B195" s="348"/>
      <c r="C195" s="236"/>
      <c r="D195" s="348"/>
      <c r="E195" s="348"/>
      <c r="F195" s="348"/>
      <c r="G195" s="348"/>
      <c r="H195" s="348"/>
      <c r="I195" s="348"/>
      <c r="J195" s="348"/>
      <c r="K195" s="348"/>
      <c r="L195" s="348"/>
      <c r="M195" s="348"/>
      <c r="N195" s="348"/>
      <c r="O195" s="348"/>
      <c r="P195" s="348"/>
      <c r="Q195" s="348"/>
      <c r="R195" s="348"/>
      <c r="S195" s="348"/>
      <c r="T195" s="348"/>
      <c r="U195" s="348" t="s">
        <v>96</v>
      </c>
      <c r="V195" s="348" t="s">
        <v>96</v>
      </c>
      <c r="W195" s="348"/>
      <c r="X195" s="348" t="s">
        <v>96</v>
      </c>
      <c r="Y195" s="772" t="s">
        <v>96</v>
      </c>
      <c r="Z195" s="772" t="s">
        <v>96</v>
      </c>
      <c r="AA195" s="348"/>
      <c r="AB195" s="153"/>
      <c r="AC195" s="348"/>
      <c r="AD195" s="348"/>
      <c r="AE195" s="348"/>
      <c r="AF195" s="348"/>
      <c r="AG195" s="348"/>
      <c r="AH195" s="348"/>
      <c r="AI195" s="348"/>
      <c r="AJ195" s="348"/>
      <c r="AK195" s="348"/>
      <c r="AL195" s="348"/>
      <c r="AM195" s="348"/>
      <c r="AN195" s="348"/>
      <c r="AO195" s="348"/>
      <c r="AP195" s="348"/>
      <c r="AQ195" s="348"/>
      <c r="AR195" s="348"/>
      <c r="AS195" s="348"/>
      <c r="AT195" s="348"/>
      <c r="AU195" s="348"/>
      <c r="AV195" s="348"/>
      <c r="AW195" s="348"/>
      <c r="AX195" s="348"/>
      <c r="AY195" s="348"/>
      <c r="AZ195" s="348"/>
      <c r="BA195" s="348"/>
      <c r="BB195" s="348"/>
      <c r="BC195" s="348"/>
      <c r="BD195" s="348"/>
      <c r="BE195" s="348"/>
      <c r="BF195" s="348"/>
      <c r="BG195" s="348"/>
      <c r="BH195" s="348"/>
      <c r="BI195" s="348"/>
      <c r="BJ195" s="348"/>
      <c r="BK195" s="348"/>
      <c r="BL195" s="348"/>
      <c r="BM195" s="348"/>
      <c r="BN195" s="348"/>
      <c r="BO195" s="348"/>
      <c r="BP195" s="348"/>
      <c r="BQ195" s="348"/>
      <c r="BR195" s="348"/>
      <c r="BS195" s="348"/>
      <c r="BT195" s="348"/>
      <c r="BU195" s="348"/>
      <c r="BV195" s="348"/>
      <c r="BW195" s="806" t="s">
        <v>96</v>
      </c>
      <c r="BX195" s="806"/>
      <c r="BY195" s="806"/>
      <c r="BZ195" s="806" t="str">
        <f>IFERROR(__xludf.DUMMYFUNCTION("""COMPUTED_VALUE"""),"")</f>
        <v/>
      </c>
      <c r="CA195" s="806"/>
      <c r="CB195" s="806"/>
      <c r="CC195" s="806"/>
      <c r="CD195" s="806"/>
      <c r="CE195" s="806"/>
      <c r="CF195" s="806"/>
      <c r="CG195" s="806"/>
      <c r="CH195" s="806"/>
      <c r="CI195" s="806"/>
      <c r="CJ195" s="806"/>
      <c r="CK195" s="806"/>
    </row>
    <row r="196">
      <c r="A196" s="348"/>
      <c r="B196" s="348"/>
      <c r="C196" s="236"/>
      <c r="D196" s="348"/>
      <c r="E196" s="348"/>
      <c r="F196" s="348"/>
      <c r="G196" s="348"/>
      <c r="H196" s="348"/>
      <c r="I196" s="348"/>
      <c r="J196" s="348"/>
      <c r="K196" s="348"/>
      <c r="L196" s="348"/>
      <c r="M196" s="348"/>
      <c r="N196" s="348"/>
      <c r="O196" s="348"/>
      <c r="P196" s="348"/>
      <c r="Q196" s="348"/>
      <c r="R196" s="348"/>
      <c r="S196" s="348"/>
      <c r="T196" s="348"/>
      <c r="U196" s="348" t="s">
        <v>96</v>
      </c>
      <c r="V196" s="348" t="s">
        <v>96</v>
      </c>
      <c r="W196" s="348"/>
      <c r="X196" s="348" t="s">
        <v>96</v>
      </c>
      <c r="Y196" s="772" t="s">
        <v>96</v>
      </c>
      <c r="Z196" s="772" t="s">
        <v>96</v>
      </c>
      <c r="AA196" s="348"/>
      <c r="AB196" s="153"/>
      <c r="AC196" s="348"/>
      <c r="AD196" s="348"/>
      <c r="AE196" s="348"/>
      <c r="AF196" s="348"/>
      <c r="AG196" s="348"/>
      <c r="AH196" s="348"/>
      <c r="AI196" s="348"/>
      <c r="AJ196" s="348"/>
      <c r="AK196" s="348"/>
      <c r="AL196" s="348"/>
      <c r="AM196" s="348"/>
      <c r="AN196" s="348"/>
      <c r="AO196" s="348"/>
      <c r="AP196" s="348"/>
      <c r="AQ196" s="348"/>
      <c r="AR196" s="348"/>
      <c r="AS196" s="348"/>
      <c r="AT196" s="348"/>
      <c r="AU196" s="348"/>
      <c r="AV196" s="348"/>
      <c r="AW196" s="348"/>
      <c r="AX196" s="348"/>
      <c r="AY196" s="348"/>
      <c r="AZ196" s="348"/>
      <c r="BA196" s="348"/>
      <c r="BB196" s="348"/>
      <c r="BC196" s="348"/>
      <c r="BD196" s="348"/>
      <c r="BE196" s="348"/>
      <c r="BF196" s="348"/>
      <c r="BG196" s="348"/>
      <c r="BH196" s="348"/>
      <c r="BI196" s="348"/>
      <c r="BJ196" s="348"/>
      <c r="BK196" s="348"/>
      <c r="BL196" s="348"/>
      <c r="BM196" s="348"/>
      <c r="BN196" s="348"/>
      <c r="BO196" s="348"/>
      <c r="BP196" s="348"/>
      <c r="BQ196" s="348"/>
      <c r="BR196" s="348"/>
      <c r="BS196" s="348"/>
      <c r="BT196" s="348"/>
      <c r="BU196" s="348"/>
      <c r="BV196" s="348"/>
      <c r="BW196" s="806" t="s">
        <v>96</v>
      </c>
      <c r="BX196" s="806"/>
      <c r="BY196" s="806"/>
      <c r="BZ196" s="806" t="str">
        <f>IFERROR(__xludf.DUMMYFUNCTION("""COMPUTED_VALUE"""),"")</f>
        <v/>
      </c>
      <c r="CA196" s="806"/>
      <c r="CB196" s="806"/>
      <c r="CC196" s="806"/>
      <c r="CD196" s="806"/>
      <c r="CE196" s="806"/>
      <c r="CF196" s="806"/>
      <c r="CG196" s="806"/>
      <c r="CH196" s="806"/>
      <c r="CI196" s="806"/>
      <c r="CJ196" s="806"/>
      <c r="CK196" s="806"/>
    </row>
    <row r="197">
      <c r="A197" s="348"/>
      <c r="B197" s="348"/>
      <c r="C197" s="236"/>
      <c r="D197" s="348"/>
      <c r="E197" s="348"/>
      <c r="F197" s="348"/>
      <c r="G197" s="348"/>
      <c r="H197" s="348"/>
      <c r="I197" s="348"/>
      <c r="J197" s="348"/>
      <c r="K197" s="348"/>
      <c r="L197" s="348"/>
      <c r="M197" s="348"/>
      <c r="N197" s="348"/>
      <c r="O197" s="348"/>
      <c r="P197" s="348"/>
      <c r="Q197" s="348"/>
      <c r="R197" s="348"/>
      <c r="S197" s="348"/>
      <c r="T197" s="348"/>
      <c r="U197" s="348" t="s">
        <v>96</v>
      </c>
      <c r="V197" s="348" t="s">
        <v>96</v>
      </c>
      <c r="W197" s="348"/>
      <c r="X197" s="348" t="s">
        <v>96</v>
      </c>
      <c r="Y197" s="772" t="s">
        <v>96</v>
      </c>
      <c r="Z197" s="772" t="s">
        <v>96</v>
      </c>
      <c r="AA197" s="348"/>
      <c r="AB197" s="153"/>
      <c r="AC197" s="348"/>
      <c r="AD197" s="348"/>
      <c r="AE197" s="348"/>
      <c r="AF197" s="348"/>
      <c r="AG197" s="348"/>
      <c r="AH197" s="348"/>
      <c r="AI197" s="348"/>
      <c r="AJ197" s="348"/>
      <c r="AK197" s="348"/>
      <c r="AL197" s="348"/>
      <c r="AM197" s="348"/>
      <c r="AN197" s="348"/>
      <c r="AO197" s="348"/>
      <c r="AP197" s="348"/>
      <c r="AQ197" s="348"/>
      <c r="AR197" s="348"/>
      <c r="AS197" s="348"/>
      <c r="AT197" s="348"/>
      <c r="AU197" s="348"/>
      <c r="AV197" s="348"/>
      <c r="AW197" s="348"/>
      <c r="AX197" s="348"/>
      <c r="AY197" s="348"/>
      <c r="AZ197" s="348"/>
      <c r="BA197" s="348"/>
      <c r="BB197" s="348"/>
      <c r="BC197" s="348"/>
      <c r="BD197" s="348"/>
      <c r="BE197" s="348"/>
      <c r="BF197" s="348"/>
      <c r="BG197" s="348"/>
      <c r="BH197" s="348"/>
      <c r="BI197" s="348"/>
      <c r="BJ197" s="348"/>
      <c r="BK197" s="348"/>
      <c r="BL197" s="348"/>
      <c r="BM197" s="348"/>
      <c r="BN197" s="348"/>
      <c r="BO197" s="348"/>
      <c r="BP197" s="348"/>
      <c r="BQ197" s="348"/>
      <c r="BR197" s="348"/>
      <c r="BS197" s="348"/>
      <c r="BT197" s="348"/>
      <c r="BU197" s="348"/>
      <c r="BV197" s="348"/>
      <c r="BW197" s="806" t="s">
        <v>96</v>
      </c>
      <c r="BX197" s="806"/>
      <c r="BY197" s="806"/>
      <c r="BZ197" s="806" t="str">
        <f>IFERROR(__xludf.DUMMYFUNCTION("""COMPUTED_VALUE"""),"")</f>
        <v/>
      </c>
      <c r="CA197" s="806"/>
      <c r="CB197" s="806"/>
      <c r="CC197" s="806"/>
      <c r="CD197" s="806"/>
      <c r="CE197" s="806"/>
      <c r="CF197" s="806"/>
      <c r="CG197" s="806"/>
      <c r="CH197" s="806"/>
      <c r="CI197" s="806"/>
      <c r="CJ197" s="806"/>
      <c r="CK197" s="806"/>
    </row>
    <row r="198">
      <c r="A198" s="348"/>
      <c r="B198" s="348"/>
      <c r="C198" s="236"/>
      <c r="D198" s="348"/>
      <c r="E198" s="348"/>
      <c r="F198" s="348"/>
      <c r="G198" s="348"/>
      <c r="H198" s="348"/>
      <c r="I198" s="348"/>
      <c r="J198" s="348"/>
      <c r="K198" s="348"/>
      <c r="L198" s="348"/>
      <c r="M198" s="348"/>
      <c r="N198" s="348"/>
      <c r="O198" s="348"/>
      <c r="P198" s="348"/>
      <c r="Q198" s="348"/>
      <c r="R198" s="348"/>
      <c r="S198" s="348"/>
      <c r="T198" s="348"/>
      <c r="U198" s="348" t="s">
        <v>96</v>
      </c>
      <c r="V198" s="348" t="s">
        <v>96</v>
      </c>
      <c r="W198" s="348"/>
      <c r="X198" s="348" t="s">
        <v>96</v>
      </c>
      <c r="Y198" s="772" t="s">
        <v>96</v>
      </c>
      <c r="Z198" s="772" t="s">
        <v>96</v>
      </c>
      <c r="AA198" s="348"/>
      <c r="AB198" s="153"/>
      <c r="AC198" s="348"/>
      <c r="AD198" s="348"/>
      <c r="AE198" s="348"/>
      <c r="AF198" s="348"/>
      <c r="AG198" s="348"/>
      <c r="AH198" s="348"/>
      <c r="AI198" s="348"/>
      <c r="AJ198" s="348"/>
      <c r="AK198" s="348"/>
      <c r="AL198" s="348"/>
      <c r="AM198" s="348"/>
      <c r="AN198" s="348"/>
      <c r="AO198" s="348"/>
      <c r="AP198" s="348"/>
      <c r="AQ198" s="348"/>
      <c r="AR198" s="348"/>
      <c r="AS198" s="348"/>
      <c r="AT198" s="348"/>
      <c r="AU198" s="348"/>
      <c r="AV198" s="348"/>
      <c r="AW198" s="348"/>
      <c r="AX198" s="348"/>
      <c r="AY198" s="348"/>
      <c r="AZ198" s="348"/>
      <c r="BA198" s="348"/>
      <c r="BB198" s="348"/>
      <c r="BC198" s="348"/>
      <c r="BD198" s="348"/>
      <c r="BE198" s="348"/>
      <c r="BF198" s="348"/>
      <c r="BG198" s="348"/>
      <c r="BH198" s="348"/>
      <c r="BI198" s="348"/>
      <c r="BJ198" s="348"/>
      <c r="BK198" s="348"/>
      <c r="BL198" s="348"/>
      <c r="BM198" s="348"/>
      <c r="BN198" s="348"/>
      <c r="BO198" s="348"/>
      <c r="BP198" s="348"/>
      <c r="BQ198" s="348"/>
      <c r="BR198" s="348"/>
      <c r="BS198" s="348"/>
      <c r="BT198" s="348"/>
      <c r="BU198" s="348"/>
      <c r="BV198" s="348"/>
      <c r="BW198" s="806" t="s">
        <v>96</v>
      </c>
      <c r="BX198" s="806"/>
      <c r="BY198" s="806"/>
      <c r="BZ198" s="806" t="str">
        <f>IFERROR(__xludf.DUMMYFUNCTION("""COMPUTED_VALUE"""),"")</f>
        <v/>
      </c>
      <c r="CA198" s="806"/>
      <c r="CB198" s="806"/>
      <c r="CC198" s="806"/>
      <c r="CD198" s="806"/>
      <c r="CE198" s="806"/>
      <c r="CF198" s="806"/>
      <c r="CG198" s="806"/>
      <c r="CH198" s="806"/>
      <c r="CI198" s="806"/>
      <c r="CJ198" s="806"/>
      <c r="CK198" s="806"/>
    </row>
    <row r="199">
      <c r="A199" s="348"/>
      <c r="B199" s="348"/>
      <c r="C199" s="236"/>
      <c r="D199" s="348"/>
      <c r="E199" s="348"/>
      <c r="F199" s="348"/>
      <c r="G199" s="348"/>
      <c r="H199" s="348"/>
      <c r="I199" s="348"/>
      <c r="J199" s="348"/>
      <c r="K199" s="348"/>
      <c r="L199" s="348"/>
      <c r="M199" s="348"/>
      <c r="N199" s="348"/>
      <c r="O199" s="348"/>
      <c r="P199" s="348"/>
      <c r="Q199" s="348"/>
      <c r="R199" s="348"/>
      <c r="S199" s="348"/>
      <c r="T199" s="348"/>
      <c r="U199" s="348" t="s">
        <v>96</v>
      </c>
      <c r="V199" s="348" t="s">
        <v>96</v>
      </c>
      <c r="W199" s="348"/>
      <c r="X199" s="348" t="s">
        <v>96</v>
      </c>
      <c r="Y199" s="772" t="s">
        <v>96</v>
      </c>
      <c r="Z199" s="772" t="s">
        <v>96</v>
      </c>
      <c r="AA199" s="348"/>
      <c r="AB199" s="153"/>
      <c r="AC199" s="348"/>
      <c r="AD199" s="348"/>
      <c r="AE199" s="348"/>
      <c r="AF199" s="348"/>
      <c r="AG199" s="348"/>
      <c r="AH199" s="348"/>
      <c r="AI199" s="348"/>
      <c r="AJ199" s="348"/>
      <c r="AK199" s="348"/>
      <c r="AL199" s="348"/>
      <c r="AM199" s="348"/>
      <c r="AN199" s="348"/>
      <c r="AO199" s="348"/>
      <c r="AP199" s="348"/>
      <c r="AQ199" s="348"/>
      <c r="AR199" s="348"/>
      <c r="AS199" s="348"/>
      <c r="AT199" s="348"/>
      <c r="AU199" s="348"/>
      <c r="AV199" s="348"/>
      <c r="AW199" s="348"/>
      <c r="AX199" s="348"/>
      <c r="AY199" s="348"/>
      <c r="AZ199" s="348"/>
      <c r="BA199" s="348"/>
      <c r="BB199" s="348"/>
      <c r="BC199" s="348"/>
      <c r="BD199" s="348"/>
      <c r="BE199" s="348"/>
      <c r="BF199" s="348"/>
      <c r="BG199" s="348"/>
      <c r="BH199" s="348"/>
      <c r="BI199" s="348"/>
      <c r="BJ199" s="348"/>
      <c r="BK199" s="348"/>
      <c r="BL199" s="348"/>
      <c r="BM199" s="348"/>
      <c r="BN199" s="348"/>
      <c r="BO199" s="348"/>
      <c r="BP199" s="348"/>
      <c r="BQ199" s="348"/>
      <c r="BR199" s="348"/>
      <c r="BS199" s="348"/>
      <c r="BT199" s="348"/>
      <c r="BU199" s="348"/>
      <c r="BV199" s="348"/>
      <c r="BW199" s="806" t="s">
        <v>96</v>
      </c>
      <c r="BX199" s="806"/>
      <c r="BY199" s="806"/>
      <c r="BZ199" s="806" t="str">
        <f>IFERROR(__xludf.DUMMYFUNCTION("""COMPUTED_VALUE"""),"")</f>
        <v/>
      </c>
      <c r="CA199" s="806"/>
      <c r="CB199" s="806"/>
      <c r="CC199" s="806"/>
      <c r="CD199" s="806"/>
      <c r="CE199" s="806"/>
      <c r="CF199" s="806"/>
      <c r="CG199" s="806"/>
      <c r="CH199" s="806"/>
      <c r="CI199" s="806"/>
      <c r="CJ199" s="806"/>
      <c r="CK199" s="806"/>
    </row>
    <row r="200">
      <c r="A200" s="348"/>
      <c r="B200" s="348"/>
      <c r="C200" s="236"/>
      <c r="D200" s="348"/>
      <c r="E200" s="348"/>
      <c r="F200" s="348"/>
      <c r="G200" s="348"/>
      <c r="H200" s="348"/>
      <c r="I200" s="348"/>
      <c r="J200" s="348"/>
      <c r="K200" s="348"/>
      <c r="L200" s="348"/>
      <c r="M200" s="348"/>
      <c r="N200" s="348"/>
      <c r="O200" s="348"/>
      <c r="P200" s="348"/>
      <c r="Q200" s="348"/>
      <c r="R200" s="348"/>
      <c r="S200" s="348"/>
      <c r="T200" s="348"/>
      <c r="U200" s="348" t="s">
        <v>96</v>
      </c>
      <c r="V200" s="348" t="s">
        <v>96</v>
      </c>
      <c r="W200" s="348"/>
      <c r="X200" s="348" t="s">
        <v>96</v>
      </c>
      <c r="Y200" s="772" t="s">
        <v>96</v>
      </c>
      <c r="Z200" s="772" t="s">
        <v>96</v>
      </c>
      <c r="AA200" s="348"/>
      <c r="AB200" s="153"/>
      <c r="AC200" s="348"/>
      <c r="AD200" s="348"/>
      <c r="AE200" s="348"/>
      <c r="AF200" s="348"/>
      <c r="AG200" s="348"/>
      <c r="AH200" s="348"/>
      <c r="AI200" s="348"/>
      <c r="AJ200" s="348"/>
      <c r="AK200" s="348"/>
      <c r="AL200" s="348"/>
      <c r="AM200" s="348"/>
      <c r="AN200" s="348"/>
      <c r="AO200" s="348"/>
      <c r="AP200" s="348"/>
      <c r="AQ200" s="348"/>
      <c r="AR200" s="348"/>
      <c r="AS200" s="348"/>
      <c r="AT200" s="348"/>
      <c r="AU200" s="348"/>
      <c r="AV200" s="348"/>
      <c r="AW200" s="348"/>
      <c r="AX200" s="348"/>
      <c r="AY200" s="348"/>
      <c r="AZ200" s="348"/>
      <c r="BA200" s="348"/>
      <c r="BB200" s="348"/>
      <c r="BC200" s="348"/>
      <c r="BD200" s="348"/>
      <c r="BE200" s="348"/>
      <c r="BF200" s="348"/>
      <c r="BG200" s="348"/>
      <c r="BH200" s="348"/>
      <c r="BI200" s="348"/>
      <c r="BJ200" s="348"/>
      <c r="BK200" s="348"/>
      <c r="BL200" s="348"/>
      <c r="BM200" s="348"/>
      <c r="BN200" s="348"/>
      <c r="BO200" s="348"/>
      <c r="BP200" s="348"/>
      <c r="BQ200" s="348"/>
      <c r="BR200" s="348"/>
      <c r="BS200" s="348"/>
      <c r="BT200" s="348"/>
      <c r="BU200" s="348"/>
      <c r="BV200" s="348"/>
      <c r="BW200" s="806" t="s">
        <v>96</v>
      </c>
      <c r="BX200" s="806"/>
      <c r="BY200" s="806"/>
      <c r="BZ200" s="806" t="str">
        <f>IFERROR(__xludf.DUMMYFUNCTION("""COMPUTED_VALUE"""),"")</f>
        <v/>
      </c>
      <c r="CA200" s="806"/>
      <c r="CB200" s="806"/>
      <c r="CC200" s="806"/>
      <c r="CD200" s="806"/>
      <c r="CE200" s="806"/>
      <c r="CF200" s="806"/>
      <c r="CG200" s="806"/>
      <c r="CH200" s="806"/>
      <c r="CI200" s="806"/>
      <c r="CJ200" s="806"/>
      <c r="CK200" s="806"/>
    </row>
    <row r="201">
      <c r="A201" s="348"/>
      <c r="B201" s="348"/>
      <c r="C201" s="236"/>
      <c r="D201" s="348"/>
      <c r="E201" s="348"/>
      <c r="F201" s="348"/>
      <c r="G201" s="348"/>
      <c r="H201" s="348"/>
      <c r="I201" s="348"/>
      <c r="J201" s="348"/>
      <c r="K201" s="348"/>
      <c r="L201" s="348"/>
      <c r="M201" s="348"/>
      <c r="N201" s="348"/>
      <c r="O201" s="348"/>
      <c r="P201" s="348"/>
      <c r="Q201" s="348"/>
      <c r="R201" s="348"/>
      <c r="S201" s="348"/>
      <c r="T201" s="348"/>
      <c r="U201" s="348" t="s">
        <v>96</v>
      </c>
      <c r="V201" s="348" t="s">
        <v>96</v>
      </c>
      <c r="W201" s="348"/>
      <c r="X201" s="348" t="s">
        <v>96</v>
      </c>
      <c r="Y201" s="772" t="s">
        <v>96</v>
      </c>
      <c r="Z201" s="772" t="s">
        <v>96</v>
      </c>
      <c r="AA201" s="348"/>
      <c r="AB201" s="153"/>
      <c r="AC201" s="348"/>
      <c r="AD201" s="348"/>
      <c r="AE201" s="348"/>
      <c r="AF201" s="348"/>
      <c r="AG201" s="348"/>
      <c r="AH201" s="348"/>
      <c r="AI201" s="348"/>
      <c r="AJ201" s="348"/>
      <c r="AK201" s="348"/>
      <c r="AL201" s="348"/>
      <c r="AM201" s="348"/>
      <c r="AN201" s="348"/>
      <c r="AO201" s="348"/>
      <c r="AP201" s="348"/>
      <c r="AQ201" s="348"/>
      <c r="AR201" s="348"/>
      <c r="AS201" s="348"/>
      <c r="AT201" s="348"/>
      <c r="AU201" s="348"/>
      <c r="AV201" s="348"/>
      <c r="AW201" s="348"/>
      <c r="AX201" s="348"/>
      <c r="AY201" s="348"/>
      <c r="AZ201" s="348"/>
      <c r="BA201" s="348"/>
      <c r="BB201" s="348"/>
      <c r="BC201" s="348"/>
      <c r="BD201" s="348"/>
      <c r="BE201" s="348"/>
      <c r="BF201" s="348"/>
      <c r="BG201" s="348"/>
      <c r="BH201" s="348"/>
      <c r="BI201" s="348"/>
      <c r="BJ201" s="348"/>
      <c r="BK201" s="348"/>
      <c r="BL201" s="348"/>
      <c r="BM201" s="348"/>
      <c r="BN201" s="348"/>
      <c r="BO201" s="348"/>
      <c r="BP201" s="348"/>
      <c r="BQ201" s="348"/>
      <c r="BR201" s="348"/>
      <c r="BS201" s="348"/>
      <c r="BT201" s="348"/>
      <c r="BU201" s="348"/>
      <c r="BV201" s="348"/>
      <c r="BW201" s="806" t="s">
        <v>96</v>
      </c>
      <c r="BX201" s="806"/>
      <c r="BY201" s="806"/>
      <c r="BZ201" s="806" t="str">
        <f>IFERROR(__xludf.DUMMYFUNCTION("""COMPUTED_VALUE"""),"")</f>
        <v/>
      </c>
      <c r="CA201" s="806"/>
      <c r="CB201" s="806"/>
      <c r="CC201" s="806"/>
      <c r="CD201" s="806"/>
      <c r="CE201" s="806"/>
      <c r="CF201" s="806"/>
      <c r="CG201" s="806"/>
      <c r="CH201" s="806"/>
      <c r="CI201" s="806"/>
      <c r="CJ201" s="806"/>
      <c r="CK201" s="806"/>
    </row>
    <row r="202">
      <c r="A202" s="348"/>
      <c r="B202" s="348"/>
      <c r="C202" s="236"/>
      <c r="D202" s="348"/>
      <c r="E202" s="348"/>
      <c r="F202" s="348"/>
      <c r="G202" s="348"/>
      <c r="H202" s="348"/>
      <c r="I202" s="348"/>
      <c r="J202" s="348"/>
      <c r="K202" s="348"/>
      <c r="L202" s="348"/>
      <c r="M202" s="348"/>
      <c r="N202" s="348"/>
      <c r="O202" s="348"/>
      <c r="P202" s="348"/>
      <c r="Q202" s="348"/>
      <c r="R202" s="348"/>
      <c r="S202" s="348"/>
      <c r="T202" s="348"/>
      <c r="U202" s="348" t="s">
        <v>96</v>
      </c>
      <c r="V202" s="348" t="s">
        <v>96</v>
      </c>
      <c r="W202" s="348"/>
      <c r="X202" s="348" t="s">
        <v>96</v>
      </c>
      <c r="Y202" s="772" t="s">
        <v>96</v>
      </c>
      <c r="Z202" s="772" t="s">
        <v>96</v>
      </c>
      <c r="AA202" s="348"/>
      <c r="AB202" s="153"/>
      <c r="AC202" s="348"/>
      <c r="AD202" s="348"/>
      <c r="AE202" s="348"/>
      <c r="AF202" s="348"/>
      <c r="AG202" s="348"/>
      <c r="AH202" s="348"/>
      <c r="AI202" s="348"/>
      <c r="AJ202" s="348"/>
      <c r="AK202" s="348"/>
      <c r="AL202" s="348"/>
      <c r="AM202" s="348"/>
      <c r="AN202" s="348"/>
      <c r="AO202" s="348"/>
      <c r="AP202" s="348"/>
      <c r="AQ202" s="348"/>
      <c r="AR202" s="348"/>
      <c r="AS202" s="348"/>
      <c r="AT202" s="348"/>
      <c r="AU202" s="348"/>
      <c r="AV202" s="348"/>
      <c r="AW202" s="348"/>
      <c r="AX202" s="348"/>
      <c r="AY202" s="348"/>
      <c r="AZ202" s="348"/>
      <c r="BA202" s="348"/>
      <c r="BB202" s="348"/>
      <c r="BC202" s="348"/>
      <c r="BD202" s="348"/>
      <c r="BE202" s="348"/>
      <c r="BF202" s="348"/>
      <c r="BG202" s="348"/>
      <c r="BH202" s="348"/>
      <c r="BI202" s="348"/>
      <c r="BJ202" s="348"/>
      <c r="BK202" s="348"/>
      <c r="BL202" s="348"/>
      <c r="BM202" s="348"/>
      <c r="BN202" s="348"/>
      <c r="BO202" s="348"/>
      <c r="BP202" s="348"/>
      <c r="BQ202" s="348"/>
      <c r="BR202" s="348"/>
      <c r="BS202" s="348"/>
      <c r="BT202" s="348"/>
      <c r="BU202" s="348"/>
      <c r="BV202" s="348"/>
      <c r="BW202" s="806" t="s">
        <v>96</v>
      </c>
      <c r="BX202" s="806"/>
      <c r="BY202" s="806"/>
      <c r="BZ202" s="806" t="str">
        <f>IFERROR(__xludf.DUMMYFUNCTION("""COMPUTED_VALUE"""),"")</f>
        <v/>
      </c>
      <c r="CA202" s="806"/>
      <c r="CB202" s="806"/>
      <c r="CC202" s="806"/>
      <c r="CD202" s="806"/>
      <c r="CE202" s="806"/>
      <c r="CF202" s="806"/>
      <c r="CG202" s="806"/>
      <c r="CH202" s="806"/>
      <c r="CI202" s="806"/>
      <c r="CJ202" s="806"/>
      <c r="CK202" s="806"/>
    </row>
    <row r="203">
      <c r="A203" s="348"/>
      <c r="B203" s="348"/>
      <c r="C203" s="236"/>
      <c r="D203" s="348"/>
      <c r="E203" s="348"/>
      <c r="F203" s="348"/>
      <c r="G203" s="348"/>
      <c r="H203" s="348"/>
      <c r="I203" s="348"/>
      <c r="J203" s="348"/>
      <c r="K203" s="348"/>
      <c r="L203" s="348"/>
      <c r="M203" s="348"/>
      <c r="N203" s="348"/>
      <c r="O203" s="348"/>
      <c r="P203" s="348"/>
      <c r="Q203" s="348"/>
      <c r="R203" s="348"/>
      <c r="S203" s="348"/>
      <c r="T203" s="348"/>
      <c r="U203" s="348" t="s">
        <v>96</v>
      </c>
      <c r="V203" s="348" t="s">
        <v>96</v>
      </c>
      <c r="W203" s="348"/>
      <c r="X203" s="348" t="s">
        <v>96</v>
      </c>
      <c r="Y203" s="772" t="s">
        <v>96</v>
      </c>
      <c r="Z203" s="772" t="s">
        <v>96</v>
      </c>
      <c r="AA203" s="348"/>
      <c r="AB203" s="153"/>
      <c r="AC203" s="348"/>
      <c r="AD203" s="348"/>
      <c r="AE203" s="348"/>
      <c r="AF203" s="348"/>
      <c r="AG203" s="348"/>
      <c r="AH203" s="348"/>
      <c r="AI203" s="348"/>
      <c r="AJ203" s="348"/>
      <c r="AK203" s="348"/>
      <c r="AL203" s="348"/>
      <c r="AM203" s="348"/>
      <c r="AN203" s="348"/>
      <c r="AO203" s="348"/>
      <c r="AP203" s="348"/>
      <c r="AQ203" s="348"/>
      <c r="AR203" s="348"/>
      <c r="AS203" s="348"/>
      <c r="AT203" s="348"/>
      <c r="AU203" s="348"/>
      <c r="AV203" s="348"/>
      <c r="AW203" s="348"/>
      <c r="AX203" s="348"/>
      <c r="AY203" s="348"/>
      <c r="AZ203" s="348"/>
      <c r="BA203" s="348"/>
      <c r="BB203" s="348"/>
      <c r="BC203" s="348"/>
      <c r="BD203" s="348"/>
      <c r="BE203" s="348"/>
      <c r="BF203" s="348"/>
      <c r="BG203" s="348"/>
      <c r="BH203" s="348"/>
      <c r="BI203" s="348"/>
      <c r="BJ203" s="348"/>
      <c r="BK203" s="348"/>
      <c r="BL203" s="348"/>
      <c r="BM203" s="348"/>
      <c r="BN203" s="348"/>
      <c r="BO203" s="348"/>
      <c r="BP203" s="348"/>
      <c r="BQ203" s="348"/>
      <c r="BR203" s="348"/>
      <c r="BS203" s="348"/>
      <c r="BT203" s="348"/>
      <c r="BU203" s="348"/>
      <c r="BV203" s="348"/>
      <c r="BW203" s="806" t="s">
        <v>96</v>
      </c>
      <c r="BX203" s="806"/>
      <c r="BY203" s="806"/>
      <c r="BZ203" s="806" t="str">
        <f>IFERROR(__xludf.DUMMYFUNCTION("""COMPUTED_VALUE"""),"")</f>
        <v/>
      </c>
      <c r="CA203" s="806"/>
      <c r="CB203" s="806"/>
      <c r="CC203" s="806"/>
      <c r="CD203" s="806"/>
      <c r="CE203" s="806"/>
      <c r="CF203" s="806"/>
      <c r="CG203" s="806"/>
      <c r="CH203" s="806"/>
      <c r="CI203" s="806"/>
      <c r="CJ203" s="806"/>
      <c r="CK203" s="806"/>
    </row>
    <row r="204">
      <c r="A204" s="348"/>
      <c r="B204" s="348"/>
      <c r="C204" s="236"/>
      <c r="D204" s="348"/>
      <c r="E204" s="348"/>
      <c r="F204" s="348"/>
      <c r="G204" s="348"/>
      <c r="H204" s="348"/>
      <c r="I204" s="348"/>
      <c r="J204" s="348"/>
      <c r="K204" s="348"/>
      <c r="L204" s="348"/>
      <c r="M204" s="348"/>
      <c r="N204" s="348"/>
      <c r="O204" s="348"/>
      <c r="P204" s="348"/>
      <c r="Q204" s="348"/>
      <c r="R204" s="348"/>
      <c r="S204" s="348"/>
      <c r="T204" s="348"/>
      <c r="U204" s="348" t="s">
        <v>96</v>
      </c>
      <c r="V204" s="348" t="s">
        <v>96</v>
      </c>
      <c r="W204" s="348"/>
      <c r="X204" s="348" t="s">
        <v>96</v>
      </c>
      <c r="Y204" s="772" t="s">
        <v>96</v>
      </c>
      <c r="Z204" s="772" t="s">
        <v>96</v>
      </c>
      <c r="AA204" s="348"/>
      <c r="AB204" s="153"/>
      <c r="AC204" s="348"/>
      <c r="AD204" s="348"/>
      <c r="AE204" s="348"/>
      <c r="AF204" s="348"/>
      <c r="AG204" s="348"/>
      <c r="AH204" s="348"/>
      <c r="AI204" s="348"/>
      <c r="AJ204" s="348"/>
      <c r="AK204" s="348"/>
      <c r="AL204" s="348"/>
      <c r="AM204" s="348"/>
      <c r="AN204" s="348"/>
      <c r="AO204" s="348"/>
      <c r="AP204" s="348"/>
      <c r="AQ204" s="348"/>
      <c r="AR204" s="348"/>
      <c r="AS204" s="348"/>
      <c r="AT204" s="348"/>
      <c r="AU204" s="348"/>
      <c r="AV204" s="348"/>
      <c r="AW204" s="348"/>
      <c r="AX204" s="348"/>
      <c r="AY204" s="348"/>
      <c r="AZ204" s="348"/>
      <c r="BA204" s="348"/>
      <c r="BB204" s="348"/>
      <c r="BC204" s="348"/>
      <c r="BD204" s="348"/>
      <c r="BE204" s="348"/>
      <c r="BF204" s="348"/>
      <c r="BG204" s="348"/>
      <c r="BH204" s="348"/>
      <c r="BI204" s="348"/>
      <c r="BJ204" s="348"/>
      <c r="BK204" s="348"/>
      <c r="BL204" s="348"/>
      <c r="BM204" s="348"/>
      <c r="BN204" s="348"/>
      <c r="BO204" s="348"/>
      <c r="BP204" s="348"/>
      <c r="BQ204" s="348"/>
      <c r="BR204" s="348"/>
      <c r="BS204" s="348"/>
      <c r="BT204" s="348"/>
      <c r="BU204" s="348"/>
      <c r="BV204" s="348"/>
      <c r="BW204" s="806" t="s">
        <v>96</v>
      </c>
      <c r="BX204" s="806"/>
      <c r="BY204" s="806"/>
      <c r="BZ204" s="806" t="str">
        <f>IFERROR(__xludf.DUMMYFUNCTION("""COMPUTED_VALUE"""),"")</f>
        <v/>
      </c>
      <c r="CA204" s="806"/>
      <c r="CB204" s="806"/>
      <c r="CC204" s="806"/>
      <c r="CD204" s="806"/>
      <c r="CE204" s="806"/>
      <c r="CF204" s="806"/>
      <c r="CG204" s="806"/>
      <c r="CH204" s="806"/>
      <c r="CI204" s="806"/>
      <c r="CJ204" s="806"/>
      <c r="CK204" s="806"/>
    </row>
    <row r="205">
      <c r="A205" s="348"/>
      <c r="B205" s="348"/>
      <c r="C205" s="236"/>
      <c r="D205" s="348"/>
      <c r="E205" s="348"/>
      <c r="F205" s="348"/>
      <c r="G205" s="348"/>
      <c r="H205" s="348"/>
      <c r="I205" s="348"/>
      <c r="J205" s="348"/>
      <c r="K205" s="348"/>
      <c r="L205" s="348"/>
      <c r="M205" s="348"/>
      <c r="N205" s="348"/>
      <c r="O205" s="348"/>
      <c r="P205" s="348"/>
      <c r="Q205" s="348"/>
      <c r="R205" s="348"/>
      <c r="S205" s="348"/>
      <c r="T205" s="348"/>
      <c r="U205" s="348" t="s">
        <v>96</v>
      </c>
      <c r="V205" s="348" t="s">
        <v>96</v>
      </c>
      <c r="W205" s="348"/>
      <c r="X205" s="348" t="s">
        <v>96</v>
      </c>
      <c r="Y205" s="772" t="s">
        <v>96</v>
      </c>
      <c r="Z205" s="772" t="s">
        <v>96</v>
      </c>
      <c r="AA205" s="348"/>
      <c r="AB205" s="153"/>
      <c r="AC205" s="348"/>
      <c r="AD205" s="348"/>
      <c r="AE205" s="348"/>
      <c r="AF205" s="348"/>
      <c r="AG205" s="348"/>
      <c r="AH205" s="348"/>
      <c r="AI205" s="348"/>
      <c r="AJ205" s="348"/>
      <c r="AK205" s="348"/>
      <c r="AL205" s="348"/>
      <c r="AM205" s="348"/>
      <c r="AN205" s="348"/>
      <c r="AO205" s="348"/>
      <c r="AP205" s="348"/>
      <c r="AQ205" s="348"/>
      <c r="AR205" s="348"/>
      <c r="AS205" s="348"/>
      <c r="AT205" s="348"/>
      <c r="AU205" s="348"/>
      <c r="AV205" s="348"/>
      <c r="AW205" s="348"/>
      <c r="AX205" s="348"/>
      <c r="AY205" s="348"/>
      <c r="AZ205" s="348"/>
      <c r="BA205" s="348"/>
      <c r="BB205" s="348"/>
      <c r="BC205" s="348"/>
      <c r="BD205" s="348"/>
      <c r="BE205" s="348"/>
      <c r="BF205" s="348"/>
      <c r="BG205" s="348"/>
      <c r="BH205" s="348"/>
      <c r="BI205" s="348"/>
      <c r="BJ205" s="348"/>
      <c r="BK205" s="348"/>
      <c r="BL205" s="348"/>
      <c r="BM205" s="348"/>
      <c r="BN205" s="348"/>
      <c r="BO205" s="348"/>
      <c r="BP205" s="348"/>
      <c r="BQ205" s="348"/>
      <c r="BR205" s="348"/>
      <c r="BS205" s="348"/>
      <c r="BT205" s="348"/>
      <c r="BU205" s="348"/>
      <c r="BV205" s="348"/>
      <c r="BW205" s="806" t="s">
        <v>96</v>
      </c>
      <c r="BX205" s="806"/>
      <c r="BY205" s="806"/>
      <c r="BZ205" s="806" t="str">
        <f>IFERROR(__xludf.DUMMYFUNCTION("""COMPUTED_VALUE"""),"")</f>
        <v/>
      </c>
      <c r="CA205" s="806"/>
      <c r="CB205" s="806"/>
      <c r="CC205" s="806"/>
      <c r="CD205" s="806"/>
      <c r="CE205" s="806"/>
      <c r="CF205" s="806"/>
      <c r="CG205" s="806"/>
      <c r="CH205" s="806"/>
      <c r="CI205" s="806"/>
      <c r="CJ205" s="806"/>
      <c r="CK205" s="806"/>
    </row>
    <row r="206">
      <c r="A206" s="348"/>
      <c r="B206" s="348"/>
      <c r="C206" s="236"/>
      <c r="D206" s="348"/>
      <c r="E206" s="348"/>
      <c r="F206" s="348"/>
      <c r="G206" s="348"/>
      <c r="H206" s="348"/>
      <c r="I206" s="348"/>
      <c r="J206" s="348"/>
      <c r="K206" s="348"/>
      <c r="L206" s="348"/>
      <c r="M206" s="348"/>
      <c r="N206" s="348"/>
      <c r="O206" s="348"/>
      <c r="P206" s="348"/>
      <c r="Q206" s="348"/>
      <c r="R206" s="348"/>
      <c r="S206" s="348"/>
      <c r="T206" s="348"/>
      <c r="U206" s="348" t="s">
        <v>96</v>
      </c>
      <c r="V206" s="348" t="s">
        <v>96</v>
      </c>
      <c r="W206" s="348"/>
      <c r="X206" s="348" t="s">
        <v>96</v>
      </c>
      <c r="Y206" s="772" t="s">
        <v>96</v>
      </c>
      <c r="Z206" s="772" t="s">
        <v>96</v>
      </c>
      <c r="AA206" s="348"/>
      <c r="AB206" s="153"/>
      <c r="AC206" s="348"/>
      <c r="AD206" s="348"/>
      <c r="AE206" s="348"/>
      <c r="AF206" s="348"/>
      <c r="AG206" s="348"/>
      <c r="AH206" s="348"/>
      <c r="AI206" s="348"/>
      <c r="AJ206" s="348"/>
      <c r="AK206" s="348"/>
      <c r="AL206" s="348"/>
      <c r="AM206" s="348"/>
      <c r="AN206" s="348"/>
      <c r="AO206" s="348"/>
      <c r="AP206" s="348"/>
      <c r="AQ206" s="348"/>
      <c r="AR206" s="348"/>
      <c r="AS206" s="348"/>
      <c r="AT206" s="348"/>
      <c r="AU206" s="348"/>
      <c r="AV206" s="348"/>
      <c r="AW206" s="348"/>
      <c r="AX206" s="348"/>
      <c r="AY206" s="348"/>
      <c r="AZ206" s="348"/>
      <c r="BA206" s="348"/>
      <c r="BB206" s="348"/>
      <c r="BC206" s="348"/>
      <c r="BD206" s="348"/>
      <c r="BE206" s="348"/>
      <c r="BF206" s="348"/>
      <c r="BG206" s="348"/>
      <c r="BH206" s="348"/>
      <c r="BI206" s="348"/>
      <c r="BJ206" s="348"/>
      <c r="BK206" s="348"/>
      <c r="BL206" s="348"/>
      <c r="BM206" s="348"/>
      <c r="BN206" s="348"/>
      <c r="BO206" s="348"/>
      <c r="BP206" s="348"/>
      <c r="BQ206" s="348"/>
      <c r="BR206" s="348"/>
      <c r="BS206" s="348"/>
      <c r="BT206" s="348"/>
      <c r="BU206" s="348"/>
      <c r="BV206" s="348"/>
      <c r="BW206" s="806" t="s">
        <v>96</v>
      </c>
      <c r="BX206" s="806"/>
      <c r="BY206" s="806"/>
      <c r="BZ206" s="806" t="str">
        <f>IFERROR(__xludf.DUMMYFUNCTION("""COMPUTED_VALUE"""),"")</f>
        <v/>
      </c>
      <c r="CA206" s="806"/>
      <c r="CB206" s="806"/>
      <c r="CC206" s="806"/>
      <c r="CD206" s="806"/>
      <c r="CE206" s="806"/>
      <c r="CF206" s="806"/>
      <c r="CG206" s="806"/>
      <c r="CH206" s="806"/>
      <c r="CI206" s="806"/>
      <c r="CJ206" s="806"/>
      <c r="CK206" s="806"/>
    </row>
    <row r="207">
      <c r="A207" s="348"/>
      <c r="B207" s="348"/>
      <c r="C207" s="236"/>
      <c r="D207" s="348"/>
      <c r="E207" s="348"/>
      <c r="F207" s="348"/>
      <c r="G207" s="348"/>
      <c r="H207" s="348"/>
      <c r="I207" s="348"/>
      <c r="J207" s="348"/>
      <c r="K207" s="348"/>
      <c r="L207" s="348"/>
      <c r="M207" s="348"/>
      <c r="N207" s="348"/>
      <c r="O207" s="348"/>
      <c r="P207" s="348"/>
      <c r="Q207" s="348"/>
      <c r="R207" s="348"/>
      <c r="S207" s="348"/>
      <c r="T207" s="348"/>
      <c r="U207" s="348" t="s">
        <v>96</v>
      </c>
      <c r="V207" s="348" t="s">
        <v>96</v>
      </c>
      <c r="W207" s="348"/>
      <c r="X207" s="348" t="s">
        <v>96</v>
      </c>
      <c r="Y207" s="772" t="s">
        <v>96</v>
      </c>
      <c r="Z207" s="772" t="s">
        <v>96</v>
      </c>
      <c r="AA207" s="348"/>
      <c r="AB207" s="153"/>
      <c r="AC207" s="348"/>
      <c r="AD207" s="348"/>
      <c r="AE207" s="348"/>
      <c r="AF207" s="348"/>
      <c r="AG207" s="348"/>
      <c r="AH207" s="348"/>
      <c r="AI207" s="348"/>
      <c r="AJ207" s="348"/>
      <c r="AK207" s="348"/>
      <c r="AL207" s="348"/>
      <c r="AM207" s="348"/>
      <c r="AN207" s="348"/>
      <c r="AO207" s="348"/>
      <c r="AP207" s="348"/>
      <c r="AQ207" s="348"/>
      <c r="AR207" s="348"/>
      <c r="AS207" s="348"/>
      <c r="AT207" s="348"/>
      <c r="AU207" s="348"/>
      <c r="AV207" s="348"/>
      <c r="AW207" s="348"/>
      <c r="AX207" s="348"/>
      <c r="AY207" s="348"/>
      <c r="AZ207" s="348"/>
      <c r="BA207" s="348"/>
      <c r="BB207" s="348"/>
      <c r="BC207" s="348"/>
      <c r="BD207" s="348"/>
      <c r="BE207" s="348"/>
      <c r="BF207" s="348"/>
      <c r="BG207" s="348"/>
      <c r="BH207" s="348"/>
      <c r="BI207" s="348"/>
      <c r="BJ207" s="348"/>
      <c r="BK207" s="348"/>
      <c r="BL207" s="348"/>
      <c r="BM207" s="348"/>
      <c r="BN207" s="348"/>
      <c r="BO207" s="348"/>
      <c r="BP207" s="348"/>
      <c r="BQ207" s="348"/>
      <c r="BR207" s="348"/>
      <c r="BS207" s="348"/>
      <c r="BT207" s="348"/>
      <c r="BU207" s="348"/>
      <c r="BV207" s="348"/>
      <c r="BW207" s="806" t="s">
        <v>96</v>
      </c>
      <c r="BX207" s="806"/>
      <c r="BY207" s="806"/>
      <c r="BZ207" s="806" t="str">
        <f>IFERROR(__xludf.DUMMYFUNCTION("""COMPUTED_VALUE"""),"")</f>
        <v/>
      </c>
      <c r="CA207" s="806"/>
      <c r="CB207" s="806"/>
      <c r="CC207" s="806"/>
      <c r="CD207" s="806"/>
      <c r="CE207" s="806"/>
      <c r="CF207" s="806"/>
      <c r="CG207" s="806"/>
      <c r="CH207" s="806"/>
      <c r="CI207" s="806"/>
      <c r="CJ207" s="806"/>
      <c r="CK207" s="806"/>
    </row>
    <row r="208">
      <c r="A208" s="348"/>
      <c r="B208" s="348"/>
      <c r="C208" s="236"/>
      <c r="D208" s="348"/>
      <c r="E208" s="348"/>
      <c r="F208" s="348"/>
      <c r="G208" s="348"/>
      <c r="H208" s="348"/>
      <c r="I208" s="348"/>
      <c r="J208" s="348"/>
      <c r="K208" s="348"/>
      <c r="L208" s="348"/>
      <c r="M208" s="348"/>
      <c r="N208" s="348"/>
      <c r="O208" s="348"/>
      <c r="P208" s="348"/>
      <c r="Q208" s="348"/>
      <c r="R208" s="348"/>
      <c r="S208" s="348"/>
      <c r="T208" s="348"/>
      <c r="U208" s="348" t="s">
        <v>96</v>
      </c>
      <c r="V208" s="348" t="s">
        <v>96</v>
      </c>
      <c r="W208" s="348"/>
      <c r="X208" s="348" t="s">
        <v>96</v>
      </c>
      <c r="Y208" s="772" t="s">
        <v>96</v>
      </c>
      <c r="Z208" s="772" t="s">
        <v>96</v>
      </c>
      <c r="AA208" s="348"/>
      <c r="AB208" s="153"/>
      <c r="AC208" s="348"/>
      <c r="AD208" s="348"/>
      <c r="AE208" s="348"/>
      <c r="AF208" s="348"/>
      <c r="AG208" s="348"/>
      <c r="AH208" s="348"/>
      <c r="AI208" s="348"/>
      <c r="AJ208" s="348"/>
      <c r="AK208" s="348"/>
      <c r="AL208" s="348"/>
      <c r="AM208" s="348"/>
      <c r="AN208" s="348"/>
      <c r="AO208" s="348"/>
      <c r="AP208" s="348"/>
      <c r="AQ208" s="348"/>
      <c r="AR208" s="348"/>
      <c r="AS208" s="348"/>
      <c r="AT208" s="348"/>
      <c r="AU208" s="348"/>
      <c r="AV208" s="348"/>
      <c r="AW208" s="348"/>
      <c r="AX208" s="348"/>
      <c r="AY208" s="348"/>
      <c r="AZ208" s="348"/>
      <c r="BA208" s="348"/>
      <c r="BB208" s="348"/>
      <c r="BC208" s="348"/>
      <c r="BD208" s="348"/>
      <c r="BE208" s="348"/>
      <c r="BF208" s="348"/>
      <c r="BG208" s="348"/>
      <c r="BH208" s="348"/>
      <c r="BI208" s="348"/>
      <c r="BJ208" s="348"/>
      <c r="BK208" s="348"/>
      <c r="BL208" s="348"/>
      <c r="BM208" s="348"/>
      <c r="BN208" s="348"/>
      <c r="BO208" s="348"/>
      <c r="BP208" s="348"/>
      <c r="BQ208" s="348"/>
      <c r="BR208" s="348"/>
      <c r="BS208" s="348"/>
      <c r="BT208" s="348"/>
      <c r="BU208" s="348"/>
      <c r="BV208" s="348"/>
      <c r="BW208" s="806" t="s">
        <v>96</v>
      </c>
      <c r="BX208" s="806"/>
      <c r="BY208" s="806"/>
      <c r="BZ208" s="806" t="str">
        <f>IFERROR(__xludf.DUMMYFUNCTION("""COMPUTED_VALUE"""),"")</f>
        <v/>
      </c>
      <c r="CA208" s="806"/>
      <c r="CB208" s="806"/>
      <c r="CC208" s="806"/>
      <c r="CD208" s="806"/>
      <c r="CE208" s="806"/>
      <c r="CF208" s="806"/>
      <c r="CG208" s="806"/>
      <c r="CH208" s="806"/>
      <c r="CI208" s="806"/>
      <c r="CJ208" s="806"/>
      <c r="CK208" s="806"/>
    </row>
    <row r="209">
      <c r="A209" s="348"/>
      <c r="B209" s="348"/>
      <c r="C209" s="236"/>
      <c r="D209" s="348"/>
      <c r="E209" s="348"/>
      <c r="F209" s="348"/>
      <c r="G209" s="348"/>
      <c r="H209" s="348"/>
      <c r="I209" s="348"/>
      <c r="J209" s="348"/>
      <c r="K209" s="348"/>
      <c r="L209" s="348"/>
      <c r="M209" s="348"/>
      <c r="N209" s="348"/>
      <c r="O209" s="348"/>
      <c r="P209" s="348"/>
      <c r="Q209" s="348"/>
      <c r="R209" s="348"/>
      <c r="S209" s="348"/>
      <c r="T209" s="348"/>
      <c r="U209" s="348" t="s">
        <v>96</v>
      </c>
      <c r="V209" s="348" t="s">
        <v>96</v>
      </c>
      <c r="W209" s="348"/>
      <c r="X209" s="348" t="s">
        <v>96</v>
      </c>
      <c r="Y209" s="772" t="s">
        <v>96</v>
      </c>
      <c r="Z209" s="772" t="s">
        <v>96</v>
      </c>
      <c r="AA209" s="348"/>
      <c r="AB209" s="153"/>
      <c r="AC209" s="348"/>
      <c r="AD209" s="348"/>
      <c r="AE209" s="348"/>
      <c r="AF209" s="348"/>
      <c r="AG209" s="348"/>
      <c r="AH209" s="348"/>
      <c r="AI209" s="348"/>
      <c r="AJ209" s="348"/>
      <c r="AK209" s="348"/>
      <c r="AL209" s="348"/>
      <c r="AM209" s="348"/>
      <c r="AN209" s="348"/>
      <c r="AO209" s="348"/>
      <c r="AP209" s="348"/>
      <c r="AQ209" s="348"/>
      <c r="AR209" s="348"/>
      <c r="AS209" s="348"/>
      <c r="AT209" s="348"/>
      <c r="AU209" s="348"/>
      <c r="AV209" s="348"/>
      <c r="AW209" s="348"/>
      <c r="AX209" s="348"/>
      <c r="AY209" s="348"/>
      <c r="AZ209" s="348"/>
      <c r="BA209" s="348"/>
      <c r="BB209" s="348"/>
      <c r="BC209" s="348"/>
      <c r="BD209" s="348"/>
      <c r="BE209" s="348"/>
      <c r="BF209" s="348"/>
      <c r="BG209" s="348"/>
      <c r="BH209" s="348"/>
      <c r="BI209" s="348"/>
      <c r="BJ209" s="348"/>
      <c r="BK209" s="348"/>
      <c r="BL209" s="348"/>
      <c r="BM209" s="348"/>
      <c r="BN209" s="348"/>
      <c r="BO209" s="348"/>
      <c r="BP209" s="348"/>
      <c r="BQ209" s="348"/>
      <c r="BR209" s="348"/>
      <c r="BS209" s="348"/>
      <c r="BT209" s="348"/>
      <c r="BU209" s="348"/>
      <c r="BV209" s="348"/>
      <c r="BW209" s="806" t="s">
        <v>96</v>
      </c>
      <c r="BX209" s="806"/>
      <c r="BY209" s="806"/>
      <c r="BZ209" s="806" t="str">
        <f>IFERROR(__xludf.DUMMYFUNCTION("""COMPUTED_VALUE"""),"")</f>
        <v/>
      </c>
      <c r="CA209" s="806"/>
      <c r="CB209" s="806"/>
      <c r="CC209" s="806"/>
      <c r="CD209" s="806"/>
      <c r="CE209" s="806"/>
      <c r="CF209" s="806"/>
      <c r="CG209" s="806"/>
      <c r="CH209" s="806"/>
      <c r="CI209" s="806"/>
      <c r="CJ209" s="806"/>
      <c r="CK209" s="806"/>
    </row>
    <row r="210">
      <c r="A210" s="348"/>
      <c r="B210" s="348"/>
      <c r="C210" s="236"/>
      <c r="D210" s="348"/>
      <c r="E210" s="348"/>
      <c r="F210" s="348"/>
      <c r="G210" s="348"/>
      <c r="H210" s="348"/>
      <c r="I210" s="348"/>
      <c r="J210" s="348"/>
      <c r="K210" s="348"/>
      <c r="L210" s="348"/>
      <c r="M210" s="348"/>
      <c r="N210" s="348"/>
      <c r="O210" s="348"/>
      <c r="P210" s="348"/>
      <c r="Q210" s="348"/>
      <c r="R210" s="348"/>
      <c r="S210" s="348"/>
      <c r="T210" s="348"/>
      <c r="U210" s="348" t="s">
        <v>96</v>
      </c>
      <c r="V210" s="348" t="s">
        <v>96</v>
      </c>
      <c r="W210" s="348"/>
      <c r="X210" s="348" t="s">
        <v>96</v>
      </c>
      <c r="Y210" s="772" t="s">
        <v>96</v>
      </c>
      <c r="Z210" s="772" t="s">
        <v>96</v>
      </c>
      <c r="AA210" s="348"/>
      <c r="AB210" s="153"/>
      <c r="AC210" s="348"/>
      <c r="AD210" s="348"/>
      <c r="AE210" s="348"/>
      <c r="AF210" s="348"/>
      <c r="AG210" s="348"/>
      <c r="AH210" s="348"/>
      <c r="AI210" s="348"/>
      <c r="AJ210" s="348"/>
      <c r="AK210" s="348"/>
      <c r="AL210" s="348"/>
      <c r="AM210" s="348"/>
      <c r="AN210" s="348"/>
      <c r="AO210" s="348"/>
      <c r="AP210" s="348"/>
      <c r="AQ210" s="348"/>
      <c r="AR210" s="348"/>
      <c r="AS210" s="348"/>
      <c r="AT210" s="348"/>
      <c r="AU210" s="348"/>
      <c r="AV210" s="348"/>
      <c r="AW210" s="348"/>
      <c r="AX210" s="348"/>
      <c r="AY210" s="348"/>
      <c r="AZ210" s="348"/>
      <c r="BA210" s="348"/>
      <c r="BB210" s="348"/>
      <c r="BC210" s="348"/>
      <c r="BD210" s="348"/>
      <c r="BE210" s="348"/>
      <c r="BF210" s="348"/>
      <c r="BG210" s="348"/>
      <c r="BH210" s="348"/>
      <c r="BI210" s="348"/>
      <c r="BJ210" s="348"/>
      <c r="BK210" s="348"/>
      <c r="BL210" s="348"/>
      <c r="BM210" s="348"/>
      <c r="BN210" s="348"/>
      <c r="BO210" s="348"/>
      <c r="BP210" s="348"/>
      <c r="BQ210" s="348"/>
      <c r="BR210" s="348"/>
      <c r="BS210" s="348"/>
      <c r="BT210" s="348"/>
      <c r="BU210" s="348"/>
      <c r="BV210" s="348"/>
      <c r="BW210" s="806" t="s">
        <v>96</v>
      </c>
      <c r="BX210" s="806"/>
      <c r="BY210" s="806"/>
      <c r="BZ210" s="806" t="str">
        <f>IFERROR(__xludf.DUMMYFUNCTION("""COMPUTED_VALUE"""),"")</f>
        <v/>
      </c>
      <c r="CA210" s="806"/>
      <c r="CB210" s="806"/>
      <c r="CC210" s="806"/>
      <c r="CD210" s="806"/>
      <c r="CE210" s="806"/>
      <c r="CF210" s="806"/>
      <c r="CG210" s="806"/>
      <c r="CH210" s="806"/>
      <c r="CI210" s="806"/>
      <c r="CJ210" s="806"/>
      <c r="CK210" s="806"/>
    </row>
    <row r="211">
      <c r="A211" s="348"/>
      <c r="B211" s="348"/>
      <c r="C211" s="236"/>
      <c r="D211" s="348"/>
      <c r="E211" s="348"/>
      <c r="F211" s="348"/>
      <c r="G211" s="348"/>
      <c r="H211" s="348"/>
      <c r="I211" s="348"/>
      <c r="J211" s="348"/>
      <c r="K211" s="348"/>
      <c r="L211" s="348"/>
      <c r="M211" s="348"/>
      <c r="N211" s="348"/>
      <c r="O211" s="348"/>
      <c r="P211" s="348"/>
      <c r="Q211" s="348"/>
      <c r="R211" s="348"/>
      <c r="S211" s="348"/>
      <c r="T211" s="348"/>
      <c r="U211" s="348" t="s">
        <v>96</v>
      </c>
      <c r="V211" s="348" t="s">
        <v>96</v>
      </c>
      <c r="W211" s="348"/>
      <c r="X211" s="348" t="s">
        <v>96</v>
      </c>
      <c r="Y211" s="772" t="s">
        <v>96</v>
      </c>
      <c r="Z211" s="772" t="s">
        <v>96</v>
      </c>
      <c r="AA211" s="348"/>
      <c r="AB211" s="153"/>
      <c r="AC211" s="348"/>
      <c r="AD211" s="348"/>
      <c r="AE211" s="348"/>
      <c r="AF211" s="348"/>
      <c r="AG211" s="348"/>
      <c r="AH211" s="348"/>
      <c r="AI211" s="348"/>
      <c r="AJ211" s="348"/>
      <c r="AK211" s="348"/>
      <c r="AL211" s="348"/>
      <c r="AM211" s="348"/>
      <c r="AN211" s="348"/>
      <c r="AO211" s="348"/>
      <c r="AP211" s="348"/>
      <c r="AQ211" s="348"/>
      <c r="AR211" s="348"/>
      <c r="AS211" s="348"/>
      <c r="AT211" s="348"/>
      <c r="AU211" s="348"/>
      <c r="AV211" s="348"/>
      <c r="AW211" s="348"/>
      <c r="AX211" s="348"/>
      <c r="AY211" s="348"/>
      <c r="AZ211" s="348"/>
      <c r="BA211" s="348"/>
      <c r="BB211" s="348"/>
      <c r="BC211" s="348"/>
      <c r="BD211" s="348"/>
      <c r="BE211" s="348"/>
      <c r="BF211" s="348"/>
      <c r="BG211" s="348"/>
      <c r="BH211" s="348"/>
      <c r="BI211" s="348"/>
      <c r="BJ211" s="348"/>
      <c r="BK211" s="348"/>
      <c r="BL211" s="348"/>
      <c r="BM211" s="348"/>
      <c r="BN211" s="348"/>
      <c r="BO211" s="348"/>
      <c r="BP211" s="348"/>
      <c r="BQ211" s="348"/>
      <c r="BR211" s="348"/>
      <c r="BS211" s="348"/>
      <c r="BT211" s="348"/>
      <c r="BU211" s="348"/>
      <c r="BV211" s="348"/>
      <c r="BW211" s="806" t="s">
        <v>96</v>
      </c>
      <c r="BX211" s="806"/>
      <c r="BY211" s="806"/>
      <c r="BZ211" s="806" t="str">
        <f>IFERROR(__xludf.DUMMYFUNCTION("""COMPUTED_VALUE"""),"")</f>
        <v/>
      </c>
      <c r="CA211" s="806"/>
      <c r="CB211" s="806"/>
      <c r="CC211" s="806"/>
      <c r="CD211" s="806"/>
      <c r="CE211" s="806"/>
      <c r="CF211" s="806"/>
      <c r="CG211" s="806"/>
      <c r="CH211" s="806"/>
      <c r="CI211" s="806"/>
      <c r="CJ211" s="806"/>
      <c r="CK211" s="806"/>
    </row>
    <row r="212">
      <c r="A212" s="348"/>
      <c r="B212" s="348"/>
      <c r="C212" s="236"/>
      <c r="D212" s="348"/>
      <c r="E212" s="348"/>
      <c r="F212" s="348"/>
      <c r="G212" s="348"/>
      <c r="H212" s="348"/>
      <c r="I212" s="348"/>
      <c r="J212" s="348"/>
      <c r="K212" s="348"/>
      <c r="L212" s="348"/>
      <c r="M212" s="348"/>
      <c r="N212" s="348"/>
      <c r="O212" s="348"/>
      <c r="P212" s="348"/>
      <c r="Q212" s="348"/>
      <c r="R212" s="348"/>
      <c r="S212" s="348"/>
      <c r="T212" s="348"/>
      <c r="U212" s="348" t="s">
        <v>96</v>
      </c>
      <c r="V212" s="348" t="s">
        <v>96</v>
      </c>
      <c r="W212" s="348"/>
      <c r="X212" s="348" t="s">
        <v>96</v>
      </c>
      <c r="Y212" s="772" t="s">
        <v>96</v>
      </c>
      <c r="Z212" s="772" t="s">
        <v>96</v>
      </c>
      <c r="AA212" s="348"/>
      <c r="AB212" s="153"/>
      <c r="AC212" s="348"/>
      <c r="AD212" s="348"/>
      <c r="AE212" s="348"/>
      <c r="AF212" s="348"/>
      <c r="AG212" s="348"/>
      <c r="AH212" s="348"/>
      <c r="AI212" s="348"/>
      <c r="AJ212" s="348"/>
      <c r="AK212" s="348"/>
      <c r="AL212" s="348"/>
      <c r="AM212" s="348"/>
      <c r="AN212" s="348"/>
      <c r="AO212" s="348"/>
      <c r="AP212" s="348"/>
      <c r="AQ212" s="348"/>
      <c r="AR212" s="348"/>
      <c r="AS212" s="348"/>
      <c r="AT212" s="348"/>
      <c r="AU212" s="348"/>
      <c r="AV212" s="348"/>
      <c r="AW212" s="348"/>
      <c r="AX212" s="348"/>
      <c r="AY212" s="348"/>
      <c r="AZ212" s="348"/>
      <c r="BA212" s="348"/>
      <c r="BB212" s="348"/>
      <c r="BC212" s="348"/>
      <c r="BD212" s="348"/>
      <c r="BE212" s="348"/>
      <c r="BF212" s="348"/>
      <c r="BG212" s="348"/>
      <c r="BH212" s="348"/>
      <c r="BI212" s="348"/>
      <c r="BJ212" s="348"/>
      <c r="BK212" s="348"/>
      <c r="BL212" s="348"/>
      <c r="BM212" s="348"/>
      <c r="BN212" s="348"/>
      <c r="BO212" s="348"/>
      <c r="BP212" s="348"/>
      <c r="BQ212" s="348"/>
      <c r="BR212" s="348"/>
      <c r="BS212" s="348"/>
      <c r="BT212" s="348"/>
      <c r="BU212" s="348"/>
      <c r="BV212" s="348"/>
      <c r="BW212" s="806" t="s">
        <v>96</v>
      </c>
      <c r="BX212" s="806"/>
      <c r="BY212" s="806"/>
      <c r="BZ212" s="806" t="str">
        <f>IFERROR(__xludf.DUMMYFUNCTION("""COMPUTED_VALUE"""),"")</f>
        <v/>
      </c>
      <c r="CA212" s="806"/>
      <c r="CB212" s="806"/>
      <c r="CC212" s="806"/>
      <c r="CD212" s="806"/>
      <c r="CE212" s="806"/>
      <c r="CF212" s="806"/>
      <c r="CG212" s="806"/>
      <c r="CH212" s="806"/>
      <c r="CI212" s="806"/>
      <c r="CJ212" s="806"/>
      <c r="CK212" s="806"/>
    </row>
    <row r="213">
      <c r="A213" s="348"/>
      <c r="B213" s="348"/>
      <c r="C213" s="236"/>
      <c r="D213" s="348"/>
      <c r="E213" s="348"/>
      <c r="F213" s="348"/>
      <c r="G213" s="348"/>
      <c r="H213" s="348"/>
      <c r="I213" s="348"/>
      <c r="J213" s="348"/>
      <c r="K213" s="348"/>
      <c r="L213" s="348"/>
      <c r="M213" s="348"/>
      <c r="N213" s="348"/>
      <c r="O213" s="348"/>
      <c r="P213" s="348"/>
      <c r="Q213" s="348"/>
      <c r="R213" s="348"/>
      <c r="S213" s="348"/>
      <c r="T213" s="348"/>
      <c r="U213" s="348" t="s">
        <v>96</v>
      </c>
      <c r="V213" s="348" t="s">
        <v>96</v>
      </c>
      <c r="W213" s="348"/>
      <c r="X213" s="348" t="s">
        <v>96</v>
      </c>
      <c r="Y213" s="772" t="s">
        <v>96</v>
      </c>
      <c r="Z213" s="772" t="s">
        <v>96</v>
      </c>
      <c r="AA213" s="348"/>
      <c r="AB213" s="153"/>
      <c r="AC213" s="348"/>
      <c r="AD213" s="348"/>
      <c r="AE213" s="348"/>
      <c r="AF213" s="348"/>
      <c r="AG213" s="348"/>
      <c r="AH213" s="348"/>
      <c r="AI213" s="348"/>
      <c r="AJ213" s="348"/>
      <c r="AK213" s="348"/>
      <c r="AL213" s="348"/>
      <c r="AM213" s="348"/>
      <c r="AN213" s="348"/>
      <c r="AO213" s="348"/>
      <c r="AP213" s="348"/>
      <c r="AQ213" s="348"/>
      <c r="AR213" s="348"/>
      <c r="AS213" s="348"/>
      <c r="AT213" s="348"/>
      <c r="AU213" s="348"/>
      <c r="AV213" s="348"/>
      <c r="AW213" s="348"/>
      <c r="AX213" s="348"/>
      <c r="AY213" s="348"/>
      <c r="AZ213" s="348"/>
      <c r="BA213" s="348"/>
      <c r="BB213" s="348"/>
      <c r="BC213" s="348"/>
      <c r="BD213" s="348"/>
      <c r="BE213" s="348"/>
      <c r="BF213" s="348"/>
      <c r="BG213" s="348"/>
      <c r="BH213" s="348"/>
      <c r="BI213" s="348"/>
      <c r="BJ213" s="348"/>
      <c r="BK213" s="348"/>
      <c r="BL213" s="348"/>
      <c r="BM213" s="348"/>
      <c r="BN213" s="348"/>
      <c r="BO213" s="348"/>
      <c r="BP213" s="348"/>
      <c r="BQ213" s="348"/>
      <c r="BR213" s="348"/>
      <c r="BS213" s="348"/>
      <c r="BT213" s="348"/>
      <c r="BU213" s="348"/>
      <c r="BV213" s="348"/>
      <c r="BW213" s="806" t="s">
        <v>96</v>
      </c>
      <c r="BX213" s="806"/>
      <c r="BY213" s="806"/>
      <c r="BZ213" s="806" t="str">
        <f>IFERROR(__xludf.DUMMYFUNCTION("""COMPUTED_VALUE"""),"")</f>
        <v/>
      </c>
      <c r="CA213" s="806"/>
      <c r="CB213" s="806"/>
      <c r="CC213" s="806"/>
      <c r="CD213" s="806"/>
      <c r="CE213" s="806"/>
      <c r="CF213" s="806"/>
      <c r="CG213" s="806"/>
      <c r="CH213" s="806"/>
      <c r="CI213" s="806"/>
      <c r="CJ213" s="806"/>
      <c r="CK213" s="806"/>
    </row>
    <row r="214">
      <c r="A214" s="348"/>
      <c r="B214" s="348"/>
      <c r="C214" s="236"/>
      <c r="D214" s="348"/>
      <c r="E214" s="348"/>
      <c r="F214" s="348"/>
      <c r="G214" s="348"/>
      <c r="H214" s="348"/>
      <c r="I214" s="348"/>
      <c r="J214" s="348"/>
      <c r="K214" s="348"/>
      <c r="L214" s="348"/>
      <c r="M214" s="348"/>
      <c r="N214" s="348"/>
      <c r="O214" s="348"/>
      <c r="P214" s="348"/>
      <c r="Q214" s="348"/>
      <c r="R214" s="348"/>
      <c r="S214" s="348"/>
      <c r="T214" s="348"/>
      <c r="U214" s="348" t="s">
        <v>96</v>
      </c>
      <c r="V214" s="348" t="s">
        <v>96</v>
      </c>
      <c r="W214" s="348"/>
      <c r="X214" s="348" t="s">
        <v>96</v>
      </c>
      <c r="Y214" s="772" t="s">
        <v>96</v>
      </c>
      <c r="Z214" s="772" t="s">
        <v>96</v>
      </c>
      <c r="AA214" s="348"/>
      <c r="AB214" s="153"/>
      <c r="AC214" s="348"/>
      <c r="AD214" s="348"/>
      <c r="AE214" s="348"/>
      <c r="AF214" s="348"/>
      <c r="AG214" s="348"/>
      <c r="AH214" s="348"/>
      <c r="AI214" s="348"/>
      <c r="AJ214" s="348"/>
      <c r="AK214" s="348"/>
      <c r="AL214" s="348"/>
      <c r="AM214" s="348"/>
      <c r="AN214" s="348"/>
      <c r="AO214" s="348"/>
      <c r="AP214" s="348"/>
      <c r="AQ214" s="348"/>
      <c r="AR214" s="348"/>
      <c r="AS214" s="348"/>
      <c r="AT214" s="348"/>
      <c r="AU214" s="348"/>
      <c r="AV214" s="348"/>
      <c r="AW214" s="348"/>
      <c r="AX214" s="348"/>
      <c r="AY214" s="348"/>
      <c r="AZ214" s="348"/>
      <c r="BA214" s="348"/>
      <c r="BB214" s="348"/>
      <c r="BC214" s="348"/>
      <c r="BD214" s="348"/>
      <c r="BE214" s="348"/>
      <c r="BF214" s="348"/>
      <c r="BG214" s="348"/>
      <c r="BH214" s="348"/>
      <c r="BI214" s="348"/>
      <c r="BJ214" s="348"/>
      <c r="BK214" s="348"/>
      <c r="BL214" s="348"/>
      <c r="BM214" s="348"/>
      <c r="BN214" s="348"/>
      <c r="BO214" s="348"/>
      <c r="BP214" s="348"/>
      <c r="BQ214" s="348"/>
      <c r="BR214" s="348"/>
      <c r="BS214" s="348"/>
      <c r="BT214" s="348"/>
      <c r="BU214" s="348"/>
      <c r="BV214" s="348"/>
      <c r="BW214" s="806" t="s">
        <v>96</v>
      </c>
      <c r="BX214" s="806"/>
      <c r="BY214" s="806"/>
      <c r="BZ214" s="806" t="str">
        <f>IFERROR(__xludf.DUMMYFUNCTION("""COMPUTED_VALUE"""),"")</f>
        <v/>
      </c>
      <c r="CA214" s="806"/>
      <c r="CB214" s="806"/>
      <c r="CC214" s="806"/>
      <c r="CD214" s="806"/>
      <c r="CE214" s="806"/>
      <c r="CF214" s="806"/>
      <c r="CG214" s="806"/>
      <c r="CH214" s="806"/>
      <c r="CI214" s="806"/>
      <c r="CJ214" s="806"/>
      <c r="CK214" s="806"/>
    </row>
    <row r="215">
      <c r="A215" s="348"/>
      <c r="B215" s="348"/>
      <c r="C215" s="236"/>
      <c r="D215" s="348"/>
      <c r="E215" s="348"/>
      <c r="F215" s="348"/>
      <c r="G215" s="348"/>
      <c r="H215" s="348"/>
      <c r="I215" s="348"/>
      <c r="J215" s="348"/>
      <c r="K215" s="348"/>
      <c r="L215" s="348"/>
      <c r="M215" s="348"/>
      <c r="N215" s="348"/>
      <c r="O215" s="348"/>
      <c r="P215" s="348"/>
      <c r="Q215" s="348"/>
      <c r="R215" s="348"/>
      <c r="S215" s="348"/>
      <c r="T215" s="348"/>
      <c r="U215" s="348" t="s">
        <v>96</v>
      </c>
      <c r="V215" s="348" t="s">
        <v>96</v>
      </c>
      <c r="W215" s="348"/>
      <c r="X215" s="348" t="s">
        <v>96</v>
      </c>
      <c r="Y215" s="772" t="s">
        <v>96</v>
      </c>
      <c r="Z215" s="772" t="s">
        <v>96</v>
      </c>
      <c r="AA215" s="348"/>
      <c r="AB215" s="153"/>
      <c r="AC215" s="348"/>
      <c r="AD215" s="348"/>
      <c r="AE215" s="348"/>
      <c r="AF215" s="348"/>
      <c r="AG215" s="348"/>
      <c r="AH215" s="348"/>
      <c r="AI215" s="348"/>
      <c r="AJ215" s="348"/>
      <c r="AK215" s="348"/>
      <c r="AL215" s="348"/>
      <c r="AM215" s="348"/>
      <c r="AN215" s="348"/>
      <c r="AO215" s="348"/>
      <c r="AP215" s="348"/>
      <c r="AQ215" s="348"/>
      <c r="AR215" s="348"/>
      <c r="AS215" s="348"/>
      <c r="AT215" s="348"/>
      <c r="AU215" s="348"/>
      <c r="AV215" s="348"/>
      <c r="AW215" s="348"/>
      <c r="AX215" s="348"/>
      <c r="AY215" s="348"/>
      <c r="AZ215" s="348"/>
      <c r="BA215" s="348"/>
      <c r="BB215" s="348"/>
      <c r="BC215" s="348"/>
      <c r="BD215" s="348"/>
      <c r="BE215" s="348"/>
      <c r="BF215" s="348"/>
      <c r="BG215" s="348"/>
      <c r="BH215" s="348"/>
      <c r="BI215" s="348"/>
      <c r="BJ215" s="348"/>
      <c r="BK215" s="348"/>
      <c r="BL215" s="348"/>
      <c r="BM215" s="348"/>
      <c r="BN215" s="348"/>
      <c r="BO215" s="348"/>
      <c r="BP215" s="348"/>
      <c r="BQ215" s="348"/>
      <c r="BR215" s="348"/>
      <c r="BS215" s="348"/>
      <c r="BT215" s="348"/>
      <c r="BU215" s="348"/>
      <c r="BV215" s="348"/>
      <c r="BW215" s="806" t="s">
        <v>96</v>
      </c>
      <c r="BX215" s="806"/>
      <c r="BY215" s="806"/>
      <c r="BZ215" s="806" t="str">
        <f>IFERROR(__xludf.DUMMYFUNCTION("""COMPUTED_VALUE"""),"")</f>
        <v/>
      </c>
      <c r="CA215" s="806"/>
      <c r="CB215" s="806"/>
      <c r="CC215" s="806"/>
      <c r="CD215" s="806"/>
      <c r="CE215" s="806"/>
      <c r="CF215" s="806"/>
      <c r="CG215" s="806"/>
      <c r="CH215" s="806"/>
      <c r="CI215" s="806"/>
      <c r="CJ215" s="806"/>
      <c r="CK215" s="806"/>
    </row>
    <row r="216">
      <c r="A216" s="348"/>
      <c r="B216" s="348"/>
      <c r="C216" s="236"/>
      <c r="D216" s="348"/>
      <c r="E216" s="348"/>
      <c r="F216" s="348"/>
      <c r="G216" s="348"/>
      <c r="H216" s="348"/>
      <c r="I216" s="348"/>
      <c r="J216" s="348"/>
      <c r="K216" s="348"/>
      <c r="L216" s="348"/>
      <c r="M216" s="348"/>
      <c r="N216" s="348"/>
      <c r="O216" s="348"/>
      <c r="P216" s="348"/>
      <c r="Q216" s="348"/>
      <c r="R216" s="348"/>
      <c r="S216" s="348"/>
      <c r="T216" s="348"/>
      <c r="U216" s="348" t="s">
        <v>96</v>
      </c>
      <c r="V216" s="348" t="s">
        <v>96</v>
      </c>
      <c r="W216" s="348"/>
      <c r="X216" s="348" t="s">
        <v>96</v>
      </c>
      <c r="Y216" s="772" t="s">
        <v>96</v>
      </c>
      <c r="Z216" s="772" t="s">
        <v>96</v>
      </c>
      <c r="AA216" s="348"/>
      <c r="AB216" s="153"/>
      <c r="AC216" s="348"/>
      <c r="AD216" s="348"/>
      <c r="AE216" s="348"/>
      <c r="AF216" s="348"/>
      <c r="AG216" s="348"/>
      <c r="AH216" s="348"/>
      <c r="AI216" s="348"/>
      <c r="AJ216" s="348"/>
      <c r="AK216" s="348"/>
      <c r="AL216" s="348"/>
      <c r="AM216" s="348"/>
      <c r="AN216" s="348"/>
      <c r="AO216" s="348"/>
      <c r="AP216" s="348"/>
      <c r="AQ216" s="348"/>
      <c r="AR216" s="348"/>
      <c r="AS216" s="348"/>
      <c r="AT216" s="348"/>
      <c r="AU216" s="348"/>
      <c r="AV216" s="348"/>
      <c r="AW216" s="348"/>
      <c r="AX216" s="348"/>
      <c r="AY216" s="348"/>
      <c r="AZ216" s="348"/>
      <c r="BA216" s="348"/>
      <c r="BB216" s="348"/>
      <c r="BC216" s="348"/>
      <c r="BD216" s="348"/>
      <c r="BE216" s="348"/>
      <c r="BF216" s="348"/>
      <c r="BG216" s="348"/>
      <c r="BH216" s="348"/>
      <c r="BI216" s="348"/>
      <c r="BJ216" s="348"/>
      <c r="BK216" s="348"/>
      <c r="BL216" s="348"/>
      <c r="BM216" s="348"/>
      <c r="BN216" s="348"/>
      <c r="BO216" s="348"/>
      <c r="BP216" s="348"/>
      <c r="BQ216" s="348"/>
      <c r="BR216" s="348"/>
      <c r="BS216" s="348"/>
      <c r="BT216" s="348"/>
      <c r="BU216" s="348"/>
      <c r="BV216" s="348"/>
      <c r="BW216" s="806" t="s">
        <v>96</v>
      </c>
      <c r="BX216" s="806"/>
      <c r="BY216" s="806"/>
      <c r="BZ216" s="806" t="str">
        <f>IFERROR(__xludf.DUMMYFUNCTION("""COMPUTED_VALUE"""),"")</f>
        <v/>
      </c>
      <c r="CA216" s="806"/>
      <c r="CB216" s="806"/>
      <c r="CC216" s="806"/>
      <c r="CD216" s="806"/>
      <c r="CE216" s="806"/>
      <c r="CF216" s="806"/>
      <c r="CG216" s="806"/>
      <c r="CH216" s="806"/>
      <c r="CI216" s="806"/>
      <c r="CJ216" s="806"/>
      <c r="CK216" s="806"/>
    </row>
    <row r="217">
      <c r="A217" s="348"/>
      <c r="B217" s="348"/>
      <c r="C217" s="236"/>
      <c r="D217" s="348"/>
      <c r="E217" s="348"/>
      <c r="F217" s="348"/>
      <c r="G217" s="348"/>
      <c r="H217" s="348"/>
      <c r="I217" s="348"/>
      <c r="J217" s="348"/>
      <c r="K217" s="348"/>
      <c r="L217" s="348"/>
      <c r="M217" s="348"/>
      <c r="N217" s="348"/>
      <c r="O217" s="348"/>
      <c r="P217" s="348"/>
      <c r="Q217" s="348"/>
      <c r="R217" s="348"/>
      <c r="S217" s="348"/>
      <c r="T217" s="348"/>
      <c r="U217" s="348" t="s">
        <v>96</v>
      </c>
      <c r="V217" s="348" t="s">
        <v>96</v>
      </c>
      <c r="W217" s="348"/>
      <c r="X217" s="348" t="s">
        <v>96</v>
      </c>
      <c r="Y217" s="772" t="s">
        <v>96</v>
      </c>
      <c r="Z217" s="772" t="s">
        <v>96</v>
      </c>
      <c r="AA217" s="348"/>
      <c r="AB217" s="153"/>
      <c r="AC217" s="348"/>
      <c r="AD217" s="348"/>
      <c r="AE217" s="348"/>
      <c r="AF217" s="348"/>
      <c r="AG217" s="348"/>
      <c r="AH217" s="348"/>
      <c r="AI217" s="348"/>
      <c r="AJ217" s="348"/>
      <c r="AK217" s="348"/>
      <c r="AL217" s="348"/>
      <c r="AM217" s="348"/>
      <c r="AN217" s="348"/>
      <c r="AO217" s="348"/>
      <c r="AP217" s="348"/>
      <c r="AQ217" s="348"/>
      <c r="AR217" s="348"/>
      <c r="AS217" s="348"/>
      <c r="AT217" s="348"/>
      <c r="AU217" s="348"/>
      <c r="AV217" s="348"/>
      <c r="AW217" s="348"/>
      <c r="AX217" s="348"/>
      <c r="AY217" s="348"/>
      <c r="AZ217" s="348"/>
      <c r="BA217" s="348"/>
      <c r="BB217" s="348"/>
      <c r="BC217" s="348"/>
      <c r="BD217" s="348"/>
      <c r="BE217" s="348"/>
      <c r="BF217" s="348"/>
      <c r="BG217" s="348"/>
      <c r="BH217" s="348"/>
      <c r="BI217" s="348"/>
      <c r="BJ217" s="348"/>
      <c r="BK217" s="348"/>
      <c r="BL217" s="348"/>
      <c r="BM217" s="348"/>
      <c r="BN217" s="348"/>
      <c r="BO217" s="348"/>
      <c r="BP217" s="348"/>
      <c r="BQ217" s="348"/>
      <c r="BR217" s="348"/>
      <c r="BS217" s="348"/>
      <c r="BT217" s="348"/>
      <c r="BU217" s="348"/>
      <c r="BV217" s="348"/>
      <c r="BW217" s="806" t="s">
        <v>96</v>
      </c>
      <c r="BX217" s="806"/>
      <c r="BY217" s="806"/>
      <c r="BZ217" s="806" t="str">
        <f>IFERROR(__xludf.DUMMYFUNCTION("""COMPUTED_VALUE"""),"")</f>
        <v/>
      </c>
      <c r="CA217" s="806"/>
      <c r="CB217" s="806"/>
      <c r="CC217" s="806"/>
      <c r="CD217" s="806"/>
      <c r="CE217" s="806"/>
      <c r="CF217" s="806"/>
      <c r="CG217" s="806"/>
      <c r="CH217" s="806"/>
      <c r="CI217" s="806"/>
      <c r="CJ217" s="806"/>
      <c r="CK217" s="806"/>
    </row>
    <row r="218">
      <c r="A218" s="348"/>
      <c r="B218" s="348"/>
      <c r="C218" s="236"/>
      <c r="D218" s="348"/>
      <c r="E218" s="348"/>
      <c r="F218" s="348"/>
      <c r="G218" s="348"/>
      <c r="H218" s="348"/>
      <c r="I218" s="348"/>
      <c r="J218" s="348"/>
      <c r="K218" s="348"/>
      <c r="L218" s="348"/>
      <c r="M218" s="348"/>
      <c r="N218" s="348"/>
      <c r="O218" s="348"/>
      <c r="P218" s="348"/>
      <c r="Q218" s="348"/>
      <c r="R218" s="348"/>
      <c r="S218" s="348"/>
      <c r="T218" s="348"/>
      <c r="U218" s="348" t="s">
        <v>96</v>
      </c>
      <c r="V218" s="348" t="s">
        <v>96</v>
      </c>
      <c r="W218" s="348"/>
      <c r="X218" s="348" t="s">
        <v>96</v>
      </c>
      <c r="Y218" s="772" t="s">
        <v>96</v>
      </c>
      <c r="Z218" s="772" t="s">
        <v>96</v>
      </c>
      <c r="AA218" s="348"/>
      <c r="AB218" s="153"/>
      <c r="AC218" s="348"/>
      <c r="AD218" s="348"/>
      <c r="AE218" s="348"/>
      <c r="AF218" s="348"/>
      <c r="AG218" s="348"/>
      <c r="AH218" s="348"/>
      <c r="AI218" s="348"/>
      <c r="AJ218" s="348"/>
      <c r="AK218" s="348"/>
      <c r="AL218" s="348"/>
      <c r="AM218" s="348"/>
      <c r="AN218" s="348"/>
      <c r="AO218" s="348"/>
      <c r="AP218" s="348"/>
      <c r="AQ218" s="348"/>
      <c r="AR218" s="348"/>
      <c r="AS218" s="348"/>
      <c r="AT218" s="348"/>
      <c r="AU218" s="348"/>
      <c r="AV218" s="348"/>
      <c r="AW218" s="348"/>
      <c r="AX218" s="348"/>
      <c r="AY218" s="348"/>
      <c r="AZ218" s="348"/>
      <c r="BA218" s="348"/>
      <c r="BB218" s="348"/>
      <c r="BC218" s="348"/>
      <c r="BD218" s="348"/>
      <c r="BE218" s="348"/>
      <c r="BF218" s="348"/>
      <c r="BG218" s="348"/>
      <c r="BH218" s="348"/>
      <c r="BI218" s="348"/>
      <c r="BJ218" s="348"/>
      <c r="BK218" s="348"/>
      <c r="BL218" s="348"/>
      <c r="BM218" s="348"/>
      <c r="BN218" s="348"/>
      <c r="BO218" s="348"/>
      <c r="BP218" s="348"/>
      <c r="BQ218" s="348"/>
      <c r="BR218" s="348"/>
      <c r="BS218" s="348"/>
      <c r="BT218" s="348"/>
      <c r="BU218" s="348"/>
      <c r="BV218" s="348"/>
      <c r="BW218" s="806" t="s">
        <v>96</v>
      </c>
      <c r="BX218" s="806"/>
      <c r="BY218" s="806"/>
      <c r="BZ218" s="806" t="str">
        <f>IFERROR(__xludf.DUMMYFUNCTION("""COMPUTED_VALUE"""),"")</f>
        <v/>
      </c>
      <c r="CA218" s="806"/>
      <c r="CB218" s="806"/>
      <c r="CC218" s="806"/>
      <c r="CD218" s="806"/>
      <c r="CE218" s="806"/>
      <c r="CF218" s="806"/>
      <c r="CG218" s="806"/>
      <c r="CH218" s="806"/>
      <c r="CI218" s="806"/>
      <c r="CJ218" s="806"/>
      <c r="CK218" s="806"/>
    </row>
    <row r="219">
      <c r="A219" s="348"/>
      <c r="B219" s="348"/>
      <c r="C219" s="236"/>
      <c r="D219" s="348"/>
      <c r="E219" s="348"/>
      <c r="F219" s="348"/>
      <c r="G219" s="348"/>
      <c r="H219" s="348"/>
      <c r="I219" s="348"/>
      <c r="J219" s="348"/>
      <c r="K219" s="348"/>
      <c r="L219" s="348"/>
      <c r="M219" s="348"/>
      <c r="N219" s="348"/>
      <c r="O219" s="348"/>
      <c r="P219" s="348"/>
      <c r="Q219" s="348"/>
      <c r="R219" s="348"/>
      <c r="S219" s="348"/>
      <c r="T219" s="348"/>
      <c r="U219" s="348" t="s">
        <v>96</v>
      </c>
      <c r="V219" s="348" t="s">
        <v>96</v>
      </c>
      <c r="W219" s="348"/>
      <c r="X219" s="348" t="s">
        <v>96</v>
      </c>
      <c r="Y219" s="772" t="s">
        <v>96</v>
      </c>
      <c r="Z219" s="772" t="s">
        <v>96</v>
      </c>
      <c r="AA219" s="348"/>
      <c r="AB219" s="153"/>
      <c r="AC219" s="348"/>
      <c r="AD219" s="348"/>
      <c r="AE219" s="348"/>
      <c r="AF219" s="348"/>
      <c r="AG219" s="348"/>
      <c r="AH219" s="348"/>
      <c r="AI219" s="348"/>
      <c r="AJ219" s="348"/>
      <c r="AK219" s="348"/>
      <c r="AL219" s="348"/>
      <c r="AM219" s="348"/>
      <c r="AN219" s="348"/>
      <c r="AO219" s="348"/>
      <c r="AP219" s="348"/>
      <c r="AQ219" s="348"/>
      <c r="AR219" s="348"/>
      <c r="AS219" s="348"/>
      <c r="AT219" s="348"/>
      <c r="AU219" s="348"/>
      <c r="AV219" s="348"/>
      <c r="AW219" s="348"/>
      <c r="AX219" s="348"/>
      <c r="AY219" s="348"/>
      <c r="AZ219" s="348"/>
      <c r="BA219" s="348"/>
      <c r="BB219" s="348"/>
      <c r="BC219" s="348"/>
      <c r="BD219" s="348"/>
      <c r="BE219" s="348"/>
      <c r="BF219" s="348"/>
      <c r="BG219" s="348"/>
      <c r="BH219" s="348"/>
      <c r="BI219" s="348"/>
      <c r="BJ219" s="348"/>
      <c r="BK219" s="348"/>
      <c r="BL219" s="348"/>
      <c r="BM219" s="348"/>
      <c r="BN219" s="348"/>
      <c r="BO219" s="348"/>
      <c r="BP219" s="348"/>
      <c r="BQ219" s="348"/>
      <c r="BR219" s="348"/>
      <c r="BS219" s="348"/>
      <c r="BT219" s="348"/>
      <c r="BU219" s="348"/>
      <c r="BV219" s="348"/>
      <c r="BW219" s="806" t="s">
        <v>96</v>
      </c>
      <c r="BX219" s="806"/>
      <c r="BY219" s="806"/>
      <c r="BZ219" s="806" t="str">
        <f>IFERROR(__xludf.DUMMYFUNCTION("""COMPUTED_VALUE"""),"")</f>
        <v/>
      </c>
      <c r="CA219" s="806"/>
      <c r="CB219" s="806"/>
      <c r="CC219" s="806"/>
      <c r="CD219" s="806"/>
      <c r="CE219" s="806"/>
      <c r="CF219" s="806"/>
      <c r="CG219" s="806"/>
      <c r="CH219" s="806"/>
      <c r="CI219" s="806"/>
      <c r="CJ219" s="806"/>
      <c r="CK219" s="806"/>
    </row>
    <row r="220">
      <c r="A220" s="348"/>
      <c r="B220" s="348"/>
      <c r="C220" s="236"/>
      <c r="D220" s="348"/>
      <c r="E220" s="348"/>
      <c r="F220" s="348"/>
      <c r="G220" s="348"/>
      <c r="H220" s="348"/>
      <c r="I220" s="348"/>
      <c r="J220" s="348"/>
      <c r="K220" s="348"/>
      <c r="L220" s="348"/>
      <c r="M220" s="348"/>
      <c r="N220" s="348"/>
      <c r="O220" s="348"/>
      <c r="P220" s="348"/>
      <c r="Q220" s="348"/>
      <c r="R220" s="348"/>
      <c r="S220" s="348"/>
      <c r="T220" s="348"/>
      <c r="U220" s="348" t="s">
        <v>96</v>
      </c>
      <c r="V220" s="348" t="s">
        <v>96</v>
      </c>
      <c r="W220" s="348"/>
      <c r="X220" s="348" t="s">
        <v>96</v>
      </c>
      <c r="Y220" s="772" t="s">
        <v>96</v>
      </c>
      <c r="Z220" s="772" t="s">
        <v>96</v>
      </c>
      <c r="AA220" s="348"/>
      <c r="AB220" s="153"/>
      <c r="AC220" s="348"/>
      <c r="AD220" s="348"/>
      <c r="AE220" s="348"/>
      <c r="AF220" s="348"/>
      <c r="AG220" s="348"/>
      <c r="AH220" s="348"/>
      <c r="AI220" s="348"/>
      <c r="AJ220" s="348"/>
      <c r="AK220" s="348"/>
      <c r="AL220" s="348"/>
      <c r="AM220" s="348"/>
      <c r="AN220" s="348"/>
      <c r="AO220" s="348"/>
      <c r="AP220" s="348"/>
      <c r="AQ220" s="348"/>
      <c r="AR220" s="348"/>
      <c r="AS220" s="348"/>
      <c r="AT220" s="348"/>
      <c r="AU220" s="348"/>
      <c r="AV220" s="348"/>
      <c r="AW220" s="348"/>
      <c r="AX220" s="348"/>
      <c r="AY220" s="348"/>
      <c r="AZ220" s="348"/>
      <c r="BA220" s="348"/>
      <c r="BB220" s="348"/>
      <c r="BC220" s="348"/>
      <c r="BD220" s="348"/>
      <c r="BE220" s="348"/>
      <c r="BF220" s="348"/>
      <c r="BG220" s="348"/>
      <c r="BH220" s="348"/>
      <c r="BI220" s="348"/>
      <c r="BJ220" s="348"/>
      <c r="BK220" s="348"/>
      <c r="BL220" s="348"/>
      <c r="BM220" s="348"/>
      <c r="BN220" s="348"/>
      <c r="BO220" s="348"/>
      <c r="BP220" s="348"/>
      <c r="BQ220" s="348"/>
      <c r="BR220" s="348"/>
      <c r="BS220" s="348"/>
      <c r="BT220" s="348"/>
      <c r="BU220" s="348"/>
      <c r="BV220" s="348"/>
      <c r="BW220" s="806" t="s">
        <v>96</v>
      </c>
      <c r="BX220" s="806"/>
      <c r="BY220" s="806"/>
      <c r="BZ220" s="806" t="str">
        <f>IFERROR(__xludf.DUMMYFUNCTION("""COMPUTED_VALUE"""),"")</f>
        <v/>
      </c>
      <c r="CA220" s="806"/>
      <c r="CB220" s="806"/>
      <c r="CC220" s="806"/>
      <c r="CD220" s="806"/>
      <c r="CE220" s="806"/>
      <c r="CF220" s="806"/>
      <c r="CG220" s="806"/>
      <c r="CH220" s="806"/>
      <c r="CI220" s="806"/>
      <c r="CJ220" s="806"/>
      <c r="CK220" s="806"/>
    </row>
    <row r="221">
      <c r="A221" s="348"/>
      <c r="B221" s="348"/>
      <c r="C221" s="236"/>
      <c r="D221" s="348"/>
      <c r="E221" s="348"/>
      <c r="F221" s="348"/>
      <c r="G221" s="348"/>
      <c r="H221" s="348"/>
      <c r="I221" s="348"/>
      <c r="J221" s="348"/>
      <c r="K221" s="348"/>
      <c r="L221" s="348"/>
      <c r="M221" s="348"/>
      <c r="N221" s="348"/>
      <c r="O221" s="348"/>
      <c r="P221" s="348"/>
      <c r="Q221" s="348"/>
      <c r="R221" s="348"/>
      <c r="S221" s="348"/>
      <c r="T221" s="348"/>
      <c r="U221" s="348" t="s">
        <v>96</v>
      </c>
      <c r="V221" s="348" t="s">
        <v>96</v>
      </c>
      <c r="W221" s="348"/>
      <c r="X221" s="348" t="s">
        <v>96</v>
      </c>
      <c r="Y221" s="772" t="s">
        <v>96</v>
      </c>
      <c r="Z221" s="772" t="s">
        <v>96</v>
      </c>
      <c r="AA221" s="348"/>
      <c r="AB221" s="153"/>
      <c r="AC221" s="348"/>
      <c r="AD221" s="348"/>
      <c r="AE221" s="348"/>
      <c r="AF221" s="348"/>
      <c r="AG221" s="348"/>
      <c r="AH221" s="348"/>
      <c r="AI221" s="348"/>
      <c r="AJ221" s="348"/>
      <c r="AK221" s="348"/>
      <c r="AL221" s="348"/>
      <c r="AM221" s="348"/>
      <c r="AN221" s="348"/>
      <c r="AO221" s="348"/>
      <c r="AP221" s="348"/>
      <c r="AQ221" s="348"/>
      <c r="AR221" s="348"/>
      <c r="AS221" s="348"/>
      <c r="AT221" s="348"/>
      <c r="AU221" s="348"/>
      <c r="AV221" s="348"/>
      <c r="AW221" s="348"/>
      <c r="AX221" s="348"/>
      <c r="AY221" s="348"/>
      <c r="AZ221" s="348"/>
      <c r="BA221" s="348"/>
      <c r="BB221" s="348"/>
      <c r="BC221" s="348"/>
      <c r="BD221" s="348"/>
      <c r="BE221" s="348"/>
      <c r="BF221" s="348"/>
      <c r="BG221" s="348"/>
      <c r="BH221" s="348"/>
      <c r="BI221" s="348"/>
      <c r="BJ221" s="348"/>
      <c r="BK221" s="348"/>
      <c r="BL221" s="348"/>
      <c r="BM221" s="348"/>
      <c r="BN221" s="348"/>
      <c r="BO221" s="348"/>
      <c r="BP221" s="348"/>
      <c r="BQ221" s="348"/>
      <c r="BR221" s="348"/>
      <c r="BS221" s="348"/>
      <c r="BT221" s="348"/>
      <c r="BU221" s="348"/>
      <c r="BV221" s="348"/>
      <c r="BW221" s="806" t="s">
        <v>96</v>
      </c>
      <c r="BX221" s="806"/>
      <c r="BY221" s="806"/>
      <c r="BZ221" s="806" t="str">
        <f>IFERROR(__xludf.DUMMYFUNCTION("""COMPUTED_VALUE"""),"")</f>
        <v/>
      </c>
      <c r="CA221" s="806"/>
      <c r="CB221" s="806"/>
      <c r="CC221" s="806"/>
      <c r="CD221" s="806"/>
      <c r="CE221" s="806"/>
      <c r="CF221" s="806"/>
      <c r="CG221" s="806"/>
      <c r="CH221" s="806"/>
      <c r="CI221" s="806"/>
      <c r="CJ221" s="806"/>
      <c r="CK221" s="806"/>
    </row>
    <row r="222">
      <c r="A222" s="348"/>
      <c r="B222" s="348"/>
      <c r="C222" s="236"/>
      <c r="D222" s="348"/>
      <c r="E222" s="348"/>
      <c r="F222" s="348"/>
      <c r="G222" s="348"/>
      <c r="H222" s="348"/>
      <c r="I222" s="348"/>
      <c r="J222" s="348"/>
      <c r="K222" s="348"/>
      <c r="L222" s="348"/>
      <c r="M222" s="348"/>
      <c r="N222" s="348"/>
      <c r="O222" s="348"/>
      <c r="P222" s="348"/>
      <c r="Q222" s="348"/>
      <c r="R222" s="348"/>
      <c r="S222" s="348"/>
      <c r="T222" s="348"/>
      <c r="U222" s="348" t="s">
        <v>96</v>
      </c>
      <c r="V222" s="348" t="s">
        <v>96</v>
      </c>
      <c r="W222" s="348"/>
      <c r="X222" s="348" t="s">
        <v>96</v>
      </c>
      <c r="Y222" s="772" t="s">
        <v>96</v>
      </c>
      <c r="Z222" s="772" t="s">
        <v>96</v>
      </c>
      <c r="AA222" s="348"/>
      <c r="AB222" s="153"/>
      <c r="AC222" s="348"/>
      <c r="AD222" s="348"/>
      <c r="AE222" s="348"/>
      <c r="AF222" s="348"/>
      <c r="AG222" s="348"/>
      <c r="AH222" s="348"/>
      <c r="AI222" s="348"/>
      <c r="AJ222" s="348"/>
      <c r="AK222" s="348"/>
      <c r="AL222" s="348"/>
      <c r="AM222" s="348"/>
      <c r="AN222" s="348"/>
      <c r="AO222" s="348"/>
      <c r="AP222" s="348"/>
      <c r="AQ222" s="348"/>
      <c r="AR222" s="348"/>
      <c r="AS222" s="348"/>
      <c r="AT222" s="348"/>
      <c r="AU222" s="348"/>
      <c r="AV222" s="348"/>
      <c r="AW222" s="348"/>
      <c r="AX222" s="348"/>
      <c r="AY222" s="348"/>
      <c r="AZ222" s="348"/>
      <c r="BA222" s="348"/>
      <c r="BB222" s="348"/>
      <c r="BC222" s="348"/>
      <c r="BD222" s="348"/>
      <c r="BE222" s="348"/>
      <c r="BF222" s="348"/>
      <c r="BG222" s="348"/>
      <c r="BH222" s="348"/>
      <c r="BI222" s="348"/>
      <c r="BJ222" s="348"/>
      <c r="BK222" s="348"/>
      <c r="BL222" s="348"/>
      <c r="BM222" s="348"/>
      <c r="BN222" s="348"/>
      <c r="BO222" s="348"/>
      <c r="BP222" s="348"/>
      <c r="BQ222" s="348"/>
      <c r="BR222" s="348"/>
      <c r="BS222" s="348"/>
      <c r="BT222" s="348"/>
      <c r="BU222" s="348"/>
      <c r="BV222" s="348"/>
      <c r="BW222" s="806" t="s">
        <v>96</v>
      </c>
      <c r="BX222" s="806"/>
      <c r="BY222" s="806"/>
      <c r="BZ222" s="806" t="str">
        <f>IFERROR(__xludf.DUMMYFUNCTION("""COMPUTED_VALUE"""),"")</f>
        <v/>
      </c>
      <c r="CA222" s="806"/>
      <c r="CB222" s="806"/>
      <c r="CC222" s="806"/>
      <c r="CD222" s="806"/>
      <c r="CE222" s="806"/>
      <c r="CF222" s="806"/>
      <c r="CG222" s="806"/>
      <c r="CH222" s="806"/>
      <c r="CI222" s="806"/>
      <c r="CJ222" s="806"/>
      <c r="CK222" s="806"/>
    </row>
    <row r="223">
      <c r="A223" s="348"/>
      <c r="B223" s="348"/>
      <c r="C223" s="236"/>
      <c r="D223" s="348"/>
      <c r="E223" s="348"/>
      <c r="F223" s="348"/>
      <c r="G223" s="348"/>
      <c r="H223" s="348"/>
      <c r="I223" s="348"/>
      <c r="J223" s="348"/>
      <c r="K223" s="348"/>
      <c r="L223" s="348"/>
      <c r="M223" s="348"/>
      <c r="N223" s="348"/>
      <c r="O223" s="348"/>
      <c r="P223" s="348"/>
      <c r="Q223" s="348"/>
      <c r="R223" s="348"/>
      <c r="S223" s="348"/>
      <c r="T223" s="348"/>
      <c r="U223" s="348" t="s">
        <v>96</v>
      </c>
      <c r="V223" s="348" t="s">
        <v>96</v>
      </c>
      <c r="W223" s="348"/>
      <c r="X223" s="348" t="s">
        <v>96</v>
      </c>
      <c r="Y223" s="772" t="s">
        <v>96</v>
      </c>
      <c r="Z223" s="772" t="s">
        <v>96</v>
      </c>
      <c r="AA223" s="348"/>
      <c r="AB223" s="153"/>
      <c r="AC223" s="348"/>
      <c r="AD223" s="348"/>
      <c r="AE223" s="348"/>
      <c r="AF223" s="348"/>
      <c r="AG223" s="348"/>
      <c r="AH223" s="348"/>
      <c r="AI223" s="348"/>
      <c r="AJ223" s="348"/>
      <c r="AK223" s="348"/>
      <c r="AL223" s="348"/>
      <c r="AM223" s="348"/>
      <c r="AN223" s="348"/>
      <c r="AO223" s="348"/>
      <c r="AP223" s="348"/>
      <c r="AQ223" s="348"/>
      <c r="AR223" s="348"/>
      <c r="AS223" s="348"/>
      <c r="AT223" s="348"/>
      <c r="AU223" s="348"/>
      <c r="AV223" s="348"/>
      <c r="AW223" s="348"/>
      <c r="AX223" s="348"/>
      <c r="AY223" s="348"/>
      <c r="AZ223" s="348"/>
      <c r="BA223" s="348"/>
      <c r="BB223" s="348"/>
      <c r="BC223" s="348"/>
      <c r="BD223" s="348"/>
      <c r="BE223" s="348"/>
      <c r="BF223" s="348"/>
      <c r="BG223" s="348"/>
      <c r="BH223" s="348"/>
      <c r="BI223" s="348"/>
      <c r="BJ223" s="348"/>
      <c r="BK223" s="348"/>
      <c r="BL223" s="348"/>
      <c r="BM223" s="348"/>
      <c r="BN223" s="348"/>
      <c r="BO223" s="348"/>
      <c r="BP223" s="348"/>
      <c r="BQ223" s="348"/>
      <c r="BR223" s="348"/>
      <c r="BS223" s="348"/>
      <c r="BT223" s="348"/>
      <c r="BU223" s="348"/>
      <c r="BV223" s="348"/>
      <c r="BW223" s="806" t="s">
        <v>96</v>
      </c>
      <c r="BX223" s="806"/>
      <c r="BY223" s="806"/>
      <c r="BZ223" s="806" t="str">
        <f>IFERROR(__xludf.DUMMYFUNCTION("""COMPUTED_VALUE"""),"")</f>
        <v/>
      </c>
      <c r="CA223" s="806"/>
      <c r="CB223" s="806"/>
      <c r="CC223" s="806"/>
      <c r="CD223" s="806"/>
      <c r="CE223" s="806"/>
      <c r="CF223" s="806"/>
      <c r="CG223" s="806"/>
      <c r="CH223" s="806"/>
      <c r="CI223" s="806"/>
      <c r="CJ223" s="806"/>
      <c r="CK223" s="806"/>
    </row>
    <row r="224">
      <c r="A224" s="348"/>
      <c r="B224" s="348"/>
      <c r="C224" s="236"/>
      <c r="D224" s="348"/>
      <c r="E224" s="348"/>
      <c r="F224" s="348"/>
      <c r="G224" s="348"/>
      <c r="H224" s="348"/>
      <c r="I224" s="348"/>
      <c r="J224" s="348"/>
      <c r="K224" s="348"/>
      <c r="L224" s="348"/>
      <c r="M224" s="348"/>
      <c r="N224" s="348"/>
      <c r="O224" s="348"/>
      <c r="P224" s="348"/>
      <c r="Q224" s="348"/>
      <c r="R224" s="348"/>
      <c r="S224" s="348"/>
      <c r="T224" s="348"/>
      <c r="U224" s="348" t="s">
        <v>96</v>
      </c>
      <c r="V224" s="348" t="s">
        <v>96</v>
      </c>
      <c r="W224" s="348"/>
      <c r="X224" s="348" t="s">
        <v>96</v>
      </c>
      <c r="Y224" s="772" t="s">
        <v>96</v>
      </c>
      <c r="Z224" s="772" t="s">
        <v>96</v>
      </c>
      <c r="AA224" s="348"/>
      <c r="AB224" s="153"/>
      <c r="AC224" s="348"/>
      <c r="AD224" s="348"/>
      <c r="AE224" s="348"/>
      <c r="AF224" s="348"/>
      <c r="AG224" s="348"/>
      <c r="AH224" s="348"/>
      <c r="AI224" s="348"/>
      <c r="AJ224" s="348"/>
      <c r="AK224" s="348"/>
      <c r="AL224" s="348"/>
      <c r="AM224" s="348"/>
      <c r="AN224" s="348"/>
      <c r="AO224" s="348"/>
      <c r="AP224" s="348"/>
      <c r="AQ224" s="348"/>
      <c r="AR224" s="348"/>
      <c r="AS224" s="348"/>
      <c r="AT224" s="348"/>
      <c r="AU224" s="348"/>
      <c r="AV224" s="348"/>
      <c r="AW224" s="348"/>
      <c r="AX224" s="348"/>
      <c r="AY224" s="348"/>
      <c r="AZ224" s="348"/>
      <c r="BA224" s="348"/>
      <c r="BB224" s="348"/>
      <c r="BC224" s="348"/>
      <c r="BD224" s="348"/>
      <c r="BE224" s="348"/>
      <c r="BF224" s="348"/>
      <c r="BG224" s="348"/>
      <c r="BH224" s="348"/>
      <c r="BI224" s="348"/>
      <c r="BJ224" s="348"/>
      <c r="BK224" s="348"/>
      <c r="BL224" s="348"/>
      <c r="BM224" s="348"/>
      <c r="BN224" s="348"/>
      <c r="BO224" s="348"/>
      <c r="BP224" s="348"/>
      <c r="BQ224" s="348"/>
      <c r="BR224" s="348"/>
      <c r="BS224" s="348"/>
      <c r="BT224" s="348"/>
      <c r="BU224" s="348"/>
      <c r="BV224" s="348"/>
      <c r="BW224" s="806" t="s">
        <v>96</v>
      </c>
      <c r="BX224" s="806"/>
      <c r="BY224" s="806"/>
      <c r="BZ224" s="806" t="str">
        <f>IFERROR(__xludf.DUMMYFUNCTION("""COMPUTED_VALUE"""),"")</f>
        <v/>
      </c>
      <c r="CA224" s="806"/>
      <c r="CB224" s="806"/>
      <c r="CC224" s="806"/>
      <c r="CD224" s="806"/>
      <c r="CE224" s="806"/>
      <c r="CF224" s="806"/>
      <c r="CG224" s="806"/>
      <c r="CH224" s="806"/>
      <c r="CI224" s="806"/>
      <c r="CJ224" s="806"/>
      <c r="CK224" s="806"/>
    </row>
    <row r="225">
      <c r="A225" s="348"/>
      <c r="B225" s="348"/>
      <c r="C225" s="236"/>
      <c r="D225" s="348"/>
      <c r="E225" s="348"/>
      <c r="F225" s="348"/>
      <c r="G225" s="348"/>
      <c r="H225" s="348"/>
      <c r="I225" s="348"/>
      <c r="J225" s="348"/>
      <c r="K225" s="348"/>
      <c r="L225" s="348"/>
      <c r="M225" s="348"/>
      <c r="N225" s="348"/>
      <c r="O225" s="348"/>
      <c r="P225" s="348"/>
      <c r="Q225" s="348"/>
      <c r="R225" s="348"/>
      <c r="S225" s="348"/>
      <c r="T225" s="348"/>
      <c r="U225" s="348" t="s">
        <v>96</v>
      </c>
      <c r="V225" s="348" t="s">
        <v>96</v>
      </c>
      <c r="W225" s="348"/>
      <c r="X225" s="348" t="s">
        <v>96</v>
      </c>
      <c r="Y225" s="772" t="s">
        <v>96</v>
      </c>
      <c r="Z225" s="772" t="s">
        <v>96</v>
      </c>
      <c r="AA225" s="348"/>
      <c r="AB225" s="153"/>
      <c r="AC225" s="348"/>
      <c r="AD225" s="348"/>
      <c r="AE225" s="348"/>
      <c r="AF225" s="348"/>
      <c r="AG225" s="348"/>
      <c r="AH225" s="348"/>
      <c r="AI225" s="348"/>
      <c r="AJ225" s="348"/>
      <c r="AK225" s="348"/>
      <c r="AL225" s="348"/>
      <c r="AM225" s="348"/>
      <c r="AN225" s="348"/>
      <c r="AO225" s="348"/>
      <c r="AP225" s="348"/>
      <c r="AQ225" s="348"/>
      <c r="AR225" s="348"/>
      <c r="AS225" s="348"/>
      <c r="AT225" s="348"/>
      <c r="AU225" s="348"/>
      <c r="AV225" s="348"/>
      <c r="AW225" s="348"/>
      <c r="AX225" s="348"/>
      <c r="AY225" s="348"/>
      <c r="AZ225" s="348"/>
      <c r="BA225" s="348"/>
      <c r="BB225" s="348"/>
      <c r="BC225" s="348"/>
      <c r="BD225" s="348"/>
      <c r="BE225" s="348"/>
      <c r="BF225" s="348"/>
      <c r="BG225" s="348"/>
      <c r="BH225" s="348"/>
      <c r="BI225" s="348"/>
      <c r="BJ225" s="348"/>
      <c r="BK225" s="348"/>
      <c r="BL225" s="348"/>
      <c r="BM225" s="348"/>
      <c r="BN225" s="348"/>
      <c r="BO225" s="348"/>
      <c r="BP225" s="348"/>
      <c r="BQ225" s="348"/>
      <c r="BR225" s="348"/>
      <c r="BS225" s="348"/>
      <c r="BT225" s="348"/>
      <c r="BU225" s="348"/>
      <c r="BV225" s="348"/>
      <c r="BW225" s="806" t="s">
        <v>96</v>
      </c>
      <c r="BX225" s="806"/>
      <c r="BY225" s="806"/>
      <c r="BZ225" s="806" t="str">
        <f>IFERROR(__xludf.DUMMYFUNCTION("""COMPUTED_VALUE"""),"")</f>
        <v/>
      </c>
      <c r="CA225" s="806"/>
      <c r="CB225" s="806"/>
      <c r="CC225" s="806"/>
      <c r="CD225" s="806"/>
      <c r="CE225" s="806"/>
      <c r="CF225" s="806"/>
      <c r="CG225" s="806"/>
      <c r="CH225" s="806"/>
      <c r="CI225" s="806"/>
      <c r="CJ225" s="806"/>
      <c r="CK225" s="806"/>
    </row>
    <row r="226">
      <c r="A226" s="348"/>
      <c r="B226" s="348"/>
      <c r="C226" s="236"/>
      <c r="D226" s="348"/>
      <c r="E226" s="348"/>
      <c r="F226" s="348"/>
      <c r="G226" s="348"/>
      <c r="H226" s="348"/>
      <c r="I226" s="348"/>
      <c r="J226" s="348"/>
      <c r="K226" s="348"/>
      <c r="L226" s="348"/>
      <c r="M226" s="348"/>
      <c r="N226" s="348"/>
      <c r="O226" s="348"/>
      <c r="P226" s="348"/>
      <c r="Q226" s="348"/>
      <c r="R226" s="348"/>
      <c r="S226" s="348"/>
      <c r="T226" s="348"/>
      <c r="U226" s="348" t="s">
        <v>96</v>
      </c>
      <c r="V226" s="348" t="s">
        <v>96</v>
      </c>
      <c r="W226" s="348"/>
      <c r="X226" s="348" t="s">
        <v>96</v>
      </c>
      <c r="Y226" s="772" t="s">
        <v>96</v>
      </c>
      <c r="Z226" s="772" t="s">
        <v>96</v>
      </c>
      <c r="AA226" s="348"/>
      <c r="AB226" s="153"/>
      <c r="AC226" s="348"/>
      <c r="AD226" s="348"/>
      <c r="AE226" s="348"/>
      <c r="AF226" s="348"/>
      <c r="AG226" s="348"/>
      <c r="AH226" s="348"/>
      <c r="AI226" s="348"/>
      <c r="AJ226" s="348"/>
      <c r="AK226" s="348"/>
      <c r="AL226" s="348"/>
      <c r="AM226" s="348"/>
      <c r="AN226" s="348"/>
      <c r="AO226" s="348"/>
      <c r="AP226" s="348"/>
      <c r="AQ226" s="348"/>
      <c r="AR226" s="348"/>
      <c r="AS226" s="348"/>
      <c r="AT226" s="348"/>
      <c r="AU226" s="348"/>
      <c r="AV226" s="348"/>
      <c r="AW226" s="348"/>
      <c r="AX226" s="348"/>
      <c r="AY226" s="348"/>
      <c r="AZ226" s="348"/>
      <c r="BA226" s="348"/>
      <c r="BB226" s="348"/>
      <c r="BC226" s="348"/>
      <c r="BD226" s="348"/>
      <c r="BE226" s="348"/>
      <c r="BF226" s="348"/>
      <c r="BG226" s="348"/>
      <c r="BH226" s="348"/>
      <c r="BI226" s="348"/>
      <c r="BJ226" s="348"/>
      <c r="BK226" s="348"/>
      <c r="BL226" s="348"/>
      <c r="BM226" s="348"/>
      <c r="BN226" s="348"/>
      <c r="BO226" s="348"/>
      <c r="BP226" s="348"/>
      <c r="BQ226" s="348"/>
      <c r="BR226" s="348"/>
      <c r="BS226" s="348"/>
      <c r="BT226" s="348"/>
      <c r="BU226" s="348"/>
      <c r="BV226" s="348"/>
      <c r="BW226" s="806" t="s">
        <v>96</v>
      </c>
      <c r="BX226" s="806"/>
      <c r="BY226" s="806"/>
      <c r="BZ226" s="806" t="str">
        <f>IFERROR(__xludf.DUMMYFUNCTION("""COMPUTED_VALUE"""),"")</f>
        <v/>
      </c>
      <c r="CA226" s="806"/>
      <c r="CB226" s="806"/>
      <c r="CC226" s="806"/>
      <c r="CD226" s="806"/>
      <c r="CE226" s="806"/>
      <c r="CF226" s="806"/>
      <c r="CG226" s="806"/>
      <c r="CH226" s="806"/>
      <c r="CI226" s="806"/>
      <c r="CJ226" s="806"/>
      <c r="CK226" s="806"/>
    </row>
    <row r="227">
      <c r="A227" s="348"/>
      <c r="B227" s="348"/>
      <c r="C227" s="236"/>
      <c r="D227" s="348"/>
      <c r="E227" s="348"/>
      <c r="F227" s="348"/>
      <c r="G227" s="348"/>
      <c r="H227" s="348"/>
      <c r="I227" s="348"/>
      <c r="J227" s="348"/>
      <c r="K227" s="348"/>
      <c r="L227" s="348"/>
      <c r="M227" s="348"/>
      <c r="N227" s="348"/>
      <c r="O227" s="348"/>
      <c r="P227" s="348"/>
      <c r="Q227" s="348"/>
      <c r="R227" s="348"/>
      <c r="S227" s="348"/>
      <c r="T227" s="348"/>
      <c r="U227" s="348" t="s">
        <v>96</v>
      </c>
      <c r="V227" s="348" t="s">
        <v>96</v>
      </c>
      <c r="W227" s="348"/>
      <c r="X227" s="348" t="s">
        <v>96</v>
      </c>
      <c r="Y227" s="772" t="s">
        <v>96</v>
      </c>
      <c r="Z227" s="772" t="s">
        <v>96</v>
      </c>
      <c r="AA227" s="348"/>
      <c r="AB227" s="153"/>
      <c r="AC227" s="348"/>
      <c r="AD227" s="348"/>
      <c r="AE227" s="348"/>
      <c r="AF227" s="348"/>
      <c r="AG227" s="348"/>
      <c r="AH227" s="348"/>
      <c r="AI227" s="348"/>
      <c r="AJ227" s="348"/>
      <c r="AK227" s="348"/>
      <c r="AL227" s="348"/>
      <c r="AM227" s="348"/>
      <c r="AN227" s="348"/>
      <c r="AO227" s="348"/>
      <c r="AP227" s="348"/>
      <c r="AQ227" s="348"/>
      <c r="AR227" s="348"/>
      <c r="AS227" s="348"/>
      <c r="AT227" s="348"/>
      <c r="AU227" s="348"/>
      <c r="AV227" s="348"/>
      <c r="AW227" s="348"/>
      <c r="AX227" s="348"/>
      <c r="AY227" s="348"/>
      <c r="AZ227" s="348"/>
      <c r="BA227" s="348"/>
      <c r="BB227" s="348"/>
      <c r="BC227" s="348"/>
      <c r="BD227" s="348"/>
      <c r="BE227" s="348"/>
      <c r="BF227" s="348"/>
      <c r="BG227" s="348"/>
      <c r="BH227" s="348"/>
      <c r="BI227" s="348"/>
      <c r="BJ227" s="348"/>
      <c r="BK227" s="348"/>
      <c r="BL227" s="348"/>
      <c r="BM227" s="348"/>
      <c r="BN227" s="348"/>
      <c r="BO227" s="348"/>
      <c r="BP227" s="348"/>
      <c r="BQ227" s="348"/>
      <c r="BR227" s="348"/>
      <c r="BS227" s="348"/>
      <c r="BT227" s="348"/>
      <c r="BU227" s="348"/>
      <c r="BV227" s="348"/>
      <c r="BW227" s="806" t="s">
        <v>96</v>
      </c>
      <c r="BX227" s="806"/>
      <c r="BY227" s="806"/>
      <c r="BZ227" s="806" t="str">
        <f>IFERROR(__xludf.DUMMYFUNCTION("""COMPUTED_VALUE"""),"")</f>
        <v/>
      </c>
      <c r="CA227" s="806"/>
      <c r="CB227" s="806"/>
      <c r="CC227" s="806"/>
      <c r="CD227" s="806"/>
      <c r="CE227" s="806"/>
      <c r="CF227" s="806"/>
      <c r="CG227" s="806"/>
      <c r="CH227" s="806"/>
      <c r="CI227" s="806"/>
      <c r="CJ227" s="806"/>
      <c r="CK227" s="806"/>
    </row>
    <row r="228">
      <c r="A228" s="348"/>
      <c r="B228" s="348"/>
      <c r="C228" s="236"/>
      <c r="D228" s="348"/>
      <c r="E228" s="348"/>
      <c r="F228" s="348"/>
      <c r="G228" s="348"/>
      <c r="H228" s="348"/>
      <c r="I228" s="348"/>
      <c r="J228" s="348"/>
      <c r="K228" s="348"/>
      <c r="L228" s="348"/>
      <c r="M228" s="348"/>
      <c r="N228" s="348"/>
      <c r="O228" s="348"/>
      <c r="P228" s="348"/>
      <c r="Q228" s="348"/>
      <c r="R228" s="348"/>
      <c r="S228" s="348"/>
      <c r="T228" s="348"/>
      <c r="U228" s="348" t="s">
        <v>96</v>
      </c>
      <c r="V228" s="348" t="s">
        <v>96</v>
      </c>
      <c r="W228" s="348"/>
      <c r="X228" s="348" t="s">
        <v>96</v>
      </c>
      <c r="Y228" s="772" t="s">
        <v>96</v>
      </c>
      <c r="Z228" s="772" t="s">
        <v>96</v>
      </c>
      <c r="AA228" s="348"/>
      <c r="AB228" s="153"/>
      <c r="AC228" s="348"/>
      <c r="AD228" s="348"/>
      <c r="AE228" s="348"/>
      <c r="AF228" s="348"/>
      <c r="AG228" s="348"/>
      <c r="AH228" s="348"/>
      <c r="AI228" s="348"/>
      <c r="AJ228" s="348"/>
      <c r="AK228" s="348"/>
      <c r="AL228" s="348"/>
      <c r="AM228" s="348"/>
      <c r="AN228" s="348"/>
      <c r="AO228" s="348"/>
      <c r="AP228" s="348"/>
      <c r="AQ228" s="348"/>
      <c r="AR228" s="348"/>
      <c r="AS228" s="348"/>
      <c r="AT228" s="348"/>
      <c r="AU228" s="348"/>
      <c r="AV228" s="348"/>
      <c r="AW228" s="348"/>
      <c r="AX228" s="348"/>
      <c r="AY228" s="348"/>
      <c r="AZ228" s="348"/>
      <c r="BA228" s="348"/>
      <c r="BB228" s="348"/>
      <c r="BC228" s="348"/>
      <c r="BD228" s="348"/>
      <c r="BE228" s="348"/>
      <c r="BF228" s="348"/>
      <c r="BG228" s="348"/>
      <c r="BH228" s="348"/>
      <c r="BI228" s="348"/>
      <c r="BJ228" s="348"/>
      <c r="BK228" s="348"/>
      <c r="BL228" s="348"/>
      <c r="BM228" s="348"/>
      <c r="BN228" s="348"/>
      <c r="BO228" s="348"/>
      <c r="BP228" s="348"/>
      <c r="BQ228" s="348"/>
      <c r="BR228" s="348"/>
      <c r="BS228" s="348"/>
      <c r="BT228" s="348"/>
      <c r="BU228" s="348"/>
      <c r="BV228" s="348"/>
      <c r="BW228" s="806" t="s">
        <v>96</v>
      </c>
      <c r="BX228" s="806"/>
      <c r="BY228" s="806"/>
      <c r="BZ228" s="806" t="str">
        <f>IFERROR(__xludf.DUMMYFUNCTION("""COMPUTED_VALUE"""),"")</f>
        <v/>
      </c>
      <c r="CA228" s="806"/>
      <c r="CB228" s="806"/>
      <c r="CC228" s="806"/>
      <c r="CD228" s="806"/>
      <c r="CE228" s="806"/>
      <c r="CF228" s="806"/>
      <c r="CG228" s="806"/>
      <c r="CH228" s="806"/>
      <c r="CI228" s="806"/>
      <c r="CJ228" s="806"/>
      <c r="CK228" s="806"/>
    </row>
    <row r="229">
      <c r="A229" s="348"/>
      <c r="B229" s="348"/>
      <c r="C229" s="236"/>
      <c r="D229" s="348"/>
      <c r="E229" s="348"/>
      <c r="F229" s="348"/>
      <c r="G229" s="348"/>
      <c r="H229" s="348"/>
      <c r="I229" s="348"/>
      <c r="J229" s="348"/>
      <c r="K229" s="348"/>
      <c r="L229" s="348"/>
      <c r="M229" s="348"/>
      <c r="N229" s="348"/>
      <c r="O229" s="348"/>
      <c r="P229" s="348"/>
      <c r="Q229" s="348"/>
      <c r="R229" s="348"/>
      <c r="S229" s="348"/>
      <c r="T229" s="348"/>
      <c r="U229" s="348" t="s">
        <v>96</v>
      </c>
      <c r="V229" s="348" t="s">
        <v>96</v>
      </c>
      <c r="W229" s="348"/>
      <c r="X229" s="348" t="s">
        <v>96</v>
      </c>
      <c r="Y229" s="772" t="s">
        <v>96</v>
      </c>
      <c r="Z229" s="772" t="s">
        <v>96</v>
      </c>
      <c r="AA229" s="348"/>
      <c r="AB229" s="153"/>
      <c r="AC229" s="348"/>
      <c r="AD229" s="348"/>
      <c r="AE229" s="348"/>
      <c r="AF229" s="348"/>
      <c r="AG229" s="348"/>
      <c r="AH229" s="348"/>
      <c r="AI229" s="348"/>
      <c r="AJ229" s="348"/>
      <c r="AK229" s="348"/>
      <c r="AL229" s="348"/>
      <c r="AM229" s="348"/>
      <c r="AN229" s="348"/>
      <c r="AO229" s="348"/>
      <c r="AP229" s="348"/>
      <c r="AQ229" s="348"/>
      <c r="AR229" s="348"/>
      <c r="AS229" s="348"/>
      <c r="AT229" s="348"/>
      <c r="AU229" s="348"/>
      <c r="AV229" s="348"/>
      <c r="AW229" s="348"/>
      <c r="AX229" s="348"/>
      <c r="AY229" s="348"/>
      <c r="AZ229" s="348"/>
      <c r="BA229" s="348"/>
      <c r="BB229" s="348"/>
      <c r="BC229" s="348"/>
      <c r="BD229" s="348"/>
      <c r="BE229" s="348"/>
      <c r="BF229" s="348"/>
      <c r="BG229" s="348"/>
      <c r="BH229" s="348"/>
      <c r="BI229" s="348"/>
      <c r="BJ229" s="348"/>
      <c r="BK229" s="348"/>
      <c r="BL229" s="348"/>
      <c r="BM229" s="348"/>
      <c r="BN229" s="348"/>
      <c r="BO229" s="348"/>
      <c r="BP229" s="348"/>
      <c r="BQ229" s="348"/>
      <c r="BR229" s="348"/>
      <c r="BS229" s="348"/>
      <c r="BT229" s="348"/>
      <c r="BU229" s="348"/>
      <c r="BV229" s="348"/>
      <c r="BW229" s="806" t="s">
        <v>96</v>
      </c>
      <c r="BX229" s="806"/>
      <c r="BY229" s="806"/>
      <c r="BZ229" s="806" t="str">
        <f>IFERROR(__xludf.DUMMYFUNCTION("""COMPUTED_VALUE"""),"")</f>
        <v/>
      </c>
      <c r="CA229" s="806"/>
      <c r="CB229" s="806"/>
      <c r="CC229" s="806"/>
      <c r="CD229" s="806"/>
      <c r="CE229" s="806"/>
      <c r="CF229" s="806"/>
      <c r="CG229" s="806"/>
      <c r="CH229" s="806"/>
      <c r="CI229" s="806"/>
      <c r="CJ229" s="806"/>
      <c r="CK229" s="806"/>
    </row>
    <row r="230">
      <c r="A230" s="348"/>
      <c r="B230" s="348"/>
      <c r="C230" s="236"/>
      <c r="D230" s="348"/>
      <c r="E230" s="348"/>
      <c r="F230" s="348"/>
      <c r="G230" s="348"/>
      <c r="H230" s="348"/>
      <c r="I230" s="348"/>
      <c r="J230" s="348"/>
      <c r="K230" s="348"/>
      <c r="L230" s="348"/>
      <c r="M230" s="348"/>
      <c r="N230" s="348"/>
      <c r="O230" s="348"/>
      <c r="P230" s="348"/>
      <c r="Q230" s="348"/>
      <c r="R230" s="348"/>
      <c r="S230" s="348"/>
      <c r="T230" s="348"/>
      <c r="U230" s="348" t="s">
        <v>96</v>
      </c>
      <c r="V230" s="348" t="s">
        <v>96</v>
      </c>
      <c r="W230" s="348"/>
      <c r="X230" s="348" t="s">
        <v>96</v>
      </c>
      <c r="Y230" s="772" t="s">
        <v>96</v>
      </c>
      <c r="Z230" s="772" t="s">
        <v>96</v>
      </c>
      <c r="AA230" s="348"/>
      <c r="AB230" s="153"/>
      <c r="AC230" s="348"/>
      <c r="AD230" s="348"/>
      <c r="AE230" s="348"/>
      <c r="AF230" s="348"/>
      <c r="AG230" s="348"/>
      <c r="AH230" s="348"/>
      <c r="AI230" s="348"/>
      <c r="AJ230" s="348"/>
      <c r="AK230" s="348"/>
      <c r="AL230" s="348"/>
      <c r="AM230" s="348"/>
      <c r="AN230" s="348"/>
      <c r="AO230" s="348"/>
      <c r="AP230" s="348"/>
      <c r="AQ230" s="348"/>
      <c r="AR230" s="348"/>
      <c r="AS230" s="348"/>
      <c r="AT230" s="348"/>
      <c r="AU230" s="348"/>
      <c r="AV230" s="348"/>
      <c r="AW230" s="348"/>
      <c r="AX230" s="348"/>
      <c r="AY230" s="348"/>
      <c r="AZ230" s="348"/>
      <c r="BA230" s="348"/>
      <c r="BB230" s="348"/>
      <c r="BC230" s="348"/>
      <c r="BD230" s="348"/>
      <c r="BE230" s="348"/>
      <c r="BF230" s="348"/>
      <c r="BG230" s="348"/>
      <c r="BH230" s="348"/>
      <c r="BI230" s="348"/>
      <c r="BJ230" s="348"/>
      <c r="BK230" s="348"/>
      <c r="BL230" s="348"/>
      <c r="BM230" s="348"/>
      <c r="BN230" s="348"/>
      <c r="BO230" s="348"/>
      <c r="BP230" s="348"/>
      <c r="BQ230" s="348"/>
      <c r="BR230" s="348"/>
      <c r="BS230" s="348"/>
      <c r="BT230" s="348"/>
      <c r="BU230" s="348"/>
      <c r="BV230" s="348"/>
      <c r="BW230" s="806" t="s">
        <v>96</v>
      </c>
      <c r="BX230" s="806"/>
      <c r="BY230" s="806"/>
      <c r="BZ230" s="806" t="str">
        <f>IFERROR(__xludf.DUMMYFUNCTION("""COMPUTED_VALUE"""),"")</f>
        <v/>
      </c>
      <c r="CA230" s="806"/>
      <c r="CB230" s="806"/>
      <c r="CC230" s="806"/>
      <c r="CD230" s="806"/>
      <c r="CE230" s="806"/>
      <c r="CF230" s="806"/>
      <c r="CG230" s="806"/>
      <c r="CH230" s="806"/>
      <c r="CI230" s="806"/>
      <c r="CJ230" s="806"/>
      <c r="CK230" s="806"/>
    </row>
    <row r="231">
      <c r="A231" s="348"/>
      <c r="B231" s="348"/>
      <c r="C231" s="236"/>
      <c r="D231" s="348"/>
      <c r="E231" s="348"/>
      <c r="F231" s="348"/>
      <c r="G231" s="348"/>
      <c r="H231" s="348"/>
      <c r="I231" s="348"/>
      <c r="J231" s="348"/>
      <c r="K231" s="348"/>
      <c r="L231" s="348"/>
      <c r="M231" s="348"/>
      <c r="N231" s="348"/>
      <c r="O231" s="348"/>
      <c r="P231" s="348"/>
      <c r="Q231" s="348"/>
      <c r="R231" s="348"/>
      <c r="S231" s="348"/>
      <c r="T231" s="348"/>
      <c r="U231" s="348" t="s">
        <v>96</v>
      </c>
      <c r="V231" s="348" t="s">
        <v>96</v>
      </c>
      <c r="W231" s="348"/>
      <c r="X231" s="348" t="s">
        <v>96</v>
      </c>
      <c r="Y231" s="772" t="s">
        <v>96</v>
      </c>
      <c r="Z231" s="772" t="s">
        <v>96</v>
      </c>
      <c r="AA231" s="348"/>
      <c r="AB231" s="153"/>
      <c r="AC231" s="348"/>
      <c r="AD231" s="348"/>
      <c r="AE231" s="348"/>
      <c r="AF231" s="348"/>
      <c r="AG231" s="348"/>
      <c r="AH231" s="348"/>
      <c r="AI231" s="348"/>
      <c r="AJ231" s="348"/>
      <c r="AK231" s="348"/>
      <c r="AL231" s="348"/>
      <c r="AM231" s="348"/>
      <c r="AN231" s="348"/>
      <c r="AO231" s="348"/>
      <c r="AP231" s="348"/>
      <c r="AQ231" s="348"/>
      <c r="AR231" s="348"/>
      <c r="AS231" s="348"/>
      <c r="AT231" s="348"/>
      <c r="AU231" s="348"/>
      <c r="AV231" s="348"/>
      <c r="AW231" s="348"/>
      <c r="AX231" s="348"/>
      <c r="AY231" s="348"/>
      <c r="AZ231" s="348"/>
      <c r="BA231" s="348"/>
      <c r="BB231" s="348"/>
      <c r="BC231" s="348"/>
      <c r="BD231" s="348"/>
      <c r="BE231" s="348"/>
      <c r="BF231" s="348"/>
      <c r="BG231" s="348"/>
      <c r="BH231" s="348"/>
      <c r="BI231" s="348"/>
      <c r="BJ231" s="348"/>
      <c r="BK231" s="348"/>
      <c r="BL231" s="348"/>
      <c r="BM231" s="348"/>
      <c r="BN231" s="348"/>
      <c r="BO231" s="348"/>
      <c r="BP231" s="348"/>
      <c r="BQ231" s="348"/>
      <c r="BR231" s="348"/>
      <c r="BS231" s="348"/>
      <c r="BT231" s="348"/>
      <c r="BU231" s="348"/>
      <c r="BV231" s="348"/>
      <c r="BW231" s="806" t="s">
        <v>96</v>
      </c>
      <c r="BX231" s="806"/>
      <c r="BY231" s="806"/>
      <c r="BZ231" s="806" t="str">
        <f>IFERROR(__xludf.DUMMYFUNCTION("""COMPUTED_VALUE"""),"")</f>
        <v/>
      </c>
      <c r="CA231" s="806"/>
      <c r="CB231" s="806"/>
      <c r="CC231" s="806"/>
      <c r="CD231" s="806"/>
      <c r="CE231" s="806"/>
      <c r="CF231" s="806"/>
      <c r="CG231" s="806"/>
      <c r="CH231" s="806"/>
      <c r="CI231" s="806"/>
      <c r="CJ231" s="806"/>
      <c r="CK231" s="806"/>
    </row>
    <row r="232">
      <c r="A232" s="348"/>
      <c r="B232" s="348"/>
      <c r="C232" s="236"/>
      <c r="D232" s="348"/>
      <c r="E232" s="348"/>
      <c r="F232" s="348"/>
      <c r="G232" s="348"/>
      <c r="H232" s="348"/>
      <c r="I232" s="348"/>
      <c r="J232" s="348"/>
      <c r="K232" s="348"/>
      <c r="L232" s="348"/>
      <c r="M232" s="348"/>
      <c r="N232" s="348"/>
      <c r="O232" s="348"/>
      <c r="P232" s="348"/>
      <c r="Q232" s="348"/>
      <c r="R232" s="348"/>
      <c r="S232" s="348"/>
      <c r="T232" s="348"/>
      <c r="U232" s="348" t="s">
        <v>96</v>
      </c>
      <c r="V232" s="348" t="s">
        <v>96</v>
      </c>
      <c r="W232" s="348"/>
      <c r="X232" s="348" t="s">
        <v>96</v>
      </c>
      <c r="Y232" s="772" t="s">
        <v>96</v>
      </c>
      <c r="Z232" s="772" t="s">
        <v>96</v>
      </c>
      <c r="AA232" s="348"/>
      <c r="AB232" s="153"/>
      <c r="AC232" s="348"/>
      <c r="AD232" s="348"/>
      <c r="AE232" s="348"/>
      <c r="AF232" s="348"/>
      <c r="AG232" s="348"/>
      <c r="AH232" s="348"/>
      <c r="AI232" s="348"/>
      <c r="AJ232" s="348"/>
      <c r="AK232" s="348"/>
      <c r="AL232" s="348"/>
      <c r="AM232" s="348"/>
      <c r="AN232" s="348"/>
      <c r="AO232" s="348"/>
      <c r="AP232" s="348"/>
      <c r="AQ232" s="348"/>
      <c r="AR232" s="348"/>
      <c r="AS232" s="348"/>
      <c r="AT232" s="348"/>
      <c r="AU232" s="348"/>
      <c r="AV232" s="348"/>
      <c r="AW232" s="348"/>
      <c r="AX232" s="348"/>
      <c r="AY232" s="348"/>
      <c r="AZ232" s="348"/>
      <c r="BA232" s="348"/>
      <c r="BB232" s="348"/>
      <c r="BC232" s="348"/>
      <c r="BD232" s="348"/>
      <c r="BE232" s="348"/>
      <c r="BF232" s="348"/>
      <c r="BG232" s="348"/>
      <c r="BH232" s="348"/>
      <c r="BI232" s="348"/>
      <c r="BJ232" s="348"/>
      <c r="BK232" s="348"/>
      <c r="BL232" s="348"/>
      <c r="BM232" s="348"/>
      <c r="BN232" s="348"/>
      <c r="BO232" s="348"/>
      <c r="BP232" s="348"/>
      <c r="BQ232" s="348"/>
      <c r="BR232" s="348"/>
      <c r="BS232" s="348"/>
      <c r="BT232" s="348"/>
      <c r="BU232" s="348"/>
      <c r="BV232" s="348"/>
      <c r="BW232" s="806" t="s">
        <v>96</v>
      </c>
      <c r="BX232" s="806"/>
      <c r="BY232" s="806"/>
      <c r="BZ232" s="806" t="str">
        <f>IFERROR(__xludf.DUMMYFUNCTION("""COMPUTED_VALUE"""),"")</f>
        <v/>
      </c>
      <c r="CA232" s="806"/>
      <c r="CB232" s="806"/>
      <c r="CC232" s="806"/>
      <c r="CD232" s="806"/>
      <c r="CE232" s="806"/>
      <c r="CF232" s="806"/>
      <c r="CG232" s="806"/>
      <c r="CH232" s="806"/>
      <c r="CI232" s="806"/>
      <c r="CJ232" s="806"/>
      <c r="CK232" s="806"/>
    </row>
    <row r="233">
      <c r="A233" s="348"/>
      <c r="B233" s="348"/>
      <c r="C233" s="236"/>
      <c r="D233" s="348"/>
      <c r="E233" s="348"/>
      <c r="F233" s="348"/>
      <c r="G233" s="348"/>
      <c r="H233" s="348"/>
      <c r="I233" s="348"/>
      <c r="J233" s="348"/>
      <c r="K233" s="348"/>
      <c r="L233" s="348"/>
      <c r="M233" s="348"/>
      <c r="N233" s="348"/>
      <c r="O233" s="348"/>
      <c r="P233" s="348"/>
      <c r="Q233" s="348"/>
      <c r="R233" s="348"/>
      <c r="S233" s="348"/>
      <c r="T233" s="348"/>
      <c r="U233" s="348" t="s">
        <v>96</v>
      </c>
      <c r="V233" s="348" t="s">
        <v>96</v>
      </c>
      <c r="W233" s="348"/>
      <c r="X233" s="348" t="s">
        <v>96</v>
      </c>
      <c r="Y233" s="772" t="s">
        <v>96</v>
      </c>
      <c r="Z233" s="772" t="s">
        <v>96</v>
      </c>
      <c r="AA233" s="348"/>
      <c r="AB233" s="153"/>
      <c r="AC233" s="348"/>
      <c r="AD233" s="348"/>
      <c r="AE233" s="348"/>
      <c r="AF233" s="348"/>
      <c r="AG233" s="348"/>
      <c r="AH233" s="348"/>
      <c r="AI233" s="348"/>
      <c r="AJ233" s="348"/>
      <c r="AK233" s="348"/>
      <c r="AL233" s="348"/>
      <c r="AM233" s="348"/>
      <c r="AN233" s="348"/>
      <c r="AO233" s="348"/>
      <c r="AP233" s="348"/>
      <c r="AQ233" s="348"/>
      <c r="AR233" s="348"/>
      <c r="AS233" s="348"/>
      <c r="AT233" s="348"/>
      <c r="AU233" s="348"/>
      <c r="AV233" s="348"/>
      <c r="AW233" s="348"/>
      <c r="AX233" s="348"/>
      <c r="AY233" s="348"/>
      <c r="AZ233" s="348"/>
      <c r="BA233" s="348"/>
      <c r="BB233" s="348"/>
      <c r="BC233" s="348"/>
      <c r="BD233" s="348"/>
      <c r="BE233" s="348"/>
      <c r="BF233" s="348"/>
      <c r="BG233" s="348"/>
      <c r="BH233" s="348"/>
      <c r="BI233" s="348"/>
      <c r="BJ233" s="348"/>
      <c r="BK233" s="348"/>
      <c r="BL233" s="348"/>
      <c r="BM233" s="348"/>
      <c r="BN233" s="348"/>
      <c r="BO233" s="348"/>
      <c r="BP233" s="348"/>
      <c r="BQ233" s="348"/>
      <c r="BR233" s="348"/>
      <c r="BS233" s="348"/>
      <c r="BT233" s="348"/>
      <c r="BU233" s="348"/>
      <c r="BV233" s="348"/>
      <c r="BW233" s="806" t="s">
        <v>96</v>
      </c>
      <c r="BX233" s="806"/>
      <c r="BY233" s="806"/>
      <c r="BZ233" s="806" t="str">
        <f>IFERROR(__xludf.DUMMYFUNCTION("""COMPUTED_VALUE"""),"")</f>
        <v/>
      </c>
      <c r="CA233" s="806"/>
      <c r="CB233" s="806"/>
      <c r="CC233" s="806"/>
      <c r="CD233" s="806"/>
      <c r="CE233" s="806"/>
      <c r="CF233" s="806"/>
      <c r="CG233" s="806"/>
      <c r="CH233" s="806"/>
      <c r="CI233" s="806"/>
      <c r="CJ233" s="806"/>
      <c r="CK233" s="806"/>
    </row>
    <row r="234">
      <c r="A234" s="348"/>
      <c r="B234" s="348"/>
      <c r="C234" s="236"/>
      <c r="D234" s="348"/>
      <c r="E234" s="348"/>
      <c r="F234" s="348"/>
      <c r="G234" s="348"/>
      <c r="H234" s="348"/>
      <c r="I234" s="348"/>
      <c r="J234" s="348"/>
      <c r="K234" s="348"/>
      <c r="L234" s="348"/>
      <c r="M234" s="348"/>
      <c r="N234" s="348"/>
      <c r="O234" s="348"/>
      <c r="P234" s="348"/>
      <c r="Q234" s="348"/>
      <c r="R234" s="348"/>
      <c r="S234" s="348"/>
      <c r="T234" s="348"/>
      <c r="U234" s="348" t="s">
        <v>96</v>
      </c>
      <c r="V234" s="348" t="s">
        <v>96</v>
      </c>
      <c r="W234" s="348"/>
      <c r="X234" s="348" t="s">
        <v>96</v>
      </c>
      <c r="Y234" s="772" t="s">
        <v>96</v>
      </c>
      <c r="Z234" s="772" t="s">
        <v>96</v>
      </c>
      <c r="AA234" s="348"/>
      <c r="AB234" s="153"/>
      <c r="AC234" s="348"/>
      <c r="AD234" s="348"/>
      <c r="AE234" s="348"/>
      <c r="AF234" s="348"/>
      <c r="AG234" s="348"/>
      <c r="AH234" s="348"/>
      <c r="AI234" s="348"/>
      <c r="AJ234" s="348"/>
      <c r="AK234" s="348"/>
      <c r="AL234" s="348"/>
      <c r="AM234" s="348"/>
      <c r="AN234" s="348"/>
      <c r="AO234" s="348"/>
      <c r="AP234" s="348"/>
      <c r="AQ234" s="348"/>
      <c r="AR234" s="348"/>
      <c r="AS234" s="348"/>
      <c r="AT234" s="348"/>
      <c r="AU234" s="348"/>
      <c r="AV234" s="348"/>
      <c r="AW234" s="348"/>
      <c r="AX234" s="348"/>
      <c r="AY234" s="348"/>
      <c r="AZ234" s="348"/>
      <c r="BA234" s="348"/>
      <c r="BB234" s="348"/>
      <c r="BC234" s="348"/>
      <c r="BD234" s="348"/>
      <c r="BE234" s="348"/>
      <c r="BF234" s="348"/>
      <c r="BG234" s="348"/>
      <c r="BH234" s="348"/>
      <c r="BI234" s="348"/>
      <c r="BJ234" s="348"/>
      <c r="BK234" s="348"/>
      <c r="BL234" s="348"/>
      <c r="BM234" s="348"/>
      <c r="BN234" s="348"/>
      <c r="BO234" s="348"/>
      <c r="BP234" s="348"/>
      <c r="BQ234" s="348"/>
      <c r="BR234" s="348"/>
      <c r="BS234" s="348"/>
      <c r="BT234" s="348"/>
      <c r="BU234" s="348"/>
      <c r="BV234" s="348"/>
      <c r="BW234" s="806" t="s">
        <v>96</v>
      </c>
      <c r="BX234" s="806"/>
      <c r="BY234" s="806"/>
      <c r="BZ234" s="806" t="str">
        <f>IFERROR(__xludf.DUMMYFUNCTION("""COMPUTED_VALUE"""),"")</f>
        <v/>
      </c>
      <c r="CA234" s="806"/>
      <c r="CB234" s="806"/>
      <c r="CC234" s="806"/>
      <c r="CD234" s="806"/>
      <c r="CE234" s="806"/>
      <c r="CF234" s="806"/>
      <c r="CG234" s="806"/>
      <c r="CH234" s="806"/>
      <c r="CI234" s="806"/>
      <c r="CJ234" s="806"/>
      <c r="CK234" s="806"/>
    </row>
    <row r="235">
      <c r="A235" s="348"/>
      <c r="B235" s="348"/>
      <c r="C235" s="236"/>
      <c r="D235" s="348"/>
      <c r="E235" s="348"/>
      <c r="F235" s="348"/>
      <c r="G235" s="348"/>
      <c r="H235" s="348"/>
      <c r="I235" s="348"/>
      <c r="J235" s="348"/>
      <c r="K235" s="348"/>
      <c r="L235" s="348"/>
      <c r="M235" s="348"/>
      <c r="N235" s="348"/>
      <c r="O235" s="348"/>
      <c r="P235" s="348"/>
      <c r="Q235" s="348"/>
      <c r="R235" s="348"/>
      <c r="S235" s="348"/>
      <c r="T235" s="348"/>
      <c r="U235" s="348" t="s">
        <v>96</v>
      </c>
      <c r="V235" s="348" t="s">
        <v>96</v>
      </c>
      <c r="W235" s="348"/>
      <c r="X235" s="348" t="s">
        <v>96</v>
      </c>
      <c r="Y235" s="772" t="s">
        <v>96</v>
      </c>
      <c r="Z235" s="772" t="s">
        <v>96</v>
      </c>
      <c r="AA235" s="348"/>
      <c r="AB235" s="153"/>
      <c r="AC235" s="348"/>
      <c r="AD235" s="348"/>
      <c r="AE235" s="348"/>
      <c r="AF235" s="348"/>
      <c r="AG235" s="348"/>
      <c r="AH235" s="348"/>
      <c r="AI235" s="348"/>
      <c r="AJ235" s="348"/>
      <c r="AK235" s="348"/>
      <c r="AL235" s="348"/>
      <c r="AM235" s="348"/>
      <c r="AN235" s="348"/>
      <c r="AO235" s="348"/>
      <c r="AP235" s="348"/>
      <c r="AQ235" s="348"/>
      <c r="AR235" s="348"/>
      <c r="AS235" s="348"/>
      <c r="AT235" s="348"/>
      <c r="AU235" s="348"/>
      <c r="AV235" s="348"/>
      <c r="AW235" s="348"/>
      <c r="AX235" s="348"/>
      <c r="AY235" s="348"/>
      <c r="AZ235" s="348"/>
      <c r="BA235" s="348"/>
      <c r="BB235" s="348"/>
      <c r="BC235" s="348"/>
      <c r="BD235" s="348"/>
      <c r="BE235" s="348"/>
      <c r="BF235" s="348"/>
      <c r="BG235" s="348"/>
      <c r="BH235" s="348"/>
      <c r="BI235" s="348"/>
      <c r="BJ235" s="348"/>
      <c r="BK235" s="348"/>
      <c r="BL235" s="348"/>
      <c r="BM235" s="348"/>
      <c r="BN235" s="348"/>
      <c r="BO235" s="348"/>
      <c r="BP235" s="348"/>
      <c r="BQ235" s="348"/>
      <c r="BR235" s="348"/>
      <c r="BS235" s="348"/>
      <c r="BT235" s="348"/>
      <c r="BU235" s="348"/>
      <c r="BV235" s="348"/>
      <c r="BW235" s="806" t="s">
        <v>96</v>
      </c>
      <c r="BX235" s="806"/>
      <c r="BY235" s="806"/>
      <c r="BZ235" s="806" t="str">
        <f>IFERROR(__xludf.DUMMYFUNCTION("""COMPUTED_VALUE"""),"")</f>
        <v/>
      </c>
      <c r="CA235" s="806"/>
      <c r="CB235" s="806"/>
      <c r="CC235" s="806"/>
      <c r="CD235" s="806"/>
      <c r="CE235" s="806"/>
      <c r="CF235" s="806"/>
      <c r="CG235" s="806"/>
      <c r="CH235" s="806"/>
      <c r="CI235" s="806"/>
      <c r="CJ235" s="806"/>
      <c r="CK235" s="806"/>
    </row>
    <row r="236">
      <c r="A236" s="348"/>
      <c r="B236" s="348"/>
      <c r="C236" s="236"/>
      <c r="D236" s="348"/>
      <c r="E236" s="348"/>
      <c r="F236" s="348"/>
      <c r="G236" s="348"/>
      <c r="H236" s="348"/>
      <c r="I236" s="348"/>
      <c r="J236" s="348"/>
      <c r="K236" s="348"/>
      <c r="L236" s="348"/>
      <c r="M236" s="348"/>
      <c r="N236" s="348"/>
      <c r="O236" s="348"/>
      <c r="P236" s="348"/>
      <c r="Q236" s="348"/>
      <c r="R236" s="348"/>
      <c r="S236" s="348"/>
      <c r="T236" s="348"/>
      <c r="U236" s="348" t="s">
        <v>96</v>
      </c>
      <c r="V236" s="348" t="s">
        <v>96</v>
      </c>
      <c r="W236" s="348"/>
      <c r="X236" s="348" t="s">
        <v>96</v>
      </c>
      <c r="Y236" s="772" t="s">
        <v>96</v>
      </c>
      <c r="Z236" s="772" t="s">
        <v>96</v>
      </c>
      <c r="AA236" s="348"/>
      <c r="AB236" s="153"/>
      <c r="AC236" s="348"/>
      <c r="AD236" s="348"/>
      <c r="AE236" s="348"/>
      <c r="AF236" s="348"/>
      <c r="AG236" s="348"/>
      <c r="AH236" s="348"/>
      <c r="AI236" s="348"/>
      <c r="AJ236" s="348"/>
      <c r="AK236" s="348"/>
      <c r="AL236" s="348"/>
      <c r="AM236" s="348"/>
      <c r="AN236" s="348"/>
      <c r="AO236" s="348"/>
      <c r="AP236" s="348"/>
      <c r="AQ236" s="348"/>
      <c r="AR236" s="348"/>
      <c r="AS236" s="348"/>
      <c r="AT236" s="348"/>
      <c r="AU236" s="348"/>
      <c r="AV236" s="348"/>
      <c r="AW236" s="348"/>
      <c r="AX236" s="348"/>
      <c r="AY236" s="348"/>
      <c r="AZ236" s="348"/>
      <c r="BA236" s="348"/>
      <c r="BB236" s="348"/>
      <c r="BC236" s="348"/>
      <c r="BD236" s="348"/>
      <c r="BE236" s="348"/>
      <c r="BF236" s="348"/>
      <c r="BG236" s="348"/>
      <c r="BH236" s="348"/>
      <c r="BI236" s="348"/>
      <c r="BJ236" s="348"/>
      <c r="BK236" s="348"/>
      <c r="BL236" s="348"/>
      <c r="BM236" s="348"/>
      <c r="BN236" s="348"/>
      <c r="BO236" s="348"/>
      <c r="BP236" s="348"/>
      <c r="BQ236" s="348"/>
      <c r="BR236" s="348"/>
      <c r="BS236" s="348"/>
      <c r="BT236" s="348"/>
      <c r="BU236" s="348"/>
      <c r="BV236" s="348"/>
      <c r="BW236" s="806" t="s">
        <v>96</v>
      </c>
      <c r="BX236" s="806"/>
      <c r="BY236" s="806"/>
      <c r="BZ236" s="806" t="str">
        <f>IFERROR(__xludf.DUMMYFUNCTION("""COMPUTED_VALUE"""),"")</f>
        <v/>
      </c>
      <c r="CA236" s="806"/>
      <c r="CB236" s="806"/>
      <c r="CC236" s="806"/>
      <c r="CD236" s="806"/>
      <c r="CE236" s="806"/>
      <c r="CF236" s="806"/>
      <c r="CG236" s="806"/>
      <c r="CH236" s="806"/>
      <c r="CI236" s="806"/>
      <c r="CJ236" s="806"/>
      <c r="CK236" s="806"/>
    </row>
    <row r="237">
      <c r="A237" s="348"/>
      <c r="B237" s="348"/>
      <c r="C237" s="236"/>
      <c r="D237" s="348"/>
      <c r="E237" s="348"/>
      <c r="F237" s="348"/>
      <c r="G237" s="348"/>
      <c r="H237" s="348"/>
      <c r="I237" s="348"/>
      <c r="J237" s="348"/>
      <c r="K237" s="348"/>
      <c r="L237" s="348"/>
      <c r="M237" s="348"/>
      <c r="N237" s="348"/>
      <c r="O237" s="348"/>
      <c r="P237" s="348"/>
      <c r="Q237" s="348"/>
      <c r="R237" s="348"/>
      <c r="S237" s="348"/>
      <c r="T237" s="348"/>
      <c r="U237" s="348" t="s">
        <v>96</v>
      </c>
      <c r="V237" s="348" t="s">
        <v>96</v>
      </c>
      <c r="W237" s="348"/>
      <c r="X237" s="348" t="s">
        <v>96</v>
      </c>
      <c r="Y237" s="772" t="s">
        <v>96</v>
      </c>
      <c r="Z237" s="772" t="s">
        <v>96</v>
      </c>
      <c r="AA237" s="348"/>
      <c r="AB237" s="153"/>
      <c r="AC237" s="348"/>
      <c r="AD237" s="348"/>
      <c r="AE237" s="348"/>
      <c r="AF237" s="348"/>
      <c r="AG237" s="348"/>
      <c r="AH237" s="348"/>
      <c r="AI237" s="348"/>
      <c r="AJ237" s="348"/>
      <c r="AK237" s="348"/>
      <c r="AL237" s="348"/>
      <c r="AM237" s="348"/>
      <c r="AN237" s="348"/>
      <c r="AO237" s="348"/>
      <c r="AP237" s="348"/>
      <c r="AQ237" s="348"/>
      <c r="AR237" s="348"/>
      <c r="AS237" s="348"/>
      <c r="AT237" s="348"/>
      <c r="AU237" s="348"/>
      <c r="AV237" s="348"/>
      <c r="AW237" s="348"/>
      <c r="AX237" s="348"/>
      <c r="AY237" s="348"/>
      <c r="AZ237" s="348"/>
      <c r="BA237" s="348"/>
      <c r="BB237" s="348"/>
      <c r="BC237" s="348"/>
      <c r="BD237" s="348"/>
      <c r="BE237" s="348"/>
      <c r="BF237" s="348"/>
      <c r="BG237" s="348"/>
      <c r="BH237" s="348"/>
      <c r="BI237" s="348"/>
      <c r="BJ237" s="348"/>
      <c r="BK237" s="348"/>
      <c r="BL237" s="348"/>
      <c r="BM237" s="348"/>
      <c r="BN237" s="348"/>
      <c r="BO237" s="348"/>
      <c r="BP237" s="348"/>
      <c r="BQ237" s="348"/>
      <c r="BR237" s="348"/>
      <c r="BS237" s="348"/>
      <c r="BT237" s="348"/>
      <c r="BU237" s="348"/>
      <c r="BV237" s="348"/>
      <c r="BW237" s="806" t="s">
        <v>96</v>
      </c>
      <c r="BX237" s="806"/>
      <c r="BY237" s="806"/>
      <c r="BZ237" s="806" t="str">
        <f>IFERROR(__xludf.DUMMYFUNCTION("""COMPUTED_VALUE"""),"")</f>
        <v/>
      </c>
      <c r="CA237" s="806"/>
      <c r="CB237" s="806"/>
      <c r="CC237" s="806"/>
      <c r="CD237" s="806"/>
      <c r="CE237" s="806"/>
      <c r="CF237" s="806"/>
      <c r="CG237" s="806"/>
      <c r="CH237" s="806"/>
      <c r="CI237" s="806"/>
      <c r="CJ237" s="806"/>
      <c r="CK237" s="806"/>
    </row>
    <row r="238">
      <c r="A238" s="348"/>
      <c r="B238" s="348"/>
      <c r="C238" s="236"/>
      <c r="D238" s="348"/>
      <c r="E238" s="348"/>
      <c r="F238" s="348"/>
      <c r="G238" s="348"/>
      <c r="H238" s="348"/>
      <c r="I238" s="348"/>
      <c r="J238" s="348"/>
      <c r="K238" s="348"/>
      <c r="L238" s="348"/>
      <c r="M238" s="348"/>
      <c r="N238" s="348"/>
      <c r="O238" s="348"/>
      <c r="P238" s="348"/>
      <c r="Q238" s="348"/>
      <c r="R238" s="348"/>
      <c r="S238" s="348"/>
      <c r="T238" s="348"/>
      <c r="U238" s="348" t="s">
        <v>96</v>
      </c>
      <c r="V238" s="348" t="s">
        <v>96</v>
      </c>
      <c r="W238" s="348"/>
      <c r="X238" s="348" t="s">
        <v>96</v>
      </c>
      <c r="Y238" s="772" t="s">
        <v>96</v>
      </c>
      <c r="Z238" s="772" t="s">
        <v>96</v>
      </c>
      <c r="AA238" s="348"/>
      <c r="AB238" s="153"/>
      <c r="AC238" s="348"/>
      <c r="AD238" s="348"/>
      <c r="AE238" s="348"/>
      <c r="AF238" s="348"/>
      <c r="AG238" s="348"/>
      <c r="AH238" s="348"/>
      <c r="AI238" s="348"/>
      <c r="AJ238" s="348"/>
      <c r="AK238" s="348"/>
      <c r="AL238" s="348"/>
      <c r="AM238" s="348"/>
      <c r="AN238" s="348"/>
      <c r="AO238" s="348"/>
      <c r="AP238" s="348"/>
      <c r="AQ238" s="348"/>
      <c r="AR238" s="348"/>
      <c r="AS238" s="348"/>
      <c r="AT238" s="348"/>
      <c r="AU238" s="348"/>
      <c r="AV238" s="348"/>
      <c r="AW238" s="348"/>
      <c r="AX238" s="348"/>
      <c r="AY238" s="348"/>
      <c r="AZ238" s="348"/>
      <c r="BA238" s="348"/>
      <c r="BB238" s="348"/>
      <c r="BC238" s="348"/>
      <c r="BD238" s="348"/>
      <c r="BE238" s="348"/>
      <c r="BF238" s="348"/>
      <c r="BG238" s="348"/>
      <c r="BH238" s="348"/>
      <c r="BI238" s="348"/>
      <c r="BJ238" s="348"/>
      <c r="BK238" s="348"/>
      <c r="BL238" s="348"/>
      <c r="BM238" s="348"/>
      <c r="BN238" s="348"/>
      <c r="BO238" s="348"/>
      <c r="BP238" s="348"/>
      <c r="BQ238" s="348"/>
      <c r="BR238" s="348"/>
      <c r="BS238" s="348"/>
      <c r="BT238" s="348"/>
      <c r="BU238" s="348"/>
      <c r="BV238" s="348"/>
      <c r="BW238" s="806" t="s">
        <v>96</v>
      </c>
      <c r="BX238" s="806"/>
      <c r="BY238" s="806"/>
      <c r="BZ238" s="806" t="str">
        <f>IFERROR(__xludf.DUMMYFUNCTION("""COMPUTED_VALUE"""),"")</f>
        <v/>
      </c>
      <c r="CA238" s="806"/>
      <c r="CB238" s="806"/>
      <c r="CC238" s="806"/>
      <c r="CD238" s="806"/>
      <c r="CE238" s="806"/>
      <c r="CF238" s="806"/>
      <c r="CG238" s="806"/>
      <c r="CH238" s="806"/>
      <c r="CI238" s="806"/>
      <c r="CJ238" s="806"/>
      <c r="CK238" s="806"/>
    </row>
    <row r="239">
      <c r="A239" s="348"/>
      <c r="B239" s="348"/>
      <c r="C239" s="236"/>
      <c r="D239" s="348"/>
      <c r="E239" s="348"/>
      <c r="F239" s="348"/>
      <c r="G239" s="348"/>
      <c r="H239" s="348"/>
      <c r="I239" s="348"/>
      <c r="J239" s="348"/>
      <c r="K239" s="348"/>
      <c r="L239" s="348"/>
      <c r="M239" s="348"/>
      <c r="N239" s="348"/>
      <c r="O239" s="348"/>
      <c r="P239" s="348"/>
      <c r="Q239" s="348"/>
      <c r="R239" s="348"/>
      <c r="S239" s="348"/>
      <c r="T239" s="348"/>
      <c r="U239" s="348" t="s">
        <v>96</v>
      </c>
      <c r="V239" s="348" t="s">
        <v>96</v>
      </c>
      <c r="W239" s="348"/>
      <c r="X239" s="348" t="s">
        <v>96</v>
      </c>
      <c r="Y239" s="772" t="s">
        <v>96</v>
      </c>
      <c r="Z239" s="772" t="s">
        <v>96</v>
      </c>
      <c r="AA239" s="348"/>
      <c r="AB239" s="153"/>
      <c r="AC239" s="348"/>
      <c r="AD239" s="348"/>
      <c r="AE239" s="348"/>
      <c r="AF239" s="348"/>
      <c r="AG239" s="348"/>
      <c r="AH239" s="348"/>
      <c r="AI239" s="348"/>
      <c r="AJ239" s="348"/>
      <c r="AK239" s="348"/>
      <c r="AL239" s="348"/>
      <c r="AM239" s="348"/>
      <c r="AN239" s="348"/>
      <c r="AO239" s="348"/>
      <c r="AP239" s="348"/>
      <c r="AQ239" s="348"/>
      <c r="AR239" s="348"/>
      <c r="AS239" s="348"/>
      <c r="AT239" s="348"/>
      <c r="AU239" s="348"/>
      <c r="AV239" s="348"/>
      <c r="AW239" s="348"/>
      <c r="AX239" s="348"/>
      <c r="AY239" s="348"/>
      <c r="AZ239" s="348"/>
      <c r="BA239" s="348"/>
      <c r="BB239" s="348"/>
      <c r="BC239" s="348"/>
      <c r="BD239" s="348"/>
      <c r="BE239" s="348"/>
      <c r="BF239" s="348"/>
      <c r="BG239" s="348"/>
      <c r="BH239" s="348"/>
      <c r="BI239" s="348"/>
      <c r="BJ239" s="348"/>
      <c r="BK239" s="348"/>
      <c r="BL239" s="348"/>
      <c r="BM239" s="348"/>
      <c r="BN239" s="348"/>
      <c r="BO239" s="348"/>
      <c r="BP239" s="348"/>
      <c r="BQ239" s="348"/>
      <c r="BR239" s="348"/>
      <c r="BS239" s="348"/>
      <c r="BT239" s="348"/>
      <c r="BU239" s="348"/>
      <c r="BV239" s="348"/>
      <c r="BW239" s="806" t="s">
        <v>96</v>
      </c>
      <c r="BX239" s="806"/>
      <c r="BY239" s="806"/>
      <c r="BZ239" s="806" t="str">
        <f>IFERROR(__xludf.DUMMYFUNCTION("""COMPUTED_VALUE"""),"")</f>
        <v/>
      </c>
      <c r="CA239" s="806"/>
      <c r="CB239" s="806"/>
      <c r="CC239" s="806"/>
      <c r="CD239" s="806"/>
      <c r="CE239" s="806"/>
      <c r="CF239" s="806"/>
      <c r="CG239" s="806"/>
      <c r="CH239" s="806"/>
      <c r="CI239" s="806"/>
      <c r="CJ239" s="806"/>
      <c r="CK239" s="806"/>
    </row>
    <row r="240">
      <c r="A240" s="348"/>
      <c r="B240" s="348"/>
      <c r="C240" s="236"/>
      <c r="D240" s="348"/>
      <c r="E240" s="348"/>
      <c r="F240" s="348"/>
      <c r="G240" s="348"/>
      <c r="H240" s="348"/>
      <c r="I240" s="348"/>
      <c r="J240" s="348"/>
      <c r="K240" s="348"/>
      <c r="L240" s="348"/>
      <c r="M240" s="348"/>
      <c r="N240" s="348"/>
      <c r="O240" s="348"/>
      <c r="P240" s="348"/>
      <c r="Q240" s="348"/>
      <c r="R240" s="348"/>
      <c r="S240" s="348"/>
      <c r="T240" s="348"/>
      <c r="U240" s="348" t="s">
        <v>96</v>
      </c>
      <c r="V240" s="348" t="s">
        <v>96</v>
      </c>
      <c r="W240" s="348"/>
      <c r="X240" s="348" t="s">
        <v>96</v>
      </c>
      <c r="Y240" s="772" t="s">
        <v>96</v>
      </c>
      <c r="Z240" s="772" t="s">
        <v>96</v>
      </c>
      <c r="AA240" s="348"/>
      <c r="AB240" s="153"/>
      <c r="AC240" s="348"/>
      <c r="AD240" s="348"/>
      <c r="AE240" s="348"/>
      <c r="AF240" s="348"/>
      <c r="AG240" s="348"/>
      <c r="AH240" s="348"/>
      <c r="AI240" s="348"/>
      <c r="AJ240" s="348"/>
      <c r="AK240" s="348"/>
      <c r="AL240" s="348"/>
      <c r="AM240" s="348"/>
      <c r="AN240" s="348"/>
      <c r="AO240" s="348"/>
      <c r="AP240" s="348"/>
      <c r="AQ240" s="348"/>
      <c r="AR240" s="348"/>
      <c r="AS240" s="348"/>
      <c r="AT240" s="348"/>
      <c r="AU240" s="348"/>
      <c r="AV240" s="348"/>
      <c r="AW240" s="348"/>
      <c r="AX240" s="348"/>
      <c r="AY240" s="348"/>
      <c r="AZ240" s="348"/>
      <c r="BA240" s="348"/>
      <c r="BB240" s="348"/>
      <c r="BC240" s="348"/>
      <c r="BD240" s="348"/>
      <c r="BE240" s="348"/>
      <c r="BF240" s="348"/>
      <c r="BG240" s="348"/>
      <c r="BH240" s="348"/>
      <c r="BI240" s="348"/>
      <c r="BJ240" s="348"/>
      <c r="BK240" s="348"/>
      <c r="BL240" s="348"/>
      <c r="BM240" s="348"/>
      <c r="BN240" s="348"/>
      <c r="BO240" s="348"/>
      <c r="BP240" s="348"/>
      <c r="BQ240" s="348"/>
      <c r="BR240" s="348"/>
      <c r="BS240" s="348"/>
      <c r="BT240" s="348"/>
      <c r="BU240" s="348"/>
      <c r="BV240" s="348"/>
      <c r="BW240" s="806" t="s">
        <v>96</v>
      </c>
      <c r="BX240" s="806"/>
      <c r="BY240" s="806"/>
      <c r="BZ240" s="806" t="str">
        <f>IFERROR(__xludf.DUMMYFUNCTION("""COMPUTED_VALUE"""),"")</f>
        <v/>
      </c>
      <c r="CA240" s="806"/>
      <c r="CB240" s="806"/>
      <c r="CC240" s="806"/>
      <c r="CD240" s="806"/>
      <c r="CE240" s="806"/>
      <c r="CF240" s="806"/>
      <c r="CG240" s="806"/>
      <c r="CH240" s="806"/>
      <c r="CI240" s="806"/>
      <c r="CJ240" s="806"/>
      <c r="CK240" s="806"/>
    </row>
    <row r="241">
      <c r="A241" s="348"/>
      <c r="B241" s="348"/>
      <c r="C241" s="236"/>
      <c r="D241" s="348"/>
      <c r="E241" s="348"/>
      <c r="F241" s="348"/>
      <c r="G241" s="348"/>
      <c r="H241" s="348"/>
      <c r="I241" s="348"/>
      <c r="J241" s="348"/>
      <c r="K241" s="348"/>
      <c r="L241" s="348"/>
      <c r="M241" s="348"/>
      <c r="N241" s="348"/>
      <c r="O241" s="348"/>
      <c r="P241" s="348"/>
      <c r="Q241" s="348"/>
      <c r="R241" s="348"/>
      <c r="S241" s="348"/>
      <c r="T241" s="348"/>
      <c r="U241" s="348" t="s">
        <v>96</v>
      </c>
      <c r="V241" s="348" t="s">
        <v>96</v>
      </c>
      <c r="W241" s="348"/>
      <c r="X241" s="348" t="s">
        <v>96</v>
      </c>
      <c r="Y241" s="772" t="s">
        <v>96</v>
      </c>
      <c r="Z241" s="772" t="s">
        <v>96</v>
      </c>
      <c r="AA241" s="348"/>
      <c r="AB241" s="153"/>
      <c r="AC241" s="348"/>
      <c r="AD241" s="348"/>
      <c r="AE241" s="348"/>
      <c r="AF241" s="348"/>
      <c r="AG241" s="348"/>
      <c r="AH241" s="348"/>
      <c r="AI241" s="348"/>
      <c r="AJ241" s="348"/>
      <c r="AK241" s="348"/>
      <c r="AL241" s="348"/>
      <c r="AM241" s="348"/>
      <c r="AN241" s="348"/>
      <c r="AO241" s="348"/>
      <c r="AP241" s="348"/>
      <c r="AQ241" s="348"/>
      <c r="AR241" s="348"/>
      <c r="AS241" s="348"/>
      <c r="AT241" s="348"/>
      <c r="AU241" s="348"/>
      <c r="AV241" s="348"/>
      <c r="AW241" s="348"/>
      <c r="AX241" s="348"/>
      <c r="AY241" s="348"/>
      <c r="AZ241" s="348"/>
      <c r="BA241" s="348"/>
      <c r="BB241" s="348"/>
      <c r="BC241" s="348"/>
      <c r="BD241" s="348"/>
      <c r="BE241" s="348"/>
      <c r="BF241" s="348"/>
      <c r="BG241" s="348"/>
      <c r="BH241" s="348"/>
      <c r="BI241" s="348"/>
      <c r="BJ241" s="348"/>
      <c r="BK241" s="348"/>
      <c r="BL241" s="348"/>
      <c r="BM241" s="348"/>
      <c r="BN241" s="348"/>
      <c r="BO241" s="348"/>
      <c r="BP241" s="348"/>
      <c r="BQ241" s="348"/>
      <c r="BR241" s="348"/>
      <c r="BS241" s="348"/>
      <c r="BT241" s="348"/>
      <c r="BU241" s="348"/>
      <c r="BV241" s="348"/>
      <c r="BW241" s="806" t="s">
        <v>96</v>
      </c>
      <c r="BX241" s="806"/>
      <c r="BY241" s="806"/>
      <c r="BZ241" s="806" t="str">
        <f>IFERROR(__xludf.DUMMYFUNCTION("""COMPUTED_VALUE"""),"")</f>
        <v/>
      </c>
      <c r="CA241" s="806"/>
      <c r="CB241" s="806"/>
      <c r="CC241" s="806"/>
      <c r="CD241" s="806"/>
      <c r="CE241" s="806"/>
      <c r="CF241" s="806"/>
      <c r="CG241" s="806"/>
      <c r="CH241" s="806"/>
      <c r="CI241" s="806"/>
      <c r="CJ241" s="806"/>
      <c r="CK241" s="806"/>
    </row>
    <row r="242">
      <c r="A242" s="348"/>
      <c r="B242" s="348"/>
      <c r="C242" s="236"/>
      <c r="D242" s="348"/>
      <c r="E242" s="348"/>
      <c r="F242" s="348"/>
      <c r="G242" s="348"/>
      <c r="H242" s="348"/>
      <c r="I242" s="348"/>
      <c r="J242" s="348"/>
      <c r="K242" s="348"/>
      <c r="L242" s="348"/>
      <c r="M242" s="348"/>
      <c r="N242" s="348"/>
      <c r="O242" s="348"/>
      <c r="P242" s="348"/>
      <c r="Q242" s="348"/>
      <c r="R242" s="348"/>
      <c r="S242" s="348"/>
      <c r="T242" s="348"/>
      <c r="U242" s="348" t="s">
        <v>96</v>
      </c>
      <c r="V242" s="348" t="s">
        <v>96</v>
      </c>
      <c r="W242" s="348"/>
      <c r="X242" s="348" t="s">
        <v>96</v>
      </c>
      <c r="Y242" s="772" t="s">
        <v>96</v>
      </c>
      <c r="Z242" s="772" t="s">
        <v>96</v>
      </c>
      <c r="AA242" s="348"/>
      <c r="AB242" s="153"/>
      <c r="AC242" s="348"/>
      <c r="AD242" s="348"/>
      <c r="AE242" s="348"/>
      <c r="AF242" s="348"/>
      <c r="AG242" s="348"/>
      <c r="AH242" s="348"/>
      <c r="AI242" s="348"/>
      <c r="AJ242" s="348"/>
      <c r="AK242" s="348"/>
      <c r="AL242" s="348"/>
      <c r="AM242" s="348"/>
      <c r="AN242" s="348"/>
      <c r="AO242" s="348"/>
      <c r="AP242" s="348"/>
      <c r="AQ242" s="348"/>
      <c r="AR242" s="348"/>
      <c r="AS242" s="348"/>
      <c r="AT242" s="348"/>
      <c r="AU242" s="348"/>
      <c r="AV242" s="348"/>
      <c r="AW242" s="348"/>
      <c r="AX242" s="348"/>
      <c r="AY242" s="348"/>
      <c r="AZ242" s="348"/>
      <c r="BA242" s="348"/>
      <c r="BB242" s="348"/>
      <c r="BC242" s="348"/>
      <c r="BD242" s="348"/>
      <c r="BE242" s="348"/>
      <c r="BF242" s="348"/>
      <c r="BG242" s="348"/>
      <c r="BH242" s="348"/>
      <c r="BI242" s="348"/>
      <c r="BJ242" s="348"/>
      <c r="BK242" s="348"/>
      <c r="BL242" s="348"/>
      <c r="BM242" s="348"/>
      <c r="BN242" s="348"/>
      <c r="BO242" s="348"/>
      <c r="BP242" s="348"/>
      <c r="BQ242" s="348"/>
      <c r="BR242" s="348"/>
      <c r="BS242" s="348"/>
      <c r="BT242" s="348"/>
      <c r="BU242" s="348"/>
      <c r="BV242" s="348"/>
      <c r="BW242" s="806" t="s">
        <v>96</v>
      </c>
      <c r="BX242" s="806"/>
      <c r="BY242" s="806"/>
      <c r="BZ242" s="806" t="str">
        <f>IFERROR(__xludf.DUMMYFUNCTION("""COMPUTED_VALUE"""),"")</f>
        <v/>
      </c>
      <c r="CA242" s="806"/>
      <c r="CB242" s="806"/>
      <c r="CC242" s="806"/>
      <c r="CD242" s="806"/>
      <c r="CE242" s="806"/>
      <c r="CF242" s="806"/>
      <c r="CG242" s="806"/>
      <c r="CH242" s="806"/>
      <c r="CI242" s="806"/>
      <c r="CJ242" s="806"/>
      <c r="CK242" s="806"/>
    </row>
    <row r="243">
      <c r="A243" s="348"/>
      <c r="B243" s="348"/>
      <c r="C243" s="236"/>
      <c r="D243" s="348"/>
      <c r="E243" s="348"/>
      <c r="F243" s="348"/>
      <c r="G243" s="348"/>
      <c r="H243" s="348"/>
      <c r="I243" s="348"/>
      <c r="J243" s="348"/>
      <c r="K243" s="348"/>
      <c r="L243" s="348"/>
      <c r="M243" s="348"/>
      <c r="N243" s="348"/>
      <c r="O243" s="348"/>
      <c r="P243" s="348"/>
      <c r="Q243" s="348"/>
      <c r="R243" s="348"/>
      <c r="S243" s="348"/>
      <c r="T243" s="348"/>
      <c r="U243" s="348" t="s">
        <v>96</v>
      </c>
      <c r="V243" s="348" t="s">
        <v>96</v>
      </c>
      <c r="W243" s="348"/>
      <c r="X243" s="348" t="s">
        <v>96</v>
      </c>
      <c r="Y243" s="772" t="s">
        <v>96</v>
      </c>
      <c r="Z243" s="772" t="s">
        <v>96</v>
      </c>
      <c r="AA243" s="348"/>
      <c r="AB243" s="153"/>
      <c r="AC243" s="348"/>
      <c r="AD243" s="348"/>
      <c r="AE243" s="348"/>
      <c r="AF243" s="348"/>
      <c r="AG243" s="348"/>
      <c r="AH243" s="348"/>
      <c r="AI243" s="348"/>
      <c r="AJ243" s="348"/>
      <c r="AK243" s="348"/>
      <c r="AL243" s="348"/>
      <c r="AM243" s="348"/>
      <c r="AN243" s="348"/>
      <c r="AO243" s="348"/>
      <c r="AP243" s="348"/>
      <c r="AQ243" s="348"/>
      <c r="AR243" s="348"/>
      <c r="AS243" s="348"/>
      <c r="AT243" s="348"/>
      <c r="AU243" s="348"/>
      <c r="AV243" s="348"/>
      <c r="AW243" s="348"/>
      <c r="AX243" s="348"/>
      <c r="AY243" s="348"/>
      <c r="AZ243" s="348"/>
      <c r="BA243" s="348"/>
      <c r="BB243" s="348"/>
      <c r="BC243" s="348"/>
      <c r="BD243" s="348"/>
      <c r="BE243" s="348"/>
      <c r="BF243" s="348"/>
      <c r="BG243" s="348"/>
      <c r="BH243" s="348"/>
      <c r="BI243" s="348"/>
      <c r="BJ243" s="348"/>
      <c r="BK243" s="348"/>
      <c r="BL243" s="348"/>
      <c r="BM243" s="348"/>
      <c r="BN243" s="348"/>
      <c r="BO243" s="348"/>
      <c r="BP243" s="348"/>
      <c r="BQ243" s="348"/>
      <c r="BR243" s="348"/>
      <c r="BS243" s="348"/>
      <c r="BT243" s="348"/>
      <c r="BU243" s="348"/>
      <c r="BV243" s="348"/>
      <c r="BW243" s="806" t="s">
        <v>96</v>
      </c>
      <c r="BX243" s="806"/>
      <c r="BY243" s="806"/>
      <c r="BZ243" s="806" t="str">
        <f>IFERROR(__xludf.DUMMYFUNCTION("""COMPUTED_VALUE"""),"")</f>
        <v/>
      </c>
      <c r="CA243" s="806"/>
      <c r="CB243" s="806"/>
      <c r="CC243" s="806"/>
      <c r="CD243" s="806"/>
      <c r="CE243" s="806"/>
      <c r="CF243" s="806"/>
      <c r="CG243" s="806"/>
      <c r="CH243" s="806"/>
      <c r="CI243" s="806"/>
      <c r="CJ243" s="806"/>
      <c r="CK243" s="806"/>
    </row>
    <row r="244">
      <c r="A244" s="348"/>
      <c r="B244" s="348"/>
      <c r="C244" s="236"/>
      <c r="D244" s="348"/>
      <c r="E244" s="348"/>
      <c r="F244" s="348"/>
      <c r="G244" s="348"/>
      <c r="H244" s="348"/>
      <c r="I244" s="348"/>
      <c r="J244" s="348"/>
      <c r="K244" s="348"/>
      <c r="L244" s="348"/>
      <c r="M244" s="348"/>
      <c r="N244" s="348"/>
      <c r="O244" s="348"/>
      <c r="P244" s="348"/>
      <c r="Q244" s="348"/>
      <c r="R244" s="348"/>
      <c r="S244" s="348"/>
      <c r="T244" s="348"/>
      <c r="U244" s="348" t="s">
        <v>96</v>
      </c>
      <c r="V244" s="348" t="s">
        <v>96</v>
      </c>
      <c r="W244" s="348"/>
      <c r="X244" s="348" t="s">
        <v>96</v>
      </c>
      <c r="Y244" s="772" t="s">
        <v>96</v>
      </c>
      <c r="Z244" s="772" t="s">
        <v>96</v>
      </c>
      <c r="AA244" s="348"/>
      <c r="AB244" s="153"/>
      <c r="AC244" s="348"/>
      <c r="AD244" s="348"/>
      <c r="AE244" s="348"/>
      <c r="AF244" s="348"/>
      <c r="AG244" s="348"/>
      <c r="AH244" s="348"/>
      <c r="AI244" s="348"/>
      <c r="AJ244" s="348"/>
      <c r="AK244" s="348"/>
      <c r="AL244" s="348"/>
      <c r="AM244" s="348"/>
      <c r="AN244" s="348"/>
      <c r="AO244" s="348"/>
      <c r="AP244" s="348"/>
      <c r="AQ244" s="348"/>
      <c r="AR244" s="348"/>
      <c r="AS244" s="348"/>
      <c r="AT244" s="348"/>
      <c r="AU244" s="348"/>
      <c r="AV244" s="348"/>
      <c r="AW244" s="348"/>
      <c r="AX244" s="348"/>
      <c r="AY244" s="348"/>
      <c r="AZ244" s="348"/>
      <c r="BA244" s="348"/>
      <c r="BB244" s="348"/>
      <c r="BC244" s="348"/>
      <c r="BD244" s="348"/>
      <c r="BE244" s="348"/>
      <c r="BF244" s="348"/>
      <c r="BG244" s="348"/>
      <c r="BH244" s="348"/>
      <c r="BI244" s="348"/>
      <c r="BJ244" s="348"/>
      <c r="BK244" s="348"/>
      <c r="BL244" s="348"/>
      <c r="BM244" s="348"/>
      <c r="BN244" s="348"/>
      <c r="BO244" s="348"/>
      <c r="BP244" s="348"/>
      <c r="BQ244" s="348"/>
      <c r="BR244" s="348"/>
      <c r="BS244" s="348"/>
      <c r="BT244" s="348"/>
      <c r="BU244" s="348"/>
      <c r="BV244" s="348"/>
      <c r="BW244" s="806" t="s">
        <v>96</v>
      </c>
      <c r="BX244" s="806"/>
      <c r="BY244" s="806"/>
      <c r="BZ244" s="806" t="str">
        <f>IFERROR(__xludf.DUMMYFUNCTION("""COMPUTED_VALUE"""),"")</f>
        <v/>
      </c>
      <c r="CA244" s="806"/>
      <c r="CB244" s="806"/>
      <c r="CC244" s="806"/>
      <c r="CD244" s="806"/>
      <c r="CE244" s="806"/>
      <c r="CF244" s="806"/>
      <c r="CG244" s="806"/>
      <c r="CH244" s="806"/>
      <c r="CI244" s="806"/>
      <c r="CJ244" s="806"/>
      <c r="CK244" s="806"/>
    </row>
    <row r="245">
      <c r="A245" s="348"/>
      <c r="B245" s="348"/>
      <c r="C245" s="236"/>
      <c r="D245" s="348"/>
      <c r="E245" s="348"/>
      <c r="F245" s="348"/>
      <c r="G245" s="348"/>
      <c r="H245" s="348"/>
      <c r="I245" s="348"/>
      <c r="J245" s="348"/>
      <c r="K245" s="348"/>
      <c r="L245" s="348"/>
      <c r="M245" s="348"/>
      <c r="N245" s="348"/>
      <c r="O245" s="348"/>
      <c r="P245" s="348"/>
      <c r="Q245" s="348"/>
      <c r="R245" s="348"/>
      <c r="S245" s="348"/>
      <c r="T245" s="348"/>
      <c r="U245" s="348" t="s">
        <v>96</v>
      </c>
      <c r="V245" s="348" t="s">
        <v>96</v>
      </c>
      <c r="W245" s="348"/>
      <c r="X245" s="348" t="s">
        <v>96</v>
      </c>
      <c r="Y245" s="772" t="s">
        <v>96</v>
      </c>
      <c r="Z245" s="772" t="s">
        <v>96</v>
      </c>
      <c r="AA245" s="348"/>
      <c r="AB245" s="153"/>
      <c r="AC245" s="348"/>
      <c r="AD245" s="348"/>
      <c r="AE245" s="348"/>
      <c r="AF245" s="348"/>
      <c r="AG245" s="348"/>
      <c r="AH245" s="348"/>
      <c r="AI245" s="348"/>
      <c r="AJ245" s="348"/>
      <c r="AK245" s="348"/>
      <c r="AL245" s="348"/>
      <c r="AM245" s="348"/>
      <c r="AN245" s="348"/>
      <c r="AO245" s="348"/>
      <c r="AP245" s="348"/>
      <c r="AQ245" s="348"/>
      <c r="AR245" s="348"/>
      <c r="AS245" s="348"/>
      <c r="AT245" s="348"/>
      <c r="AU245" s="348"/>
      <c r="AV245" s="348"/>
      <c r="AW245" s="348"/>
      <c r="AX245" s="348"/>
      <c r="AY245" s="348"/>
      <c r="AZ245" s="348"/>
      <c r="BA245" s="348"/>
      <c r="BB245" s="348"/>
      <c r="BC245" s="348"/>
      <c r="BD245" s="348"/>
      <c r="BE245" s="348"/>
      <c r="BF245" s="348"/>
      <c r="BG245" s="348"/>
      <c r="BH245" s="348"/>
      <c r="BI245" s="348"/>
      <c r="BJ245" s="348"/>
      <c r="BK245" s="348"/>
      <c r="BL245" s="348"/>
      <c r="BM245" s="348"/>
      <c r="BN245" s="348"/>
      <c r="BO245" s="348"/>
      <c r="BP245" s="348"/>
      <c r="BQ245" s="348"/>
      <c r="BR245" s="348"/>
      <c r="BS245" s="348"/>
      <c r="BT245" s="348"/>
      <c r="BU245" s="348"/>
      <c r="BV245" s="348"/>
      <c r="BW245" s="806" t="s">
        <v>96</v>
      </c>
      <c r="BX245" s="806"/>
      <c r="BY245" s="806"/>
      <c r="BZ245" s="806" t="str">
        <f>IFERROR(__xludf.DUMMYFUNCTION("""COMPUTED_VALUE"""),"")</f>
        <v/>
      </c>
      <c r="CA245" s="806"/>
      <c r="CB245" s="806"/>
      <c r="CC245" s="806"/>
      <c r="CD245" s="806"/>
      <c r="CE245" s="806"/>
      <c r="CF245" s="806"/>
      <c r="CG245" s="806"/>
      <c r="CH245" s="806"/>
      <c r="CI245" s="806"/>
      <c r="CJ245" s="806"/>
      <c r="CK245" s="806"/>
    </row>
    <row r="246">
      <c r="A246" s="348"/>
      <c r="B246" s="348"/>
      <c r="C246" s="236"/>
      <c r="D246" s="348"/>
      <c r="E246" s="348"/>
      <c r="F246" s="348"/>
      <c r="G246" s="348"/>
      <c r="H246" s="348"/>
      <c r="I246" s="348"/>
      <c r="J246" s="348"/>
      <c r="K246" s="348"/>
      <c r="L246" s="348"/>
      <c r="M246" s="348"/>
      <c r="N246" s="348"/>
      <c r="O246" s="348"/>
      <c r="P246" s="348"/>
      <c r="Q246" s="348"/>
      <c r="R246" s="348"/>
      <c r="S246" s="348"/>
      <c r="T246" s="348"/>
      <c r="U246" s="348" t="s">
        <v>96</v>
      </c>
      <c r="V246" s="348" t="s">
        <v>96</v>
      </c>
      <c r="W246" s="348"/>
      <c r="X246" s="348" t="s">
        <v>96</v>
      </c>
      <c r="Y246" s="772" t="s">
        <v>96</v>
      </c>
      <c r="Z246" s="772" t="s">
        <v>96</v>
      </c>
      <c r="AA246" s="348"/>
      <c r="AB246" s="153"/>
      <c r="AC246" s="348"/>
      <c r="AD246" s="348"/>
      <c r="AE246" s="348"/>
      <c r="AF246" s="348"/>
      <c r="AG246" s="348"/>
      <c r="AH246" s="348"/>
      <c r="AI246" s="348"/>
      <c r="AJ246" s="348"/>
      <c r="AK246" s="348"/>
      <c r="AL246" s="348"/>
      <c r="AM246" s="348"/>
      <c r="AN246" s="348"/>
      <c r="AO246" s="348"/>
      <c r="AP246" s="348"/>
      <c r="AQ246" s="348"/>
      <c r="AR246" s="348"/>
      <c r="AS246" s="348"/>
      <c r="AT246" s="348"/>
      <c r="AU246" s="348"/>
      <c r="AV246" s="348"/>
      <c r="AW246" s="348"/>
      <c r="AX246" s="348"/>
      <c r="AY246" s="348"/>
      <c r="AZ246" s="348"/>
      <c r="BA246" s="348"/>
      <c r="BB246" s="348"/>
      <c r="BC246" s="348"/>
      <c r="BD246" s="348"/>
      <c r="BE246" s="348"/>
      <c r="BF246" s="348"/>
      <c r="BG246" s="348"/>
      <c r="BH246" s="348"/>
      <c r="BI246" s="348"/>
      <c r="BJ246" s="348"/>
      <c r="BK246" s="348"/>
      <c r="BL246" s="348"/>
      <c r="BM246" s="348"/>
      <c r="BN246" s="348"/>
      <c r="BO246" s="348"/>
      <c r="BP246" s="348"/>
      <c r="BQ246" s="348"/>
      <c r="BR246" s="348"/>
      <c r="BS246" s="348"/>
      <c r="BT246" s="348"/>
      <c r="BU246" s="348"/>
      <c r="BV246" s="348"/>
      <c r="BW246" s="806" t="s">
        <v>96</v>
      </c>
      <c r="BX246" s="806"/>
      <c r="BY246" s="806"/>
      <c r="BZ246" s="806" t="str">
        <f>IFERROR(__xludf.DUMMYFUNCTION("""COMPUTED_VALUE"""),"")</f>
        <v/>
      </c>
      <c r="CA246" s="806"/>
      <c r="CB246" s="806"/>
      <c r="CC246" s="806"/>
      <c r="CD246" s="806"/>
      <c r="CE246" s="806"/>
      <c r="CF246" s="806"/>
      <c r="CG246" s="806"/>
      <c r="CH246" s="806"/>
      <c r="CI246" s="806"/>
      <c r="CJ246" s="806"/>
      <c r="CK246" s="806"/>
    </row>
    <row r="247">
      <c r="A247" s="348"/>
      <c r="B247" s="348"/>
      <c r="C247" s="236"/>
      <c r="D247" s="348"/>
      <c r="E247" s="348"/>
      <c r="F247" s="348"/>
      <c r="G247" s="348"/>
      <c r="H247" s="348"/>
      <c r="I247" s="348"/>
      <c r="J247" s="348"/>
      <c r="K247" s="348"/>
      <c r="L247" s="348"/>
      <c r="M247" s="348"/>
      <c r="N247" s="348"/>
      <c r="O247" s="348"/>
      <c r="P247" s="348"/>
      <c r="Q247" s="348"/>
      <c r="R247" s="348"/>
      <c r="S247" s="348"/>
      <c r="T247" s="348"/>
      <c r="U247" s="348" t="s">
        <v>96</v>
      </c>
      <c r="V247" s="348" t="s">
        <v>96</v>
      </c>
      <c r="W247" s="348"/>
      <c r="X247" s="348" t="s">
        <v>96</v>
      </c>
      <c r="Y247" s="772" t="s">
        <v>96</v>
      </c>
      <c r="Z247" s="772" t="s">
        <v>96</v>
      </c>
      <c r="AA247" s="348"/>
      <c r="AB247" s="153"/>
      <c r="AC247" s="348"/>
      <c r="AD247" s="348"/>
      <c r="AE247" s="348"/>
      <c r="AF247" s="348"/>
      <c r="AG247" s="348"/>
      <c r="AH247" s="348"/>
      <c r="AI247" s="348"/>
      <c r="AJ247" s="348"/>
      <c r="AK247" s="348"/>
      <c r="AL247" s="348"/>
      <c r="AM247" s="348"/>
      <c r="AN247" s="348"/>
      <c r="AO247" s="348"/>
      <c r="AP247" s="348"/>
      <c r="AQ247" s="348"/>
      <c r="AR247" s="348"/>
      <c r="AS247" s="348"/>
      <c r="AT247" s="348"/>
      <c r="AU247" s="348"/>
      <c r="AV247" s="348"/>
      <c r="AW247" s="348"/>
      <c r="AX247" s="348"/>
      <c r="AY247" s="348"/>
      <c r="AZ247" s="348"/>
      <c r="BA247" s="348"/>
      <c r="BB247" s="348"/>
      <c r="BC247" s="348"/>
      <c r="BD247" s="348"/>
      <c r="BE247" s="348"/>
      <c r="BF247" s="348"/>
      <c r="BG247" s="348"/>
      <c r="BH247" s="348"/>
      <c r="BI247" s="348"/>
      <c r="BJ247" s="348"/>
      <c r="BK247" s="348"/>
      <c r="BL247" s="348"/>
      <c r="BM247" s="348"/>
      <c r="BN247" s="348"/>
      <c r="BO247" s="348"/>
      <c r="BP247" s="348"/>
      <c r="BQ247" s="348"/>
      <c r="BR247" s="348"/>
      <c r="BS247" s="348"/>
      <c r="BT247" s="348"/>
      <c r="BU247" s="348"/>
      <c r="BV247" s="348"/>
      <c r="BW247" s="806" t="s">
        <v>96</v>
      </c>
      <c r="BX247" s="806"/>
      <c r="BY247" s="806"/>
      <c r="BZ247" s="806" t="str">
        <f>IFERROR(__xludf.DUMMYFUNCTION("""COMPUTED_VALUE"""),"")</f>
        <v/>
      </c>
      <c r="CA247" s="806"/>
      <c r="CB247" s="806"/>
      <c r="CC247" s="806"/>
      <c r="CD247" s="806"/>
      <c r="CE247" s="806"/>
      <c r="CF247" s="806"/>
      <c r="CG247" s="806"/>
      <c r="CH247" s="806"/>
      <c r="CI247" s="806"/>
      <c r="CJ247" s="806"/>
      <c r="CK247" s="806"/>
    </row>
    <row r="248">
      <c r="A248" s="348"/>
      <c r="B248" s="348"/>
      <c r="C248" s="236"/>
      <c r="D248" s="348"/>
      <c r="E248" s="348"/>
      <c r="F248" s="348"/>
      <c r="G248" s="348"/>
      <c r="H248" s="348"/>
      <c r="I248" s="348"/>
      <c r="J248" s="348"/>
      <c r="K248" s="348"/>
      <c r="L248" s="348"/>
      <c r="M248" s="348"/>
      <c r="N248" s="348"/>
      <c r="O248" s="348"/>
      <c r="P248" s="348"/>
      <c r="Q248" s="348"/>
      <c r="R248" s="348"/>
      <c r="S248" s="348"/>
      <c r="T248" s="348"/>
      <c r="U248" s="348" t="s">
        <v>96</v>
      </c>
      <c r="V248" s="348" t="s">
        <v>96</v>
      </c>
      <c r="W248" s="348"/>
      <c r="X248" s="348" t="s">
        <v>96</v>
      </c>
      <c r="Y248" s="772" t="s">
        <v>96</v>
      </c>
      <c r="Z248" s="772" t="s">
        <v>96</v>
      </c>
      <c r="AA248" s="348"/>
      <c r="AB248" s="153"/>
      <c r="AC248" s="348"/>
      <c r="AD248" s="348"/>
      <c r="AE248" s="348"/>
      <c r="AF248" s="348"/>
      <c r="AG248" s="348"/>
      <c r="AH248" s="348"/>
      <c r="AI248" s="348"/>
      <c r="AJ248" s="348"/>
      <c r="AK248" s="348"/>
      <c r="AL248" s="348"/>
      <c r="AM248" s="348"/>
      <c r="AN248" s="348"/>
      <c r="AO248" s="348"/>
      <c r="AP248" s="348"/>
      <c r="AQ248" s="348"/>
      <c r="AR248" s="348"/>
      <c r="AS248" s="348"/>
      <c r="AT248" s="348"/>
      <c r="AU248" s="348"/>
      <c r="AV248" s="348"/>
      <c r="AW248" s="348"/>
      <c r="AX248" s="348"/>
      <c r="AY248" s="348"/>
      <c r="AZ248" s="348"/>
      <c r="BA248" s="348"/>
      <c r="BB248" s="348"/>
      <c r="BC248" s="348"/>
      <c r="BD248" s="348"/>
      <c r="BE248" s="348"/>
      <c r="BF248" s="348"/>
      <c r="BG248" s="348"/>
      <c r="BH248" s="348"/>
      <c r="BI248" s="348"/>
      <c r="BJ248" s="348"/>
      <c r="BK248" s="348"/>
      <c r="BL248" s="348"/>
      <c r="BM248" s="348"/>
      <c r="BN248" s="348"/>
      <c r="BO248" s="348"/>
      <c r="BP248" s="348"/>
      <c r="BQ248" s="348"/>
      <c r="BR248" s="348"/>
      <c r="BS248" s="348"/>
      <c r="BT248" s="348"/>
      <c r="BU248" s="348"/>
      <c r="BV248" s="348"/>
      <c r="BW248" s="806" t="s">
        <v>96</v>
      </c>
      <c r="BX248" s="806"/>
      <c r="BY248" s="806"/>
      <c r="BZ248" s="806" t="str">
        <f>IFERROR(__xludf.DUMMYFUNCTION("""COMPUTED_VALUE"""),"")</f>
        <v/>
      </c>
      <c r="CA248" s="806"/>
      <c r="CB248" s="806"/>
      <c r="CC248" s="806"/>
      <c r="CD248" s="806"/>
      <c r="CE248" s="806"/>
      <c r="CF248" s="806"/>
      <c r="CG248" s="806"/>
      <c r="CH248" s="806"/>
      <c r="CI248" s="806"/>
      <c r="CJ248" s="806"/>
      <c r="CK248" s="806"/>
    </row>
    <row r="249">
      <c r="A249" s="348"/>
      <c r="B249" s="348"/>
      <c r="C249" s="236"/>
      <c r="D249" s="348"/>
      <c r="E249" s="348"/>
      <c r="F249" s="348"/>
      <c r="G249" s="348"/>
      <c r="H249" s="348"/>
      <c r="I249" s="348"/>
      <c r="J249" s="348"/>
      <c r="K249" s="348"/>
      <c r="L249" s="348"/>
      <c r="M249" s="348"/>
      <c r="N249" s="348"/>
      <c r="O249" s="348"/>
      <c r="P249" s="348"/>
      <c r="Q249" s="348"/>
      <c r="R249" s="348"/>
      <c r="S249" s="348"/>
      <c r="T249" s="348"/>
      <c r="U249" s="348" t="s">
        <v>96</v>
      </c>
      <c r="V249" s="348" t="s">
        <v>96</v>
      </c>
      <c r="W249" s="348"/>
      <c r="X249" s="348" t="s">
        <v>96</v>
      </c>
      <c r="Y249" s="772" t="s">
        <v>96</v>
      </c>
      <c r="Z249" s="772" t="s">
        <v>96</v>
      </c>
      <c r="AA249" s="348"/>
      <c r="AB249" s="153"/>
      <c r="AC249" s="348"/>
      <c r="AD249" s="348"/>
      <c r="AE249" s="348"/>
      <c r="AF249" s="348"/>
      <c r="AG249" s="348"/>
      <c r="AH249" s="348"/>
      <c r="AI249" s="348"/>
      <c r="AJ249" s="348"/>
      <c r="AK249" s="348"/>
      <c r="AL249" s="348"/>
      <c r="AM249" s="348"/>
      <c r="AN249" s="348"/>
      <c r="AO249" s="348"/>
      <c r="AP249" s="348"/>
      <c r="AQ249" s="348"/>
      <c r="AR249" s="348"/>
      <c r="AS249" s="348"/>
      <c r="AT249" s="348"/>
      <c r="AU249" s="348"/>
      <c r="AV249" s="348"/>
      <c r="AW249" s="348"/>
      <c r="AX249" s="348"/>
      <c r="AY249" s="348"/>
      <c r="AZ249" s="348"/>
      <c r="BA249" s="348"/>
      <c r="BB249" s="348"/>
      <c r="BC249" s="348"/>
      <c r="BD249" s="348"/>
      <c r="BE249" s="348"/>
      <c r="BF249" s="348"/>
      <c r="BG249" s="348"/>
      <c r="BH249" s="348"/>
      <c r="BI249" s="348"/>
      <c r="BJ249" s="348"/>
      <c r="BK249" s="348"/>
      <c r="BL249" s="348"/>
      <c r="BM249" s="348"/>
      <c r="BN249" s="348"/>
      <c r="BO249" s="348"/>
      <c r="BP249" s="348"/>
      <c r="BQ249" s="348"/>
      <c r="BR249" s="348"/>
      <c r="BS249" s="348"/>
      <c r="BT249" s="348"/>
      <c r="BU249" s="348"/>
      <c r="BV249" s="348"/>
      <c r="BW249" s="806" t="s">
        <v>96</v>
      </c>
      <c r="BX249" s="806"/>
      <c r="BY249" s="806"/>
      <c r="BZ249" s="806" t="str">
        <f>IFERROR(__xludf.DUMMYFUNCTION("""COMPUTED_VALUE"""),"")</f>
        <v/>
      </c>
      <c r="CA249" s="806"/>
      <c r="CB249" s="806"/>
      <c r="CC249" s="806"/>
      <c r="CD249" s="806"/>
      <c r="CE249" s="806"/>
      <c r="CF249" s="806"/>
      <c r="CG249" s="806"/>
      <c r="CH249" s="806"/>
      <c r="CI249" s="806"/>
      <c r="CJ249" s="806"/>
      <c r="CK249" s="806"/>
    </row>
    <row r="250">
      <c r="A250" s="348"/>
      <c r="B250" s="348"/>
      <c r="C250" s="236"/>
      <c r="D250" s="348"/>
      <c r="E250" s="348"/>
      <c r="F250" s="348"/>
      <c r="G250" s="348"/>
      <c r="H250" s="348"/>
      <c r="I250" s="348"/>
      <c r="J250" s="348"/>
      <c r="K250" s="348"/>
      <c r="L250" s="348"/>
      <c r="M250" s="348"/>
      <c r="N250" s="348"/>
      <c r="O250" s="348"/>
      <c r="P250" s="348"/>
      <c r="Q250" s="348"/>
      <c r="R250" s="348"/>
      <c r="S250" s="348"/>
      <c r="T250" s="348"/>
      <c r="U250" s="348" t="s">
        <v>96</v>
      </c>
      <c r="V250" s="348" t="s">
        <v>96</v>
      </c>
      <c r="W250" s="348"/>
      <c r="X250" s="348" t="s">
        <v>96</v>
      </c>
      <c r="Y250" s="772" t="s">
        <v>96</v>
      </c>
      <c r="Z250" s="772" t="s">
        <v>96</v>
      </c>
      <c r="AA250" s="348"/>
      <c r="AB250" s="153"/>
      <c r="AC250" s="348"/>
      <c r="AD250" s="348"/>
      <c r="AE250" s="348"/>
      <c r="AF250" s="348"/>
      <c r="AG250" s="348"/>
      <c r="AH250" s="348"/>
      <c r="AI250" s="348"/>
      <c r="AJ250" s="348"/>
      <c r="AK250" s="348"/>
      <c r="AL250" s="348"/>
      <c r="AM250" s="348"/>
      <c r="AN250" s="348"/>
      <c r="AO250" s="348"/>
      <c r="AP250" s="348"/>
      <c r="AQ250" s="348"/>
      <c r="AR250" s="348"/>
      <c r="AS250" s="348"/>
      <c r="AT250" s="348"/>
      <c r="AU250" s="348"/>
      <c r="AV250" s="348"/>
      <c r="AW250" s="348"/>
      <c r="AX250" s="348"/>
      <c r="AY250" s="348"/>
      <c r="AZ250" s="348"/>
      <c r="BA250" s="348"/>
      <c r="BB250" s="348"/>
      <c r="BC250" s="348"/>
      <c r="BD250" s="348"/>
      <c r="BE250" s="348"/>
      <c r="BF250" s="348"/>
      <c r="BG250" s="348"/>
      <c r="BH250" s="348"/>
      <c r="BI250" s="348"/>
      <c r="BJ250" s="348"/>
      <c r="BK250" s="348"/>
      <c r="BL250" s="348"/>
      <c r="BM250" s="348"/>
      <c r="BN250" s="348"/>
      <c r="BO250" s="348"/>
      <c r="BP250" s="348"/>
      <c r="BQ250" s="348"/>
      <c r="BR250" s="348"/>
      <c r="BS250" s="348"/>
      <c r="BT250" s="348"/>
      <c r="BU250" s="348"/>
      <c r="BV250" s="348"/>
      <c r="BW250" s="806" t="s">
        <v>96</v>
      </c>
      <c r="BX250" s="806"/>
      <c r="BY250" s="806"/>
      <c r="BZ250" s="806" t="str">
        <f>IFERROR(__xludf.DUMMYFUNCTION("""COMPUTED_VALUE"""),"")</f>
        <v/>
      </c>
      <c r="CA250" s="806"/>
      <c r="CB250" s="806"/>
      <c r="CC250" s="806"/>
      <c r="CD250" s="806"/>
      <c r="CE250" s="806"/>
      <c r="CF250" s="806"/>
      <c r="CG250" s="806"/>
      <c r="CH250" s="806"/>
      <c r="CI250" s="806"/>
      <c r="CJ250" s="806"/>
      <c r="CK250" s="806"/>
    </row>
    <row r="251">
      <c r="A251" s="348"/>
      <c r="B251" s="348"/>
      <c r="C251" s="236"/>
      <c r="D251" s="348"/>
      <c r="E251" s="348"/>
      <c r="F251" s="348"/>
      <c r="G251" s="348"/>
      <c r="H251" s="348"/>
      <c r="I251" s="348"/>
      <c r="J251" s="348"/>
      <c r="K251" s="348"/>
      <c r="L251" s="348"/>
      <c r="M251" s="348"/>
      <c r="N251" s="348"/>
      <c r="O251" s="348"/>
      <c r="P251" s="348"/>
      <c r="Q251" s="348"/>
      <c r="R251" s="348"/>
      <c r="S251" s="348"/>
      <c r="T251" s="348"/>
      <c r="U251" s="348" t="s">
        <v>96</v>
      </c>
      <c r="V251" s="348" t="s">
        <v>96</v>
      </c>
      <c r="W251" s="348"/>
      <c r="X251" s="348" t="s">
        <v>96</v>
      </c>
      <c r="Y251" s="772" t="s">
        <v>96</v>
      </c>
      <c r="Z251" s="772" t="s">
        <v>96</v>
      </c>
      <c r="AA251" s="348"/>
      <c r="AB251" s="153"/>
      <c r="AC251" s="348"/>
      <c r="AD251" s="348"/>
      <c r="AE251" s="348"/>
      <c r="AF251" s="348"/>
      <c r="AG251" s="348"/>
      <c r="AH251" s="348"/>
      <c r="AI251" s="348"/>
      <c r="AJ251" s="348"/>
      <c r="AK251" s="348"/>
      <c r="AL251" s="348"/>
      <c r="AM251" s="348"/>
      <c r="AN251" s="348"/>
      <c r="AO251" s="348"/>
      <c r="AP251" s="348"/>
      <c r="AQ251" s="348"/>
      <c r="AR251" s="348"/>
      <c r="AS251" s="348"/>
      <c r="AT251" s="348"/>
      <c r="AU251" s="348"/>
      <c r="AV251" s="348"/>
      <c r="AW251" s="348"/>
      <c r="AX251" s="348"/>
      <c r="AY251" s="348"/>
      <c r="AZ251" s="348"/>
      <c r="BA251" s="348"/>
      <c r="BB251" s="348"/>
      <c r="BC251" s="348"/>
      <c r="BD251" s="348"/>
      <c r="BE251" s="348"/>
      <c r="BF251" s="348"/>
      <c r="BG251" s="348"/>
      <c r="BH251" s="348"/>
      <c r="BI251" s="348"/>
      <c r="BJ251" s="348"/>
      <c r="BK251" s="348"/>
      <c r="BL251" s="348"/>
      <c r="BM251" s="348"/>
      <c r="BN251" s="348"/>
      <c r="BO251" s="348"/>
      <c r="BP251" s="348"/>
      <c r="BQ251" s="348"/>
      <c r="BR251" s="348"/>
      <c r="BS251" s="348"/>
      <c r="BT251" s="348"/>
      <c r="BU251" s="348"/>
      <c r="BV251" s="348"/>
      <c r="BW251" s="806" t="s">
        <v>96</v>
      </c>
      <c r="BX251" s="806"/>
      <c r="BY251" s="806"/>
      <c r="BZ251" s="806" t="str">
        <f>IFERROR(__xludf.DUMMYFUNCTION("""COMPUTED_VALUE"""),"")</f>
        <v/>
      </c>
      <c r="CA251" s="806"/>
      <c r="CB251" s="806"/>
      <c r="CC251" s="806"/>
      <c r="CD251" s="806"/>
      <c r="CE251" s="806"/>
      <c r="CF251" s="806"/>
      <c r="CG251" s="806"/>
      <c r="CH251" s="806"/>
      <c r="CI251" s="806"/>
      <c r="CJ251" s="806"/>
      <c r="CK251" s="806"/>
    </row>
    <row r="252">
      <c r="A252" s="348"/>
      <c r="B252" s="348"/>
      <c r="C252" s="236"/>
      <c r="D252" s="348"/>
      <c r="E252" s="348"/>
      <c r="F252" s="348"/>
      <c r="G252" s="348"/>
      <c r="H252" s="348"/>
      <c r="I252" s="348"/>
      <c r="J252" s="348"/>
      <c r="K252" s="348"/>
      <c r="L252" s="348"/>
      <c r="M252" s="348"/>
      <c r="N252" s="348"/>
      <c r="O252" s="348"/>
      <c r="P252" s="348"/>
      <c r="Q252" s="348"/>
      <c r="R252" s="348"/>
      <c r="S252" s="348"/>
      <c r="T252" s="348"/>
      <c r="U252" s="348" t="s">
        <v>96</v>
      </c>
      <c r="V252" s="348" t="s">
        <v>96</v>
      </c>
      <c r="W252" s="348"/>
      <c r="X252" s="348" t="s">
        <v>96</v>
      </c>
      <c r="Y252" s="772" t="s">
        <v>96</v>
      </c>
      <c r="Z252" s="772" t="s">
        <v>96</v>
      </c>
      <c r="AA252" s="348"/>
      <c r="AB252" s="153"/>
      <c r="AC252" s="348"/>
      <c r="AD252" s="348"/>
      <c r="AE252" s="348"/>
      <c r="AF252" s="348"/>
      <c r="AG252" s="348"/>
      <c r="AH252" s="348"/>
      <c r="AI252" s="348"/>
      <c r="AJ252" s="348"/>
      <c r="AK252" s="348"/>
      <c r="AL252" s="348"/>
      <c r="AM252" s="348"/>
      <c r="AN252" s="348"/>
      <c r="AO252" s="348"/>
      <c r="AP252" s="348"/>
      <c r="AQ252" s="348"/>
      <c r="AR252" s="348"/>
      <c r="AS252" s="348"/>
      <c r="AT252" s="348"/>
      <c r="AU252" s="348"/>
      <c r="AV252" s="348"/>
      <c r="AW252" s="348"/>
      <c r="AX252" s="348"/>
      <c r="AY252" s="348"/>
      <c r="AZ252" s="348"/>
      <c r="BA252" s="348"/>
      <c r="BB252" s="348"/>
      <c r="BC252" s="348"/>
      <c r="BD252" s="348"/>
      <c r="BE252" s="348"/>
      <c r="BF252" s="348"/>
      <c r="BG252" s="348"/>
      <c r="BH252" s="348"/>
      <c r="BI252" s="348"/>
      <c r="BJ252" s="348"/>
      <c r="BK252" s="348"/>
      <c r="BL252" s="348"/>
      <c r="BM252" s="348"/>
      <c r="BN252" s="348"/>
      <c r="BO252" s="348"/>
      <c r="BP252" s="348"/>
      <c r="BQ252" s="348"/>
      <c r="BR252" s="348"/>
      <c r="BS252" s="348"/>
      <c r="BT252" s="348"/>
      <c r="BU252" s="348"/>
      <c r="BV252" s="348"/>
      <c r="BW252" s="806" t="s">
        <v>96</v>
      </c>
      <c r="BX252" s="806"/>
      <c r="BY252" s="806"/>
      <c r="BZ252" s="806" t="str">
        <f>IFERROR(__xludf.DUMMYFUNCTION("""COMPUTED_VALUE"""),"")</f>
        <v/>
      </c>
      <c r="CA252" s="806"/>
      <c r="CB252" s="806"/>
      <c r="CC252" s="806"/>
      <c r="CD252" s="806"/>
      <c r="CE252" s="806"/>
      <c r="CF252" s="806"/>
      <c r="CG252" s="806"/>
      <c r="CH252" s="806"/>
      <c r="CI252" s="806"/>
      <c r="CJ252" s="806"/>
      <c r="CK252" s="806"/>
    </row>
    <row r="253">
      <c r="A253" s="348"/>
      <c r="B253" s="348"/>
      <c r="C253" s="236"/>
      <c r="D253" s="348"/>
      <c r="E253" s="348"/>
      <c r="F253" s="348"/>
      <c r="G253" s="348"/>
      <c r="H253" s="348"/>
      <c r="I253" s="348"/>
      <c r="J253" s="348"/>
      <c r="K253" s="348"/>
      <c r="L253" s="348"/>
      <c r="M253" s="348"/>
      <c r="N253" s="348"/>
      <c r="O253" s="348"/>
      <c r="P253" s="348"/>
      <c r="Q253" s="348"/>
      <c r="R253" s="348"/>
      <c r="S253" s="348"/>
      <c r="T253" s="348"/>
      <c r="U253" s="348" t="s">
        <v>96</v>
      </c>
      <c r="V253" s="348" t="s">
        <v>96</v>
      </c>
      <c r="W253" s="348"/>
      <c r="X253" s="348" t="s">
        <v>96</v>
      </c>
      <c r="Y253" s="772" t="s">
        <v>96</v>
      </c>
      <c r="Z253" s="772" t="s">
        <v>96</v>
      </c>
      <c r="AA253" s="348"/>
      <c r="AB253" s="153"/>
      <c r="AC253" s="348"/>
      <c r="AD253" s="348"/>
      <c r="AE253" s="348"/>
      <c r="AF253" s="348"/>
      <c r="AG253" s="348"/>
      <c r="AH253" s="348"/>
      <c r="AI253" s="348"/>
      <c r="AJ253" s="348"/>
      <c r="AK253" s="348"/>
      <c r="AL253" s="348"/>
      <c r="AM253" s="348"/>
      <c r="AN253" s="348"/>
      <c r="AO253" s="348"/>
      <c r="AP253" s="348"/>
      <c r="AQ253" s="348"/>
      <c r="AR253" s="348"/>
      <c r="AS253" s="348"/>
      <c r="AT253" s="348"/>
      <c r="AU253" s="348"/>
      <c r="AV253" s="348"/>
      <c r="AW253" s="348"/>
      <c r="AX253" s="348"/>
      <c r="AY253" s="348"/>
      <c r="AZ253" s="348"/>
      <c r="BA253" s="348"/>
      <c r="BB253" s="348"/>
      <c r="BC253" s="348"/>
      <c r="BD253" s="348"/>
      <c r="BE253" s="348"/>
      <c r="BF253" s="348"/>
      <c r="BG253" s="348"/>
      <c r="BH253" s="348"/>
      <c r="BI253" s="348"/>
      <c r="BJ253" s="348"/>
      <c r="BK253" s="348"/>
      <c r="BL253" s="348"/>
      <c r="BM253" s="348"/>
      <c r="BN253" s="348"/>
      <c r="BO253" s="348"/>
      <c r="BP253" s="348"/>
      <c r="BQ253" s="348"/>
      <c r="BR253" s="348"/>
      <c r="BS253" s="348"/>
      <c r="BT253" s="348"/>
      <c r="BU253" s="348"/>
      <c r="BV253" s="348"/>
      <c r="BW253" s="806" t="s">
        <v>96</v>
      </c>
      <c r="BX253" s="806"/>
      <c r="BY253" s="806"/>
      <c r="BZ253" s="806" t="str">
        <f>IFERROR(__xludf.DUMMYFUNCTION("""COMPUTED_VALUE"""),"")</f>
        <v/>
      </c>
      <c r="CA253" s="806"/>
      <c r="CB253" s="806"/>
      <c r="CC253" s="806"/>
      <c r="CD253" s="806"/>
      <c r="CE253" s="806"/>
      <c r="CF253" s="806"/>
      <c r="CG253" s="806"/>
      <c r="CH253" s="806"/>
      <c r="CI253" s="806"/>
      <c r="CJ253" s="806"/>
      <c r="CK253" s="806"/>
    </row>
    <row r="254">
      <c r="A254" s="348"/>
      <c r="B254" s="348"/>
      <c r="C254" s="236"/>
      <c r="D254" s="348"/>
      <c r="E254" s="348"/>
      <c r="F254" s="348"/>
      <c r="G254" s="348"/>
      <c r="H254" s="348"/>
      <c r="I254" s="348"/>
      <c r="J254" s="348"/>
      <c r="K254" s="348"/>
      <c r="L254" s="348"/>
      <c r="M254" s="348"/>
      <c r="N254" s="348"/>
      <c r="O254" s="348"/>
      <c r="P254" s="348"/>
      <c r="Q254" s="348"/>
      <c r="R254" s="348"/>
      <c r="S254" s="348"/>
      <c r="T254" s="348"/>
      <c r="U254" s="348" t="s">
        <v>96</v>
      </c>
      <c r="V254" s="348" t="s">
        <v>96</v>
      </c>
      <c r="W254" s="348"/>
      <c r="X254" s="348" t="s">
        <v>96</v>
      </c>
      <c r="Y254" s="772" t="s">
        <v>96</v>
      </c>
      <c r="Z254" s="772" t="s">
        <v>96</v>
      </c>
      <c r="AA254" s="348"/>
      <c r="AB254" s="153"/>
      <c r="AC254" s="348"/>
      <c r="AD254" s="348"/>
      <c r="AE254" s="348"/>
      <c r="AF254" s="348"/>
      <c r="AG254" s="348"/>
      <c r="AH254" s="348"/>
      <c r="AI254" s="348"/>
      <c r="AJ254" s="348"/>
      <c r="AK254" s="348"/>
      <c r="AL254" s="348"/>
      <c r="AM254" s="348"/>
      <c r="AN254" s="348"/>
      <c r="AO254" s="348"/>
      <c r="AP254" s="348"/>
      <c r="AQ254" s="348"/>
      <c r="AR254" s="348"/>
      <c r="AS254" s="348"/>
      <c r="AT254" s="348"/>
      <c r="AU254" s="348"/>
      <c r="AV254" s="348"/>
      <c r="AW254" s="348"/>
      <c r="AX254" s="348"/>
      <c r="AY254" s="348"/>
      <c r="AZ254" s="348"/>
      <c r="BA254" s="348"/>
      <c r="BB254" s="348"/>
      <c r="BC254" s="348"/>
      <c r="BD254" s="348"/>
      <c r="BE254" s="348"/>
      <c r="BF254" s="348"/>
      <c r="BG254" s="348"/>
      <c r="BH254" s="348"/>
      <c r="BI254" s="348"/>
      <c r="BJ254" s="348"/>
      <c r="BK254" s="348"/>
      <c r="BL254" s="348"/>
      <c r="BM254" s="348"/>
      <c r="BN254" s="348"/>
      <c r="BO254" s="348"/>
      <c r="BP254" s="348"/>
      <c r="BQ254" s="348"/>
      <c r="BR254" s="348"/>
      <c r="BS254" s="348"/>
      <c r="BT254" s="348"/>
      <c r="BU254" s="348"/>
      <c r="BV254" s="348"/>
      <c r="BW254" s="806" t="s">
        <v>96</v>
      </c>
      <c r="BX254" s="806"/>
      <c r="BY254" s="806"/>
      <c r="BZ254" s="806" t="str">
        <f>IFERROR(__xludf.DUMMYFUNCTION("""COMPUTED_VALUE"""),"")</f>
        <v/>
      </c>
      <c r="CA254" s="806"/>
      <c r="CB254" s="806"/>
      <c r="CC254" s="806"/>
      <c r="CD254" s="806"/>
      <c r="CE254" s="806"/>
      <c r="CF254" s="806"/>
      <c r="CG254" s="806"/>
      <c r="CH254" s="806"/>
      <c r="CI254" s="806"/>
      <c r="CJ254" s="806"/>
      <c r="CK254" s="806"/>
    </row>
    <row r="255">
      <c r="A255" s="348"/>
      <c r="B255" s="348"/>
      <c r="C255" s="236"/>
      <c r="D255" s="348"/>
      <c r="E255" s="348"/>
      <c r="F255" s="348"/>
      <c r="G255" s="348"/>
      <c r="H255" s="348"/>
      <c r="I255" s="348"/>
      <c r="J255" s="348"/>
      <c r="K255" s="348"/>
      <c r="L255" s="348"/>
      <c r="M255" s="348"/>
      <c r="N255" s="348"/>
      <c r="O255" s="348"/>
      <c r="P255" s="348"/>
      <c r="Q255" s="348"/>
      <c r="R255" s="348"/>
      <c r="S255" s="348"/>
      <c r="T255" s="348"/>
      <c r="U255" s="348" t="s">
        <v>96</v>
      </c>
      <c r="V255" s="348" t="s">
        <v>96</v>
      </c>
      <c r="W255" s="348"/>
      <c r="X255" s="348" t="s">
        <v>96</v>
      </c>
      <c r="Y255" s="772" t="s">
        <v>96</v>
      </c>
      <c r="Z255" s="772" t="s">
        <v>96</v>
      </c>
      <c r="AA255" s="348"/>
      <c r="AB255" s="153"/>
      <c r="AC255" s="348"/>
      <c r="AD255" s="348"/>
      <c r="AE255" s="348"/>
      <c r="AF255" s="348"/>
      <c r="AG255" s="348"/>
      <c r="AH255" s="348"/>
      <c r="AI255" s="348"/>
      <c r="AJ255" s="348"/>
      <c r="AK255" s="348"/>
      <c r="AL255" s="348"/>
      <c r="AM255" s="348"/>
      <c r="AN255" s="348"/>
      <c r="AO255" s="348"/>
      <c r="AP255" s="348"/>
      <c r="AQ255" s="348"/>
      <c r="AR255" s="348"/>
      <c r="AS255" s="348"/>
      <c r="AT255" s="348"/>
      <c r="AU255" s="348"/>
      <c r="AV255" s="348"/>
      <c r="AW255" s="348"/>
      <c r="AX255" s="348"/>
      <c r="AY255" s="348"/>
      <c r="AZ255" s="348"/>
      <c r="BA255" s="348"/>
      <c r="BB255" s="348"/>
      <c r="BC255" s="348"/>
      <c r="BD255" s="348"/>
      <c r="BE255" s="348"/>
      <c r="BF255" s="348"/>
      <c r="BG255" s="348"/>
      <c r="BH255" s="348"/>
      <c r="BI255" s="348"/>
      <c r="BJ255" s="348"/>
      <c r="BK255" s="348"/>
      <c r="BL255" s="348"/>
      <c r="BM255" s="348"/>
      <c r="BN255" s="348"/>
      <c r="BO255" s="348"/>
      <c r="BP255" s="348"/>
      <c r="BQ255" s="348"/>
      <c r="BR255" s="348"/>
      <c r="BS255" s="348"/>
      <c r="BT255" s="348"/>
      <c r="BU255" s="348"/>
      <c r="BV255" s="348"/>
      <c r="BW255" s="806" t="s">
        <v>96</v>
      </c>
      <c r="BX255" s="806"/>
      <c r="BY255" s="806"/>
      <c r="BZ255" s="806" t="str">
        <f>IFERROR(__xludf.DUMMYFUNCTION("""COMPUTED_VALUE"""),"")</f>
        <v/>
      </c>
      <c r="CA255" s="806"/>
      <c r="CB255" s="806"/>
      <c r="CC255" s="806"/>
      <c r="CD255" s="806"/>
      <c r="CE255" s="806"/>
      <c r="CF255" s="806"/>
      <c r="CG255" s="806"/>
      <c r="CH255" s="806"/>
      <c r="CI255" s="806"/>
      <c r="CJ255" s="806"/>
      <c r="CK255" s="806"/>
    </row>
    <row r="256">
      <c r="A256" s="348"/>
      <c r="B256" s="348"/>
      <c r="C256" s="236"/>
      <c r="D256" s="348"/>
      <c r="E256" s="348"/>
      <c r="F256" s="348"/>
      <c r="G256" s="348"/>
      <c r="H256" s="348"/>
      <c r="I256" s="348"/>
      <c r="J256" s="348"/>
      <c r="K256" s="348"/>
      <c r="L256" s="348"/>
      <c r="M256" s="348"/>
      <c r="N256" s="348"/>
      <c r="O256" s="348"/>
      <c r="P256" s="348"/>
      <c r="Q256" s="348"/>
      <c r="R256" s="348"/>
      <c r="S256" s="348"/>
      <c r="T256" s="348"/>
      <c r="U256" s="348" t="s">
        <v>96</v>
      </c>
      <c r="V256" s="348" t="s">
        <v>96</v>
      </c>
      <c r="W256" s="348"/>
      <c r="X256" s="348" t="s">
        <v>96</v>
      </c>
      <c r="Y256" s="772" t="s">
        <v>96</v>
      </c>
      <c r="Z256" s="772" t="s">
        <v>96</v>
      </c>
      <c r="AA256" s="348"/>
      <c r="AB256" s="153"/>
      <c r="AC256" s="348"/>
      <c r="AD256" s="348"/>
      <c r="AE256" s="348"/>
      <c r="AF256" s="348"/>
      <c r="AG256" s="348"/>
      <c r="AH256" s="348"/>
      <c r="AI256" s="348"/>
      <c r="AJ256" s="348"/>
      <c r="AK256" s="348"/>
      <c r="AL256" s="348"/>
      <c r="AM256" s="348"/>
      <c r="AN256" s="348"/>
      <c r="AO256" s="348"/>
      <c r="AP256" s="348"/>
      <c r="AQ256" s="348"/>
      <c r="AR256" s="348"/>
      <c r="AS256" s="348"/>
      <c r="AT256" s="348"/>
      <c r="AU256" s="348"/>
      <c r="AV256" s="348"/>
      <c r="AW256" s="348"/>
      <c r="AX256" s="348"/>
      <c r="AY256" s="348"/>
      <c r="AZ256" s="348"/>
      <c r="BA256" s="348"/>
      <c r="BB256" s="348"/>
      <c r="BC256" s="348"/>
      <c r="BD256" s="348"/>
      <c r="BE256" s="348"/>
      <c r="BF256" s="348"/>
      <c r="BG256" s="348"/>
      <c r="BH256" s="348"/>
      <c r="BI256" s="348"/>
      <c r="BJ256" s="348"/>
      <c r="BK256" s="348"/>
      <c r="BL256" s="348"/>
      <c r="BM256" s="348"/>
      <c r="BN256" s="348"/>
      <c r="BO256" s="348"/>
      <c r="BP256" s="348"/>
      <c r="BQ256" s="348"/>
      <c r="BR256" s="348"/>
      <c r="BS256" s="348"/>
      <c r="BT256" s="348"/>
      <c r="BU256" s="348"/>
      <c r="BV256" s="348"/>
      <c r="BW256" s="806" t="s">
        <v>96</v>
      </c>
      <c r="BX256" s="806"/>
      <c r="BY256" s="806"/>
      <c r="BZ256" s="806" t="str">
        <f>IFERROR(__xludf.DUMMYFUNCTION("""COMPUTED_VALUE"""),"")</f>
        <v/>
      </c>
      <c r="CA256" s="806"/>
      <c r="CB256" s="806"/>
      <c r="CC256" s="806"/>
      <c r="CD256" s="806"/>
      <c r="CE256" s="806"/>
      <c r="CF256" s="806"/>
      <c r="CG256" s="806"/>
      <c r="CH256" s="806"/>
      <c r="CI256" s="806"/>
      <c r="CJ256" s="806"/>
      <c r="CK256" s="806"/>
    </row>
    <row r="257">
      <c r="A257" s="348"/>
      <c r="B257" s="348"/>
      <c r="C257" s="236"/>
      <c r="D257" s="348"/>
      <c r="E257" s="348"/>
      <c r="F257" s="348"/>
      <c r="G257" s="348"/>
      <c r="H257" s="348"/>
      <c r="I257" s="348"/>
      <c r="J257" s="348"/>
      <c r="K257" s="348"/>
      <c r="L257" s="348"/>
      <c r="M257" s="348"/>
      <c r="N257" s="348"/>
      <c r="O257" s="348"/>
      <c r="P257" s="348"/>
      <c r="Q257" s="348"/>
      <c r="R257" s="348"/>
      <c r="S257" s="348"/>
      <c r="T257" s="348"/>
      <c r="U257" s="348" t="s">
        <v>96</v>
      </c>
      <c r="V257" s="348" t="s">
        <v>96</v>
      </c>
      <c r="W257" s="348"/>
      <c r="X257" s="348" t="s">
        <v>96</v>
      </c>
      <c r="Y257" s="772" t="s">
        <v>96</v>
      </c>
      <c r="Z257" s="772" t="s">
        <v>96</v>
      </c>
      <c r="AA257" s="348"/>
      <c r="AB257" s="153"/>
      <c r="AC257" s="348"/>
      <c r="AD257" s="348"/>
      <c r="AE257" s="348"/>
      <c r="AF257" s="348"/>
      <c r="AG257" s="348"/>
      <c r="AH257" s="348"/>
      <c r="AI257" s="348"/>
      <c r="AJ257" s="348"/>
      <c r="AK257" s="348"/>
      <c r="AL257" s="348"/>
      <c r="AM257" s="348"/>
      <c r="AN257" s="348"/>
      <c r="AO257" s="348"/>
      <c r="AP257" s="348"/>
      <c r="AQ257" s="348"/>
      <c r="AR257" s="348"/>
      <c r="AS257" s="348"/>
      <c r="AT257" s="348"/>
      <c r="AU257" s="348"/>
      <c r="AV257" s="348"/>
      <c r="AW257" s="348"/>
      <c r="AX257" s="348"/>
      <c r="AY257" s="348"/>
      <c r="AZ257" s="348"/>
      <c r="BA257" s="348"/>
      <c r="BB257" s="348"/>
      <c r="BC257" s="348"/>
      <c r="BD257" s="348"/>
      <c r="BE257" s="348"/>
      <c r="BF257" s="348"/>
      <c r="BG257" s="348"/>
      <c r="BH257" s="348"/>
      <c r="BI257" s="348"/>
      <c r="BJ257" s="348"/>
      <c r="BK257" s="348"/>
      <c r="BL257" s="348"/>
      <c r="BM257" s="348"/>
      <c r="BN257" s="348"/>
      <c r="BO257" s="348"/>
      <c r="BP257" s="348"/>
      <c r="BQ257" s="348"/>
      <c r="BR257" s="348"/>
      <c r="BS257" s="348"/>
      <c r="BT257" s="348"/>
      <c r="BU257" s="348"/>
      <c r="BV257" s="348"/>
      <c r="BW257" s="806" t="s">
        <v>96</v>
      </c>
      <c r="BX257" s="806"/>
      <c r="BY257" s="806"/>
      <c r="BZ257" s="806" t="str">
        <f>IFERROR(__xludf.DUMMYFUNCTION("""COMPUTED_VALUE"""),"")</f>
        <v/>
      </c>
      <c r="CA257" s="806"/>
      <c r="CB257" s="806"/>
      <c r="CC257" s="806"/>
      <c r="CD257" s="806"/>
      <c r="CE257" s="806"/>
      <c r="CF257" s="806"/>
      <c r="CG257" s="806"/>
      <c r="CH257" s="806"/>
      <c r="CI257" s="806"/>
      <c r="CJ257" s="806"/>
      <c r="CK257" s="806"/>
    </row>
    <row r="258">
      <c r="A258" s="348"/>
      <c r="B258" s="348"/>
      <c r="C258" s="236"/>
      <c r="D258" s="348"/>
      <c r="E258" s="348"/>
      <c r="F258" s="348"/>
      <c r="G258" s="348"/>
      <c r="H258" s="348"/>
      <c r="I258" s="348"/>
      <c r="J258" s="348"/>
      <c r="K258" s="348"/>
      <c r="L258" s="348"/>
      <c r="M258" s="348"/>
      <c r="N258" s="348"/>
      <c r="O258" s="348"/>
      <c r="P258" s="348"/>
      <c r="Q258" s="348"/>
      <c r="R258" s="348"/>
      <c r="S258" s="348"/>
      <c r="T258" s="348"/>
      <c r="U258" s="348" t="s">
        <v>96</v>
      </c>
      <c r="V258" s="348" t="s">
        <v>96</v>
      </c>
      <c r="W258" s="348"/>
      <c r="X258" s="348" t="s">
        <v>96</v>
      </c>
      <c r="Y258" s="772" t="s">
        <v>96</v>
      </c>
      <c r="Z258" s="772" t="s">
        <v>96</v>
      </c>
      <c r="AA258" s="348"/>
      <c r="AB258" s="153"/>
      <c r="AC258" s="348"/>
      <c r="AD258" s="348"/>
      <c r="AE258" s="348"/>
      <c r="AF258" s="348"/>
      <c r="AG258" s="348"/>
      <c r="AH258" s="348"/>
      <c r="AI258" s="348"/>
      <c r="AJ258" s="348"/>
      <c r="AK258" s="348"/>
      <c r="AL258" s="348"/>
      <c r="AM258" s="348"/>
      <c r="AN258" s="348"/>
      <c r="AO258" s="348"/>
      <c r="AP258" s="348"/>
      <c r="AQ258" s="348"/>
      <c r="AR258" s="348"/>
      <c r="AS258" s="348"/>
      <c r="AT258" s="348"/>
      <c r="AU258" s="348"/>
      <c r="AV258" s="348"/>
      <c r="AW258" s="348"/>
      <c r="AX258" s="348"/>
      <c r="AY258" s="348"/>
      <c r="AZ258" s="348"/>
      <c r="BA258" s="348"/>
      <c r="BB258" s="348"/>
      <c r="BC258" s="348"/>
      <c r="BD258" s="348"/>
      <c r="BE258" s="348"/>
      <c r="BF258" s="348"/>
      <c r="BG258" s="348"/>
      <c r="BH258" s="348"/>
      <c r="BI258" s="348"/>
      <c r="BJ258" s="348"/>
      <c r="BK258" s="348"/>
      <c r="BL258" s="348"/>
      <c r="BM258" s="348"/>
      <c r="BN258" s="348"/>
      <c r="BO258" s="348"/>
      <c r="BP258" s="348"/>
      <c r="BQ258" s="348"/>
      <c r="BR258" s="348"/>
      <c r="BS258" s="348"/>
      <c r="BT258" s="348"/>
      <c r="BU258" s="348"/>
      <c r="BV258" s="348"/>
      <c r="BW258" s="806" t="s">
        <v>96</v>
      </c>
      <c r="BX258" s="806"/>
      <c r="BY258" s="806"/>
      <c r="BZ258" s="806" t="str">
        <f>IFERROR(__xludf.DUMMYFUNCTION("""COMPUTED_VALUE"""),"")</f>
        <v/>
      </c>
      <c r="CA258" s="806"/>
      <c r="CB258" s="806"/>
      <c r="CC258" s="806"/>
      <c r="CD258" s="806"/>
      <c r="CE258" s="806"/>
      <c r="CF258" s="806"/>
      <c r="CG258" s="806"/>
      <c r="CH258" s="806"/>
      <c r="CI258" s="806"/>
      <c r="CJ258" s="806"/>
      <c r="CK258" s="806"/>
    </row>
    <row r="259">
      <c r="A259" s="348"/>
      <c r="B259" s="348"/>
      <c r="C259" s="236"/>
      <c r="D259" s="348"/>
      <c r="E259" s="348"/>
      <c r="F259" s="348"/>
      <c r="G259" s="348"/>
      <c r="H259" s="348"/>
      <c r="I259" s="348"/>
      <c r="J259" s="348"/>
      <c r="K259" s="348"/>
      <c r="L259" s="348"/>
      <c r="M259" s="348"/>
      <c r="N259" s="348"/>
      <c r="O259" s="348"/>
      <c r="P259" s="348"/>
      <c r="Q259" s="348"/>
      <c r="R259" s="348"/>
      <c r="S259" s="348"/>
      <c r="T259" s="348"/>
      <c r="U259" s="348" t="s">
        <v>96</v>
      </c>
      <c r="V259" s="348" t="s">
        <v>96</v>
      </c>
      <c r="W259" s="348"/>
      <c r="X259" s="348" t="s">
        <v>96</v>
      </c>
      <c r="Y259" s="772" t="s">
        <v>96</v>
      </c>
      <c r="Z259" s="772" t="s">
        <v>96</v>
      </c>
      <c r="AA259" s="348"/>
      <c r="AB259" s="153"/>
      <c r="AC259" s="348"/>
      <c r="AD259" s="348"/>
      <c r="AE259" s="348"/>
      <c r="AF259" s="348"/>
      <c r="AG259" s="348"/>
      <c r="AH259" s="348"/>
      <c r="AI259" s="348"/>
      <c r="AJ259" s="348"/>
      <c r="AK259" s="348"/>
      <c r="AL259" s="348"/>
      <c r="AM259" s="348"/>
      <c r="AN259" s="348"/>
      <c r="AO259" s="348"/>
      <c r="AP259" s="348"/>
      <c r="AQ259" s="348"/>
      <c r="AR259" s="348"/>
      <c r="AS259" s="348"/>
      <c r="AT259" s="348"/>
      <c r="AU259" s="348"/>
      <c r="AV259" s="348"/>
      <c r="AW259" s="348"/>
      <c r="AX259" s="348"/>
      <c r="AY259" s="348"/>
      <c r="AZ259" s="348"/>
      <c r="BA259" s="348"/>
      <c r="BB259" s="348"/>
      <c r="BC259" s="348"/>
      <c r="BD259" s="348"/>
      <c r="BE259" s="348"/>
      <c r="BF259" s="348"/>
      <c r="BG259" s="348"/>
      <c r="BH259" s="348"/>
      <c r="BI259" s="348"/>
      <c r="BJ259" s="348"/>
      <c r="BK259" s="348"/>
      <c r="BL259" s="348"/>
      <c r="BM259" s="348"/>
      <c r="BN259" s="348"/>
      <c r="BO259" s="348"/>
      <c r="BP259" s="348"/>
      <c r="BQ259" s="348"/>
      <c r="BR259" s="348"/>
      <c r="BS259" s="348"/>
      <c r="BT259" s="348"/>
      <c r="BU259" s="348"/>
      <c r="BV259" s="348"/>
      <c r="BW259" s="806" t="s">
        <v>96</v>
      </c>
      <c r="BX259" s="806"/>
      <c r="BY259" s="806"/>
      <c r="BZ259" s="806" t="str">
        <f>IFERROR(__xludf.DUMMYFUNCTION("""COMPUTED_VALUE"""),"")</f>
        <v/>
      </c>
      <c r="CA259" s="806"/>
      <c r="CB259" s="806"/>
      <c r="CC259" s="806"/>
      <c r="CD259" s="806"/>
      <c r="CE259" s="806"/>
      <c r="CF259" s="806"/>
      <c r="CG259" s="806"/>
      <c r="CH259" s="806"/>
      <c r="CI259" s="806"/>
      <c r="CJ259" s="806"/>
      <c r="CK259" s="806"/>
    </row>
    <row r="260">
      <c r="A260" s="348"/>
      <c r="B260" s="348"/>
      <c r="C260" s="236"/>
      <c r="D260" s="348"/>
      <c r="E260" s="348"/>
      <c r="F260" s="348"/>
      <c r="G260" s="348"/>
      <c r="H260" s="348"/>
      <c r="I260" s="348"/>
      <c r="J260" s="348"/>
      <c r="K260" s="348"/>
      <c r="L260" s="348"/>
      <c r="M260" s="348"/>
      <c r="N260" s="348"/>
      <c r="O260" s="348"/>
      <c r="P260" s="348"/>
      <c r="Q260" s="348"/>
      <c r="R260" s="348"/>
      <c r="S260" s="348"/>
      <c r="T260" s="348"/>
      <c r="U260" s="348" t="s">
        <v>96</v>
      </c>
      <c r="V260" s="348" t="s">
        <v>96</v>
      </c>
      <c r="W260" s="348"/>
      <c r="X260" s="348" t="s">
        <v>96</v>
      </c>
      <c r="Y260" s="772" t="s">
        <v>96</v>
      </c>
      <c r="Z260" s="772" t="s">
        <v>96</v>
      </c>
      <c r="AA260" s="348"/>
      <c r="AB260" s="153"/>
      <c r="AC260" s="348"/>
      <c r="AD260" s="348"/>
      <c r="AE260" s="348"/>
      <c r="AF260" s="348"/>
      <c r="AG260" s="348"/>
      <c r="AH260" s="348"/>
      <c r="AI260" s="348"/>
      <c r="AJ260" s="348"/>
      <c r="AK260" s="348"/>
      <c r="AL260" s="348"/>
      <c r="AM260" s="348"/>
      <c r="AN260" s="348"/>
      <c r="AO260" s="348"/>
      <c r="AP260" s="348"/>
      <c r="AQ260" s="348"/>
      <c r="AR260" s="348"/>
      <c r="AS260" s="348"/>
      <c r="AT260" s="348"/>
      <c r="AU260" s="348"/>
      <c r="AV260" s="348"/>
      <c r="AW260" s="348"/>
      <c r="AX260" s="348"/>
      <c r="AY260" s="348"/>
      <c r="AZ260" s="348"/>
      <c r="BA260" s="348"/>
      <c r="BB260" s="348"/>
      <c r="BC260" s="348"/>
      <c r="BD260" s="348"/>
      <c r="BE260" s="348"/>
      <c r="BF260" s="348"/>
      <c r="BG260" s="348"/>
      <c r="BH260" s="348"/>
      <c r="BI260" s="348"/>
      <c r="BJ260" s="348"/>
      <c r="BK260" s="348"/>
      <c r="BL260" s="348"/>
      <c r="BM260" s="348"/>
      <c r="BN260" s="348"/>
      <c r="BO260" s="348"/>
      <c r="BP260" s="348"/>
      <c r="BQ260" s="348"/>
      <c r="BR260" s="348"/>
      <c r="BS260" s="348"/>
      <c r="BT260" s="348"/>
      <c r="BU260" s="348"/>
      <c r="BV260" s="348"/>
      <c r="BW260" s="806" t="s">
        <v>96</v>
      </c>
      <c r="BX260" s="806"/>
      <c r="BY260" s="806"/>
      <c r="BZ260" s="806" t="str">
        <f>IFERROR(__xludf.DUMMYFUNCTION("""COMPUTED_VALUE"""),"")</f>
        <v/>
      </c>
      <c r="CA260" s="806"/>
      <c r="CB260" s="806"/>
      <c r="CC260" s="806"/>
      <c r="CD260" s="806"/>
      <c r="CE260" s="806"/>
      <c r="CF260" s="806"/>
      <c r="CG260" s="806"/>
      <c r="CH260" s="806"/>
      <c r="CI260" s="806"/>
      <c r="CJ260" s="806"/>
      <c r="CK260" s="806"/>
    </row>
    <row r="261">
      <c r="A261" s="348"/>
      <c r="B261" s="348"/>
      <c r="C261" s="236"/>
      <c r="D261" s="348"/>
      <c r="E261" s="348"/>
      <c r="F261" s="348"/>
      <c r="G261" s="348"/>
      <c r="H261" s="348"/>
      <c r="I261" s="348"/>
      <c r="J261" s="348"/>
      <c r="K261" s="348"/>
      <c r="L261" s="348"/>
      <c r="M261" s="348"/>
      <c r="N261" s="348"/>
      <c r="O261" s="348"/>
      <c r="P261" s="348"/>
      <c r="Q261" s="348"/>
      <c r="R261" s="348"/>
      <c r="S261" s="348"/>
      <c r="T261" s="348"/>
      <c r="U261" s="348" t="s">
        <v>96</v>
      </c>
      <c r="V261" s="348" t="s">
        <v>96</v>
      </c>
      <c r="W261" s="348"/>
      <c r="X261" s="348" t="s">
        <v>96</v>
      </c>
      <c r="Y261" s="772" t="s">
        <v>96</v>
      </c>
      <c r="Z261" s="772" t="s">
        <v>96</v>
      </c>
      <c r="AA261" s="348"/>
      <c r="AB261" s="153"/>
      <c r="AC261" s="348"/>
      <c r="AD261" s="348"/>
      <c r="AE261" s="348"/>
      <c r="AF261" s="348"/>
      <c r="AG261" s="348"/>
      <c r="AH261" s="348"/>
      <c r="AI261" s="348"/>
      <c r="AJ261" s="348"/>
      <c r="AK261" s="348"/>
      <c r="AL261" s="348"/>
      <c r="AM261" s="348"/>
      <c r="AN261" s="348"/>
      <c r="AO261" s="348"/>
      <c r="AP261" s="348"/>
      <c r="AQ261" s="348"/>
      <c r="AR261" s="348"/>
      <c r="AS261" s="348"/>
      <c r="AT261" s="348"/>
      <c r="AU261" s="348"/>
      <c r="AV261" s="348"/>
      <c r="AW261" s="348"/>
      <c r="AX261" s="348"/>
      <c r="AY261" s="348"/>
      <c r="AZ261" s="348"/>
      <c r="BA261" s="348"/>
      <c r="BB261" s="348"/>
      <c r="BC261" s="348"/>
      <c r="BD261" s="348"/>
      <c r="BE261" s="348"/>
      <c r="BF261" s="348"/>
      <c r="BG261" s="348"/>
      <c r="BH261" s="348"/>
      <c r="BI261" s="348"/>
      <c r="BJ261" s="348"/>
      <c r="BK261" s="348"/>
      <c r="BL261" s="348"/>
      <c r="BM261" s="348"/>
      <c r="BN261" s="348"/>
      <c r="BO261" s="348"/>
      <c r="BP261" s="348"/>
      <c r="BQ261" s="348"/>
      <c r="BR261" s="348"/>
      <c r="BS261" s="348"/>
      <c r="BT261" s="348"/>
      <c r="BU261" s="348"/>
      <c r="BV261" s="348"/>
      <c r="BW261" s="806" t="s">
        <v>96</v>
      </c>
      <c r="BX261" s="806"/>
      <c r="BY261" s="806"/>
      <c r="BZ261" s="806" t="str">
        <f>IFERROR(__xludf.DUMMYFUNCTION("""COMPUTED_VALUE"""),"")</f>
        <v/>
      </c>
      <c r="CA261" s="806"/>
      <c r="CB261" s="806"/>
      <c r="CC261" s="806"/>
      <c r="CD261" s="806"/>
      <c r="CE261" s="806"/>
      <c r="CF261" s="806"/>
      <c r="CG261" s="806"/>
      <c r="CH261" s="806"/>
      <c r="CI261" s="806"/>
      <c r="CJ261" s="806"/>
      <c r="CK261" s="806"/>
    </row>
    <row r="262">
      <c r="A262" s="348"/>
      <c r="B262" s="348"/>
      <c r="C262" s="236"/>
      <c r="D262" s="348"/>
      <c r="E262" s="348"/>
      <c r="F262" s="348"/>
      <c r="G262" s="348"/>
      <c r="H262" s="348"/>
      <c r="I262" s="348"/>
      <c r="J262" s="348"/>
      <c r="K262" s="348"/>
      <c r="L262" s="348"/>
      <c r="M262" s="348"/>
      <c r="N262" s="348"/>
      <c r="O262" s="348"/>
      <c r="P262" s="348"/>
      <c r="Q262" s="348"/>
      <c r="R262" s="348"/>
      <c r="S262" s="348"/>
      <c r="T262" s="348"/>
      <c r="U262" s="348" t="s">
        <v>96</v>
      </c>
      <c r="V262" s="348" t="s">
        <v>96</v>
      </c>
      <c r="W262" s="348"/>
      <c r="X262" s="348" t="s">
        <v>96</v>
      </c>
      <c r="Y262" s="772" t="s">
        <v>96</v>
      </c>
      <c r="Z262" s="772" t="s">
        <v>96</v>
      </c>
      <c r="AA262" s="348"/>
      <c r="AB262" s="153"/>
      <c r="AC262" s="348"/>
      <c r="AD262" s="348"/>
      <c r="AE262" s="348"/>
      <c r="AF262" s="348"/>
      <c r="AG262" s="348"/>
      <c r="AH262" s="348"/>
      <c r="AI262" s="348"/>
      <c r="AJ262" s="348"/>
      <c r="AK262" s="348"/>
      <c r="AL262" s="348"/>
      <c r="AM262" s="348"/>
      <c r="AN262" s="348"/>
      <c r="AO262" s="348"/>
      <c r="AP262" s="348"/>
      <c r="AQ262" s="348"/>
      <c r="AR262" s="348"/>
      <c r="AS262" s="348"/>
      <c r="AT262" s="348"/>
      <c r="AU262" s="348"/>
      <c r="AV262" s="348"/>
      <c r="AW262" s="348"/>
      <c r="AX262" s="348"/>
      <c r="AY262" s="348"/>
      <c r="AZ262" s="348"/>
      <c r="BA262" s="348"/>
      <c r="BB262" s="348"/>
      <c r="BC262" s="348"/>
      <c r="BD262" s="348"/>
      <c r="BE262" s="348"/>
      <c r="BF262" s="348"/>
      <c r="BG262" s="348"/>
      <c r="BH262" s="348"/>
      <c r="BI262" s="348"/>
      <c r="BJ262" s="348"/>
      <c r="BK262" s="348"/>
      <c r="BL262" s="348"/>
      <c r="BM262" s="348"/>
      <c r="BN262" s="348"/>
      <c r="BO262" s="348"/>
      <c r="BP262" s="348"/>
      <c r="BQ262" s="348"/>
      <c r="BR262" s="348"/>
      <c r="BS262" s="348"/>
      <c r="BT262" s="348"/>
      <c r="BU262" s="348"/>
      <c r="BV262" s="348"/>
      <c r="BW262" s="806" t="s">
        <v>96</v>
      </c>
      <c r="BX262" s="806"/>
      <c r="BY262" s="806"/>
      <c r="BZ262" s="806" t="str">
        <f>IFERROR(__xludf.DUMMYFUNCTION("""COMPUTED_VALUE"""),"")</f>
        <v/>
      </c>
      <c r="CA262" s="806"/>
      <c r="CB262" s="806"/>
      <c r="CC262" s="806"/>
      <c r="CD262" s="806"/>
      <c r="CE262" s="806"/>
      <c r="CF262" s="806"/>
      <c r="CG262" s="806"/>
      <c r="CH262" s="806"/>
      <c r="CI262" s="806"/>
      <c r="CJ262" s="806"/>
      <c r="CK262" s="806"/>
    </row>
    <row r="263">
      <c r="A263" s="348"/>
      <c r="B263" s="348"/>
      <c r="C263" s="236"/>
      <c r="D263" s="348"/>
      <c r="E263" s="348"/>
      <c r="F263" s="348"/>
      <c r="G263" s="348"/>
      <c r="H263" s="348"/>
      <c r="I263" s="348"/>
      <c r="J263" s="348"/>
      <c r="K263" s="348"/>
      <c r="L263" s="348"/>
      <c r="M263" s="348"/>
      <c r="N263" s="348"/>
      <c r="O263" s="348"/>
      <c r="P263" s="348"/>
      <c r="Q263" s="348"/>
      <c r="R263" s="348"/>
      <c r="S263" s="348"/>
      <c r="T263" s="348"/>
      <c r="U263" s="348" t="s">
        <v>96</v>
      </c>
      <c r="V263" s="348" t="s">
        <v>96</v>
      </c>
      <c r="W263" s="348"/>
      <c r="X263" s="348" t="s">
        <v>96</v>
      </c>
      <c r="Y263" s="772" t="s">
        <v>96</v>
      </c>
      <c r="Z263" s="772" t="s">
        <v>96</v>
      </c>
      <c r="AA263" s="348"/>
      <c r="AB263" s="153"/>
      <c r="AC263" s="348"/>
      <c r="AD263" s="348"/>
      <c r="AE263" s="348"/>
      <c r="AF263" s="348"/>
      <c r="AG263" s="348"/>
      <c r="AH263" s="348"/>
      <c r="AI263" s="348"/>
      <c r="AJ263" s="348"/>
      <c r="AK263" s="348"/>
      <c r="AL263" s="348"/>
      <c r="AM263" s="348"/>
      <c r="AN263" s="348"/>
      <c r="AO263" s="348"/>
      <c r="AP263" s="348"/>
      <c r="AQ263" s="348"/>
      <c r="AR263" s="348"/>
      <c r="AS263" s="348"/>
      <c r="AT263" s="348"/>
      <c r="AU263" s="348"/>
      <c r="AV263" s="348"/>
      <c r="AW263" s="348"/>
      <c r="AX263" s="348"/>
      <c r="AY263" s="348"/>
      <c r="AZ263" s="348"/>
      <c r="BA263" s="348"/>
      <c r="BB263" s="348"/>
      <c r="BC263" s="348"/>
      <c r="BD263" s="348"/>
      <c r="BE263" s="348"/>
      <c r="BF263" s="348"/>
      <c r="BG263" s="348"/>
      <c r="BH263" s="348"/>
      <c r="BI263" s="348"/>
      <c r="BJ263" s="348"/>
      <c r="BK263" s="348"/>
      <c r="BL263" s="348"/>
      <c r="BM263" s="348"/>
      <c r="BN263" s="348"/>
      <c r="BO263" s="348"/>
      <c r="BP263" s="348"/>
      <c r="BQ263" s="348"/>
      <c r="BR263" s="348"/>
      <c r="BS263" s="348"/>
      <c r="BT263" s="348"/>
      <c r="BU263" s="348"/>
      <c r="BV263" s="348"/>
      <c r="BW263" s="806" t="s">
        <v>96</v>
      </c>
      <c r="BX263" s="806"/>
      <c r="BY263" s="806"/>
      <c r="BZ263" s="806" t="str">
        <f>IFERROR(__xludf.DUMMYFUNCTION("""COMPUTED_VALUE"""),"")</f>
        <v/>
      </c>
      <c r="CA263" s="806"/>
      <c r="CB263" s="806"/>
      <c r="CC263" s="806"/>
      <c r="CD263" s="806"/>
      <c r="CE263" s="806"/>
      <c r="CF263" s="806"/>
      <c r="CG263" s="806"/>
      <c r="CH263" s="806"/>
      <c r="CI263" s="806"/>
      <c r="CJ263" s="806"/>
      <c r="CK263" s="806"/>
    </row>
    <row r="264">
      <c r="A264" s="348"/>
      <c r="B264" s="348"/>
      <c r="C264" s="236"/>
      <c r="D264" s="348"/>
      <c r="E264" s="348"/>
      <c r="F264" s="348"/>
      <c r="G264" s="348"/>
      <c r="H264" s="348"/>
      <c r="I264" s="348"/>
      <c r="J264" s="348"/>
      <c r="K264" s="348"/>
      <c r="L264" s="348"/>
      <c r="M264" s="348"/>
      <c r="N264" s="348"/>
      <c r="O264" s="348"/>
      <c r="P264" s="348"/>
      <c r="Q264" s="348"/>
      <c r="R264" s="348"/>
      <c r="S264" s="348"/>
      <c r="T264" s="348"/>
      <c r="U264" s="348" t="s">
        <v>96</v>
      </c>
      <c r="V264" s="348" t="s">
        <v>96</v>
      </c>
      <c r="W264" s="348"/>
      <c r="X264" s="348" t="s">
        <v>96</v>
      </c>
      <c r="Y264" s="772" t="s">
        <v>96</v>
      </c>
      <c r="Z264" s="772" t="s">
        <v>96</v>
      </c>
      <c r="AA264" s="348"/>
      <c r="AB264" s="153"/>
      <c r="AC264" s="348"/>
      <c r="AD264" s="348"/>
      <c r="AE264" s="348"/>
      <c r="AF264" s="348"/>
      <c r="AG264" s="348"/>
      <c r="AH264" s="348"/>
      <c r="AI264" s="348"/>
      <c r="AJ264" s="348"/>
      <c r="AK264" s="348"/>
      <c r="AL264" s="348"/>
      <c r="AM264" s="348"/>
      <c r="AN264" s="348"/>
      <c r="AO264" s="348"/>
      <c r="AP264" s="348"/>
      <c r="AQ264" s="348"/>
      <c r="AR264" s="348"/>
      <c r="AS264" s="348"/>
      <c r="AT264" s="348"/>
      <c r="AU264" s="348"/>
      <c r="AV264" s="348"/>
      <c r="AW264" s="348"/>
      <c r="AX264" s="348"/>
      <c r="AY264" s="348"/>
      <c r="AZ264" s="348"/>
      <c r="BA264" s="348"/>
      <c r="BB264" s="348"/>
      <c r="BC264" s="348"/>
      <c r="BD264" s="348"/>
      <c r="BE264" s="348"/>
      <c r="BF264" s="348"/>
      <c r="BG264" s="348"/>
      <c r="BH264" s="348"/>
      <c r="BI264" s="348"/>
      <c r="BJ264" s="348"/>
      <c r="BK264" s="348"/>
      <c r="BL264" s="348"/>
      <c r="BM264" s="348"/>
      <c r="BN264" s="348"/>
      <c r="BO264" s="348"/>
      <c r="BP264" s="348"/>
      <c r="BQ264" s="348"/>
      <c r="BR264" s="348"/>
      <c r="BS264" s="348"/>
      <c r="BT264" s="348"/>
      <c r="BU264" s="348"/>
      <c r="BV264" s="348"/>
      <c r="BW264" s="806" t="s">
        <v>96</v>
      </c>
      <c r="BX264" s="806"/>
      <c r="BY264" s="806"/>
      <c r="BZ264" s="806" t="str">
        <f>IFERROR(__xludf.DUMMYFUNCTION("""COMPUTED_VALUE"""),"")</f>
        <v/>
      </c>
      <c r="CA264" s="806"/>
      <c r="CB264" s="806"/>
      <c r="CC264" s="806"/>
      <c r="CD264" s="806"/>
      <c r="CE264" s="806"/>
      <c r="CF264" s="806"/>
      <c r="CG264" s="806"/>
      <c r="CH264" s="806"/>
      <c r="CI264" s="806"/>
      <c r="CJ264" s="806"/>
      <c r="CK264" s="806"/>
    </row>
    <row r="265">
      <c r="A265" s="348"/>
      <c r="B265" s="348"/>
      <c r="C265" s="236"/>
      <c r="D265" s="348"/>
      <c r="E265" s="348"/>
      <c r="F265" s="348"/>
      <c r="G265" s="348"/>
      <c r="H265" s="348"/>
      <c r="I265" s="348"/>
      <c r="J265" s="348"/>
      <c r="K265" s="348"/>
      <c r="L265" s="348"/>
      <c r="M265" s="348"/>
      <c r="N265" s="348"/>
      <c r="O265" s="348"/>
      <c r="P265" s="348"/>
      <c r="Q265" s="348"/>
      <c r="R265" s="348"/>
      <c r="S265" s="348"/>
      <c r="T265" s="348"/>
      <c r="U265" s="348" t="s">
        <v>96</v>
      </c>
      <c r="V265" s="348" t="s">
        <v>96</v>
      </c>
      <c r="W265" s="348"/>
      <c r="X265" s="348" t="s">
        <v>96</v>
      </c>
      <c r="Y265" s="772" t="s">
        <v>96</v>
      </c>
      <c r="Z265" s="772" t="s">
        <v>96</v>
      </c>
      <c r="AA265" s="348"/>
      <c r="AB265" s="153"/>
      <c r="AC265" s="348"/>
      <c r="AD265" s="348"/>
      <c r="AE265" s="348"/>
      <c r="AF265" s="348"/>
      <c r="AG265" s="348"/>
      <c r="AH265" s="348"/>
      <c r="AI265" s="348"/>
      <c r="AJ265" s="348"/>
      <c r="AK265" s="348"/>
      <c r="AL265" s="348"/>
      <c r="AM265" s="348"/>
      <c r="AN265" s="348"/>
      <c r="AO265" s="348"/>
      <c r="AP265" s="348"/>
      <c r="AQ265" s="348"/>
      <c r="AR265" s="348"/>
      <c r="AS265" s="348"/>
      <c r="AT265" s="348"/>
      <c r="AU265" s="348"/>
      <c r="AV265" s="348"/>
      <c r="AW265" s="348"/>
      <c r="AX265" s="348"/>
      <c r="AY265" s="348"/>
      <c r="AZ265" s="348"/>
      <c r="BA265" s="348"/>
      <c r="BB265" s="348"/>
      <c r="BC265" s="348"/>
      <c r="BD265" s="348"/>
      <c r="BE265" s="348"/>
      <c r="BF265" s="348"/>
      <c r="BG265" s="348"/>
      <c r="BH265" s="348"/>
      <c r="BI265" s="348"/>
      <c r="BJ265" s="348"/>
      <c r="BK265" s="348"/>
      <c r="BL265" s="348"/>
      <c r="BM265" s="348"/>
      <c r="BN265" s="348"/>
      <c r="BO265" s="348"/>
      <c r="BP265" s="348"/>
      <c r="BQ265" s="348"/>
      <c r="BR265" s="348"/>
      <c r="BS265" s="348"/>
      <c r="BT265" s="348"/>
      <c r="BU265" s="348"/>
      <c r="BV265" s="348"/>
      <c r="BW265" s="806" t="s">
        <v>96</v>
      </c>
      <c r="BX265" s="806"/>
      <c r="BY265" s="806"/>
      <c r="BZ265" s="806" t="str">
        <f>IFERROR(__xludf.DUMMYFUNCTION("""COMPUTED_VALUE"""),"")</f>
        <v/>
      </c>
      <c r="CA265" s="806"/>
      <c r="CB265" s="806"/>
      <c r="CC265" s="806"/>
      <c r="CD265" s="806"/>
      <c r="CE265" s="806"/>
      <c r="CF265" s="806"/>
      <c r="CG265" s="806"/>
      <c r="CH265" s="806"/>
      <c r="CI265" s="806"/>
      <c r="CJ265" s="806"/>
      <c r="CK265" s="806"/>
    </row>
    <row r="266">
      <c r="A266" s="348"/>
      <c r="B266" s="348"/>
      <c r="C266" s="236"/>
      <c r="D266" s="348"/>
      <c r="E266" s="348"/>
      <c r="F266" s="348"/>
      <c r="G266" s="348"/>
      <c r="H266" s="348"/>
      <c r="I266" s="348"/>
      <c r="J266" s="348"/>
      <c r="K266" s="348"/>
      <c r="L266" s="348"/>
      <c r="M266" s="348"/>
      <c r="N266" s="348"/>
      <c r="O266" s="348"/>
      <c r="P266" s="348"/>
      <c r="Q266" s="348"/>
      <c r="R266" s="348"/>
      <c r="S266" s="348"/>
      <c r="T266" s="348"/>
      <c r="U266" s="348" t="s">
        <v>96</v>
      </c>
      <c r="V266" s="348" t="s">
        <v>96</v>
      </c>
      <c r="W266" s="348"/>
      <c r="X266" s="348" t="s">
        <v>96</v>
      </c>
      <c r="Y266" s="772" t="s">
        <v>96</v>
      </c>
      <c r="Z266" s="772" t="s">
        <v>96</v>
      </c>
      <c r="AA266" s="348"/>
      <c r="AB266" s="153"/>
      <c r="AC266" s="348"/>
      <c r="AD266" s="348"/>
      <c r="AE266" s="348"/>
      <c r="AF266" s="348"/>
      <c r="AG266" s="348"/>
      <c r="AH266" s="348"/>
      <c r="AI266" s="348"/>
      <c r="AJ266" s="348"/>
      <c r="AK266" s="348"/>
      <c r="AL266" s="348"/>
      <c r="AM266" s="348"/>
      <c r="AN266" s="348"/>
      <c r="AO266" s="348"/>
      <c r="AP266" s="348"/>
      <c r="AQ266" s="348"/>
      <c r="AR266" s="348"/>
      <c r="AS266" s="348"/>
      <c r="AT266" s="348"/>
      <c r="AU266" s="348"/>
      <c r="AV266" s="348"/>
      <c r="AW266" s="348"/>
      <c r="AX266" s="348"/>
      <c r="AY266" s="348"/>
      <c r="AZ266" s="348"/>
      <c r="BA266" s="348"/>
      <c r="BB266" s="348"/>
      <c r="BC266" s="348"/>
      <c r="BD266" s="348"/>
      <c r="BE266" s="348"/>
      <c r="BF266" s="348"/>
      <c r="BG266" s="348"/>
      <c r="BH266" s="348"/>
      <c r="BI266" s="348"/>
      <c r="BJ266" s="348"/>
      <c r="BK266" s="348"/>
      <c r="BL266" s="348"/>
      <c r="BM266" s="348"/>
      <c r="BN266" s="348"/>
      <c r="BO266" s="348"/>
      <c r="BP266" s="348"/>
      <c r="BQ266" s="348"/>
      <c r="BR266" s="348"/>
      <c r="BS266" s="348"/>
      <c r="BT266" s="348"/>
      <c r="BU266" s="348"/>
      <c r="BV266" s="348"/>
      <c r="BW266" s="806" t="s">
        <v>96</v>
      </c>
      <c r="BX266" s="806"/>
      <c r="BY266" s="806"/>
      <c r="BZ266" s="806" t="str">
        <f>IFERROR(__xludf.DUMMYFUNCTION("""COMPUTED_VALUE"""),"")</f>
        <v/>
      </c>
      <c r="CA266" s="806"/>
      <c r="CB266" s="806"/>
      <c r="CC266" s="806"/>
      <c r="CD266" s="806"/>
      <c r="CE266" s="806"/>
      <c r="CF266" s="806"/>
      <c r="CG266" s="806"/>
      <c r="CH266" s="806"/>
      <c r="CI266" s="806"/>
      <c r="CJ266" s="806"/>
      <c r="CK266" s="806"/>
    </row>
    <row r="267">
      <c r="A267" s="348"/>
      <c r="B267" s="348"/>
      <c r="C267" s="236"/>
      <c r="D267" s="348"/>
      <c r="E267" s="348"/>
      <c r="F267" s="348"/>
      <c r="G267" s="348"/>
      <c r="H267" s="348"/>
      <c r="I267" s="348"/>
      <c r="J267" s="348"/>
      <c r="K267" s="348"/>
      <c r="L267" s="348"/>
      <c r="M267" s="348"/>
      <c r="N267" s="348"/>
      <c r="O267" s="348"/>
      <c r="P267" s="348"/>
      <c r="Q267" s="348"/>
      <c r="R267" s="348"/>
      <c r="S267" s="348"/>
      <c r="T267" s="348"/>
      <c r="U267" s="348" t="s">
        <v>96</v>
      </c>
      <c r="V267" s="348" t="s">
        <v>96</v>
      </c>
      <c r="W267" s="348"/>
      <c r="X267" s="348" t="s">
        <v>96</v>
      </c>
      <c r="Y267" s="772" t="s">
        <v>96</v>
      </c>
      <c r="Z267" s="772" t="s">
        <v>96</v>
      </c>
      <c r="AA267" s="348"/>
      <c r="AB267" s="153"/>
      <c r="AC267" s="348"/>
      <c r="AD267" s="348"/>
      <c r="AE267" s="348"/>
      <c r="AF267" s="348"/>
      <c r="AG267" s="348"/>
      <c r="AH267" s="348"/>
      <c r="AI267" s="348"/>
      <c r="AJ267" s="348"/>
      <c r="AK267" s="348"/>
      <c r="AL267" s="348"/>
      <c r="AM267" s="348"/>
      <c r="AN267" s="348"/>
      <c r="AO267" s="348"/>
      <c r="AP267" s="348"/>
      <c r="AQ267" s="348"/>
      <c r="AR267" s="348"/>
      <c r="AS267" s="348"/>
      <c r="AT267" s="348"/>
      <c r="AU267" s="348"/>
      <c r="AV267" s="348"/>
      <c r="AW267" s="348"/>
      <c r="AX267" s="348"/>
      <c r="AY267" s="348"/>
      <c r="AZ267" s="348"/>
      <c r="BA267" s="348"/>
      <c r="BB267" s="348"/>
      <c r="BC267" s="348"/>
      <c r="BD267" s="348"/>
      <c r="BE267" s="348"/>
      <c r="BF267" s="348"/>
      <c r="BG267" s="348"/>
      <c r="BH267" s="348"/>
      <c r="BI267" s="348"/>
      <c r="BJ267" s="348"/>
      <c r="BK267" s="348"/>
      <c r="BL267" s="348"/>
      <c r="BM267" s="348"/>
      <c r="BN267" s="348"/>
      <c r="BO267" s="348"/>
      <c r="BP267" s="348"/>
      <c r="BQ267" s="348"/>
      <c r="BR267" s="348"/>
      <c r="BS267" s="348"/>
      <c r="BT267" s="348"/>
      <c r="BU267" s="348"/>
      <c r="BV267" s="348"/>
      <c r="BW267" s="806" t="s">
        <v>96</v>
      </c>
      <c r="BX267" s="806"/>
      <c r="BY267" s="806"/>
      <c r="BZ267" s="806" t="str">
        <f>IFERROR(__xludf.DUMMYFUNCTION("""COMPUTED_VALUE"""),"")</f>
        <v/>
      </c>
      <c r="CA267" s="806"/>
      <c r="CB267" s="806"/>
      <c r="CC267" s="806"/>
      <c r="CD267" s="806"/>
      <c r="CE267" s="806"/>
      <c r="CF267" s="806"/>
      <c r="CG267" s="806"/>
      <c r="CH267" s="806"/>
      <c r="CI267" s="806"/>
      <c r="CJ267" s="806"/>
      <c r="CK267" s="806"/>
    </row>
    <row r="268">
      <c r="A268" s="348"/>
      <c r="B268" s="348"/>
      <c r="C268" s="236"/>
      <c r="D268" s="348"/>
      <c r="E268" s="348"/>
      <c r="F268" s="348"/>
      <c r="G268" s="348"/>
      <c r="H268" s="348"/>
      <c r="I268" s="348"/>
      <c r="J268" s="348"/>
      <c r="K268" s="348"/>
      <c r="L268" s="348"/>
      <c r="M268" s="348"/>
      <c r="N268" s="348"/>
      <c r="O268" s="348"/>
      <c r="P268" s="348"/>
      <c r="Q268" s="348"/>
      <c r="R268" s="348"/>
      <c r="S268" s="348"/>
      <c r="T268" s="348"/>
      <c r="U268" s="348" t="s">
        <v>96</v>
      </c>
      <c r="V268" s="348" t="s">
        <v>96</v>
      </c>
      <c r="W268" s="348"/>
      <c r="X268" s="348" t="s">
        <v>96</v>
      </c>
      <c r="Y268" s="772" t="s">
        <v>96</v>
      </c>
      <c r="Z268" s="772" t="s">
        <v>96</v>
      </c>
      <c r="AA268" s="348"/>
      <c r="AB268" s="153"/>
      <c r="AC268" s="348"/>
      <c r="AD268" s="348"/>
      <c r="AE268" s="348"/>
      <c r="AF268" s="348"/>
      <c r="AG268" s="348"/>
      <c r="AH268" s="348"/>
      <c r="AI268" s="348"/>
      <c r="AJ268" s="348"/>
      <c r="AK268" s="348"/>
      <c r="AL268" s="348"/>
      <c r="AM268" s="348"/>
      <c r="AN268" s="348"/>
      <c r="AO268" s="348"/>
      <c r="AP268" s="348"/>
      <c r="AQ268" s="348"/>
      <c r="AR268" s="348"/>
      <c r="AS268" s="348"/>
      <c r="AT268" s="348"/>
      <c r="AU268" s="348"/>
      <c r="AV268" s="348"/>
      <c r="AW268" s="348"/>
      <c r="AX268" s="348"/>
      <c r="AY268" s="348"/>
      <c r="AZ268" s="348"/>
      <c r="BA268" s="348"/>
      <c r="BB268" s="348"/>
      <c r="BC268" s="348"/>
      <c r="BD268" s="348"/>
      <c r="BE268" s="348"/>
      <c r="BF268" s="348"/>
      <c r="BG268" s="348"/>
      <c r="BH268" s="348"/>
      <c r="BI268" s="348"/>
      <c r="BJ268" s="348"/>
      <c r="BK268" s="348"/>
      <c r="BL268" s="348"/>
      <c r="BM268" s="348"/>
      <c r="BN268" s="348"/>
      <c r="BO268" s="348"/>
      <c r="BP268" s="348"/>
      <c r="BQ268" s="348"/>
      <c r="BR268" s="348"/>
      <c r="BS268" s="348"/>
      <c r="BT268" s="348"/>
      <c r="BU268" s="348"/>
      <c r="BV268" s="348"/>
      <c r="BW268" s="806" t="s">
        <v>96</v>
      </c>
      <c r="BX268" s="806"/>
      <c r="BY268" s="806"/>
      <c r="BZ268" s="806" t="str">
        <f>IFERROR(__xludf.DUMMYFUNCTION("""COMPUTED_VALUE"""),"")</f>
        <v/>
      </c>
      <c r="CA268" s="806"/>
      <c r="CB268" s="806"/>
      <c r="CC268" s="806"/>
      <c r="CD268" s="806"/>
      <c r="CE268" s="806"/>
      <c r="CF268" s="806"/>
      <c r="CG268" s="806"/>
      <c r="CH268" s="806"/>
      <c r="CI268" s="806"/>
      <c r="CJ268" s="806"/>
      <c r="CK268" s="806"/>
    </row>
    <row r="269">
      <c r="A269" s="348"/>
      <c r="B269" s="348"/>
      <c r="C269" s="236"/>
      <c r="D269" s="348"/>
      <c r="E269" s="348"/>
      <c r="F269" s="348"/>
      <c r="G269" s="348"/>
      <c r="H269" s="348"/>
      <c r="I269" s="348"/>
      <c r="J269" s="348"/>
      <c r="K269" s="348"/>
      <c r="L269" s="348"/>
      <c r="M269" s="348"/>
      <c r="N269" s="348"/>
      <c r="O269" s="348"/>
      <c r="P269" s="348"/>
      <c r="Q269" s="348"/>
      <c r="R269" s="348"/>
      <c r="S269" s="348"/>
      <c r="T269" s="348"/>
      <c r="U269" s="348" t="s">
        <v>96</v>
      </c>
      <c r="V269" s="348" t="s">
        <v>96</v>
      </c>
      <c r="W269" s="348"/>
      <c r="X269" s="348" t="s">
        <v>96</v>
      </c>
      <c r="Y269" s="772" t="s">
        <v>96</v>
      </c>
      <c r="Z269" s="772" t="s">
        <v>96</v>
      </c>
      <c r="AA269" s="348"/>
      <c r="AB269" s="153"/>
      <c r="AC269" s="348"/>
      <c r="AD269" s="348"/>
      <c r="AE269" s="348"/>
      <c r="AF269" s="348"/>
      <c r="AG269" s="348"/>
      <c r="AH269" s="348"/>
      <c r="AI269" s="348"/>
      <c r="AJ269" s="348"/>
      <c r="AK269" s="348"/>
      <c r="AL269" s="348"/>
      <c r="AM269" s="348"/>
      <c r="AN269" s="348"/>
      <c r="AO269" s="348"/>
      <c r="AP269" s="348"/>
      <c r="AQ269" s="348"/>
      <c r="AR269" s="348"/>
      <c r="AS269" s="348"/>
      <c r="AT269" s="348"/>
      <c r="AU269" s="348"/>
      <c r="AV269" s="348"/>
      <c r="AW269" s="348"/>
      <c r="AX269" s="348"/>
      <c r="AY269" s="348"/>
      <c r="AZ269" s="348"/>
      <c r="BA269" s="348"/>
      <c r="BB269" s="348"/>
      <c r="BC269" s="348"/>
      <c r="BD269" s="348"/>
      <c r="BE269" s="348"/>
      <c r="BF269" s="348"/>
      <c r="BG269" s="348"/>
      <c r="BH269" s="348"/>
      <c r="BI269" s="348"/>
      <c r="BJ269" s="348"/>
      <c r="BK269" s="348"/>
      <c r="BL269" s="348"/>
      <c r="BM269" s="348"/>
      <c r="BN269" s="348"/>
      <c r="BO269" s="348"/>
      <c r="BP269" s="348"/>
      <c r="BQ269" s="348"/>
      <c r="BR269" s="348"/>
      <c r="BS269" s="348"/>
      <c r="BT269" s="348"/>
      <c r="BU269" s="348"/>
      <c r="BV269" s="348"/>
      <c r="BW269" s="806" t="s">
        <v>96</v>
      </c>
      <c r="BX269" s="806"/>
      <c r="BY269" s="806"/>
      <c r="BZ269" s="806" t="str">
        <f>IFERROR(__xludf.DUMMYFUNCTION("""COMPUTED_VALUE"""),"")</f>
        <v/>
      </c>
      <c r="CA269" s="806"/>
      <c r="CB269" s="806"/>
      <c r="CC269" s="806"/>
      <c r="CD269" s="806"/>
      <c r="CE269" s="806"/>
      <c r="CF269" s="806"/>
      <c r="CG269" s="806"/>
      <c r="CH269" s="806"/>
      <c r="CI269" s="806"/>
      <c r="CJ269" s="806"/>
      <c r="CK269" s="806"/>
    </row>
    <row r="270">
      <c r="A270" s="348"/>
      <c r="B270" s="348"/>
      <c r="C270" s="236"/>
      <c r="D270" s="348"/>
      <c r="E270" s="348"/>
      <c r="F270" s="348"/>
      <c r="G270" s="348"/>
      <c r="H270" s="348"/>
      <c r="I270" s="348"/>
      <c r="J270" s="348"/>
      <c r="K270" s="348"/>
      <c r="L270" s="348"/>
      <c r="M270" s="348"/>
      <c r="N270" s="348"/>
      <c r="O270" s="348"/>
      <c r="P270" s="348"/>
      <c r="Q270" s="348"/>
      <c r="R270" s="348"/>
      <c r="S270" s="348"/>
      <c r="T270" s="348"/>
      <c r="U270" s="348" t="s">
        <v>96</v>
      </c>
      <c r="V270" s="348" t="s">
        <v>96</v>
      </c>
      <c r="W270" s="348"/>
      <c r="X270" s="348" t="s">
        <v>96</v>
      </c>
      <c r="Y270" s="772" t="s">
        <v>96</v>
      </c>
      <c r="Z270" s="772" t="s">
        <v>96</v>
      </c>
      <c r="AA270" s="348"/>
      <c r="AB270" s="153"/>
      <c r="AC270" s="348"/>
      <c r="AD270" s="348"/>
      <c r="AE270" s="348"/>
      <c r="AF270" s="348"/>
      <c r="AG270" s="348"/>
      <c r="AH270" s="348"/>
      <c r="AI270" s="348"/>
      <c r="AJ270" s="348"/>
      <c r="AK270" s="348"/>
      <c r="AL270" s="348"/>
      <c r="AM270" s="348"/>
      <c r="AN270" s="348"/>
      <c r="AO270" s="348"/>
      <c r="AP270" s="348"/>
      <c r="AQ270" s="348"/>
      <c r="AR270" s="348"/>
      <c r="AS270" s="348"/>
      <c r="AT270" s="348"/>
      <c r="AU270" s="348"/>
      <c r="AV270" s="348"/>
      <c r="AW270" s="348"/>
      <c r="AX270" s="348"/>
      <c r="AY270" s="348"/>
      <c r="AZ270" s="348"/>
      <c r="BA270" s="348"/>
      <c r="BB270" s="348"/>
      <c r="BC270" s="348"/>
      <c r="BD270" s="348"/>
      <c r="BE270" s="348"/>
      <c r="BF270" s="348"/>
      <c r="BG270" s="348"/>
      <c r="BH270" s="348"/>
      <c r="BI270" s="348"/>
      <c r="BJ270" s="348"/>
      <c r="BK270" s="348"/>
      <c r="BL270" s="348"/>
      <c r="BM270" s="348"/>
      <c r="BN270" s="348"/>
      <c r="BO270" s="348"/>
      <c r="BP270" s="348"/>
      <c r="BQ270" s="348"/>
      <c r="BR270" s="348"/>
      <c r="BS270" s="348"/>
      <c r="BT270" s="348"/>
      <c r="BU270" s="348"/>
      <c r="BV270" s="348"/>
      <c r="BW270" s="806" t="s">
        <v>96</v>
      </c>
      <c r="BX270" s="806"/>
      <c r="BY270" s="806"/>
      <c r="BZ270" s="806" t="str">
        <f>IFERROR(__xludf.DUMMYFUNCTION("""COMPUTED_VALUE"""),"")</f>
        <v/>
      </c>
      <c r="CA270" s="806"/>
      <c r="CB270" s="806"/>
      <c r="CC270" s="806"/>
      <c r="CD270" s="806"/>
      <c r="CE270" s="806"/>
      <c r="CF270" s="806"/>
      <c r="CG270" s="806"/>
      <c r="CH270" s="806"/>
      <c r="CI270" s="806"/>
      <c r="CJ270" s="806"/>
      <c r="CK270" s="806"/>
    </row>
    <row r="271">
      <c r="A271" s="348"/>
      <c r="B271" s="348"/>
      <c r="C271" s="236"/>
      <c r="D271" s="348"/>
      <c r="E271" s="348"/>
      <c r="F271" s="348"/>
      <c r="G271" s="348"/>
      <c r="H271" s="348"/>
      <c r="I271" s="348"/>
      <c r="J271" s="348"/>
      <c r="K271" s="348"/>
      <c r="L271" s="348"/>
      <c r="M271" s="348"/>
      <c r="N271" s="348"/>
      <c r="O271" s="348"/>
      <c r="P271" s="348"/>
      <c r="Q271" s="348"/>
      <c r="R271" s="348"/>
      <c r="S271" s="348"/>
      <c r="T271" s="348"/>
      <c r="U271" s="348" t="s">
        <v>96</v>
      </c>
      <c r="V271" s="348" t="s">
        <v>96</v>
      </c>
      <c r="W271" s="348"/>
      <c r="X271" s="348" t="s">
        <v>96</v>
      </c>
      <c r="Y271" s="772" t="s">
        <v>96</v>
      </c>
      <c r="Z271" s="772" t="s">
        <v>96</v>
      </c>
      <c r="AA271" s="348"/>
      <c r="AB271" s="153"/>
      <c r="AC271" s="348"/>
      <c r="AD271" s="348"/>
      <c r="AE271" s="348"/>
      <c r="AF271" s="348"/>
      <c r="AG271" s="348"/>
      <c r="AH271" s="348"/>
      <c r="AI271" s="348"/>
      <c r="AJ271" s="348"/>
      <c r="AK271" s="348"/>
      <c r="AL271" s="348"/>
      <c r="AM271" s="348"/>
      <c r="AN271" s="348"/>
      <c r="AO271" s="348"/>
      <c r="AP271" s="348"/>
      <c r="AQ271" s="348"/>
      <c r="AR271" s="348"/>
      <c r="AS271" s="348"/>
      <c r="AT271" s="348"/>
      <c r="AU271" s="348"/>
      <c r="AV271" s="348"/>
      <c r="AW271" s="348"/>
      <c r="AX271" s="348"/>
      <c r="AY271" s="348"/>
      <c r="AZ271" s="348"/>
      <c r="BA271" s="348"/>
      <c r="BB271" s="348"/>
      <c r="BC271" s="348"/>
      <c r="BD271" s="348"/>
      <c r="BE271" s="348"/>
      <c r="BF271" s="348"/>
      <c r="BG271" s="348"/>
      <c r="BH271" s="348"/>
      <c r="BI271" s="348"/>
      <c r="BJ271" s="348"/>
      <c r="BK271" s="348"/>
      <c r="BL271" s="348"/>
      <c r="BM271" s="348"/>
      <c r="BN271" s="348"/>
      <c r="BO271" s="348"/>
      <c r="BP271" s="348"/>
      <c r="BQ271" s="348"/>
      <c r="BR271" s="348"/>
      <c r="BS271" s="348"/>
      <c r="BT271" s="348"/>
      <c r="BU271" s="348"/>
      <c r="BV271" s="348"/>
      <c r="BW271" s="806" t="s">
        <v>96</v>
      </c>
      <c r="BX271" s="806"/>
      <c r="BY271" s="806"/>
      <c r="BZ271" s="806" t="str">
        <f>IFERROR(__xludf.DUMMYFUNCTION("""COMPUTED_VALUE"""),"")</f>
        <v/>
      </c>
      <c r="CA271" s="806"/>
      <c r="CB271" s="806"/>
      <c r="CC271" s="806"/>
      <c r="CD271" s="806"/>
      <c r="CE271" s="806"/>
      <c r="CF271" s="806"/>
      <c r="CG271" s="806"/>
      <c r="CH271" s="806"/>
      <c r="CI271" s="806"/>
      <c r="CJ271" s="806"/>
      <c r="CK271" s="806"/>
    </row>
    <row r="272">
      <c r="A272" s="348"/>
      <c r="B272" s="348"/>
      <c r="C272" s="236"/>
      <c r="D272" s="348"/>
      <c r="E272" s="348"/>
      <c r="F272" s="348"/>
      <c r="G272" s="348"/>
      <c r="H272" s="348"/>
      <c r="I272" s="348"/>
      <c r="J272" s="348"/>
      <c r="K272" s="348"/>
      <c r="L272" s="348"/>
      <c r="M272" s="348"/>
      <c r="N272" s="348"/>
      <c r="O272" s="348"/>
      <c r="P272" s="348"/>
      <c r="Q272" s="348"/>
      <c r="R272" s="348"/>
      <c r="S272" s="348"/>
      <c r="T272" s="348"/>
      <c r="U272" s="348" t="s">
        <v>96</v>
      </c>
      <c r="V272" s="348" t="s">
        <v>96</v>
      </c>
      <c r="W272" s="348"/>
      <c r="X272" s="348" t="s">
        <v>96</v>
      </c>
      <c r="Y272" s="772" t="s">
        <v>96</v>
      </c>
      <c r="Z272" s="772" t="s">
        <v>96</v>
      </c>
      <c r="AA272" s="348"/>
      <c r="AB272" s="153"/>
      <c r="AC272" s="348"/>
      <c r="AD272" s="348"/>
      <c r="AE272" s="348"/>
      <c r="AF272" s="348"/>
      <c r="AG272" s="348"/>
      <c r="AH272" s="348"/>
      <c r="AI272" s="348"/>
      <c r="AJ272" s="348"/>
      <c r="AK272" s="348"/>
      <c r="AL272" s="348"/>
      <c r="AM272" s="348"/>
      <c r="AN272" s="348"/>
      <c r="AO272" s="348"/>
      <c r="AP272" s="348"/>
      <c r="AQ272" s="348"/>
      <c r="AR272" s="348"/>
      <c r="AS272" s="348"/>
      <c r="AT272" s="348"/>
      <c r="AU272" s="348"/>
      <c r="AV272" s="348"/>
      <c r="AW272" s="348"/>
      <c r="AX272" s="348"/>
      <c r="AY272" s="348"/>
      <c r="AZ272" s="348"/>
      <c r="BA272" s="348"/>
      <c r="BB272" s="348"/>
      <c r="BC272" s="348"/>
      <c r="BD272" s="348"/>
      <c r="BE272" s="348"/>
      <c r="BF272" s="348"/>
      <c r="BG272" s="348"/>
      <c r="BH272" s="348"/>
      <c r="BI272" s="348"/>
      <c r="BJ272" s="348"/>
      <c r="BK272" s="348"/>
      <c r="BL272" s="348"/>
      <c r="BM272" s="348"/>
      <c r="BN272" s="348"/>
      <c r="BO272" s="348"/>
      <c r="BP272" s="348"/>
      <c r="BQ272" s="348"/>
      <c r="BR272" s="348"/>
      <c r="BS272" s="348"/>
      <c r="BT272" s="348"/>
      <c r="BU272" s="348"/>
      <c r="BV272" s="348"/>
      <c r="BW272" s="806" t="s">
        <v>96</v>
      </c>
      <c r="BX272" s="806"/>
      <c r="BY272" s="806"/>
      <c r="BZ272" s="806" t="str">
        <f>IFERROR(__xludf.DUMMYFUNCTION("""COMPUTED_VALUE"""),"")</f>
        <v/>
      </c>
      <c r="CA272" s="806"/>
      <c r="CB272" s="806"/>
      <c r="CC272" s="806"/>
      <c r="CD272" s="806"/>
      <c r="CE272" s="806"/>
      <c r="CF272" s="806"/>
      <c r="CG272" s="806"/>
      <c r="CH272" s="806"/>
      <c r="CI272" s="806"/>
      <c r="CJ272" s="806"/>
      <c r="CK272" s="806"/>
    </row>
    <row r="273">
      <c r="A273" s="348"/>
      <c r="B273" s="348"/>
      <c r="C273" s="236"/>
      <c r="D273" s="348"/>
      <c r="E273" s="348"/>
      <c r="F273" s="348"/>
      <c r="G273" s="348"/>
      <c r="H273" s="348"/>
      <c r="I273" s="348"/>
      <c r="J273" s="348"/>
      <c r="K273" s="348"/>
      <c r="L273" s="348"/>
      <c r="M273" s="348"/>
      <c r="N273" s="348"/>
      <c r="O273" s="348"/>
      <c r="P273" s="348"/>
      <c r="Q273" s="348"/>
      <c r="R273" s="348"/>
      <c r="S273" s="348"/>
      <c r="T273" s="348"/>
      <c r="U273" s="348" t="s">
        <v>96</v>
      </c>
      <c r="V273" s="348" t="s">
        <v>96</v>
      </c>
      <c r="W273" s="348"/>
      <c r="X273" s="348" t="s">
        <v>96</v>
      </c>
      <c r="Y273" s="772" t="s">
        <v>96</v>
      </c>
      <c r="Z273" s="772" t="s">
        <v>96</v>
      </c>
      <c r="AA273" s="348"/>
      <c r="AB273" s="153"/>
      <c r="AC273" s="348"/>
      <c r="AD273" s="348"/>
      <c r="AE273" s="348"/>
      <c r="AF273" s="348"/>
      <c r="AG273" s="348"/>
      <c r="AH273" s="348"/>
      <c r="AI273" s="348"/>
      <c r="AJ273" s="348"/>
      <c r="AK273" s="348"/>
      <c r="AL273" s="348"/>
      <c r="AM273" s="348"/>
      <c r="AN273" s="348"/>
      <c r="AO273" s="348"/>
      <c r="AP273" s="348"/>
      <c r="AQ273" s="348"/>
      <c r="AR273" s="348"/>
      <c r="AS273" s="348"/>
      <c r="AT273" s="348"/>
      <c r="AU273" s="348"/>
      <c r="AV273" s="348"/>
      <c r="AW273" s="348"/>
      <c r="AX273" s="348"/>
      <c r="AY273" s="348"/>
      <c r="AZ273" s="348"/>
      <c r="BA273" s="348"/>
      <c r="BB273" s="348"/>
      <c r="BC273" s="348"/>
      <c r="BD273" s="348"/>
      <c r="BE273" s="348"/>
      <c r="BF273" s="348"/>
      <c r="BG273" s="348"/>
      <c r="BH273" s="348"/>
      <c r="BI273" s="348"/>
      <c r="BJ273" s="348"/>
      <c r="BK273" s="348"/>
      <c r="BL273" s="348"/>
      <c r="BM273" s="348"/>
      <c r="BN273" s="348"/>
      <c r="BO273" s="348"/>
      <c r="BP273" s="348"/>
      <c r="BQ273" s="348"/>
      <c r="BR273" s="348"/>
      <c r="BS273" s="348"/>
      <c r="BT273" s="348"/>
      <c r="BU273" s="348"/>
      <c r="BV273" s="348"/>
      <c r="BW273" s="806" t="s">
        <v>96</v>
      </c>
      <c r="BX273" s="806"/>
      <c r="BY273" s="806"/>
      <c r="BZ273" s="806" t="str">
        <f>IFERROR(__xludf.DUMMYFUNCTION("""COMPUTED_VALUE"""),"")</f>
        <v/>
      </c>
      <c r="CA273" s="806"/>
      <c r="CB273" s="806"/>
      <c r="CC273" s="806"/>
      <c r="CD273" s="806"/>
      <c r="CE273" s="806"/>
      <c r="CF273" s="806"/>
      <c r="CG273" s="806"/>
      <c r="CH273" s="806"/>
      <c r="CI273" s="806"/>
      <c r="CJ273" s="806"/>
      <c r="CK273" s="806"/>
    </row>
    <row r="274">
      <c r="A274" s="348"/>
      <c r="B274" s="348"/>
      <c r="C274" s="236"/>
      <c r="D274" s="348"/>
      <c r="E274" s="348"/>
      <c r="F274" s="348"/>
      <c r="G274" s="348"/>
      <c r="H274" s="348"/>
      <c r="I274" s="348"/>
      <c r="J274" s="348"/>
      <c r="K274" s="348"/>
      <c r="L274" s="348"/>
      <c r="M274" s="348"/>
      <c r="N274" s="348"/>
      <c r="O274" s="348"/>
      <c r="P274" s="348"/>
      <c r="Q274" s="348"/>
      <c r="R274" s="348"/>
      <c r="S274" s="348"/>
      <c r="T274" s="348"/>
      <c r="U274" s="348" t="s">
        <v>96</v>
      </c>
      <c r="V274" s="348" t="s">
        <v>96</v>
      </c>
      <c r="W274" s="348"/>
      <c r="X274" s="348" t="s">
        <v>96</v>
      </c>
      <c r="Y274" s="772" t="s">
        <v>96</v>
      </c>
      <c r="Z274" s="772" t="s">
        <v>96</v>
      </c>
      <c r="AA274" s="348"/>
      <c r="AB274" s="153"/>
      <c r="AC274" s="348"/>
      <c r="AD274" s="348"/>
      <c r="AE274" s="348"/>
      <c r="AF274" s="348"/>
      <c r="AG274" s="348"/>
      <c r="AH274" s="348"/>
      <c r="AI274" s="348"/>
      <c r="AJ274" s="348"/>
      <c r="AK274" s="348"/>
      <c r="AL274" s="348"/>
      <c r="AM274" s="348"/>
      <c r="AN274" s="348"/>
      <c r="AO274" s="348"/>
      <c r="AP274" s="348"/>
      <c r="AQ274" s="348"/>
      <c r="AR274" s="348"/>
      <c r="AS274" s="348"/>
      <c r="AT274" s="348"/>
      <c r="AU274" s="348"/>
      <c r="AV274" s="348"/>
      <c r="AW274" s="348"/>
      <c r="AX274" s="348"/>
      <c r="AY274" s="348"/>
      <c r="AZ274" s="348"/>
      <c r="BA274" s="348"/>
      <c r="BB274" s="348"/>
      <c r="BC274" s="348"/>
      <c r="BD274" s="348"/>
      <c r="BE274" s="348"/>
      <c r="BF274" s="348"/>
      <c r="BG274" s="348"/>
      <c r="BH274" s="348"/>
      <c r="BI274" s="348"/>
      <c r="BJ274" s="348"/>
      <c r="BK274" s="348"/>
      <c r="BL274" s="348"/>
      <c r="BM274" s="348"/>
      <c r="BN274" s="348"/>
      <c r="BO274" s="348"/>
      <c r="BP274" s="348"/>
      <c r="BQ274" s="348"/>
      <c r="BR274" s="348"/>
      <c r="BS274" s="348"/>
      <c r="BT274" s="348"/>
      <c r="BU274" s="348"/>
      <c r="BV274" s="348"/>
      <c r="BW274" s="806" t="s">
        <v>96</v>
      </c>
      <c r="BX274" s="806"/>
      <c r="BY274" s="806"/>
      <c r="BZ274" s="806" t="str">
        <f>IFERROR(__xludf.DUMMYFUNCTION("""COMPUTED_VALUE"""),"")</f>
        <v/>
      </c>
      <c r="CA274" s="806"/>
      <c r="CB274" s="806"/>
      <c r="CC274" s="806"/>
      <c r="CD274" s="806"/>
      <c r="CE274" s="806"/>
      <c r="CF274" s="806"/>
      <c r="CG274" s="806"/>
      <c r="CH274" s="806"/>
      <c r="CI274" s="806"/>
      <c r="CJ274" s="806"/>
      <c r="CK274" s="806"/>
    </row>
    <row r="275">
      <c r="A275" s="348"/>
      <c r="B275" s="348"/>
      <c r="C275" s="236"/>
      <c r="D275" s="348"/>
      <c r="E275" s="348"/>
      <c r="F275" s="348"/>
      <c r="G275" s="348"/>
      <c r="H275" s="348"/>
      <c r="I275" s="348"/>
      <c r="J275" s="348"/>
      <c r="K275" s="348"/>
      <c r="L275" s="348"/>
      <c r="M275" s="348"/>
      <c r="N275" s="348"/>
      <c r="O275" s="348"/>
      <c r="P275" s="348"/>
      <c r="Q275" s="348"/>
      <c r="R275" s="348"/>
      <c r="S275" s="348"/>
      <c r="T275" s="348"/>
      <c r="U275" s="348" t="s">
        <v>96</v>
      </c>
      <c r="V275" s="348" t="s">
        <v>96</v>
      </c>
      <c r="W275" s="348"/>
      <c r="X275" s="348" t="s">
        <v>96</v>
      </c>
      <c r="Y275" s="772" t="s">
        <v>96</v>
      </c>
      <c r="Z275" s="772" t="s">
        <v>96</v>
      </c>
      <c r="AA275" s="348"/>
      <c r="AB275" s="153"/>
      <c r="AC275" s="348"/>
      <c r="AD275" s="348"/>
      <c r="AE275" s="348"/>
      <c r="AF275" s="348"/>
      <c r="AG275" s="348"/>
      <c r="AH275" s="348"/>
      <c r="AI275" s="348"/>
      <c r="AJ275" s="348"/>
      <c r="AK275" s="348"/>
      <c r="AL275" s="348"/>
      <c r="AM275" s="348"/>
      <c r="AN275" s="348"/>
      <c r="AO275" s="348"/>
      <c r="AP275" s="348"/>
      <c r="AQ275" s="348"/>
      <c r="AR275" s="348"/>
      <c r="AS275" s="348"/>
      <c r="AT275" s="348"/>
      <c r="AU275" s="348"/>
      <c r="AV275" s="348"/>
      <c r="AW275" s="348"/>
      <c r="AX275" s="348"/>
      <c r="AY275" s="348"/>
      <c r="AZ275" s="348"/>
      <c r="BA275" s="348"/>
      <c r="BB275" s="348"/>
      <c r="BC275" s="348"/>
      <c r="BD275" s="348"/>
      <c r="BE275" s="348"/>
      <c r="BF275" s="348"/>
      <c r="BG275" s="348"/>
      <c r="BH275" s="348"/>
      <c r="BI275" s="348"/>
      <c r="BJ275" s="348"/>
      <c r="BK275" s="348"/>
      <c r="BL275" s="348"/>
      <c r="BM275" s="348"/>
      <c r="BN275" s="348"/>
      <c r="BO275" s="348"/>
      <c r="BP275" s="348"/>
      <c r="BQ275" s="348"/>
      <c r="BR275" s="348"/>
      <c r="BS275" s="348"/>
      <c r="BT275" s="348"/>
      <c r="BU275" s="348"/>
      <c r="BV275" s="348"/>
      <c r="BW275" s="806" t="s">
        <v>96</v>
      </c>
      <c r="BX275" s="806"/>
      <c r="BY275" s="806"/>
      <c r="BZ275" s="806" t="str">
        <f>IFERROR(__xludf.DUMMYFUNCTION("""COMPUTED_VALUE"""),"")</f>
        <v/>
      </c>
      <c r="CA275" s="806"/>
      <c r="CB275" s="806"/>
      <c r="CC275" s="806"/>
      <c r="CD275" s="806"/>
      <c r="CE275" s="806"/>
      <c r="CF275" s="806"/>
      <c r="CG275" s="806"/>
      <c r="CH275" s="806"/>
      <c r="CI275" s="806"/>
      <c r="CJ275" s="806"/>
      <c r="CK275" s="806"/>
    </row>
    <row r="276">
      <c r="A276" s="348"/>
      <c r="B276" s="348"/>
      <c r="C276" s="236"/>
      <c r="D276" s="348"/>
      <c r="E276" s="348"/>
      <c r="F276" s="348"/>
      <c r="G276" s="348"/>
      <c r="H276" s="348"/>
      <c r="I276" s="348"/>
      <c r="J276" s="348"/>
      <c r="K276" s="348"/>
      <c r="L276" s="348"/>
      <c r="M276" s="348"/>
      <c r="N276" s="348"/>
      <c r="O276" s="348"/>
      <c r="P276" s="348"/>
      <c r="Q276" s="348"/>
      <c r="R276" s="348"/>
      <c r="S276" s="348"/>
      <c r="T276" s="348"/>
      <c r="U276" s="348" t="s">
        <v>96</v>
      </c>
      <c r="V276" s="348" t="s">
        <v>96</v>
      </c>
      <c r="W276" s="348"/>
      <c r="X276" s="348" t="s">
        <v>96</v>
      </c>
      <c r="Y276" s="772" t="s">
        <v>96</v>
      </c>
      <c r="Z276" s="772" t="s">
        <v>96</v>
      </c>
      <c r="AA276" s="348"/>
      <c r="AB276" s="153"/>
      <c r="AC276" s="348"/>
      <c r="AD276" s="348"/>
      <c r="AE276" s="348"/>
      <c r="AF276" s="348"/>
      <c r="AG276" s="348"/>
      <c r="AH276" s="348"/>
      <c r="AI276" s="348"/>
      <c r="AJ276" s="348"/>
      <c r="AK276" s="348"/>
      <c r="AL276" s="348"/>
      <c r="AM276" s="348"/>
      <c r="AN276" s="348"/>
      <c r="AO276" s="348"/>
      <c r="AP276" s="348"/>
      <c r="AQ276" s="348"/>
      <c r="AR276" s="348"/>
      <c r="AS276" s="348"/>
      <c r="AT276" s="348"/>
      <c r="AU276" s="348"/>
      <c r="AV276" s="348"/>
      <c r="AW276" s="348"/>
      <c r="AX276" s="348"/>
      <c r="AY276" s="348"/>
      <c r="AZ276" s="348"/>
      <c r="BA276" s="348"/>
      <c r="BB276" s="348"/>
      <c r="BC276" s="348"/>
      <c r="BD276" s="348"/>
      <c r="BE276" s="348"/>
      <c r="BF276" s="348"/>
      <c r="BG276" s="348"/>
      <c r="BH276" s="348"/>
      <c r="BI276" s="348"/>
      <c r="BJ276" s="348"/>
      <c r="BK276" s="348"/>
      <c r="BL276" s="348"/>
      <c r="BM276" s="348"/>
      <c r="BN276" s="348"/>
      <c r="BO276" s="348"/>
      <c r="BP276" s="348"/>
      <c r="BQ276" s="348"/>
      <c r="BR276" s="348"/>
      <c r="BS276" s="348"/>
      <c r="BT276" s="348"/>
      <c r="BU276" s="348"/>
      <c r="BV276" s="348"/>
      <c r="BW276" s="806" t="s">
        <v>96</v>
      </c>
      <c r="BX276" s="806"/>
      <c r="BY276" s="806"/>
      <c r="BZ276" s="806" t="str">
        <f>IFERROR(__xludf.DUMMYFUNCTION("""COMPUTED_VALUE"""),"")</f>
        <v/>
      </c>
      <c r="CA276" s="806"/>
      <c r="CB276" s="806"/>
      <c r="CC276" s="806"/>
      <c r="CD276" s="806"/>
      <c r="CE276" s="806"/>
      <c r="CF276" s="806"/>
      <c r="CG276" s="806"/>
      <c r="CH276" s="806"/>
      <c r="CI276" s="806"/>
      <c r="CJ276" s="806"/>
      <c r="CK276" s="806"/>
    </row>
    <row r="277">
      <c r="A277" s="348"/>
      <c r="B277" s="348"/>
      <c r="C277" s="236"/>
      <c r="D277" s="348"/>
      <c r="E277" s="348"/>
      <c r="F277" s="348"/>
      <c r="G277" s="348"/>
      <c r="H277" s="348"/>
      <c r="I277" s="348"/>
      <c r="J277" s="348"/>
      <c r="K277" s="348"/>
      <c r="L277" s="348"/>
      <c r="M277" s="348"/>
      <c r="N277" s="348"/>
      <c r="O277" s="348"/>
      <c r="P277" s="348"/>
      <c r="Q277" s="348"/>
      <c r="R277" s="348"/>
      <c r="S277" s="348"/>
      <c r="T277" s="348"/>
      <c r="U277" s="348" t="s">
        <v>96</v>
      </c>
      <c r="V277" s="348" t="s">
        <v>96</v>
      </c>
      <c r="W277" s="348"/>
      <c r="X277" s="348" t="s">
        <v>96</v>
      </c>
      <c r="Y277" s="772" t="s">
        <v>96</v>
      </c>
      <c r="Z277" s="772" t="s">
        <v>96</v>
      </c>
      <c r="AA277" s="348"/>
      <c r="AB277" s="153"/>
      <c r="AC277" s="348"/>
      <c r="AD277" s="348"/>
      <c r="AE277" s="348"/>
      <c r="AF277" s="348"/>
      <c r="AG277" s="348"/>
      <c r="AH277" s="348"/>
      <c r="AI277" s="348"/>
      <c r="AJ277" s="348"/>
      <c r="AK277" s="348"/>
      <c r="AL277" s="348"/>
      <c r="AM277" s="348"/>
      <c r="AN277" s="348"/>
      <c r="AO277" s="348"/>
      <c r="AP277" s="348"/>
      <c r="AQ277" s="348"/>
      <c r="AR277" s="348"/>
      <c r="AS277" s="348"/>
      <c r="AT277" s="348"/>
      <c r="AU277" s="348"/>
      <c r="AV277" s="348"/>
      <c r="AW277" s="348"/>
      <c r="AX277" s="348"/>
      <c r="AY277" s="348"/>
      <c r="AZ277" s="348"/>
      <c r="BA277" s="348"/>
      <c r="BB277" s="348"/>
      <c r="BC277" s="348"/>
      <c r="BD277" s="348"/>
      <c r="BE277" s="348"/>
      <c r="BF277" s="348"/>
      <c r="BG277" s="348"/>
      <c r="BH277" s="348"/>
      <c r="BI277" s="348"/>
      <c r="BJ277" s="348"/>
      <c r="BK277" s="348"/>
      <c r="BL277" s="348"/>
      <c r="BM277" s="348"/>
      <c r="BN277" s="348"/>
      <c r="BO277" s="348"/>
      <c r="BP277" s="348"/>
      <c r="BQ277" s="348"/>
      <c r="BR277" s="348"/>
      <c r="BS277" s="348"/>
      <c r="BT277" s="348"/>
      <c r="BU277" s="348"/>
      <c r="BV277" s="348"/>
      <c r="BW277" s="806" t="s">
        <v>96</v>
      </c>
      <c r="BX277" s="806"/>
      <c r="BY277" s="806"/>
      <c r="BZ277" s="806" t="str">
        <f>IFERROR(__xludf.DUMMYFUNCTION("""COMPUTED_VALUE"""),"")</f>
        <v/>
      </c>
      <c r="CA277" s="806"/>
      <c r="CB277" s="806"/>
      <c r="CC277" s="806"/>
      <c r="CD277" s="806"/>
      <c r="CE277" s="806"/>
      <c r="CF277" s="806"/>
      <c r="CG277" s="806"/>
      <c r="CH277" s="806"/>
      <c r="CI277" s="806"/>
      <c r="CJ277" s="806"/>
      <c r="CK277" s="806"/>
    </row>
    <row r="278">
      <c r="A278" s="348"/>
      <c r="B278" s="348"/>
      <c r="C278" s="236"/>
      <c r="D278" s="348"/>
      <c r="E278" s="348"/>
      <c r="F278" s="348"/>
      <c r="G278" s="348"/>
      <c r="H278" s="348"/>
      <c r="I278" s="348"/>
      <c r="J278" s="348"/>
      <c r="K278" s="348"/>
      <c r="L278" s="348"/>
      <c r="M278" s="348"/>
      <c r="N278" s="348"/>
      <c r="O278" s="348"/>
      <c r="P278" s="348"/>
      <c r="Q278" s="348"/>
      <c r="R278" s="348"/>
      <c r="S278" s="348"/>
      <c r="T278" s="348"/>
      <c r="U278" s="348" t="s">
        <v>96</v>
      </c>
      <c r="V278" s="348" t="s">
        <v>96</v>
      </c>
      <c r="W278" s="348"/>
      <c r="X278" s="348" t="s">
        <v>96</v>
      </c>
      <c r="Y278" s="772" t="s">
        <v>96</v>
      </c>
      <c r="Z278" s="772" t="s">
        <v>96</v>
      </c>
      <c r="AA278" s="348"/>
      <c r="AB278" s="153"/>
      <c r="AC278" s="348"/>
      <c r="AD278" s="348"/>
      <c r="AE278" s="348"/>
      <c r="AF278" s="348"/>
      <c r="AG278" s="348"/>
      <c r="AH278" s="348"/>
      <c r="AI278" s="348"/>
      <c r="AJ278" s="348"/>
      <c r="AK278" s="348"/>
      <c r="AL278" s="348"/>
      <c r="AM278" s="348"/>
      <c r="AN278" s="348"/>
      <c r="AO278" s="348"/>
      <c r="AP278" s="348"/>
      <c r="AQ278" s="348"/>
      <c r="AR278" s="348"/>
      <c r="AS278" s="348"/>
      <c r="AT278" s="348"/>
      <c r="AU278" s="348"/>
      <c r="AV278" s="348"/>
      <c r="AW278" s="348"/>
      <c r="AX278" s="348"/>
      <c r="AY278" s="348"/>
      <c r="AZ278" s="348"/>
      <c r="BA278" s="348"/>
      <c r="BB278" s="348"/>
      <c r="BC278" s="348"/>
      <c r="BD278" s="348"/>
      <c r="BE278" s="348"/>
      <c r="BF278" s="348"/>
      <c r="BG278" s="348"/>
      <c r="BH278" s="348"/>
      <c r="BI278" s="348"/>
      <c r="BJ278" s="348"/>
      <c r="BK278" s="348"/>
      <c r="BL278" s="348"/>
      <c r="BM278" s="348"/>
      <c r="BN278" s="348"/>
      <c r="BO278" s="348"/>
      <c r="BP278" s="348"/>
      <c r="BQ278" s="348"/>
      <c r="BR278" s="348"/>
      <c r="BS278" s="348"/>
      <c r="BT278" s="348"/>
      <c r="BU278" s="348"/>
      <c r="BV278" s="348"/>
      <c r="BW278" s="806" t="s">
        <v>96</v>
      </c>
      <c r="BX278" s="806"/>
      <c r="BY278" s="806"/>
      <c r="BZ278" s="806" t="str">
        <f>IFERROR(__xludf.DUMMYFUNCTION("""COMPUTED_VALUE"""),"")</f>
        <v/>
      </c>
      <c r="CA278" s="806"/>
      <c r="CB278" s="806"/>
      <c r="CC278" s="806"/>
      <c r="CD278" s="806"/>
      <c r="CE278" s="806"/>
      <c r="CF278" s="806"/>
      <c r="CG278" s="806"/>
      <c r="CH278" s="806"/>
      <c r="CI278" s="806"/>
      <c r="CJ278" s="806"/>
      <c r="CK278" s="806"/>
    </row>
    <row r="279">
      <c r="A279" s="348"/>
      <c r="B279" s="348"/>
      <c r="C279" s="236"/>
      <c r="D279" s="348"/>
      <c r="E279" s="348"/>
      <c r="F279" s="348"/>
      <c r="G279" s="348"/>
      <c r="H279" s="348"/>
      <c r="I279" s="348"/>
      <c r="J279" s="348"/>
      <c r="K279" s="348"/>
      <c r="L279" s="348"/>
      <c r="M279" s="348"/>
      <c r="N279" s="348"/>
      <c r="O279" s="348"/>
      <c r="P279" s="348"/>
      <c r="Q279" s="348"/>
      <c r="R279" s="348"/>
      <c r="S279" s="348"/>
      <c r="T279" s="348"/>
      <c r="U279" s="348" t="s">
        <v>96</v>
      </c>
      <c r="V279" s="348" t="s">
        <v>96</v>
      </c>
      <c r="W279" s="348"/>
      <c r="X279" s="348" t="s">
        <v>96</v>
      </c>
      <c r="Y279" s="772" t="s">
        <v>96</v>
      </c>
      <c r="Z279" s="772" t="s">
        <v>96</v>
      </c>
      <c r="AA279" s="348"/>
      <c r="AB279" s="153"/>
      <c r="AC279" s="348"/>
      <c r="AD279" s="348"/>
      <c r="AE279" s="348"/>
      <c r="AF279" s="348"/>
      <c r="AG279" s="348"/>
      <c r="AH279" s="348"/>
      <c r="AI279" s="348"/>
      <c r="AJ279" s="348"/>
      <c r="AK279" s="348"/>
      <c r="AL279" s="348"/>
      <c r="AM279" s="348"/>
      <c r="AN279" s="348"/>
      <c r="AO279" s="348"/>
      <c r="AP279" s="348"/>
      <c r="AQ279" s="348"/>
      <c r="AR279" s="348"/>
      <c r="AS279" s="348"/>
      <c r="AT279" s="348"/>
      <c r="AU279" s="348"/>
      <c r="AV279" s="348"/>
      <c r="AW279" s="348"/>
      <c r="AX279" s="348"/>
      <c r="AY279" s="348"/>
      <c r="AZ279" s="348"/>
      <c r="BA279" s="348"/>
      <c r="BB279" s="348"/>
      <c r="BC279" s="348"/>
      <c r="BD279" s="348"/>
      <c r="BE279" s="348"/>
      <c r="BF279" s="348"/>
      <c r="BG279" s="348"/>
      <c r="BH279" s="348"/>
      <c r="BI279" s="348"/>
      <c r="BJ279" s="348"/>
      <c r="BK279" s="348"/>
      <c r="BL279" s="348"/>
      <c r="BM279" s="348"/>
      <c r="BN279" s="348"/>
      <c r="BO279" s="348"/>
      <c r="BP279" s="348"/>
      <c r="BQ279" s="348"/>
      <c r="BR279" s="348"/>
      <c r="BS279" s="348"/>
      <c r="BT279" s="348"/>
      <c r="BU279" s="348"/>
      <c r="BV279" s="348"/>
      <c r="BW279" s="806" t="s">
        <v>96</v>
      </c>
      <c r="BX279" s="806"/>
      <c r="BY279" s="806"/>
      <c r="BZ279" s="806" t="str">
        <f>IFERROR(__xludf.DUMMYFUNCTION("""COMPUTED_VALUE"""),"")</f>
        <v/>
      </c>
      <c r="CA279" s="806"/>
      <c r="CB279" s="806"/>
      <c r="CC279" s="806"/>
      <c r="CD279" s="806"/>
      <c r="CE279" s="806"/>
      <c r="CF279" s="806"/>
      <c r="CG279" s="806"/>
      <c r="CH279" s="806"/>
      <c r="CI279" s="806"/>
      <c r="CJ279" s="806"/>
      <c r="CK279" s="806"/>
    </row>
    <row r="280">
      <c r="A280" s="348"/>
      <c r="B280" s="348"/>
      <c r="C280" s="236"/>
      <c r="D280" s="348"/>
      <c r="E280" s="348"/>
      <c r="F280" s="348"/>
      <c r="G280" s="348"/>
      <c r="H280" s="348"/>
      <c r="I280" s="348"/>
      <c r="J280" s="348"/>
      <c r="K280" s="348"/>
      <c r="L280" s="348"/>
      <c r="M280" s="348"/>
      <c r="N280" s="348"/>
      <c r="O280" s="348"/>
      <c r="P280" s="348"/>
      <c r="Q280" s="348"/>
      <c r="R280" s="348"/>
      <c r="S280" s="348"/>
      <c r="T280" s="348"/>
      <c r="U280" s="348" t="s">
        <v>96</v>
      </c>
      <c r="V280" s="348" t="s">
        <v>96</v>
      </c>
      <c r="W280" s="348"/>
      <c r="X280" s="348" t="s">
        <v>96</v>
      </c>
      <c r="Y280" s="772" t="s">
        <v>96</v>
      </c>
      <c r="Z280" s="772" t="s">
        <v>96</v>
      </c>
      <c r="AA280" s="348"/>
      <c r="AB280" s="153"/>
      <c r="AC280" s="348"/>
      <c r="AD280" s="348"/>
      <c r="AE280" s="348"/>
      <c r="AF280" s="348"/>
      <c r="AG280" s="348"/>
      <c r="AH280" s="348"/>
      <c r="AI280" s="348"/>
      <c r="AJ280" s="348"/>
      <c r="AK280" s="348"/>
      <c r="AL280" s="348"/>
      <c r="AM280" s="348"/>
      <c r="AN280" s="348"/>
      <c r="AO280" s="348"/>
      <c r="AP280" s="348"/>
      <c r="AQ280" s="348"/>
      <c r="AR280" s="348"/>
      <c r="AS280" s="348"/>
      <c r="AT280" s="348"/>
      <c r="AU280" s="348"/>
      <c r="AV280" s="348"/>
      <c r="AW280" s="348"/>
      <c r="AX280" s="348"/>
      <c r="AY280" s="348"/>
      <c r="AZ280" s="348"/>
      <c r="BA280" s="348"/>
      <c r="BB280" s="348"/>
      <c r="BC280" s="348"/>
      <c r="BD280" s="348"/>
      <c r="BE280" s="348"/>
      <c r="BF280" s="348"/>
      <c r="BG280" s="348"/>
      <c r="BH280" s="348"/>
      <c r="BI280" s="348"/>
      <c r="BJ280" s="348"/>
      <c r="BK280" s="348"/>
      <c r="BL280" s="348"/>
      <c r="BM280" s="348"/>
      <c r="BN280" s="348"/>
      <c r="BO280" s="348"/>
      <c r="BP280" s="348"/>
      <c r="BQ280" s="348"/>
      <c r="BR280" s="348"/>
      <c r="BS280" s="348"/>
      <c r="BT280" s="348"/>
      <c r="BU280" s="348"/>
      <c r="BV280" s="348"/>
      <c r="BW280" s="806" t="s">
        <v>96</v>
      </c>
      <c r="BX280" s="806"/>
      <c r="BY280" s="806"/>
      <c r="BZ280" s="806" t="str">
        <f>IFERROR(__xludf.DUMMYFUNCTION("""COMPUTED_VALUE"""),"")</f>
        <v/>
      </c>
      <c r="CA280" s="806"/>
      <c r="CB280" s="806"/>
      <c r="CC280" s="806"/>
      <c r="CD280" s="806"/>
      <c r="CE280" s="806"/>
      <c r="CF280" s="806"/>
      <c r="CG280" s="806"/>
      <c r="CH280" s="806"/>
      <c r="CI280" s="806"/>
      <c r="CJ280" s="806"/>
      <c r="CK280" s="806"/>
    </row>
    <row r="281">
      <c r="A281" s="348"/>
      <c r="B281" s="348"/>
      <c r="C281" s="236"/>
      <c r="D281" s="348"/>
      <c r="E281" s="348"/>
      <c r="F281" s="348"/>
      <c r="G281" s="348"/>
      <c r="H281" s="348"/>
      <c r="I281" s="348"/>
      <c r="J281" s="348"/>
      <c r="K281" s="348"/>
      <c r="L281" s="348"/>
      <c r="M281" s="348"/>
      <c r="N281" s="348"/>
      <c r="O281" s="348"/>
      <c r="P281" s="348"/>
      <c r="Q281" s="348"/>
      <c r="R281" s="348"/>
      <c r="S281" s="348"/>
      <c r="T281" s="348"/>
      <c r="U281" s="348" t="s">
        <v>96</v>
      </c>
      <c r="V281" s="348" t="s">
        <v>96</v>
      </c>
      <c r="W281" s="348"/>
      <c r="X281" s="348" t="s">
        <v>96</v>
      </c>
      <c r="Y281" s="772" t="s">
        <v>96</v>
      </c>
      <c r="Z281" s="772" t="s">
        <v>96</v>
      </c>
      <c r="AA281" s="348"/>
      <c r="AB281" s="153"/>
      <c r="AC281" s="348"/>
      <c r="AD281" s="348"/>
      <c r="AE281" s="348"/>
      <c r="AF281" s="348"/>
      <c r="AG281" s="348"/>
      <c r="AH281" s="348"/>
      <c r="AI281" s="348"/>
      <c r="AJ281" s="348"/>
      <c r="AK281" s="348"/>
      <c r="AL281" s="348"/>
      <c r="AM281" s="348"/>
      <c r="AN281" s="348"/>
      <c r="AO281" s="348"/>
      <c r="AP281" s="348"/>
      <c r="AQ281" s="348"/>
      <c r="AR281" s="348"/>
      <c r="AS281" s="348"/>
      <c r="AT281" s="348"/>
      <c r="AU281" s="348"/>
      <c r="AV281" s="348"/>
      <c r="AW281" s="348"/>
      <c r="AX281" s="348"/>
      <c r="AY281" s="348"/>
      <c r="AZ281" s="348"/>
      <c r="BA281" s="348"/>
      <c r="BB281" s="348"/>
      <c r="BC281" s="348"/>
      <c r="BD281" s="348"/>
      <c r="BE281" s="348"/>
      <c r="BF281" s="348"/>
      <c r="BG281" s="348"/>
      <c r="BH281" s="348"/>
      <c r="BI281" s="348"/>
      <c r="BJ281" s="348"/>
      <c r="BK281" s="348"/>
      <c r="BL281" s="348"/>
      <c r="BM281" s="348"/>
      <c r="BN281" s="348"/>
      <c r="BO281" s="348"/>
      <c r="BP281" s="348"/>
      <c r="BQ281" s="348"/>
      <c r="BR281" s="348"/>
      <c r="BS281" s="348"/>
      <c r="BT281" s="348"/>
      <c r="BU281" s="348"/>
      <c r="BV281" s="348"/>
      <c r="BW281" s="806" t="s">
        <v>96</v>
      </c>
      <c r="BX281" s="806"/>
      <c r="BY281" s="806"/>
      <c r="BZ281" s="806" t="str">
        <f>IFERROR(__xludf.DUMMYFUNCTION("""COMPUTED_VALUE"""),"")</f>
        <v/>
      </c>
      <c r="CA281" s="806"/>
      <c r="CB281" s="806"/>
      <c r="CC281" s="806"/>
      <c r="CD281" s="806"/>
      <c r="CE281" s="806"/>
      <c r="CF281" s="806"/>
      <c r="CG281" s="806"/>
      <c r="CH281" s="806"/>
      <c r="CI281" s="806"/>
      <c r="CJ281" s="806"/>
      <c r="CK281" s="806"/>
    </row>
    <row r="282">
      <c r="A282" s="348"/>
      <c r="B282" s="348"/>
      <c r="C282" s="236"/>
      <c r="D282" s="348"/>
      <c r="E282" s="348"/>
      <c r="F282" s="348"/>
      <c r="G282" s="348"/>
      <c r="H282" s="348"/>
      <c r="I282" s="348"/>
      <c r="J282" s="348"/>
      <c r="K282" s="348"/>
      <c r="L282" s="348"/>
      <c r="M282" s="348"/>
      <c r="N282" s="348"/>
      <c r="O282" s="348"/>
      <c r="P282" s="348"/>
      <c r="Q282" s="348"/>
      <c r="R282" s="348"/>
      <c r="S282" s="348"/>
      <c r="T282" s="348"/>
      <c r="U282" s="348" t="s">
        <v>96</v>
      </c>
      <c r="V282" s="348" t="s">
        <v>96</v>
      </c>
      <c r="W282" s="348"/>
      <c r="X282" s="348" t="s">
        <v>96</v>
      </c>
      <c r="Y282" s="772" t="s">
        <v>96</v>
      </c>
      <c r="Z282" s="772" t="s">
        <v>96</v>
      </c>
      <c r="AA282" s="348"/>
      <c r="AB282" s="153"/>
      <c r="AC282" s="348"/>
      <c r="AD282" s="348"/>
      <c r="AE282" s="348"/>
      <c r="AF282" s="348"/>
      <c r="AG282" s="348"/>
      <c r="AH282" s="348"/>
      <c r="AI282" s="348"/>
      <c r="AJ282" s="348"/>
      <c r="AK282" s="348"/>
      <c r="AL282" s="348"/>
      <c r="AM282" s="348"/>
      <c r="AN282" s="348"/>
      <c r="AO282" s="348"/>
      <c r="AP282" s="348"/>
      <c r="AQ282" s="348"/>
      <c r="AR282" s="348"/>
      <c r="AS282" s="348"/>
      <c r="AT282" s="348"/>
      <c r="AU282" s="348"/>
      <c r="AV282" s="348"/>
      <c r="AW282" s="348"/>
      <c r="AX282" s="348"/>
      <c r="AY282" s="348"/>
      <c r="AZ282" s="348"/>
      <c r="BA282" s="348"/>
      <c r="BB282" s="348"/>
      <c r="BC282" s="348"/>
      <c r="BD282" s="348"/>
      <c r="BE282" s="348"/>
      <c r="BF282" s="348"/>
      <c r="BG282" s="348"/>
      <c r="BH282" s="348"/>
      <c r="BI282" s="348"/>
      <c r="BJ282" s="348"/>
      <c r="BK282" s="348"/>
      <c r="BL282" s="348"/>
      <c r="BM282" s="348"/>
      <c r="BN282" s="348"/>
      <c r="BO282" s="348"/>
      <c r="BP282" s="348"/>
      <c r="BQ282" s="348"/>
      <c r="BR282" s="348"/>
      <c r="BS282" s="348"/>
      <c r="BT282" s="348"/>
      <c r="BU282" s="348"/>
      <c r="BV282" s="348"/>
      <c r="BW282" s="806" t="s">
        <v>96</v>
      </c>
      <c r="BX282" s="806"/>
      <c r="BY282" s="806"/>
      <c r="BZ282" s="806" t="str">
        <f>IFERROR(__xludf.DUMMYFUNCTION("""COMPUTED_VALUE"""),"")</f>
        <v/>
      </c>
      <c r="CA282" s="806"/>
      <c r="CB282" s="806"/>
      <c r="CC282" s="806"/>
      <c r="CD282" s="806"/>
      <c r="CE282" s="806"/>
      <c r="CF282" s="806"/>
      <c r="CG282" s="806"/>
      <c r="CH282" s="806"/>
      <c r="CI282" s="806"/>
      <c r="CJ282" s="806"/>
      <c r="CK282" s="806"/>
    </row>
    <row r="283">
      <c r="A283" s="348"/>
      <c r="B283" s="348"/>
      <c r="C283" s="236"/>
      <c r="D283" s="348"/>
      <c r="E283" s="348"/>
      <c r="F283" s="348"/>
      <c r="G283" s="348"/>
      <c r="H283" s="348"/>
      <c r="I283" s="348"/>
      <c r="J283" s="348"/>
      <c r="K283" s="348"/>
      <c r="L283" s="348"/>
      <c r="M283" s="348"/>
      <c r="N283" s="348"/>
      <c r="O283" s="348"/>
      <c r="P283" s="348"/>
      <c r="Q283" s="348"/>
      <c r="R283" s="348"/>
      <c r="S283" s="348"/>
      <c r="T283" s="348"/>
      <c r="U283" s="348" t="s">
        <v>96</v>
      </c>
      <c r="V283" s="348" t="s">
        <v>96</v>
      </c>
      <c r="W283" s="348"/>
      <c r="X283" s="348" t="s">
        <v>96</v>
      </c>
      <c r="Y283" s="772" t="s">
        <v>96</v>
      </c>
      <c r="Z283" s="772" t="s">
        <v>96</v>
      </c>
      <c r="AA283" s="348"/>
      <c r="AB283" s="153"/>
      <c r="AC283" s="348"/>
      <c r="AD283" s="348"/>
      <c r="AE283" s="348"/>
      <c r="AF283" s="348"/>
      <c r="AG283" s="348"/>
      <c r="AH283" s="348"/>
      <c r="AI283" s="348"/>
      <c r="AJ283" s="348"/>
      <c r="AK283" s="348"/>
      <c r="AL283" s="348"/>
      <c r="AM283" s="348"/>
      <c r="AN283" s="348"/>
      <c r="AO283" s="348"/>
      <c r="AP283" s="348"/>
      <c r="AQ283" s="348"/>
      <c r="AR283" s="348"/>
      <c r="AS283" s="348"/>
      <c r="AT283" s="348"/>
      <c r="AU283" s="348"/>
      <c r="AV283" s="348"/>
      <c r="AW283" s="348"/>
      <c r="AX283" s="348"/>
      <c r="AY283" s="348"/>
      <c r="AZ283" s="348"/>
      <c r="BA283" s="348"/>
      <c r="BB283" s="348"/>
      <c r="BC283" s="348"/>
      <c r="BD283" s="348"/>
      <c r="BE283" s="348"/>
      <c r="BF283" s="348"/>
      <c r="BG283" s="348"/>
      <c r="BH283" s="348"/>
      <c r="BI283" s="348"/>
      <c r="BJ283" s="348"/>
      <c r="BK283" s="348"/>
      <c r="BL283" s="348"/>
      <c r="BM283" s="348"/>
      <c r="BN283" s="348"/>
      <c r="BO283" s="348"/>
      <c r="BP283" s="348"/>
      <c r="BQ283" s="348"/>
      <c r="BR283" s="348"/>
      <c r="BS283" s="348"/>
      <c r="BT283" s="348"/>
      <c r="BU283" s="348"/>
      <c r="BV283" s="348"/>
      <c r="BW283" s="806" t="s">
        <v>96</v>
      </c>
      <c r="BX283" s="806"/>
      <c r="BY283" s="806"/>
      <c r="BZ283" s="806" t="str">
        <f>IFERROR(__xludf.DUMMYFUNCTION("""COMPUTED_VALUE"""),"")</f>
        <v/>
      </c>
      <c r="CA283" s="806"/>
      <c r="CB283" s="806"/>
      <c r="CC283" s="806"/>
      <c r="CD283" s="806"/>
      <c r="CE283" s="806"/>
      <c r="CF283" s="806"/>
      <c r="CG283" s="806"/>
      <c r="CH283" s="806"/>
      <c r="CI283" s="806"/>
      <c r="CJ283" s="806"/>
      <c r="CK283" s="806"/>
    </row>
    <row r="284">
      <c r="A284" s="348"/>
      <c r="B284" s="348"/>
      <c r="C284" s="236"/>
      <c r="D284" s="348"/>
      <c r="E284" s="348"/>
      <c r="F284" s="348"/>
      <c r="G284" s="348"/>
      <c r="H284" s="348"/>
      <c r="I284" s="348"/>
      <c r="J284" s="348"/>
      <c r="K284" s="348"/>
      <c r="L284" s="348"/>
      <c r="M284" s="348"/>
      <c r="N284" s="348"/>
      <c r="O284" s="348"/>
      <c r="P284" s="348"/>
      <c r="Q284" s="348"/>
      <c r="R284" s="348"/>
      <c r="S284" s="348"/>
      <c r="T284" s="348"/>
      <c r="U284" s="348" t="s">
        <v>96</v>
      </c>
      <c r="V284" s="348" t="s">
        <v>96</v>
      </c>
      <c r="W284" s="348"/>
      <c r="X284" s="348" t="s">
        <v>96</v>
      </c>
      <c r="Y284" s="772" t="s">
        <v>96</v>
      </c>
      <c r="Z284" s="772" t="s">
        <v>96</v>
      </c>
      <c r="AA284" s="348"/>
      <c r="AB284" s="153"/>
      <c r="AC284" s="348"/>
      <c r="AD284" s="348"/>
      <c r="AE284" s="348"/>
      <c r="AF284" s="348"/>
      <c r="AG284" s="348"/>
      <c r="AH284" s="348"/>
      <c r="AI284" s="348"/>
      <c r="AJ284" s="348"/>
      <c r="AK284" s="348"/>
      <c r="AL284" s="348"/>
      <c r="AM284" s="348"/>
      <c r="AN284" s="348"/>
      <c r="AO284" s="348"/>
      <c r="AP284" s="348"/>
      <c r="AQ284" s="348"/>
      <c r="AR284" s="348"/>
      <c r="AS284" s="348"/>
      <c r="AT284" s="348"/>
      <c r="AU284" s="348"/>
      <c r="AV284" s="348"/>
      <c r="AW284" s="348"/>
      <c r="AX284" s="348"/>
      <c r="AY284" s="348"/>
      <c r="AZ284" s="348"/>
      <c r="BA284" s="348"/>
      <c r="BB284" s="348"/>
      <c r="BC284" s="348"/>
      <c r="BD284" s="348"/>
      <c r="BE284" s="348"/>
      <c r="BF284" s="348"/>
      <c r="BG284" s="348"/>
      <c r="BH284" s="348"/>
      <c r="BI284" s="348"/>
      <c r="BJ284" s="348"/>
      <c r="BK284" s="348"/>
      <c r="BL284" s="348"/>
      <c r="BM284" s="348"/>
      <c r="BN284" s="348"/>
      <c r="BO284" s="348"/>
      <c r="BP284" s="348"/>
      <c r="BQ284" s="348"/>
      <c r="BR284" s="348"/>
      <c r="BS284" s="348"/>
      <c r="BT284" s="348"/>
      <c r="BU284" s="348"/>
      <c r="BV284" s="348"/>
      <c r="BW284" s="806" t="s">
        <v>96</v>
      </c>
      <c r="BX284" s="806"/>
      <c r="BY284" s="806"/>
      <c r="BZ284" s="806" t="str">
        <f>IFERROR(__xludf.DUMMYFUNCTION("""COMPUTED_VALUE"""),"")</f>
        <v/>
      </c>
      <c r="CA284" s="806"/>
      <c r="CB284" s="806"/>
      <c r="CC284" s="806"/>
      <c r="CD284" s="806"/>
      <c r="CE284" s="806"/>
      <c r="CF284" s="806"/>
      <c r="CG284" s="806"/>
      <c r="CH284" s="806"/>
      <c r="CI284" s="806"/>
      <c r="CJ284" s="806"/>
      <c r="CK284" s="806"/>
    </row>
    <row r="285">
      <c r="A285" s="348"/>
      <c r="B285" s="348"/>
      <c r="C285" s="236"/>
      <c r="D285" s="348"/>
      <c r="E285" s="348"/>
      <c r="F285" s="348"/>
      <c r="G285" s="348"/>
      <c r="H285" s="348"/>
      <c r="I285" s="348"/>
      <c r="J285" s="348"/>
      <c r="K285" s="348"/>
      <c r="L285" s="348"/>
      <c r="M285" s="348"/>
      <c r="N285" s="348"/>
      <c r="O285" s="348"/>
      <c r="P285" s="348"/>
      <c r="Q285" s="348"/>
      <c r="R285" s="348"/>
      <c r="S285" s="348"/>
      <c r="T285" s="348"/>
      <c r="U285" s="348" t="s">
        <v>96</v>
      </c>
      <c r="V285" s="348" t="s">
        <v>96</v>
      </c>
      <c r="W285" s="348"/>
      <c r="X285" s="348" t="s">
        <v>96</v>
      </c>
      <c r="Y285" s="772" t="s">
        <v>96</v>
      </c>
      <c r="Z285" s="772" t="s">
        <v>96</v>
      </c>
      <c r="AA285" s="348"/>
      <c r="AB285" s="153"/>
      <c r="AC285" s="348"/>
      <c r="AD285" s="348"/>
      <c r="AE285" s="348"/>
      <c r="AF285" s="348"/>
      <c r="AG285" s="348"/>
      <c r="AH285" s="348"/>
      <c r="AI285" s="348"/>
      <c r="AJ285" s="348"/>
      <c r="AK285" s="348"/>
      <c r="AL285" s="348"/>
      <c r="AM285" s="348"/>
      <c r="AN285" s="348"/>
      <c r="AO285" s="348"/>
      <c r="AP285" s="348"/>
      <c r="AQ285" s="348"/>
      <c r="AR285" s="348"/>
      <c r="AS285" s="348"/>
      <c r="AT285" s="348"/>
      <c r="AU285" s="348"/>
      <c r="AV285" s="348"/>
      <c r="AW285" s="348"/>
      <c r="AX285" s="348"/>
      <c r="AY285" s="348"/>
      <c r="AZ285" s="348"/>
      <c r="BA285" s="348"/>
      <c r="BB285" s="348"/>
      <c r="BC285" s="348"/>
      <c r="BD285" s="348"/>
      <c r="BE285" s="348"/>
      <c r="BF285" s="348"/>
      <c r="BG285" s="348"/>
      <c r="BH285" s="348"/>
      <c r="BI285" s="348"/>
      <c r="BJ285" s="348"/>
      <c r="BK285" s="348"/>
      <c r="BL285" s="348"/>
      <c r="BM285" s="348"/>
      <c r="BN285" s="348"/>
      <c r="BO285" s="348"/>
      <c r="BP285" s="348"/>
      <c r="BQ285" s="348"/>
      <c r="BR285" s="348"/>
      <c r="BS285" s="348"/>
      <c r="BT285" s="348"/>
      <c r="BU285" s="348"/>
      <c r="BV285" s="348"/>
      <c r="BW285" s="806" t="s">
        <v>96</v>
      </c>
      <c r="BX285" s="806"/>
      <c r="BY285" s="806"/>
      <c r="BZ285" s="806" t="str">
        <f>IFERROR(__xludf.DUMMYFUNCTION("""COMPUTED_VALUE"""),"")</f>
        <v/>
      </c>
      <c r="CA285" s="806"/>
      <c r="CB285" s="806"/>
      <c r="CC285" s="806"/>
      <c r="CD285" s="806"/>
      <c r="CE285" s="806"/>
      <c r="CF285" s="806"/>
      <c r="CG285" s="806"/>
      <c r="CH285" s="806"/>
      <c r="CI285" s="806"/>
      <c r="CJ285" s="806"/>
      <c r="CK285" s="806"/>
    </row>
    <row r="286">
      <c r="A286" s="348"/>
      <c r="B286" s="348"/>
      <c r="C286" s="236"/>
      <c r="D286" s="348"/>
      <c r="E286" s="348"/>
      <c r="F286" s="348"/>
      <c r="G286" s="348"/>
      <c r="H286" s="348"/>
      <c r="I286" s="348"/>
      <c r="J286" s="348"/>
      <c r="K286" s="348"/>
      <c r="L286" s="348"/>
      <c r="M286" s="348"/>
      <c r="N286" s="348"/>
      <c r="O286" s="348"/>
      <c r="P286" s="348"/>
      <c r="Q286" s="348"/>
      <c r="R286" s="348"/>
      <c r="S286" s="348"/>
      <c r="T286" s="348"/>
      <c r="U286" s="348" t="s">
        <v>96</v>
      </c>
      <c r="V286" s="348" t="s">
        <v>96</v>
      </c>
      <c r="W286" s="348"/>
      <c r="X286" s="348" t="s">
        <v>96</v>
      </c>
      <c r="Y286" s="772" t="s">
        <v>96</v>
      </c>
      <c r="Z286" s="772" t="s">
        <v>96</v>
      </c>
      <c r="AA286" s="348"/>
      <c r="AB286" s="153"/>
      <c r="AC286" s="348"/>
      <c r="AD286" s="348"/>
      <c r="AE286" s="348"/>
      <c r="AF286" s="348"/>
      <c r="AG286" s="348"/>
      <c r="AH286" s="348"/>
      <c r="AI286" s="348"/>
      <c r="AJ286" s="348"/>
      <c r="AK286" s="348"/>
      <c r="AL286" s="348"/>
      <c r="AM286" s="348"/>
      <c r="AN286" s="348"/>
      <c r="AO286" s="348"/>
      <c r="AP286" s="348"/>
      <c r="AQ286" s="348"/>
      <c r="AR286" s="348"/>
      <c r="AS286" s="348"/>
      <c r="AT286" s="348"/>
      <c r="AU286" s="348"/>
      <c r="AV286" s="348"/>
      <c r="AW286" s="348"/>
      <c r="AX286" s="348"/>
      <c r="AY286" s="348"/>
      <c r="AZ286" s="348"/>
      <c r="BA286" s="348"/>
      <c r="BB286" s="348"/>
      <c r="BC286" s="348"/>
      <c r="BD286" s="348"/>
      <c r="BE286" s="348"/>
      <c r="BF286" s="348"/>
      <c r="BG286" s="348"/>
      <c r="BH286" s="348"/>
      <c r="BI286" s="348"/>
      <c r="BJ286" s="348"/>
      <c r="BK286" s="348"/>
      <c r="BL286" s="348"/>
      <c r="BM286" s="348"/>
      <c r="BN286" s="348"/>
      <c r="BO286" s="348"/>
      <c r="BP286" s="348"/>
      <c r="BQ286" s="348"/>
      <c r="BR286" s="348"/>
      <c r="BS286" s="348"/>
      <c r="BT286" s="348"/>
      <c r="BU286" s="348"/>
      <c r="BV286" s="348"/>
      <c r="BW286" s="806" t="s">
        <v>96</v>
      </c>
      <c r="BX286" s="806"/>
      <c r="BY286" s="806"/>
      <c r="BZ286" s="806" t="str">
        <f>IFERROR(__xludf.DUMMYFUNCTION("""COMPUTED_VALUE"""),"")</f>
        <v/>
      </c>
      <c r="CA286" s="806"/>
      <c r="CB286" s="806"/>
      <c r="CC286" s="806"/>
      <c r="CD286" s="806"/>
      <c r="CE286" s="806"/>
      <c r="CF286" s="806"/>
      <c r="CG286" s="806"/>
      <c r="CH286" s="806"/>
      <c r="CI286" s="806"/>
      <c r="CJ286" s="806"/>
      <c r="CK286" s="806"/>
    </row>
    <row r="287">
      <c r="A287" s="348"/>
      <c r="B287" s="348"/>
      <c r="C287" s="236"/>
      <c r="D287" s="348"/>
      <c r="E287" s="348"/>
      <c r="F287" s="348"/>
      <c r="G287" s="348"/>
      <c r="H287" s="348"/>
      <c r="I287" s="348"/>
      <c r="J287" s="348"/>
      <c r="K287" s="348"/>
      <c r="L287" s="348"/>
      <c r="M287" s="348"/>
      <c r="N287" s="348"/>
      <c r="O287" s="348"/>
      <c r="P287" s="348"/>
      <c r="Q287" s="348"/>
      <c r="R287" s="348"/>
      <c r="S287" s="348"/>
      <c r="T287" s="348"/>
      <c r="U287" s="348" t="s">
        <v>96</v>
      </c>
      <c r="V287" s="348" t="s">
        <v>96</v>
      </c>
      <c r="W287" s="348"/>
      <c r="X287" s="348" t="s">
        <v>96</v>
      </c>
      <c r="Y287" s="772" t="s">
        <v>96</v>
      </c>
      <c r="Z287" s="772" t="s">
        <v>96</v>
      </c>
      <c r="AA287" s="348"/>
      <c r="AB287" s="153"/>
      <c r="AC287" s="348"/>
      <c r="AD287" s="348"/>
      <c r="AE287" s="348"/>
      <c r="AF287" s="348"/>
      <c r="AG287" s="348"/>
      <c r="AH287" s="348"/>
      <c r="AI287" s="348"/>
      <c r="AJ287" s="348"/>
      <c r="AK287" s="348"/>
      <c r="AL287" s="348"/>
      <c r="AM287" s="348"/>
      <c r="AN287" s="348"/>
      <c r="AO287" s="348"/>
      <c r="AP287" s="348"/>
      <c r="AQ287" s="348"/>
      <c r="AR287" s="348"/>
      <c r="AS287" s="348"/>
      <c r="AT287" s="348"/>
      <c r="AU287" s="348"/>
      <c r="AV287" s="348"/>
      <c r="AW287" s="348"/>
      <c r="AX287" s="348"/>
      <c r="AY287" s="348"/>
      <c r="AZ287" s="348"/>
      <c r="BA287" s="348"/>
      <c r="BB287" s="348"/>
      <c r="BC287" s="348"/>
      <c r="BD287" s="348"/>
      <c r="BE287" s="348"/>
      <c r="BF287" s="348"/>
      <c r="BG287" s="348"/>
      <c r="BH287" s="348"/>
      <c r="BI287" s="348"/>
      <c r="BJ287" s="348"/>
      <c r="BK287" s="348"/>
      <c r="BL287" s="348"/>
      <c r="BM287" s="348"/>
      <c r="BN287" s="348"/>
      <c r="BO287" s="348"/>
      <c r="BP287" s="348"/>
      <c r="BQ287" s="348"/>
      <c r="BR287" s="348"/>
      <c r="BS287" s="348"/>
      <c r="BT287" s="348"/>
      <c r="BU287" s="348"/>
      <c r="BV287" s="348"/>
      <c r="BW287" s="806" t="s">
        <v>96</v>
      </c>
      <c r="BX287" s="806"/>
      <c r="BY287" s="806"/>
      <c r="BZ287" s="806" t="str">
        <f>IFERROR(__xludf.DUMMYFUNCTION("""COMPUTED_VALUE"""),"")</f>
        <v/>
      </c>
      <c r="CA287" s="806"/>
      <c r="CB287" s="806"/>
      <c r="CC287" s="806"/>
      <c r="CD287" s="806"/>
      <c r="CE287" s="806"/>
      <c r="CF287" s="806"/>
      <c r="CG287" s="806"/>
      <c r="CH287" s="806"/>
      <c r="CI287" s="806"/>
      <c r="CJ287" s="806"/>
      <c r="CK287" s="806"/>
    </row>
    <row r="288">
      <c r="A288" s="348"/>
      <c r="B288" s="348"/>
      <c r="C288" s="236"/>
      <c r="D288" s="348"/>
      <c r="E288" s="348"/>
      <c r="F288" s="348"/>
      <c r="G288" s="348"/>
      <c r="H288" s="348"/>
      <c r="I288" s="348"/>
      <c r="J288" s="348"/>
      <c r="K288" s="348"/>
      <c r="L288" s="348"/>
      <c r="M288" s="348"/>
      <c r="N288" s="348"/>
      <c r="O288" s="348"/>
      <c r="P288" s="348"/>
      <c r="Q288" s="348"/>
      <c r="R288" s="348"/>
      <c r="S288" s="348"/>
      <c r="T288" s="348"/>
      <c r="U288" s="348" t="s">
        <v>96</v>
      </c>
      <c r="V288" s="348" t="s">
        <v>96</v>
      </c>
      <c r="W288" s="348"/>
      <c r="X288" s="348" t="s">
        <v>96</v>
      </c>
      <c r="Y288" s="772" t="s">
        <v>96</v>
      </c>
      <c r="Z288" s="772" t="s">
        <v>96</v>
      </c>
      <c r="AA288" s="348"/>
      <c r="AB288" s="153"/>
      <c r="AC288" s="348"/>
      <c r="AD288" s="348"/>
      <c r="AE288" s="348"/>
      <c r="AF288" s="348"/>
      <c r="AG288" s="348"/>
      <c r="AH288" s="348"/>
      <c r="AI288" s="348"/>
      <c r="AJ288" s="348"/>
      <c r="AK288" s="348"/>
      <c r="AL288" s="348"/>
      <c r="AM288" s="348"/>
      <c r="AN288" s="348"/>
      <c r="AO288" s="348"/>
      <c r="AP288" s="348"/>
      <c r="AQ288" s="348"/>
      <c r="AR288" s="348"/>
      <c r="AS288" s="348"/>
      <c r="AT288" s="348"/>
      <c r="AU288" s="348"/>
      <c r="AV288" s="348"/>
      <c r="AW288" s="348"/>
      <c r="AX288" s="348"/>
      <c r="AY288" s="348"/>
      <c r="AZ288" s="348"/>
      <c r="BA288" s="348"/>
      <c r="BB288" s="348"/>
      <c r="BC288" s="348"/>
      <c r="BD288" s="348"/>
      <c r="BE288" s="348"/>
      <c r="BF288" s="348"/>
      <c r="BG288" s="348"/>
      <c r="BH288" s="348"/>
      <c r="BI288" s="348"/>
      <c r="BJ288" s="348"/>
      <c r="BK288" s="348"/>
      <c r="BL288" s="348"/>
      <c r="BM288" s="348"/>
      <c r="BN288" s="348"/>
      <c r="BO288" s="348"/>
      <c r="BP288" s="348"/>
      <c r="BQ288" s="348"/>
      <c r="BR288" s="348"/>
      <c r="BS288" s="348"/>
      <c r="BT288" s="348"/>
      <c r="BU288" s="348"/>
      <c r="BV288" s="348"/>
      <c r="BW288" s="806" t="s">
        <v>96</v>
      </c>
      <c r="BX288" s="806"/>
      <c r="BY288" s="806"/>
      <c r="BZ288" s="806" t="str">
        <f>IFERROR(__xludf.DUMMYFUNCTION("""COMPUTED_VALUE"""),"")</f>
        <v/>
      </c>
      <c r="CA288" s="806"/>
      <c r="CB288" s="806"/>
      <c r="CC288" s="806"/>
      <c r="CD288" s="806"/>
      <c r="CE288" s="806"/>
      <c r="CF288" s="806"/>
      <c r="CG288" s="806"/>
      <c r="CH288" s="806"/>
      <c r="CI288" s="806"/>
      <c r="CJ288" s="806"/>
      <c r="CK288" s="806"/>
    </row>
    <row r="289">
      <c r="A289" s="348"/>
      <c r="B289" s="348"/>
      <c r="C289" s="236"/>
      <c r="D289" s="348"/>
      <c r="E289" s="348"/>
      <c r="F289" s="348"/>
      <c r="G289" s="348"/>
      <c r="H289" s="348"/>
      <c r="I289" s="348"/>
      <c r="J289" s="348"/>
      <c r="K289" s="348"/>
      <c r="L289" s="348"/>
      <c r="M289" s="348"/>
      <c r="N289" s="348"/>
      <c r="O289" s="348"/>
      <c r="P289" s="348"/>
      <c r="Q289" s="348"/>
      <c r="R289" s="348"/>
      <c r="S289" s="348"/>
      <c r="T289" s="348"/>
      <c r="U289" s="348" t="s">
        <v>96</v>
      </c>
      <c r="V289" s="348" t="s">
        <v>96</v>
      </c>
      <c r="W289" s="348"/>
      <c r="X289" s="348" t="s">
        <v>96</v>
      </c>
      <c r="Y289" s="772" t="s">
        <v>96</v>
      </c>
      <c r="Z289" s="772" t="s">
        <v>96</v>
      </c>
      <c r="AA289" s="348"/>
      <c r="AB289" s="153"/>
      <c r="AC289" s="348"/>
      <c r="AD289" s="348"/>
      <c r="AE289" s="348"/>
      <c r="AF289" s="348"/>
      <c r="AG289" s="348"/>
      <c r="AH289" s="348"/>
      <c r="AI289" s="348"/>
      <c r="AJ289" s="348"/>
      <c r="AK289" s="348"/>
      <c r="AL289" s="348"/>
      <c r="AM289" s="348"/>
      <c r="AN289" s="348"/>
      <c r="AO289" s="348"/>
      <c r="AP289" s="348"/>
      <c r="AQ289" s="348"/>
      <c r="AR289" s="348"/>
      <c r="AS289" s="348"/>
      <c r="AT289" s="348"/>
      <c r="AU289" s="348"/>
      <c r="AV289" s="348"/>
      <c r="AW289" s="348"/>
      <c r="AX289" s="348"/>
      <c r="AY289" s="348"/>
      <c r="AZ289" s="348"/>
      <c r="BA289" s="348"/>
      <c r="BB289" s="348"/>
      <c r="BC289" s="348"/>
      <c r="BD289" s="348"/>
      <c r="BE289" s="348"/>
      <c r="BF289" s="348"/>
      <c r="BG289" s="348"/>
      <c r="BH289" s="348"/>
      <c r="BI289" s="348"/>
      <c r="BJ289" s="348"/>
      <c r="BK289" s="348"/>
      <c r="BL289" s="348"/>
      <c r="BM289" s="348"/>
      <c r="BN289" s="348"/>
      <c r="BO289" s="348"/>
      <c r="BP289" s="348"/>
      <c r="BQ289" s="348"/>
      <c r="BR289" s="348"/>
      <c r="BS289" s="348"/>
      <c r="BT289" s="348"/>
      <c r="BU289" s="348"/>
      <c r="BV289" s="348"/>
      <c r="BW289" s="806" t="s">
        <v>96</v>
      </c>
      <c r="BX289" s="806"/>
      <c r="BY289" s="806"/>
      <c r="BZ289" s="806" t="str">
        <f>IFERROR(__xludf.DUMMYFUNCTION("""COMPUTED_VALUE"""),"")</f>
        <v/>
      </c>
      <c r="CA289" s="806"/>
      <c r="CB289" s="806"/>
      <c r="CC289" s="806"/>
      <c r="CD289" s="806"/>
      <c r="CE289" s="806"/>
      <c r="CF289" s="806"/>
      <c r="CG289" s="806"/>
      <c r="CH289" s="806"/>
      <c r="CI289" s="806"/>
      <c r="CJ289" s="806"/>
      <c r="CK289" s="806"/>
    </row>
    <row r="290">
      <c r="A290" s="348"/>
      <c r="B290" s="348"/>
      <c r="C290" s="236"/>
      <c r="D290" s="348"/>
      <c r="E290" s="348"/>
      <c r="F290" s="348"/>
      <c r="G290" s="348"/>
      <c r="H290" s="348"/>
      <c r="I290" s="348"/>
      <c r="J290" s="348"/>
      <c r="K290" s="348"/>
      <c r="L290" s="348"/>
      <c r="M290" s="348"/>
      <c r="N290" s="348"/>
      <c r="O290" s="348"/>
      <c r="P290" s="348"/>
      <c r="Q290" s="348"/>
      <c r="R290" s="348"/>
      <c r="S290" s="348"/>
      <c r="T290" s="348"/>
      <c r="U290" s="348" t="s">
        <v>96</v>
      </c>
      <c r="V290" s="348" t="s">
        <v>96</v>
      </c>
      <c r="W290" s="348"/>
      <c r="X290" s="348" t="s">
        <v>96</v>
      </c>
      <c r="Y290" s="772" t="s">
        <v>96</v>
      </c>
      <c r="Z290" s="772" t="s">
        <v>96</v>
      </c>
      <c r="AA290" s="348"/>
      <c r="AB290" s="153"/>
      <c r="AC290" s="348"/>
      <c r="AD290" s="348"/>
      <c r="AE290" s="348"/>
      <c r="AF290" s="348"/>
      <c r="AG290" s="348"/>
      <c r="AH290" s="348"/>
      <c r="AI290" s="348"/>
      <c r="AJ290" s="348"/>
      <c r="AK290" s="348"/>
      <c r="AL290" s="348"/>
      <c r="AM290" s="348"/>
      <c r="AN290" s="348"/>
      <c r="AO290" s="348"/>
      <c r="AP290" s="348"/>
      <c r="AQ290" s="348"/>
      <c r="AR290" s="348"/>
      <c r="AS290" s="348"/>
      <c r="AT290" s="348"/>
      <c r="AU290" s="348"/>
      <c r="AV290" s="348"/>
      <c r="AW290" s="348"/>
      <c r="AX290" s="348"/>
      <c r="AY290" s="348"/>
      <c r="AZ290" s="348"/>
      <c r="BA290" s="348"/>
      <c r="BB290" s="348"/>
      <c r="BC290" s="348"/>
      <c r="BD290" s="348"/>
      <c r="BE290" s="348"/>
      <c r="BF290" s="348"/>
      <c r="BG290" s="348"/>
      <c r="BH290" s="348"/>
      <c r="BI290" s="348"/>
      <c r="BJ290" s="348"/>
      <c r="BK290" s="348"/>
      <c r="BL290" s="348"/>
      <c r="BM290" s="348"/>
      <c r="BN290" s="348"/>
      <c r="BO290" s="348"/>
      <c r="BP290" s="348"/>
      <c r="BQ290" s="348"/>
      <c r="BR290" s="348"/>
      <c r="BS290" s="348"/>
      <c r="BT290" s="348"/>
      <c r="BU290" s="348"/>
      <c r="BV290" s="348"/>
      <c r="BW290" s="806" t="s">
        <v>96</v>
      </c>
      <c r="BX290" s="806"/>
      <c r="BY290" s="806"/>
      <c r="BZ290" s="806" t="str">
        <f>IFERROR(__xludf.DUMMYFUNCTION("""COMPUTED_VALUE"""),"")</f>
        <v/>
      </c>
      <c r="CA290" s="806"/>
      <c r="CB290" s="806"/>
      <c r="CC290" s="806"/>
      <c r="CD290" s="806"/>
      <c r="CE290" s="806"/>
      <c r="CF290" s="806"/>
      <c r="CG290" s="806"/>
      <c r="CH290" s="806"/>
      <c r="CI290" s="806"/>
      <c r="CJ290" s="806"/>
      <c r="CK290" s="806"/>
    </row>
    <row r="291">
      <c r="A291" s="348"/>
      <c r="B291" s="348"/>
      <c r="C291" s="236"/>
      <c r="D291" s="348"/>
      <c r="E291" s="348"/>
      <c r="F291" s="348"/>
      <c r="G291" s="348"/>
      <c r="H291" s="348"/>
      <c r="I291" s="348"/>
      <c r="J291" s="348"/>
      <c r="K291" s="348"/>
      <c r="L291" s="348"/>
      <c r="M291" s="348"/>
      <c r="N291" s="348"/>
      <c r="O291" s="348"/>
      <c r="P291" s="348"/>
      <c r="Q291" s="348"/>
      <c r="R291" s="348"/>
      <c r="S291" s="348"/>
      <c r="T291" s="348"/>
      <c r="U291" s="348" t="s">
        <v>96</v>
      </c>
      <c r="V291" s="348" t="s">
        <v>96</v>
      </c>
      <c r="W291" s="348"/>
      <c r="X291" s="348" t="s">
        <v>96</v>
      </c>
      <c r="Y291" s="772" t="s">
        <v>96</v>
      </c>
      <c r="Z291" s="772" t="s">
        <v>96</v>
      </c>
      <c r="AA291" s="348"/>
      <c r="AB291" s="153"/>
      <c r="AC291" s="348"/>
      <c r="AD291" s="348"/>
      <c r="AE291" s="348"/>
      <c r="AF291" s="348"/>
      <c r="AG291" s="348"/>
      <c r="AH291" s="348"/>
      <c r="AI291" s="348"/>
      <c r="AJ291" s="348"/>
      <c r="AK291" s="348"/>
      <c r="AL291" s="348"/>
      <c r="AM291" s="348"/>
      <c r="AN291" s="348"/>
      <c r="AO291" s="348"/>
      <c r="AP291" s="348"/>
      <c r="AQ291" s="348"/>
      <c r="AR291" s="348"/>
      <c r="AS291" s="348"/>
      <c r="AT291" s="348"/>
      <c r="AU291" s="348"/>
      <c r="AV291" s="348"/>
      <c r="AW291" s="348"/>
      <c r="AX291" s="348"/>
      <c r="AY291" s="348"/>
      <c r="AZ291" s="348"/>
      <c r="BA291" s="348"/>
      <c r="BB291" s="348"/>
      <c r="BC291" s="348"/>
      <c r="BD291" s="348"/>
      <c r="BE291" s="348"/>
      <c r="BF291" s="348"/>
      <c r="BG291" s="348"/>
      <c r="BH291" s="348"/>
      <c r="BI291" s="348"/>
      <c r="BJ291" s="348"/>
      <c r="BK291" s="348"/>
      <c r="BL291" s="348"/>
      <c r="BM291" s="348"/>
      <c r="BN291" s="348"/>
      <c r="BO291" s="348"/>
      <c r="BP291" s="348"/>
      <c r="BQ291" s="348"/>
      <c r="BR291" s="348"/>
      <c r="BS291" s="348"/>
      <c r="BT291" s="348"/>
      <c r="BU291" s="348"/>
      <c r="BV291" s="348"/>
      <c r="BW291" s="806" t="s">
        <v>96</v>
      </c>
      <c r="BX291" s="806"/>
      <c r="BY291" s="806"/>
      <c r="BZ291" s="806" t="str">
        <f>IFERROR(__xludf.DUMMYFUNCTION("""COMPUTED_VALUE"""),"")</f>
        <v/>
      </c>
      <c r="CA291" s="806"/>
      <c r="CB291" s="806"/>
      <c r="CC291" s="806"/>
      <c r="CD291" s="806"/>
      <c r="CE291" s="806"/>
      <c r="CF291" s="806"/>
      <c r="CG291" s="806"/>
      <c r="CH291" s="806"/>
      <c r="CI291" s="806"/>
      <c r="CJ291" s="806"/>
      <c r="CK291" s="806"/>
    </row>
    <row r="292">
      <c r="A292" s="348"/>
      <c r="B292" s="348"/>
      <c r="C292" s="236"/>
      <c r="D292" s="348"/>
      <c r="E292" s="348"/>
      <c r="F292" s="348"/>
      <c r="G292" s="348"/>
      <c r="H292" s="348"/>
      <c r="I292" s="348"/>
      <c r="J292" s="348"/>
      <c r="K292" s="348"/>
      <c r="L292" s="348"/>
      <c r="M292" s="348"/>
      <c r="N292" s="348"/>
      <c r="O292" s="348"/>
      <c r="P292" s="348"/>
      <c r="Q292" s="348"/>
      <c r="R292" s="348"/>
      <c r="S292" s="348"/>
      <c r="T292" s="348"/>
      <c r="U292" s="348" t="s">
        <v>96</v>
      </c>
      <c r="V292" s="348" t="s">
        <v>96</v>
      </c>
      <c r="W292" s="348"/>
      <c r="X292" s="348" t="s">
        <v>96</v>
      </c>
      <c r="Y292" s="772" t="s">
        <v>96</v>
      </c>
      <c r="Z292" s="772" t="s">
        <v>96</v>
      </c>
      <c r="AA292" s="348"/>
      <c r="AB292" s="153"/>
      <c r="AC292" s="348"/>
      <c r="AD292" s="348"/>
      <c r="AE292" s="348"/>
      <c r="AF292" s="348"/>
      <c r="AG292" s="348"/>
      <c r="AH292" s="348"/>
      <c r="AI292" s="348"/>
      <c r="AJ292" s="348"/>
      <c r="AK292" s="348"/>
      <c r="AL292" s="348"/>
      <c r="AM292" s="348"/>
      <c r="AN292" s="348"/>
      <c r="AO292" s="348"/>
      <c r="AP292" s="348"/>
      <c r="AQ292" s="348"/>
      <c r="AR292" s="348"/>
      <c r="AS292" s="348"/>
      <c r="AT292" s="348"/>
      <c r="AU292" s="348"/>
      <c r="AV292" s="348"/>
      <c r="AW292" s="348"/>
      <c r="AX292" s="348"/>
      <c r="AY292" s="348"/>
      <c r="AZ292" s="348"/>
      <c r="BA292" s="348"/>
      <c r="BB292" s="348"/>
      <c r="BC292" s="348"/>
      <c r="BD292" s="348"/>
      <c r="BE292" s="348"/>
      <c r="BF292" s="348"/>
      <c r="BG292" s="348"/>
      <c r="BH292" s="348"/>
      <c r="BI292" s="348"/>
      <c r="BJ292" s="348"/>
      <c r="BK292" s="348"/>
      <c r="BL292" s="348"/>
      <c r="BM292" s="348"/>
      <c r="BN292" s="348"/>
      <c r="BO292" s="348"/>
      <c r="BP292" s="348"/>
      <c r="BQ292" s="348"/>
      <c r="BR292" s="348"/>
      <c r="BS292" s="348"/>
      <c r="BT292" s="348"/>
      <c r="BU292" s="348"/>
      <c r="BV292" s="348"/>
      <c r="BW292" s="806" t="s">
        <v>96</v>
      </c>
      <c r="BX292" s="806"/>
      <c r="BY292" s="806"/>
      <c r="BZ292" s="806" t="str">
        <f>IFERROR(__xludf.DUMMYFUNCTION("""COMPUTED_VALUE"""),"")</f>
        <v/>
      </c>
      <c r="CA292" s="806"/>
      <c r="CB292" s="806"/>
      <c r="CC292" s="806"/>
      <c r="CD292" s="806"/>
      <c r="CE292" s="806"/>
      <c r="CF292" s="806"/>
      <c r="CG292" s="806"/>
      <c r="CH292" s="806"/>
      <c r="CI292" s="806"/>
      <c r="CJ292" s="806"/>
      <c r="CK292" s="806"/>
    </row>
    <row r="293">
      <c r="A293" s="348"/>
      <c r="B293" s="348"/>
      <c r="C293" s="236"/>
      <c r="D293" s="348"/>
      <c r="E293" s="348"/>
      <c r="F293" s="348"/>
      <c r="G293" s="348"/>
      <c r="H293" s="348"/>
      <c r="I293" s="348"/>
      <c r="J293" s="348"/>
      <c r="K293" s="348"/>
      <c r="L293" s="348"/>
      <c r="M293" s="348"/>
      <c r="N293" s="348"/>
      <c r="O293" s="348"/>
      <c r="P293" s="348"/>
      <c r="Q293" s="348"/>
      <c r="R293" s="348"/>
      <c r="S293" s="348"/>
      <c r="T293" s="348"/>
      <c r="U293" s="348" t="s">
        <v>96</v>
      </c>
      <c r="V293" s="348" t="s">
        <v>96</v>
      </c>
      <c r="W293" s="348"/>
      <c r="X293" s="348" t="s">
        <v>96</v>
      </c>
      <c r="Y293" s="772" t="s">
        <v>96</v>
      </c>
      <c r="Z293" s="772" t="s">
        <v>96</v>
      </c>
      <c r="AA293" s="348"/>
      <c r="AB293" s="153"/>
      <c r="AC293" s="348"/>
      <c r="AD293" s="348"/>
      <c r="AE293" s="348"/>
      <c r="AF293" s="348"/>
      <c r="AG293" s="348"/>
      <c r="AH293" s="348"/>
      <c r="AI293" s="348"/>
      <c r="AJ293" s="348"/>
      <c r="AK293" s="348"/>
      <c r="AL293" s="348"/>
      <c r="AM293" s="348"/>
      <c r="AN293" s="348"/>
      <c r="AO293" s="348"/>
      <c r="AP293" s="348"/>
      <c r="AQ293" s="348"/>
      <c r="AR293" s="348"/>
      <c r="AS293" s="348"/>
      <c r="AT293" s="348"/>
      <c r="AU293" s="348"/>
      <c r="AV293" s="348"/>
      <c r="AW293" s="348"/>
      <c r="AX293" s="348"/>
      <c r="AY293" s="348"/>
      <c r="AZ293" s="348"/>
      <c r="BA293" s="348"/>
      <c r="BB293" s="348"/>
      <c r="BC293" s="348"/>
      <c r="BD293" s="348"/>
      <c r="BE293" s="348"/>
      <c r="BF293" s="348"/>
      <c r="BG293" s="348"/>
      <c r="BH293" s="348"/>
      <c r="BI293" s="348"/>
      <c r="BJ293" s="348"/>
      <c r="BK293" s="348"/>
      <c r="BL293" s="348"/>
      <c r="BM293" s="348"/>
      <c r="BN293" s="348"/>
      <c r="BO293" s="348"/>
      <c r="BP293" s="348"/>
      <c r="BQ293" s="348"/>
      <c r="BR293" s="348"/>
      <c r="BS293" s="348"/>
      <c r="BT293" s="348"/>
      <c r="BU293" s="348"/>
      <c r="BV293" s="348"/>
      <c r="BW293" s="806" t="s">
        <v>96</v>
      </c>
      <c r="BX293" s="806"/>
      <c r="BY293" s="806"/>
      <c r="BZ293" s="806" t="str">
        <f>IFERROR(__xludf.DUMMYFUNCTION("""COMPUTED_VALUE"""),"")</f>
        <v/>
      </c>
      <c r="CA293" s="806"/>
      <c r="CB293" s="806"/>
      <c r="CC293" s="806"/>
      <c r="CD293" s="806"/>
      <c r="CE293" s="806"/>
      <c r="CF293" s="806"/>
      <c r="CG293" s="806"/>
      <c r="CH293" s="806"/>
      <c r="CI293" s="806"/>
      <c r="CJ293" s="806"/>
      <c r="CK293" s="806"/>
    </row>
    <row r="294">
      <c r="A294" s="348"/>
      <c r="B294" s="348"/>
      <c r="C294" s="236"/>
      <c r="D294" s="348"/>
      <c r="E294" s="348"/>
      <c r="F294" s="348"/>
      <c r="G294" s="348"/>
      <c r="H294" s="348"/>
      <c r="I294" s="348"/>
      <c r="J294" s="348"/>
      <c r="K294" s="348"/>
      <c r="L294" s="348"/>
      <c r="M294" s="348"/>
      <c r="N294" s="348"/>
      <c r="O294" s="348"/>
      <c r="P294" s="348"/>
      <c r="Q294" s="348"/>
      <c r="R294" s="348"/>
      <c r="S294" s="348"/>
      <c r="T294" s="348"/>
      <c r="U294" s="348" t="s">
        <v>96</v>
      </c>
      <c r="V294" s="348" t="s">
        <v>96</v>
      </c>
      <c r="W294" s="348"/>
      <c r="X294" s="348" t="s">
        <v>96</v>
      </c>
      <c r="Y294" s="772" t="s">
        <v>96</v>
      </c>
      <c r="Z294" s="772" t="s">
        <v>96</v>
      </c>
      <c r="AA294" s="348"/>
      <c r="AB294" s="153"/>
      <c r="AC294" s="348"/>
      <c r="AD294" s="348"/>
      <c r="AE294" s="348"/>
      <c r="AF294" s="348"/>
      <c r="AG294" s="348"/>
      <c r="AH294" s="348"/>
      <c r="AI294" s="348"/>
      <c r="AJ294" s="348"/>
      <c r="AK294" s="348"/>
      <c r="AL294" s="348"/>
      <c r="AM294" s="348"/>
      <c r="AN294" s="348"/>
      <c r="AO294" s="348"/>
      <c r="AP294" s="348"/>
      <c r="AQ294" s="348"/>
      <c r="AR294" s="348"/>
      <c r="AS294" s="348"/>
      <c r="AT294" s="348"/>
      <c r="AU294" s="348"/>
      <c r="AV294" s="348"/>
      <c r="AW294" s="348"/>
      <c r="AX294" s="348"/>
      <c r="AY294" s="348"/>
      <c r="AZ294" s="348"/>
      <c r="BA294" s="348"/>
      <c r="BB294" s="348"/>
      <c r="BC294" s="348"/>
      <c r="BD294" s="348"/>
      <c r="BE294" s="348"/>
      <c r="BF294" s="348"/>
      <c r="BG294" s="348"/>
      <c r="BH294" s="348"/>
      <c r="BI294" s="348"/>
      <c r="BJ294" s="348"/>
      <c r="BK294" s="348"/>
      <c r="BL294" s="348"/>
      <c r="BM294" s="348"/>
      <c r="BN294" s="348"/>
      <c r="BO294" s="348"/>
      <c r="BP294" s="348"/>
      <c r="BQ294" s="348"/>
      <c r="BR294" s="348"/>
      <c r="BS294" s="348"/>
      <c r="BT294" s="348"/>
      <c r="BU294" s="348"/>
      <c r="BV294" s="348"/>
      <c r="BW294" s="806" t="s">
        <v>96</v>
      </c>
      <c r="BX294" s="806"/>
      <c r="BY294" s="806"/>
      <c r="BZ294" s="806" t="str">
        <f>IFERROR(__xludf.DUMMYFUNCTION("""COMPUTED_VALUE"""),"")</f>
        <v/>
      </c>
      <c r="CA294" s="806"/>
      <c r="CB294" s="806"/>
      <c r="CC294" s="806"/>
      <c r="CD294" s="806"/>
      <c r="CE294" s="806"/>
      <c r="CF294" s="806"/>
      <c r="CG294" s="806"/>
      <c r="CH294" s="806"/>
      <c r="CI294" s="806"/>
      <c r="CJ294" s="806"/>
      <c r="CK294" s="806"/>
    </row>
    <row r="295">
      <c r="A295" s="348"/>
      <c r="B295" s="348"/>
      <c r="C295" s="236"/>
      <c r="D295" s="348"/>
      <c r="E295" s="348"/>
      <c r="F295" s="348"/>
      <c r="G295" s="348"/>
      <c r="H295" s="348"/>
      <c r="I295" s="348"/>
      <c r="J295" s="348"/>
      <c r="K295" s="348"/>
      <c r="L295" s="348"/>
      <c r="M295" s="348"/>
      <c r="N295" s="348"/>
      <c r="O295" s="348"/>
      <c r="P295" s="348"/>
      <c r="Q295" s="348"/>
      <c r="R295" s="348"/>
      <c r="S295" s="348"/>
      <c r="T295" s="348"/>
      <c r="U295" s="348" t="s">
        <v>96</v>
      </c>
      <c r="V295" s="348" t="s">
        <v>96</v>
      </c>
      <c r="W295" s="348"/>
      <c r="X295" s="348" t="s">
        <v>96</v>
      </c>
      <c r="Y295" s="772" t="s">
        <v>96</v>
      </c>
      <c r="Z295" s="772" t="s">
        <v>96</v>
      </c>
      <c r="AA295" s="348"/>
      <c r="AB295" s="153"/>
      <c r="AC295" s="348"/>
      <c r="AD295" s="348"/>
      <c r="AE295" s="348"/>
      <c r="AF295" s="348"/>
      <c r="AG295" s="348"/>
      <c r="AH295" s="348"/>
      <c r="AI295" s="348"/>
      <c r="AJ295" s="348"/>
      <c r="AK295" s="348"/>
      <c r="AL295" s="348"/>
      <c r="AM295" s="348"/>
      <c r="AN295" s="348"/>
      <c r="AO295" s="348"/>
      <c r="AP295" s="348"/>
      <c r="AQ295" s="348"/>
      <c r="AR295" s="348"/>
      <c r="AS295" s="348"/>
      <c r="AT295" s="348"/>
      <c r="AU295" s="348"/>
      <c r="AV295" s="348"/>
      <c r="AW295" s="348"/>
      <c r="AX295" s="348"/>
      <c r="AY295" s="348"/>
      <c r="AZ295" s="348"/>
      <c r="BA295" s="348"/>
      <c r="BB295" s="348"/>
      <c r="BC295" s="348"/>
      <c r="BD295" s="348"/>
      <c r="BE295" s="348"/>
      <c r="BF295" s="348"/>
      <c r="BG295" s="348"/>
      <c r="BH295" s="348"/>
      <c r="BI295" s="348"/>
      <c r="BJ295" s="348"/>
      <c r="BK295" s="348"/>
      <c r="BL295" s="348"/>
      <c r="BM295" s="348"/>
      <c r="BN295" s="348"/>
      <c r="BO295" s="348"/>
      <c r="BP295" s="348"/>
      <c r="BQ295" s="348"/>
      <c r="BR295" s="348"/>
      <c r="BS295" s="348"/>
      <c r="BT295" s="348"/>
      <c r="BU295" s="348"/>
      <c r="BV295" s="348"/>
      <c r="BW295" s="806" t="s">
        <v>96</v>
      </c>
      <c r="BX295" s="806"/>
      <c r="BY295" s="806"/>
      <c r="BZ295" s="806" t="str">
        <f>IFERROR(__xludf.DUMMYFUNCTION("""COMPUTED_VALUE"""),"")</f>
        <v/>
      </c>
      <c r="CA295" s="806"/>
      <c r="CB295" s="806"/>
      <c r="CC295" s="806"/>
      <c r="CD295" s="806"/>
      <c r="CE295" s="806"/>
      <c r="CF295" s="806"/>
      <c r="CG295" s="806"/>
      <c r="CH295" s="806"/>
      <c r="CI295" s="806"/>
      <c r="CJ295" s="806"/>
      <c r="CK295" s="806"/>
    </row>
    <row r="296">
      <c r="A296" s="348"/>
      <c r="B296" s="348"/>
      <c r="C296" s="236"/>
      <c r="D296" s="348"/>
      <c r="E296" s="348"/>
      <c r="F296" s="348"/>
      <c r="G296" s="348"/>
      <c r="H296" s="348"/>
      <c r="I296" s="348"/>
      <c r="J296" s="348"/>
      <c r="K296" s="348"/>
      <c r="L296" s="348"/>
      <c r="M296" s="348"/>
      <c r="N296" s="348"/>
      <c r="O296" s="348"/>
      <c r="P296" s="348"/>
      <c r="Q296" s="348"/>
      <c r="R296" s="348"/>
      <c r="S296" s="348"/>
      <c r="T296" s="348"/>
      <c r="U296" s="348" t="s">
        <v>96</v>
      </c>
      <c r="V296" s="348" t="s">
        <v>96</v>
      </c>
      <c r="W296" s="348"/>
      <c r="X296" s="348" t="s">
        <v>96</v>
      </c>
      <c r="Y296" s="772" t="s">
        <v>96</v>
      </c>
      <c r="Z296" s="772" t="s">
        <v>96</v>
      </c>
      <c r="AA296" s="348"/>
      <c r="AB296" s="153"/>
      <c r="AC296" s="348"/>
      <c r="AD296" s="348"/>
      <c r="AE296" s="348"/>
      <c r="AF296" s="348"/>
      <c r="AG296" s="348"/>
      <c r="AH296" s="348"/>
      <c r="AI296" s="348"/>
      <c r="AJ296" s="348"/>
      <c r="AK296" s="348"/>
      <c r="AL296" s="348"/>
      <c r="AM296" s="348"/>
      <c r="AN296" s="348"/>
      <c r="AO296" s="348"/>
      <c r="AP296" s="348"/>
      <c r="AQ296" s="348"/>
      <c r="AR296" s="348"/>
      <c r="AS296" s="348"/>
      <c r="AT296" s="348"/>
      <c r="AU296" s="348"/>
      <c r="AV296" s="348"/>
      <c r="AW296" s="348"/>
      <c r="AX296" s="348"/>
      <c r="AY296" s="348"/>
      <c r="AZ296" s="348"/>
      <c r="BA296" s="348"/>
      <c r="BB296" s="348"/>
      <c r="BC296" s="348"/>
      <c r="BD296" s="348"/>
      <c r="BE296" s="348"/>
      <c r="BF296" s="348"/>
      <c r="BG296" s="348"/>
      <c r="BH296" s="348"/>
      <c r="BI296" s="348"/>
      <c r="BJ296" s="348"/>
      <c r="BK296" s="348"/>
      <c r="BL296" s="348"/>
      <c r="BM296" s="348"/>
      <c r="BN296" s="348"/>
      <c r="BO296" s="348"/>
      <c r="BP296" s="348"/>
      <c r="BQ296" s="348"/>
      <c r="BR296" s="348"/>
      <c r="BS296" s="348"/>
      <c r="BT296" s="348"/>
      <c r="BU296" s="348"/>
      <c r="BV296" s="348"/>
      <c r="BW296" s="806" t="s">
        <v>96</v>
      </c>
      <c r="BX296" s="806"/>
      <c r="BY296" s="806"/>
      <c r="BZ296" s="806" t="str">
        <f>IFERROR(__xludf.DUMMYFUNCTION("""COMPUTED_VALUE"""),"")</f>
        <v/>
      </c>
      <c r="CA296" s="806"/>
      <c r="CB296" s="806"/>
      <c r="CC296" s="806"/>
      <c r="CD296" s="806"/>
      <c r="CE296" s="806"/>
      <c r="CF296" s="806"/>
      <c r="CG296" s="806"/>
      <c r="CH296" s="806"/>
      <c r="CI296" s="806"/>
      <c r="CJ296" s="806"/>
      <c r="CK296" s="806"/>
    </row>
    <row r="297">
      <c r="A297" s="348"/>
      <c r="B297" s="348"/>
      <c r="C297" s="236"/>
      <c r="D297" s="348"/>
      <c r="E297" s="348"/>
      <c r="F297" s="348"/>
      <c r="G297" s="348"/>
      <c r="H297" s="348"/>
      <c r="I297" s="348"/>
      <c r="J297" s="348"/>
      <c r="K297" s="348"/>
      <c r="L297" s="348"/>
      <c r="M297" s="348"/>
      <c r="N297" s="348"/>
      <c r="O297" s="348"/>
      <c r="P297" s="348"/>
      <c r="Q297" s="348"/>
      <c r="R297" s="348"/>
      <c r="S297" s="348"/>
      <c r="T297" s="348"/>
      <c r="U297" s="348" t="s">
        <v>96</v>
      </c>
      <c r="V297" s="348" t="s">
        <v>96</v>
      </c>
      <c r="W297" s="348"/>
      <c r="X297" s="348" t="s">
        <v>96</v>
      </c>
      <c r="Y297" s="772" t="s">
        <v>96</v>
      </c>
      <c r="Z297" s="772" t="s">
        <v>96</v>
      </c>
      <c r="AA297" s="348"/>
      <c r="AB297" s="153"/>
      <c r="AC297" s="348"/>
      <c r="AD297" s="348"/>
      <c r="AE297" s="348"/>
      <c r="AF297" s="348"/>
      <c r="AG297" s="348"/>
      <c r="AH297" s="348"/>
      <c r="AI297" s="348"/>
      <c r="AJ297" s="348"/>
      <c r="AK297" s="348"/>
      <c r="AL297" s="348"/>
      <c r="AM297" s="348"/>
      <c r="AN297" s="348"/>
      <c r="AO297" s="348"/>
      <c r="AP297" s="348"/>
      <c r="AQ297" s="348"/>
      <c r="AR297" s="348"/>
      <c r="AS297" s="348"/>
      <c r="AT297" s="348"/>
      <c r="AU297" s="348"/>
      <c r="AV297" s="348"/>
      <c r="AW297" s="348"/>
      <c r="AX297" s="348"/>
      <c r="AY297" s="348"/>
      <c r="AZ297" s="348"/>
      <c r="BA297" s="348"/>
      <c r="BB297" s="348"/>
      <c r="BC297" s="348"/>
      <c r="BD297" s="348"/>
      <c r="BE297" s="348"/>
      <c r="BF297" s="348"/>
      <c r="BG297" s="348"/>
      <c r="BH297" s="348"/>
      <c r="BI297" s="348"/>
      <c r="BJ297" s="348"/>
      <c r="BK297" s="348"/>
      <c r="BL297" s="348"/>
      <c r="BM297" s="348"/>
      <c r="BN297" s="348"/>
      <c r="BO297" s="348"/>
      <c r="BP297" s="348"/>
      <c r="BQ297" s="348"/>
      <c r="BR297" s="348"/>
      <c r="BS297" s="348"/>
      <c r="BT297" s="348"/>
      <c r="BU297" s="348"/>
      <c r="BV297" s="348"/>
      <c r="BW297" s="806" t="s">
        <v>96</v>
      </c>
      <c r="BX297" s="806"/>
      <c r="BY297" s="806"/>
      <c r="BZ297" s="806" t="str">
        <f>IFERROR(__xludf.DUMMYFUNCTION("""COMPUTED_VALUE"""),"")</f>
        <v/>
      </c>
      <c r="CA297" s="806"/>
      <c r="CB297" s="806"/>
      <c r="CC297" s="806"/>
      <c r="CD297" s="806"/>
      <c r="CE297" s="806"/>
      <c r="CF297" s="806"/>
      <c r="CG297" s="806"/>
      <c r="CH297" s="806"/>
      <c r="CI297" s="806"/>
      <c r="CJ297" s="806"/>
      <c r="CK297" s="806"/>
    </row>
    <row r="298">
      <c r="A298" s="348"/>
      <c r="B298" s="348"/>
      <c r="C298" s="236"/>
      <c r="D298" s="348"/>
      <c r="E298" s="348"/>
      <c r="F298" s="348"/>
      <c r="G298" s="348"/>
      <c r="H298" s="348"/>
      <c r="I298" s="348"/>
      <c r="J298" s="348"/>
      <c r="K298" s="348"/>
      <c r="L298" s="348"/>
      <c r="M298" s="348"/>
      <c r="N298" s="348"/>
      <c r="O298" s="348"/>
      <c r="P298" s="348"/>
      <c r="Q298" s="348"/>
      <c r="R298" s="348"/>
      <c r="S298" s="348"/>
      <c r="T298" s="348"/>
      <c r="U298" s="348" t="s">
        <v>96</v>
      </c>
      <c r="V298" s="348" t="s">
        <v>96</v>
      </c>
      <c r="W298" s="348"/>
      <c r="X298" s="348" t="s">
        <v>96</v>
      </c>
      <c r="Y298" s="772" t="s">
        <v>96</v>
      </c>
      <c r="Z298" s="772" t="s">
        <v>96</v>
      </c>
      <c r="AA298" s="348"/>
      <c r="AB298" s="153"/>
      <c r="AC298" s="348"/>
      <c r="AD298" s="348"/>
      <c r="AE298" s="348"/>
      <c r="AF298" s="348"/>
      <c r="AG298" s="348"/>
      <c r="AH298" s="348"/>
      <c r="AI298" s="348"/>
      <c r="AJ298" s="348"/>
      <c r="AK298" s="348"/>
      <c r="AL298" s="348"/>
      <c r="AM298" s="348"/>
      <c r="AN298" s="348"/>
      <c r="AO298" s="348"/>
      <c r="AP298" s="348"/>
      <c r="AQ298" s="348"/>
      <c r="AR298" s="348"/>
      <c r="AS298" s="348"/>
      <c r="AT298" s="348"/>
      <c r="AU298" s="348"/>
      <c r="AV298" s="348"/>
      <c r="AW298" s="348"/>
      <c r="AX298" s="348"/>
      <c r="AY298" s="348"/>
      <c r="AZ298" s="348"/>
      <c r="BA298" s="348"/>
      <c r="BB298" s="348"/>
      <c r="BC298" s="348"/>
      <c r="BD298" s="348"/>
      <c r="BE298" s="348"/>
      <c r="BF298" s="348"/>
      <c r="BG298" s="348"/>
      <c r="BH298" s="348"/>
      <c r="BI298" s="348"/>
      <c r="BJ298" s="348"/>
      <c r="BK298" s="348"/>
      <c r="BL298" s="348"/>
      <c r="BM298" s="348"/>
      <c r="BN298" s="348"/>
      <c r="BO298" s="348"/>
      <c r="BP298" s="348"/>
      <c r="BQ298" s="348"/>
      <c r="BR298" s="348"/>
      <c r="BS298" s="348"/>
      <c r="BT298" s="348"/>
      <c r="BU298" s="348"/>
      <c r="BV298" s="348"/>
      <c r="BW298" s="806" t="s">
        <v>96</v>
      </c>
      <c r="BX298" s="806"/>
      <c r="BY298" s="806"/>
      <c r="BZ298" s="806" t="str">
        <f>IFERROR(__xludf.DUMMYFUNCTION("""COMPUTED_VALUE"""),"")</f>
        <v/>
      </c>
      <c r="CA298" s="806"/>
      <c r="CB298" s="806"/>
      <c r="CC298" s="806"/>
      <c r="CD298" s="806"/>
      <c r="CE298" s="806"/>
      <c r="CF298" s="806"/>
      <c r="CG298" s="806"/>
      <c r="CH298" s="806"/>
      <c r="CI298" s="806"/>
      <c r="CJ298" s="806"/>
      <c r="CK298" s="806"/>
    </row>
    <row r="299">
      <c r="A299" s="348"/>
      <c r="B299" s="348"/>
      <c r="C299" s="236"/>
      <c r="D299" s="348"/>
      <c r="E299" s="348"/>
      <c r="F299" s="348"/>
      <c r="G299" s="348"/>
      <c r="H299" s="348"/>
      <c r="I299" s="348"/>
      <c r="J299" s="348"/>
      <c r="K299" s="348"/>
      <c r="L299" s="348"/>
      <c r="M299" s="348"/>
      <c r="N299" s="348"/>
      <c r="O299" s="348"/>
      <c r="P299" s="348"/>
      <c r="Q299" s="348"/>
      <c r="R299" s="348"/>
      <c r="S299" s="348"/>
      <c r="T299" s="348"/>
      <c r="U299" s="348" t="s">
        <v>96</v>
      </c>
      <c r="V299" s="348" t="s">
        <v>96</v>
      </c>
      <c r="W299" s="348"/>
      <c r="X299" s="348" t="s">
        <v>96</v>
      </c>
      <c r="Y299" s="772" t="s">
        <v>96</v>
      </c>
      <c r="Z299" s="772" t="s">
        <v>96</v>
      </c>
      <c r="AA299" s="348"/>
      <c r="AB299" s="153"/>
      <c r="AC299" s="348"/>
      <c r="AD299" s="348"/>
      <c r="AE299" s="348"/>
      <c r="AF299" s="348"/>
      <c r="AG299" s="348"/>
      <c r="AH299" s="348"/>
      <c r="AI299" s="348"/>
      <c r="AJ299" s="348"/>
      <c r="AK299" s="348"/>
      <c r="AL299" s="348"/>
      <c r="AM299" s="348"/>
      <c r="AN299" s="348"/>
      <c r="AO299" s="348"/>
      <c r="AP299" s="348"/>
      <c r="AQ299" s="348"/>
      <c r="AR299" s="348"/>
      <c r="AS299" s="348"/>
      <c r="AT299" s="348"/>
      <c r="AU299" s="348"/>
      <c r="AV299" s="348"/>
      <c r="AW299" s="348"/>
      <c r="AX299" s="348"/>
      <c r="AY299" s="348"/>
      <c r="AZ299" s="348"/>
      <c r="BA299" s="348"/>
      <c r="BB299" s="348"/>
      <c r="BC299" s="348"/>
      <c r="BD299" s="348"/>
      <c r="BE299" s="348"/>
      <c r="BF299" s="348"/>
      <c r="BG299" s="348"/>
      <c r="BH299" s="348"/>
      <c r="BI299" s="348"/>
      <c r="BJ299" s="348"/>
      <c r="BK299" s="348"/>
      <c r="BL299" s="348"/>
      <c r="BM299" s="348"/>
      <c r="BN299" s="348"/>
      <c r="BO299" s="348"/>
      <c r="BP299" s="348"/>
      <c r="BQ299" s="348"/>
      <c r="BR299" s="348"/>
      <c r="BS299" s="348"/>
      <c r="BT299" s="348"/>
      <c r="BU299" s="348"/>
      <c r="BV299" s="348"/>
      <c r="BW299" s="806" t="s">
        <v>96</v>
      </c>
      <c r="BX299" s="806"/>
      <c r="BY299" s="806"/>
      <c r="BZ299" s="806" t="str">
        <f>IFERROR(__xludf.DUMMYFUNCTION("""COMPUTED_VALUE"""),"")</f>
        <v/>
      </c>
      <c r="CA299" s="806"/>
      <c r="CB299" s="806"/>
      <c r="CC299" s="806"/>
      <c r="CD299" s="806"/>
      <c r="CE299" s="806"/>
      <c r="CF299" s="806"/>
      <c r="CG299" s="806"/>
      <c r="CH299" s="806"/>
      <c r="CI299" s="806"/>
      <c r="CJ299" s="806"/>
      <c r="CK299" s="806"/>
    </row>
    <row r="300">
      <c r="A300" s="348"/>
      <c r="B300" s="348"/>
      <c r="C300" s="236"/>
      <c r="D300" s="348"/>
      <c r="E300" s="348"/>
      <c r="F300" s="348"/>
      <c r="G300" s="348"/>
      <c r="H300" s="348"/>
      <c r="I300" s="348"/>
      <c r="J300" s="348"/>
      <c r="K300" s="348"/>
      <c r="L300" s="348"/>
      <c r="M300" s="348"/>
      <c r="N300" s="348"/>
      <c r="O300" s="348"/>
      <c r="P300" s="348"/>
      <c r="Q300" s="348"/>
      <c r="R300" s="348"/>
      <c r="S300" s="348"/>
      <c r="T300" s="348"/>
      <c r="U300" s="348" t="s">
        <v>96</v>
      </c>
      <c r="V300" s="348" t="s">
        <v>96</v>
      </c>
      <c r="W300" s="348"/>
      <c r="X300" s="348" t="s">
        <v>96</v>
      </c>
      <c r="Y300" s="772" t="s">
        <v>96</v>
      </c>
      <c r="Z300" s="772" t="s">
        <v>96</v>
      </c>
      <c r="AA300" s="348"/>
      <c r="AB300" s="153"/>
      <c r="AC300" s="348"/>
      <c r="AD300" s="348"/>
      <c r="AE300" s="348"/>
      <c r="AF300" s="348"/>
      <c r="AG300" s="348"/>
      <c r="AH300" s="348"/>
      <c r="AI300" s="348"/>
      <c r="AJ300" s="348"/>
      <c r="AK300" s="348"/>
      <c r="AL300" s="348"/>
      <c r="AM300" s="348"/>
      <c r="AN300" s="348"/>
      <c r="AO300" s="348"/>
      <c r="AP300" s="348"/>
      <c r="AQ300" s="348"/>
      <c r="AR300" s="348"/>
      <c r="AS300" s="348"/>
      <c r="AT300" s="348"/>
      <c r="AU300" s="348"/>
      <c r="AV300" s="348"/>
      <c r="AW300" s="348"/>
      <c r="AX300" s="348"/>
      <c r="AY300" s="348"/>
      <c r="AZ300" s="348"/>
      <c r="BA300" s="348"/>
      <c r="BB300" s="348"/>
      <c r="BC300" s="348"/>
      <c r="BD300" s="348"/>
      <c r="BE300" s="348"/>
      <c r="BF300" s="348"/>
      <c r="BG300" s="348"/>
      <c r="BH300" s="348"/>
      <c r="BI300" s="348"/>
      <c r="BJ300" s="348"/>
      <c r="BK300" s="348"/>
      <c r="BL300" s="348"/>
      <c r="BM300" s="348"/>
      <c r="BN300" s="348"/>
      <c r="BO300" s="348"/>
      <c r="BP300" s="348"/>
      <c r="BQ300" s="348"/>
      <c r="BR300" s="348"/>
      <c r="BS300" s="348"/>
      <c r="BT300" s="348"/>
      <c r="BU300" s="348"/>
      <c r="BV300" s="348"/>
      <c r="BW300" s="806" t="s">
        <v>96</v>
      </c>
      <c r="BX300" s="806"/>
      <c r="BY300" s="806"/>
      <c r="BZ300" s="806" t="str">
        <f>IFERROR(__xludf.DUMMYFUNCTION("""COMPUTED_VALUE"""),"")</f>
        <v/>
      </c>
      <c r="CA300" s="806"/>
      <c r="CB300" s="806"/>
      <c r="CC300" s="806"/>
      <c r="CD300" s="806"/>
      <c r="CE300" s="806"/>
      <c r="CF300" s="806"/>
      <c r="CG300" s="806"/>
      <c r="CH300" s="806"/>
      <c r="CI300" s="806"/>
      <c r="CJ300" s="806"/>
      <c r="CK300" s="806"/>
    </row>
    <row r="301">
      <c r="A301" s="348"/>
      <c r="B301" s="348"/>
      <c r="C301" s="236"/>
      <c r="D301" s="348"/>
      <c r="E301" s="348"/>
      <c r="F301" s="348"/>
      <c r="G301" s="348"/>
      <c r="H301" s="348"/>
      <c r="I301" s="348"/>
      <c r="J301" s="348"/>
      <c r="K301" s="348"/>
      <c r="L301" s="348"/>
      <c r="M301" s="348"/>
      <c r="N301" s="348"/>
      <c r="O301" s="348"/>
      <c r="P301" s="348"/>
      <c r="Q301" s="348"/>
      <c r="R301" s="348"/>
      <c r="S301" s="348"/>
      <c r="T301" s="348"/>
      <c r="U301" s="348" t="s">
        <v>96</v>
      </c>
      <c r="V301" s="348" t="s">
        <v>96</v>
      </c>
      <c r="W301" s="348"/>
      <c r="X301" s="348" t="s">
        <v>96</v>
      </c>
      <c r="Y301" s="772" t="s">
        <v>96</v>
      </c>
      <c r="Z301" s="772" t="s">
        <v>96</v>
      </c>
      <c r="AA301" s="348"/>
      <c r="AB301" s="153"/>
      <c r="AC301" s="348"/>
      <c r="AD301" s="348"/>
      <c r="AE301" s="348"/>
      <c r="AF301" s="348"/>
      <c r="AG301" s="348"/>
      <c r="AH301" s="348"/>
      <c r="AI301" s="348"/>
      <c r="AJ301" s="348"/>
      <c r="AK301" s="348"/>
      <c r="AL301" s="348"/>
      <c r="AM301" s="348"/>
      <c r="AN301" s="348"/>
      <c r="AO301" s="348"/>
      <c r="AP301" s="348"/>
      <c r="AQ301" s="348"/>
      <c r="AR301" s="348"/>
      <c r="AS301" s="348"/>
      <c r="AT301" s="348"/>
      <c r="AU301" s="348"/>
      <c r="AV301" s="348"/>
      <c r="AW301" s="348"/>
      <c r="AX301" s="348"/>
      <c r="AY301" s="348"/>
      <c r="AZ301" s="348"/>
      <c r="BA301" s="348"/>
      <c r="BB301" s="348"/>
      <c r="BC301" s="348"/>
      <c r="BD301" s="348"/>
      <c r="BE301" s="348"/>
      <c r="BF301" s="348"/>
      <c r="BG301" s="348"/>
      <c r="BH301" s="348"/>
      <c r="BI301" s="348"/>
      <c r="BJ301" s="348"/>
      <c r="BK301" s="348"/>
      <c r="BL301" s="348"/>
      <c r="BM301" s="348"/>
      <c r="BN301" s="348"/>
      <c r="BO301" s="348"/>
      <c r="BP301" s="348"/>
      <c r="BQ301" s="348"/>
      <c r="BR301" s="348"/>
      <c r="BS301" s="348"/>
      <c r="BT301" s="348"/>
      <c r="BU301" s="348"/>
      <c r="BV301" s="348"/>
      <c r="BW301" s="806" t="s">
        <v>96</v>
      </c>
      <c r="BX301" s="806"/>
      <c r="BY301" s="806"/>
      <c r="BZ301" s="806" t="str">
        <f>IFERROR(__xludf.DUMMYFUNCTION("""COMPUTED_VALUE"""),"")</f>
        <v/>
      </c>
      <c r="CA301" s="806"/>
      <c r="CB301" s="806"/>
      <c r="CC301" s="806"/>
      <c r="CD301" s="806"/>
      <c r="CE301" s="806"/>
      <c r="CF301" s="806"/>
      <c r="CG301" s="806"/>
      <c r="CH301" s="806"/>
      <c r="CI301" s="806"/>
      <c r="CJ301" s="806"/>
      <c r="CK301" s="806"/>
    </row>
    <row r="302">
      <c r="A302" s="348"/>
      <c r="B302" s="348"/>
      <c r="C302" s="236"/>
      <c r="D302" s="348"/>
      <c r="E302" s="348"/>
      <c r="F302" s="348"/>
      <c r="G302" s="348"/>
      <c r="H302" s="348"/>
      <c r="I302" s="348"/>
      <c r="J302" s="348"/>
      <c r="K302" s="348"/>
      <c r="L302" s="348"/>
      <c r="M302" s="348"/>
      <c r="N302" s="348"/>
      <c r="O302" s="348"/>
      <c r="P302" s="348"/>
      <c r="Q302" s="348"/>
      <c r="R302" s="348"/>
      <c r="S302" s="348"/>
      <c r="T302" s="348"/>
      <c r="U302" s="348" t="s">
        <v>96</v>
      </c>
      <c r="V302" s="348" t="s">
        <v>96</v>
      </c>
      <c r="W302" s="348"/>
      <c r="X302" s="348" t="s">
        <v>96</v>
      </c>
      <c r="Y302" s="772" t="s">
        <v>96</v>
      </c>
      <c r="Z302" s="772" t="s">
        <v>96</v>
      </c>
      <c r="AA302" s="348"/>
      <c r="AB302" s="153"/>
      <c r="AC302" s="348"/>
      <c r="AD302" s="348"/>
      <c r="AE302" s="348"/>
      <c r="AF302" s="348"/>
      <c r="AG302" s="348"/>
      <c r="AH302" s="348"/>
      <c r="AI302" s="348"/>
      <c r="AJ302" s="348"/>
      <c r="AK302" s="348"/>
      <c r="AL302" s="348"/>
      <c r="AM302" s="348"/>
      <c r="AN302" s="348"/>
      <c r="AO302" s="348"/>
      <c r="AP302" s="348"/>
      <c r="AQ302" s="348"/>
      <c r="AR302" s="348"/>
      <c r="AS302" s="348"/>
      <c r="AT302" s="348"/>
      <c r="AU302" s="348"/>
      <c r="AV302" s="348"/>
      <c r="AW302" s="348"/>
      <c r="AX302" s="348"/>
      <c r="AY302" s="348"/>
      <c r="AZ302" s="348"/>
      <c r="BA302" s="348"/>
      <c r="BB302" s="348"/>
      <c r="BC302" s="348"/>
      <c r="BD302" s="348"/>
      <c r="BE302" s="348"/>
      <c r="BF302" s="348"/>
      <c r="BG302" s="348"/>
      <c r="BH302" s="348"/>
      <c r="BI302" s="348"/>
      <c r="BJ302" s="348"/>
      <c r="BK302" s="348"/>
      <c r="BL302" s="348"/>
      <c r="BM302" s="348"/>
      <c r="BN302" s="348"/>
      <c r="BO302" s="348"/>
      <c r="BP302" s="348"/>
      <c r="BQ302" s="348"/>
      <c r="BR302" s="348"/>
      <c r="BS302" s="348"/>
      <c r="BT302" s="348"/>
      <c r="BU302" s="348"/>
      <c r="BV302" s="348"/>
      <c r="BW302" s="806" t="s">
        <v>96</v>
      </c>
      <c r="BX302" s="806"/>
      <c r="BY302" s="806"/>
      <c r="BZ302" s="806" t="str">
        <f>IFERROR(__xludf.DUMMYFUNCTION("""COMPUTED_VALUE"""),"")</f>
        <v/>
      </c>
      <c r="CA302" s="806"/>
      <c r="CB302" s="806"/>
      <c r="CC302" s="806"/>
      <c r="CD302" s="806"/>
      <c r="CE302" s="806"/>
      <c r="CF302" s="806"/>
      <c r="CG302" s="806"/>
      <c r="CH302" s="806"/>
      <c r="CI302" s="806"/>
      <c r="CJ302" s="806"/>
      <c r="CK302" s="806"/>
    </row>
    <row r="303">
      <c r="A303" s="348"/>
      <c r="B303" s="348"/>
      <c r="C303" s="236"/>
      <c r="D303" s="348"/>
      <c r="E303" s="348"/>
      <c r="F303" s="348"/>
      <c r="G303" s="348"/>
      <c r="H303" s="348"/>
      <c r="I303" s="348"/>
      <c r="J303" s="348"/>
      <c r="K303" s="348"/>
      <c r="L303" s="348"/>
      <c r="M303" s="348"/>
      <c r="N303" s="348"/>
      <c r="O303" s="348"/>
      <c r="P303" s="348"/>
      <c r="Q303" s="348"/>
      <c r="R303" s="348"/>
      <c r="S303" s="348"/>
      <c r="T303" s="348"/>
      <c r="U303" s="348" t="s">
        <v>96</v>
      </c>
      <c r="V303" s="348" t="s">
        <v>96</v>
      </c>
      <c r="W303" s="348"/>
      <c r="X303" s="348" t="s">
        <v>96</v>
      </c>
      <c r="Y303" s="772" t="s">
        <v>96</v>
      </c>
      <c r="Z303" s="772" t="s">
        <v>96</v>
      </c>
      <c r="AA303" s="348"/>
      <c r="AB303" s="153"/>
      <c r="AC303" s="348"/>
      <c r="AD303" s="348"/>
      <c r="AE303" s="348"/>
      <c r="AF303" s="348"/>
      <c r="AG303" s="348"/>
      <c r="AH303" s="348"/>
      <c r="AI303" s="348"/>
      <c r="AJ303" s="348"/>
      <c r="AK303" s="348"/>
      <c r="AL303" s="348"/>
      <c r="AM303" s="348"/>
      <c r="AN303" s="348"/>
      <c r="AO303" s="348"/>
      <c r="AP303" s="348"/>
      <c r="AQ303" s="348"/>
      <c r="AR303" s="348"/>
      <c r="AS303" s="348"/>
      <c r="AT303" s="348"/>
      <c r="AU303" s="348"/>
      <c r="AV303" s="348"/>
      <c r="AW303" s="348"/>
      <c r="AX303" s="348"/>
      <c r="AY303" s="348"/>
      <c r="AZ303" s="348"/>
      <c r="BA303" s="348"/>
      <c r="BB303" s="348"/>
      <c r="BC303" s="348"/>
      <c r="BD303" s="348"/>
      <c r="BE303" s="348"/>
      <c r="BF303" s="348"/>
      <c r="BG303" s="348"/>
      <c r="BH303" s="348"/>
      <c r="BI303" s="348"/>
      <c r="BJ303" s="348"/>
      <c r="BK303" s="348"/>
      <c r="BL303" s="348"/>
      <c r="BM303" s="348"/>
      <c r="BN303" s="348"/>
      <c r="BO303" s="348"/>
      <c r="BP303" s="348"/>
      <c r="BQ303" s="348"/>
      <c r="BR303" s="348"/>
      <c r="BS303" s="348"/>
      <c r="BT303" s="348"/>
      <c r="BU303" s="348"/>
      <c r="BV303" s="348"/>
      <c r="BW303" s="806" t="s">
        <v>96</v>
      </c>
      <c r="BX303" s="806"/>
      <c r="BY303" s="806"/>
      <c r="BZ303" s="806" t="str">
        <f>IFERROR(__xludf.DUMMYFUNCTION("""COMPUTED_VALUE"""),"")</f>
        <v/>
      </c>
      <c r="CA303" s="806"/>
      <c r="CB303" s="806"/>
      <c r="CC303" s="806"/>
      <c r="CD303" s="806"/>
      <c r="CE303" s="806"/>
      <c r="CF303" s="806"/>
      <c r="CG303" s="806"/>
      <c r="CH303" s="806"/>
      <c r="CI303" s="806"/>
      <c r="CJ303" s="806"/>
      <c r="CK303" s="806"/>
    </row>
    <row r="304">
      <c r="A304" s="348"/>
      <c r="B304" s="348"/>
      <c r="C304" s="236"/>
      <c r="D304" s="348"/>
      <c r="E304" s="348"/>
      <c r="F304" s="348"/>
      <c r="G304" s="348"/>
      <c r="H304" s="348"/>
      <c r="I304" s="348"/>
      <c r="J304" s="348"/>
      <c r="K304" s="348"/>
      <c r="L304" s="348"/>
      <c r="M304" s="348"/>
      <c r="N304" s="348"/>
      <c r="O304" s="348"/>
      <c r="P304" s="348"/>
      <c r="Q304" s="348"/>
      <c r="R304" s="348"/>
      <c r="S304" s="348"/>
      <c r="T304" s="348"/>
      <c r="U304" s="348" t="s">
        <v>96</v>
      </c>
      <c r="V304" s="348" t="s">
        <v>96</v>
      </c>
      <c r="W304" s="348"/>
      <c r="X304" s="348" t="s">
        <v>96</v>
      </c>
      <c r="Y304" s="772" t="s">
        <v>96</v>
      </c>
      <c r="Z304" s="772" t="s">
        <v>96</v>
      </c>
      <c r="AA304" s="348"/>
      <c r="AB304" s="153"/>
      <c r="AC304" s="348"/>
      <c r="AD304" s="348"/>
      <c r="AE304" s="348"/>
      <c r="AF304" s="348"/>
      <c r="AG304" s="348"/>
      <c r="AH304" s="348"/>
      <c r="AI304" s="348"/>
      <c r="AJ304" s="348"/>
      <c r="AK304" s="348"/>
      <c r="AL304" s="348"/>
      <c r="AM304" s="348"/>
      <c r="AN304" s="348"/>
      <c r="AO304" s="348"/>
      <c r="AP304" s="348"/>
      <c r="AQ304" s="348"/>
      <c r="AR304" s="348"/>
      <c r="AS304" s="348"/>
      <c r="AT304" s="348"/>
      <c r="AU304" s="348"/>
      <c r="AV304" s="348"/>
      <c r="AW304" s="348"/>
      <c r="AX304" s="348"/>
      <c r="AY304" s="348"/>
      <c r="AZ304" s="348"/>
      <c r="BA304" s="348"/>
      <c r="BB304" s="348"/>
      <c r="BC304" s="348"/>
      <c r="BD304" s="348"/>
      <c r="BE304" s="348"/>
      <c r="BF304" s="348"/>
      <c r="BG304" s="348"/>
      <c r="BH304" s="348"/>
      <c r="BI304" s="348"/>
      <c r="BJ304" s="348"/>
      <c r="BK304" s="348"/>
      <c r="BL304" s="348"/>
      <c r="BM304" s="348"/>
      <c r="BN304" s="348"/>
      <c r="BO304" s="348"/>
      <c r="BP304" s="348"/>
      <c r="BQ304" s="348"/>
      <c r="BR304" s="348"/>
      <c r="BS304" s="348"/>
      <c r="BT304" s="348"/>
      <c r="BU304" s="348"/>
      <c r="BV304" s="348"/>
      <c r="BW304" s="806" t="s">
        <v>96</v>
      </c>
      <c r="BX304" s="806"/>
      <c r="BY304" s="806"/>
      <c r="BZ304" s="806" t="str">
        <f>IFERROR(__xludf.DUMMYFUNCTION("""COMPUTED_VALUE"""),"")</f>
        <v/>
      </c>
      <c r="CA304" s="806"/>
      <c r="CB304" s="806"/>
      <c r="CC304" s="806"/>
      <c r="CD304" s="806"/>
      <c r="CE304" s="806"/>
      <c r="CF304" s="806"/>
      <c r="CG304" s="806"/>
      <c r="CH304" s="806"/>
      <c r="CI304" s="806"/>
      <c r="CJ304" s="806"/>
      <c r="CK304" s="806"/>
    </row>
    <row r="305">
      <c r="A305" s="348"/>
      <c r="B305" s="348"/>
      <c r="C305" s="236"/>
      <c r="D305" s="348"/>
      <c r="E305" s="348"/>
      <c r="F305" s="348"/>
      <c r="G305" s="348"/>
      <c r="H305" s="348"/>
      <c r="I305" s="348"/>
      <c r="J305" s="348"/>
      <c r="K305" s="348"/>
      <c r="L305" s="348"/>
      <c r="M305" s="348"/>
      <c r="N305" s="348"/>
      <c r="O305" s="348"/>
      <c r="P305" s="348"/>
      <c r="Q305" s="348"/>
      <c r="R305" s="348"/>
      <c r="S305" s="348"/>
      <c r="T305" s="348"/>
      <c r="U305" s="348" t="s">
        <v>96</v>
      </c>
      <c r="V305" s="348" t="s">
        <v>96</v>
      </c>
      <c r="W305" s="348"/>
      <c r="X305" s="348" t="s">
        <v>96</v>
      </c>
      <c r="Y305" s="772" t="s">
        <v>96</v>
      </c>
      <c r="Z305" s="772" t="s">
        <v>96</v>
      </c>
      <c r="AA305" s="348"/>
      <c r="AB305" s="153"/>
      <c r="AC305" s="348"/>
      <c r="AD305" s="348"/>
      <c r="AE305" s="348"/>
      <c r="AF305" s="348"/>
      <c r="AG305" s="348"/>
      <c r="AH305" s="348"/>
      <c r="AI305" s="348"/>
      <c r="AJ305" s="348"/>
      <c r="AK305" s="348"/>
      <c r="AL305" s="348"/>
      <c r="AM305" s="348"/>
      <c r="AN305" s="348"/>
      <c r="AO305" s="348"/>
      <c r="AP305" s="348"/>
      <c r="AQ305" s="348"/>
      <c r="AR305" s="348"/>
      <c r="AS305" s="348"/>
      <c r="AT305" s="348"/>
      <c r="AU305" s="348"/>
      <c r="AV305" s="348"/>
      <c r="AW305" s="348"/>
      <c r="AX305" s="348"/>
      <c r="AY305" s="348"/>
      <c r="AZ305" s="348"/>
      <c r="BA305" s="348"/>
      <c r="BB305" s="348"/>
      <c r="BC305" s="348"/>
      <c r="BD305" s="348"/>
      <c r="BE305" s="348"/>
      <c r="BF305" s="348"/>
      <c r="BG305" s="348"/>
      <c r="BH305" s="348"/>
      <c r="BI305" s="348"/>
      <c r="BJ305" s="348"/>
      <c r="BK305" s="348"/>
      <c r="BL305" s="348"/>
      <c r="BM305" s="348"/>
      <c r="BN305" s="348"/>
      <c r="BO305" s="348"/>
      <c r="BP305" s="348"/>
      <c r="BQ305" s="348"/>
      <c r="BR305" s="348"/>
      <c r="BS305" s="348"/>
      <c r="BT305" s="348"/>
      <c r="BU305" s="348"/>
      <c r="BV305" s="348"/>
      <c r="BW305" s="806" t="s">
        <v>96</v>
      </c>
      <c r="BX305" s="806"/>
      <c r="BY305" s="806"/>
      <c r="BZ305" s="806" t="str">
        <f>IFERROR(__xludf.DUMMYFUNCTION("""COMPUTED_VALUE"""),"")</f>
        <v/>
      </c>
      <c r="CA305" s="806"/>
      <c r="CB305" s="806"/>
      <c r="CC305" s="806"/>
      <c r="CD305" s="806"/>
      <c r="CE305" s="806"/>
      <c r="CF305" s="806"/>
      <c r="CG305" s="806"/>
      <c r="CH305" s="806"/>
      <c r="CI305" s="806"/>
      <c r="CJ305" s="806"/>
      <c r="CK305" s="806"/>
    </row>
    <row r="306">
      <c r="A306" s="348"/>
      <c r="B306" s="348"/>
      <c r="C306" s="236"/>
      <c r="D306" s="348"/>
      <c r="E306" s="348"/>
      <c r="F306" s="348"/>
      <c r="G306" s="348"/>
      <c r="H306" s="348"/>
      <c r="I306" s="348"/>
      <c r="J306" s="348"/>
      <c r="K306" s="348"/>
      <c r="L306" s="348"/>
      <c r="M306" s="348"/>
      <c r="N306" s="348"/>
      <c r="O306" s="348"/>
      <c r="P306" s="348"/>
      <c r="Q306" s="348"/>
      <c r="R306" s="348"/>
      <c r="S306" s="348"/>
      <c r="T306" s="348"/>
      <c r="U306" s="348" t="s">
        <v>96</v>
      </c>
      <c r="V306" s="348" t="s">
        <v>96</v>
      </c>
      <c r="W306" s="348"/>
      <c r="X306" s="348" t="s">
        <v>96</v>
      </c>
      <c r="Y306" s="772" t="s">
        <v>96</v>
      </c>
      <c r="Z306" s="772" t="s">
        <v>96</v>
      </c>
      <c r="AA306" s="348"/>
      <c r="AB306" s="153"/>
      <c r="AC306" s="348"/>
      <c r="AD306" s="348"/>
      <c r="AE306" s="348"/>
      <c r="AF306" s="348"/>
      <c r="AG306" s="348"/>
      <c r="AH306" s="348"/>
      <c r="AI306" s="348"/>
      <c r="AJ306" s="348"/>
      <c r="AK306" s="348"/>
      <c r="AL306" s="348"/>
      <c r="AM306" s="348"/>
      <c r="AN306" s="348"/>
      <c r="AO306" s="348"/>
      <c r="AP306" s="348"/>
      <c r="AQ306" s="348"/>
      <c r="AR306" s="348"/>
      <c r="AS306" s="348"/>
      <c r="AT306" s="348"/>
      <c r="AU306" s="348"/>
      <c r="AV306" s="348"/>
      <c r="AW306" s="348"/>
      <c r="AX306" s="348"/>
      <c r="AY306" s="348"/>
      <c r="AZ306" s="348"/>
      <c r="BA306" s="348"/>
      <c r="BB306" s="348"/>
      <c r="BC306" s="348"/>
      <c r="BD306" s="348"/>
      <c r="BE306" s="348"/>
      <c r="BF306" s="348"/>
      <c r="BG306" s="348"/>
      <c r="BH306" s="348"/>
      <c r="BI306" s="348"/>
      <c r="BJ306" s="348"/>
      <c r="BK306" s="348"/>
      <c r="BL306" s="348"/>
      <c r="BM306" s="348"/>
      <c r="BN306" s="348"/>
      <c r="BO306" s="348"/>
      <c r="BP306" s="348"/>
      <c r="BQ306" s="348"/>
      <c r="BR306" s="348"/>
      <c r="BS306" s="348"/>
      <c r="BT306" s="348"/>
      <c r="BU306" s="348"/>
      <c r="BV306" s="348"/>
      <c r="BW306" s="806" t="s">
        <v>96</v>
      </c>
      <c r="BX306" s="806"/>
      <c r="BY306" s="806"/>
      <c r="BZ306" s="806" t="str">
        <f>IFERROR(__xludf.DUMMYFUNCTION("""COMPUTED_VALUE"""),"")</f>
        <v/>
      </c>
      <c r="CA306" s="806"/>
      <c r="CB306" s="806"/>
      <c r="CC306" s="806"/>
      <c r="CD306" s="806"/>
      <c r="CE306" s="806"/>
      <c r="CF306" s="806"/>
      <c r="CG306" s="806"/>
      <c r="CH306" s="806"/>
      <c r="CI306" s="806"/>
      <c r="CJ306" s="806"/>
      <c r="CK306" s="806"/>
    </row>
    <row r="307">
      <c r="A307" s="348"/>
      <c r="B307" s="348"/>
      <c r="C307" s="236"/>
      <c r="D307" s="348"/>
      <c r="E307" s="348"/>
      <c r="F307" s="348"/>
      <c r="G307" s="348"/>
      <c r="H307" s="348"/>
      <c r="I307" s="348"/>
      <c r="J307" s="348"/>
      <c r="K307" s="348"/>
      <c r="L307" s="348"/>
      <c r="M307" s="348"/>
      <c r="N307" s="348"/>
      <c r="O307" s="348"/>
      <c r="P307" s="348"/>
      <c r="Q307" s="348"/>
      <c r="R307" s="348"/>
      <c r="S307" s="348"/>
      <c r="T307" s="348"/>
      <c r="U307" s="348" t="s">
        <v>96</v>
      </c>
      <c r="V307" s="348" t="s">
        <v>96</v>
      </c>
      <c r="W307" s="348"/>
      <c r="X307" s="348" t="s">
        <v>96</v>
      </c>
      <c r="Y307" s="772" t="s">
        <v>96</v>
      </c>
      <c r="Z307" s="772" t="s">
        <v>96</v>
      </c>
      <c r="AA307" s="348"/>
      <c r="AB307" s="153"/>
      <c r="AC307" s="348"/>
      <c r="AD307" s="348"/>
      <c r="AE307" s="348"/>
      <c r="AF307" s="348"/>
      <c r="AG307" s="348"/>
      <c r="AH307" s="348"/>
      <c r="AI307" s="348"/>
      <c r="AJ307" s="348"/>
      <c r="AK307" s="348"/>
      <c r="AL307" s="348"/>
      <c r="AM307" s="348"/>
      <c r="AN307" s="348"/>
      <c r="AO307" s="348"/>
      <c r="AP307" s="348"/>
      <c r="AQ307" s="348"/>
      <c r="AR307" s="348"/>
      <c r="AS307" s="348"/>
      <c r="AT307" s="348"/>
      <c r="AU307" s="348"/>
      <c r="AV307" s="348"/>
      <c r="AW307" s="348"/>
      <c r="AX307" s="348"/>
      <c r="AY307" s="348"/>
      <c r="AZ307" s="348"/>
      <c r="BA307" s="348"/>
      <c r="BB307" s="348"/>
      <c r="BC307" s="348"/>
      <c r="BD307" s="348"/>
      <c r="BE307" s="348"/>
      <c r="BF307" s="348"/>
      <c r="BG307" s="348"/>
      <c r="BH307" s="348"/>
      <c r="BI307" s="348"/>
      <c r="BJ307" s="348"/>
      <c r="BK307" s="348"/>
      <c r="BL307" s="348"/>
      <c r="BM307" s="348"/>
      <c r="BN307" s="348"/>
      <c r="BO307" s="348"/>
      <c r="BP307" s="348"/>
      <c r="BQ307" s="348"/>
      <c r="BR307" s="348"/>
      <c r="BS307" s="348"/>
      <c r="BT307" s="348"/>
      <c r="BU307" s="348"/>
      <c r="BV307" s="348"/>
      <c r="BW307" s="806" t="s">
        <v>96</v>
      </c>
      <c r="BX307" s="806"/>
      <c r="BY307" s="806"/>
      <c r="BZ307" s="806" t="str">
        <f>IFERROR(__xludf.DUMMYFUNCTION("""COMPUTED_VALUE"""),"")</f>
        <v/>
      </c>
      <c r="CA307" s="806"/>
      <c r="CB307" s="806"/>
      <c r="CC307" s="806"/>
      <c r="CD307" s="806"/>
      <c r="CE307" s="806"/>
      <c r="CF307" s="806"/>
      <c r="CG307" s="806"/>
      <c r="CH307" s="806"/>
      <c r="CI307" s="806"/>
      <c r="CJ307" s="806"/>
      <c r="CK307" s="806"/>
    </row>
    <row r="308">
      <c r="A308" s="348"/>
      <c r="B308" s="348"/>
      <c r="C308" s="236"/>
      <c r="D308" s="348"/>
      <c r="E308" s="348"/>
      <c r="F308" s="348"/>
      <c r="G308" s="348"/>
      <c r="H308" s="348"/>
      <c r="I308" s="348"/>
      <c r="J308" s="348"/>
      <c r="K308" s="348"/>
      <c r="L308" s="348"/>
      <c r="M308" s="348"/>
      <c r="N308" s="348"/>
      <c r="O308" s="348"/>
      <c r="P308" s="348"/>
      <c r="Q308" s="348"/>
      <c r="R308" s="348"/>
      <c r="S308" s="348"/>
      <c r="T308" s="348"/>
      <c r="U308" s="348" t="s">
        <v>96</v>
      </c>
      <c r="V308" s="348" t="s">
        <v>96</v>
      </c>
      <c r="W308" s="348"/>
      <c r="X308" s="348" t="s">
        <v>96</v>
      </c>
      <c r="Y308" s="772" t="s">
        <v>96</v>
      </c>
      <c r="Z308" s="772" t="s">
        <v>96</v>
      </c>
      <c r="AA308" s="348"/>
      <c r="AB308" s="153"/>
      <c r="AC308" s="348"/>
      <c r="AD308" s="348"/>
      <c r="AE308" s="348"/>
      <c r="AF308" s="348"/>
      <c r="AG308" s="348"/>
      <c r="AH308" s="348"/>
      <c r="AI308" s="348"/>
      <c r="AJ308" s="348"/>
      <c r="AK308" s="348"/>
      <c r="AL308" s="348"/>
      <c r="AM308" s="348"/>
      <c r="AN308" s="348"/>
      <c r="AO308" s="348"/>
      <c r="AP308" s="348"/>
      <c r="AQ308" s="348"/>
      <c r="AR308" s="348"/>
      <c r="AS308" s="348"/>
      <c r="AT308" s="348"/>
      <c r="AU308" s="348"/>
      <c r="AV308" s="348"/>
      <c r="AW308" s="348"/>
      <c r="AX308" s="348"/>
      <c r="AY308" s="348"/>
      <c r="AZ308" s="348"/>
      <c r="BA308" s="348"/>
      <c r="BB308" s="348"/>
      <c r="BC308" s="348"/>
      <c r="BD308" s="348"/>
      <c r="BE308" s="348"/>
      <c r="BF308" s="348"/>
      <c r="BG308" s="348"/>
      <c r="BH308" s="348"/>
      <c r="BI308" s="348"/>
      <c r="BJ308" s="348"/>
      <c r="BK308" s="348"/>
      <c r="BL308" s="348"/>
      <c r="BM308" s="348"/>
      <c r="BN308" s="348"/>
      <c r="BO308" s="348"/>
      <c r="BP308" s="348"/>
      <c r="BQ308" s="348"/>
      <c r="BR308" s="348"/>
      <c r="BS308" s="348"/>
      <c r="BT308" s="348"/>
      <c r="BU308" s="348"/>
      <c r="BV308" s="348"/>
      <c r="BW308" s="806" t="s">
        <v>96</v>
      </c>
      <c r="BX308" s="806"/>
      <c r="BY308" s="806"/>
      <c r="BZ308" s="806" t="str">
        <f>IFERROR(__xludf.DUMMYFUNCTION("""COMPUTED_VALUE"""),"")</f>
        <v/>
      </c>
      <c r="CA308" s="806"/>
      <c r="CB308" s="806"/>
      <c r="CC308" s="806"/>
      <c r="CD308" s="806"/>
      <c r="CE308" s="806"/>
      <c r="CF308" s="806"/>
      <c r="CG308" s="806"/>
      <c r="CH308" s="806"/>
      <c r="CI308" s="806"/>
      <c r="CJ308" s="806"/>
      <c r="CK308" s="806"/>
    </row>
    <row r="309">
      <c r="A309" s="348"/>
      <c r="B309" s="348"/>
      <c r="C309" s="236"/>
      <c r="D309" s="348"/>
      <c r="E309" s="348"/>
      <c r="F309" s="348"/>
      <c r="G309" s="348"/>
      <c r="H309" s="348"/>
      <c r="I309" s="348"/>
      <c r="J309" s="348"/>
      <c r="K309" s="348"/>
      <c r="L309" s="348"/>
      <c r="M309" s="348"/>
      <c r="N309" s="348"/>
      <c r="O309" s="348"/>
      <c r="P309" s="348"/>
      <c r="Q309" s="348"/>
      <c r="R309" s="348"/>
      <c r="S309" s="348"/>
      <c r="T309" s="348"/>
      <c r="U309" s="348" t="s">
        <v>96</v>
      </c>
      <c r="V309" s="348" t="s">
        <v>96</v>
      </c>
      <c r="W309" s="348"/>
      <c r="X309" s="348" t="s">
        <v>96</v>
      </c>
      <c r="Y309" s="772" t="s">
        <v>96</v>
      </c>
      <c r="Z309" s="772" t="s">
        <v>96</v>
      </c>
      <c r="AA309" s="348"/>
      <c r="AB309" s="153"/>
      <c r="AC309" s="348"/>
      <c r="AD309" s="348"/>
      <c r="AE309" s="348"/>
      <c r="AF309" s="348"/>
      <c r="AG309" s="348"/>
      <c r="AH309" s="348"/>
      <c r="AI309" s="348"/>
      <c r="AJ309" s="348"/>
      <c r="AK309" s="348"/>
      <c r="AL309" s="348"/>
      <c r="AM309" s="348"/>
      <c r="AN309" s="348"/>
      <c r="AO309" s="348"/>
      <c r="AP309" s="348"/>
      <c r="AQ309" s="348"/>
      <c r="AR309" s="348"/>
      <c r="AS309" s="348"/>
      <c r="AT309" s="348"/>
      <c r="AU309" s="348"/>
      <c r="AV309" s="348"/>
      <c r="AW309" s="348"/>
      <c r="AX309" s="348"/>
      <c r="AY309" s="348"/>
      <c r="AZ309" s="348"/>
      <c r="BA309" s="348"/>
      <c r="BB309" s="348"/>
      <c r="BC309" s="348"/>
      <c r="BD309" s="348"/>
      <c r="BE309" s="348"/>
      <c r="BF309" s="348"/>
      <c r="BG309" s="348"/>
      <c r="BH309" s="348"/>
      <c r="BI309" s="348"/>
      <c r="BJ309" s="348"/>
      <c r="BK309" s="348"/>
      <c r="BL309" s="348"/>
      <c r="BM309" s="348"/>
      <c r="BN309" s="348"/>
      <c r="BO309" s="348"/>
      <c r="BP309" s="348"/>
      <c r="BQ309" s="348"/>
      <c r="BR309" s="348"/>
      <c r="BS309" s="348"/>
      <c r="BT309" s="348"/>
      <c r="BU309" s="348"/>
      <c r="BV309" s="348"/>
      <c r="BW309" s="806" t="s">
        <v>96</v>
      </c>
      <c r="BX309" s="806"/>
      <c r="BY309" s="806"/>
      <c r="BZ309" s="806" t="str">
        <f>IFERROR(__xludf.DUMMYFUNCTION("""COMPUTED_VALUE"""),"")</f>
        <v/>
      </c>
      <c r="CA309" s="806"/>
      <c r="CB309" s="806"/>
      <c r="CC309" s="806"/>
      <c r="CD309" s="806"/>
      <c r="CE309" s="806"/>
      <c r="CF309" s="806"/>
      <c r="CG309" s="806"/>
      <c r="CH309" s="806"/>
      <c r="CI309" s="806"/>
      <c r="CJ309" s="806"/>
      <c r="CK309" s="806"/>
    </row>
    <row r="310">
      <c r="A310" s="348"/>
      <c r="B310" s="348"/>
      <c r="C310" s="236"/>
      <c r="D310" s="348"/>
      <c r="E310" s="348"/>
      <c r="F310" s="348"/>
      <c r="G310" s="348"/>
      <c r="H310" s="348"/>
      <c r="I310" s="348"/>
      <c r="J310" s="348"/>
      <c r="K310" s="348"/>
      <c r="L310" s="348"/>
      <c r="M310" s="348"/>
      <c r="N310" s="348"/>
      <c r="O310" s="348"/>
      <c r="P310" s="348"/>
      <c r="Q310" s="348"/>
      <c r="R310" s="348"/>
      <c r="S310" s="348"/>
      <c r="T310" s="348"/>
      <c r="U310" s="348" t="s">
        <v>96</v>
      </c>
      <c r="V310" s="348" t="s">
        <v>96</v>
      </c>
      <c r="W310" s="348"/>
      <c r="X310" s="348" t="s">
        <v>96</v>
      </c>
      <c r="Y310" s="772" t="s">
        <v>96</v>
      </c>
      <c r="Z310" s="772" t="s">
        <v>96</v>
      </c>
      <c r="AA310" s="348"/>
      <c r="AB310" s="153"/>
      <c r="AC310" s="348"/>
      <c r="AD310" s="348"/>
      <c r="AE310" s="348"/>
      <c r="AF310" s="348"/>
      <c r="AG310" s="348"/>
      <c r="AH310" s="348"/>
      <c r="AI310" s="348"/>
      <c r="AJ310" s="348"/>
      <c r="AK310" s="348"/>
      <c r="AL310" s="348"/>
      <c r="AM310" s="348"/>
      <c r="AN310" s="348"/>
      <c r="AO310" s="348"/>
      <c r="AP310" s="348"/>
      <c r="AQ310" s="348"/>
      <c r="AR310" s="348"/>
      <c r="AS310" s="348"/>
      <c r="AT310" s="348"/>
      <c r="AU310" s="348"/>
      <c r="AV310" s="348"/>
      <c r="AW310" s="348"/>
      <c r="AX310" s="348"/>
      <c r="AY310" s="348"/>
      <c r="AZ310" s="348"/>
      <c r="BA310" s="348"/>
      <c r="BB310" s="348"/>
      <c r="BC310" s="348"/>
      <c r="BD310" s="348"/>
      <c r="BE310" s="348"/>
      <c r="BF310" s="348"/>
      <c r="BG310" s="348"/>
      <c r="BH310" s="348"/>
      <c r="BI310" s="348"/>
      <c r="BJ310" s="348"/>
      <c r="BK310" s="348"/>
      <c r="BL310" s="348"/>
      <c r="BM310" s="348"/>
      <c r="BN310" s="348"/>
      <c r="BO310" s="348"/>
      <c r="BP310" s="348"/>
      <c r="BQ310" s="348"/>
      <c r="BR310" s="348"/>
      <c r="BS310" s="348"/>
      <c r="BT310" s="348"/>
      <c r="BU310" s="348"/>
      <c r="BV310" s="348"/>
      <c r="BW310" s="806" t="s">
        <v>96</v>
      </c>
      <c r="BX310" s="806"/>
      <c r="BY310" s="806"/>
      <c r="BZ310" s="806" t="str">
        <f>IFERROR(__xludf.DUMMYFUNCTION("""COMPUTED_VALUE"""),"")</f>
        <v/>
      </c>
      <c r="CA310" s="806"/>
      <c r="CB310" s="806"/>
      <c r="CC310" s="806"/>
      <c r="CD310" s="806"/>
      <c r="CE310" s="806"/>
      <c r="CF310" s="806"/>
      <c r="CG310" s="806"/>
      <c r="CH310" s="806"/>
      <c r="CI310" s="806"/>
      <c r="CJ310" s="806"/>
      <c r="CK310" s="806"/>
    </row>
    <row r="311">
      <c r="A311" s="348"/>
      <c r="B311" s="348"/>
      <c r="C311" s="726" t="s">
        <v>607</v>
      </c>
      <c r="D311" s="348"/>
      <c r="E311" s="348"/>
      <c r="F311" s="348"/>
      <c r="G311" s="348"/>
      <c r="H311" s="348"/>
      <c r="I311" s="348"/>
      <c r="J311" s="348"/>
      <c r="K311" s="348"/>
      <c r="L311" s="348"/>
      <c r="M311" s="348"/>
      <c r="N311" s="348"/>
      <c r="O311" s="348"/>
      <c r="P311" s="348"/>
      <c r="Q311" s="348"/>
      <c r="R311" s="348"/>
      <c r="S311" s="348"/>
      <c r="T311" s="348"/>
      <c r="U311" s="348" t="s">
        <v>96</v>
      </c>
      <c r="V311" s="348" t="s">
        <v>96</v>
      </c>
      <c r="W311" s="348"/>
      <c r="X311" s="348" t="s">
        <v>96</v>
      </c>
      <c r="Y311" s="772" t="s">
        <v>96</v>
      </c>
      <c r="Z311" s="772" t="s">
        <v>96</v>
      </c>
      <c r="AA311" s="348"/>
      <c r="AB311" s="153"/>
      <c r="AC311" s="348"/>
      <c r="AD311" s="348"/>
      <c r="AE311" s="348"/>
      <c r="AF311" s="348"/>
      <c r="AG311" s="348"/>
      <c r="AH311" s="348"/>
      <c r="AI311" s="348"/>
      <c r="AJ311" s="348"/>
      <c r="AK311" s="348"/>
      <c r="AL311" s="348"/>
      <c r="AM311" s="348"/>
      <c r="AN311" s="348"/>
      <c r="AO311" s="348"/>
      <c r="AP311" s="348"/>
      <c r="AQ311" s="348"/>
      <c r="AR311" s="348"/>
      <c r="AS311" s="348"/>
      <c r="AT311" s="348"/>
      <c r="AU311" s="348"/>
      <c r="AV311" s="348"/>
      <c r="AW311" s="348"/>
      <c r="AX311" s="348"/>
      <c r="AY311" s="348"/>
      <c r="AZ311" s="348"/>
      <c r="BA311" s="348"/>
      <c r="BB311" s="348"/>
      <c r="BC311" s="348"/>
      <c r="BD311" s="348"/>
      <c r="BE311" s="348"/>
      <c r="BF311" s="348"/>
      <c r="BG311" s="348"/>
      <c r="BH311" s="348"/>
      <c r="BI311" s="348"/>
      <c r="BJ311" s="348"/>
      <c r="BK311" s="348"/>
      <c r="BL311" s="348"/>
      <c r="BM311" s="348"/>
      <c r="BN311" s="348"/>
      <c r="BO311" s="348"/>
      <c r="BP311" s="348"/>
      <c r="BQ311" s="348"/>
      <c r="BR311" s="348"/>
      <c r="BS311" s="348"/>
      <c r="BT311" s="348"/>
      <c r="BU311" s="348"/>
      <c r="BV311" s="348"/>
      <c r="BW311" s="806" t="s">
        <v>96</v>
      </c>
      <c r="BX311" s="806"/>
      <c r="BY311" s="806"/>
      <c r="BZ311" s="806"/>
      <c r="CA311" s="806"/>
      <c r="CB311" s="806"/>
      <c r="CC311" s="806"/>
      <c r="CD311" s="806"/>
      <c r="CE311" s="806"/>
      <c r="CF311" s="806"/>
      <c r="CG311" s="806"/>
      <c r="CH311" s="806"/>
      <c r="CI311" s="806"/>
      <c r="CJ311" s="806"/>
      <c r="CK311" s="806"/>
    </row>
    <row r="312">
      <c r="A312" s="348"/>
      <c r="B312" s="348"/>
      <c r="C312" s="726" t="s">
        <v>608</v>
      </c>
      <c r="D312" s="348"/>
      <c r="E312" s="348"/>
      <c r="F312" s="348"/>
      <c r="G312" s="348"/>
      <c r="H312" s="348"/>
      <c r="I312" s="348"/>
      <c r="J312" s="348"/>
      <c r="K312" s="348"/>
      <c r="L312" s="348"/>
      <c r="M312" s="348"/>
      <c r="N312" s="348"/>
      <c r="O312" s="348"/>
      <c r="P312" s="348"/>
      <c r="Q312" s="348"/>
      <c r="R312" s="348"/>
      <c r="S312" s="348"/>
      <c r="T312" s="348"/>
      <c r="U312" s="348" t="s">
        <v>96</v>
      </c>
      <c r="V312" s="348" t="s">
        <v>96</v>
      </c>
      <c r="W312" s="348"/>
      <c r="X312" s="348" t="s">
        <v>96</v>
      </c>
      <c r="Y312" s="772" t="s">
        <v>96</v>
      </c>
      <c r="Z312" s="772" t="s">
        <v>96</v>
      </c>
      <c r="AA312" s="348"/>
      <c r="AB312" s="153"/>
      <c r="AC312" s="348"/>
      <c r="AD312" s="348"/>
      <c r="AE312" s="348"/>
      <c r="AF312" s="348"/>
      <c r="AG312" s="348"/>
      <c r="AH312" s="348"/>
      <c r="AI312" s="348"/>
      <c r="AJ312" s="348"/>
      <c r="AK312" s="348"/>
      <c r="AL312" s="348"/>
      <c r="AM312" s="348"/>
      <c r="AN312" s="348"/>
      <c r="AO312" s="348"/>
      <c r="AP312" s="348"/>
      <c r="AQ312" s="348"/>
      <c r="AR312" s="348"/>
      <c r="AS312" s="348"/>
      <c r="AT312" s="348"/>
      <c r="AU312" s="348"/>
      <c r="AV312" s="348"/>
      <c r="AW312" s="348"/>
      <c r="AX312" s="348"/>
      <c r="AY312" s="348"/>
      <c r="AZ312" s="348"/>
      <c r="BA312" s="348"/>
      <c r="BB312" s="348"/>
      <c r="BC312" s="348"/>
      <c r="BD312" s="348"/>
      <c r="BE312" s="348"/>
      <c r="BF312" s="348"/>
      <c r="BG312" s="348"/>
      <c r="BH312" s="348"/>
      <c r="BI312" s="348"/>
      <c r="BJ312" s="348"/>
      <c r="BK312" s="348"/>
      <c r="BL312" s="348"/>
      <c r="BM312" s="348"/>
      <c r="BN312" s="348"/>
      <c r="BO312" s="348"/>
      <c r="BP312" s="348"/>
      <c r="BQ312" s="348"/>
      <c r="BR312" s="348"/>
      <c r="BS312" s="348"/>
      <c r="BT312" s="348"/>
      <c r="BU312" s="348"/>
      <c r="BV312" s="348"/>
      <c r="BW312" s="806" t="s">
        <v>96</v>
      </c>
      <c r="BX312" s="806"/>
      <c r="BY312" s="806"/>
      <c r="BZ312" s="806"/>
      <c r="CA312" s="806"/>
      <c r="CB312" s="806"/>
      <c r="CC312" s="806"/>
      <c r="CD312" s="806"/>
      <c r="CE312" s="806"/>
      <c r="CF312" s="806"/>
      <c r="CG312" s="806"/>
      <c r="CH312" s="806"/>
      <c r="CI312" s="806"/>
      <c r="CJ312" s="806"/>
      <c r="CK312" s="806"/>
    </row>
    <row r="313">
      <c r="A313" s="348"/>
      <c r="B313" s="348"/>
      <c r="C313" s="726" t="s">
        <v>609</v>
      </c>
      <c r="D313" s="348"/>
      <c r="E313" s="348"/>
      <c r="F313" s="348"/>
      <c r="G313" s="348"/>
      <c r="H313" s="348"/>
      <c r="I313" s="348"/>
      <c r="J313" s="348"/>
      <c r="K313" s="348"/>
      <c r="L313" s="348"/>
      <c r="M313" s="348"/>
      <c r="N313" s="348"/>
      <c r="O313" s="348"/>
      <c r="P313" s="348"/>
      <c r="Q313" s="348"/>
      <c r="R313" s="348"/>
      <c r="S313" s="348"/>
      <c r="T313" s="348"/>
      <c r="U313" s="348" t="s">
        <v>96</v>
      </c>
      <c r="V313" s="348" t="s">
        <v>96</v>
      </c>
      <c r="W313" s="348"/>
      <c r="X313" s="348" t="s">
        <v>96</v>
      </c>
      <c r="Y313" s="772" t="s">
        <v>96</v>
      </c>
      <c r="Z313" s="772" t="s">
        <v>96</v>
      </c>
      <c r="AA313" s="348"/>
      <c r="AB313" s="153"/>
      <c r="AC313" s="348"/>
      <c r="AD313" s="348"/>
      <c r="AE313" s="348"/>
      <c r="AF313" s="348"/>
      <c r="AG313" s="348"/>
      <c r="AH313" s="348"/>
      <c r="AI313" s="348"/>
      <c r="AJ313" s="348"/>
      <c r="AK313" s="348"/>
      <c r="AL313" s="348"/>
      <c r="AM313" s="348"/>
      <c r="AN313" s="348"/>
      <c r="AO313" s="348"/>
      <c r="AP313" s="348"/>
      <c r="AQ313" s="348"/>
      <c r="AR313" s="348"/>
      <c r="AS313" s="348"/>
      <c r="AT313" s="348"/>
      <c r="AU313" s="348"/>
      <c r="AV313" s="348"/>
      <c r="AW313" s="348"/>
      <c r="AX313" s="348"/>
      <c r="AY313" s="348"/>
      <c r="AZ313" s="348"/>
      <c r="BA313" s="348"/>
      <c r="BB313" s="348"/>
      <c r="BC313" s="348"/>
      <c r="BD313" s="348"/>
      <c r="BE313" s="348"/>
      <c r="BF313" s="348"/>
      <c r="BG313" s="348"/>
      <c r="BH313" s="348"/>
      <c r="BI313" s="348"/>
      <c r="BJ313" s="348"/>
      <c r="BK313" s="348"/>
      <c r="BL313" s="348"/>
      <c r="BM313" s="348"/>
      <c r="BN313" s="348"/>
      <c r="BO313" s="348"/>
      <c r="BP313" s="348"/>
      <c r="BQ313" s="348"/>
      <c r="BR313" s="348"/>
      <c r="BS313" s="348"/>
      <c r="BT313" s="348"/>
      <c r="BU313" s="348"/>
      <c r="BV313" s="348"/>
      <c r="BW313" s="806" t="s">
        <v>96</v>
      </c>
      <c r="BX313" s="806"/>
      <c r="BY313" s="806"/>
      <c r="BZ313" s="806"/>
      <c r="CA313" s="806"/>
      <c r="CB313" s="806"/>
      <c r="CC313" s="806"/>
      <c r="CD313" s="806"/>
      <c r="CE313" s="806"/>
      <c r="CF313" s="806"/>
      <c r="CG313" s="806"/>
      <c r="CH313" s="806"/>
      <c r="CI313" s="806"/>
      <c r="CJ313" s="806"/>
      <c r="CK313" s="806"/>
    </row>
    <row r="314">
      <c r="A314" s="348"/>
      <c r="B314" s="348"/>
      <c r="C314" s="726" t="s">
        <v>610</v>
      </c>
      <c r="D314" s="348"/>
      <c r="E314" s="348"/>
      <c r="F314" s="348"/>
      <c r="G314" s="348"/>
      <c r="H314" s="348"/>
      <c r="I314" s="348"/>
      <c r="J314" s="348"/>
      <c r="K314" s="348"/>
      <c r="L314" s="348"/>
      <c r="M314" s="348"/>
      <c r="N314" s="348"/>
      <c r="O314" s="348"/>
      <c r="P314" s="348"/>
      <c r="Q314" s="348"/>
      <c r="R314" s="348"/>
      <c r="S314" s="348"/>
      <c r="T314" s="348"/>
      <c r="U314" s="348" t="s">
        <v>96</v>
      </c>
      <c r="V314" s="348" t="s">
        <v>96</v>
      </c>
      <c r="W314" s="348"/>
      <c r="X314" s="348" t="s">
        <v>96</v>
      </c>
      <c r="Y314" s="772" t="s">
        <v>96</v>
      </c>
      <c r="Z314" s="772" t="s">
        <v>96</v>
      </c>
      <c r="AA314" s="348"/>
      <c r="AB314" s="153"/>
      <c r="AC314" s="348"/>
      <c r="AD314" s="348"/>
      <c r="AE314" s="348"/>
      <c r="AF314" s="348"/>
      <c r="AG314" s="348"/>
      <c r="AH314" s="348"/>
      <c r="AI314" s="348"/>
      <c r="AJ314" s="348"/>
      <c r="AK314" s="348"/>
      <c r="AL314" s="348"/>
      <c r="AM314" s="348"/>
      <c r="AN314" s="348"/>
      <c r="AO314" s="348"/>
      <c r="AP314" s="348"/>
      <c r="AQ314" s="348"/>
      <c r="AR314" s="348"/>
      <c r="AS314" s="348"/>
      <c r="AT314" s="348"/>
      <c r="AU314" s="348"/>
      <c r="AV314" s="348"/>
      <c r="AW314" s="348"/>
      <c r="AX314" s="348"/>
      <c r="AY314" s="348"/>
      <c r="AZ314" s="348"/>
      <c r="BA314" s="348"/>
      <c r="BB314" s="348"/>
      <c r="BC314" s="348"/>
      <c r="BD314" s="348"/>
      <c r="BE314" s="348"/>
      <c r="BF314" s="348"/>
      <c r="BG314" s="348"/>
      <c r="BH314" s="348"/>
      <c r="BI314" s="348"/>
      <c r="BJ314" s="348"/>
      <c r="BK314" s="348"/>
      <c r="BL314" s="348"/>
      <c r="BM314" s="348"/>
      <c r="BN314" s="348"/>
      <c r="BO314" s="348"/>
      <c r="BP314" s="348"/>
      <c r="BQ314" s="348"/>
      <c r="BR314" s="348"/>
      <c r="BS314" s="348"/>
      <c r="BT314" s="348"/>
      <c r="BU314" s="348"/>
      <c r="BV314" s="348"/>
      <c r="BW314" s="806" t="s">
        <v>96</v>
      </c>
      <c r="BX314" s="806"/>
      <c r="BY314" s="806"/>
      <c r="BZ314" s="806"/>
      <c r="CA314" s="806"/>
      <c r="CB314" s="806"/>
      <c r="CC314" s="806"/>
      <c r="CD314" s="806"/>
      <c r="CE314" s="806"/>
      <c r="CF314" s="806"/>
      <c r="CG314" s="806"/>
      <c r="CH314" s="806"/>
      <c r="CI314" s="806"/>
      <c r="CJ314" s="806"/>
      <c r="CK314" s="806"/>
    </row>
    <row r="315">
      <c r="A315" s="348"/>
      <c r="B315" s="348"/>
      <c r="C315" s="726" t="s">
        <v>611</v>
      </c>
      <c r="D315" s="348"/>
      <c r="E315" s="348"/>
      <c r="F315" s="348"/>
      <c r="G315" s="348"/>
      <c r="H315" s="348"/>
      <c r="I315" s="348"/>
      <c r="J315" s="348"/>
      <c r="K315" s="348"/>
      <c r="L315" s="348"/>
      <c r="M315" s="348"/>
      <c r="N315" s="348"/>
      <c r="O315" s="348"/>
      <c r="P315" s="348"/>
      <c r="Q315" s="348"/>
      <c r="R315" s="348"/>
      <c r="S315" s="348"/>
      <c r="T315" s="348"/>
      <c r="U315" s="348" t="s">
        <v>96</v>
      </c>
      <c r="V315" s="348" t="s">
        <v>96</v>
      </c>
      <c r="W315" s="348"/>
      <c r="X315" s="348" t="s">
        <v>96</v>
      </c>
      <c r="Y315" s="772" t="s">
        <v>96</v>
      </c>
      <c r="Z315" s="772" t="s">
        <v>96</v>
      </c>
      <c r="AA315" s="348"/>
      <c r="AB315" s="153"/>
      <c r="AC315" s="348"/>
      <c r="AD315" s="348"/>
      <c r="AE315" s="348"/>
      <c r="AF315" s="348"/>
      <c r="AG315" s="348"/>
      <c r="AH315" s="348"/>
      <c r="AI315" s="348"/>
      <c r="AJ315" s="348"/>
      <c r="AK315" s="348"/>
      <c r="AL315" s="348"/>
      <c r="AM315" s="348"/>
      <c r="AN315" s="348"/>
      <c r="AO315" s="348"/>
      <c r="AP315" s="348"/>
      <c r="AQ315" s="348"/>
      <c r="AR315" s="348"/>
      <c r="AS315" s="348"/>
      <c r="AT315" s="348"/>
      <c r="AU315" s="348"/>
      <c r="AV315" s="348"/>
      <c r="AW315" s="348"/>
      <c r="AX315" s="348"/>
      <c r="AY315" s="348"/>
      <c r="AZ315" s="348"/>
      <c r="BA315" s="348"/>
      <c r="BB315" s="348"/>
      <c r="BC315" s="348"/>
      <c r="BD315" s="348"/>
      <c r="BE315" s="348"/>
      <c r="BF315" s="348"/>
      <c r="BG315" s="348"/>
      <c r="BH315" s="348"/>
      <c r="BI315" s="348"/>
      <c r="BJ315" s="348"/>
      <c r="BK315" s="348"/>
      <c r="BL315" s="348"/>
      <c r="BM315" s="348"/>
      <c r="BN315" s="348"/>
      <c r="BO315" s="348"/>
      <c r="BP315" s="348"/>
      <c r="BQ315" s="348"/>
      <c r="BR315" s="348"/>
      <c r="BS315" s="348"/>
      <c r="BT315" s="348"/>
      <c r="BU315" s="348"/>
      <c r="BV315" s="348"/>
      <c r="BW315" s="806" t="s">
        <v>96</v>
      </c>
      <c r="BX315" s="806"/>
      <c r="BY315" s="806"/>
      <c r="BZ315" s="806"/>
      <c r="CA315" s="806"/>
      <c r="CB315" s="806"/>
      <c r="CC315" s="806"/>
      <c r="CD315" s="806"/>
      <c r="CE315" s="806"/>
      <c r="CF315" s="806"/>
      <c r="CG315" s="806"/>
      <c r="CH315" s="806"/>
      <c r="CI315" s="806"/>
      <c r="CJ315" s="806"/>
      <c r="CK315" s="806"/>
    </row>
    <row r="316">
      <c r="A316" s="348"/>
      <c r="B316" s="348"/>
      <c r="C316" s="726" t="s">
        <v>612</v>
      </c>
      <c r="D316" s="348"/>
      <c r="E316" s="348"/>
      <c r="F316" s="348"/>
      <c r="G316" s="348"/>
      <c r="H316" s="348"/>
      <c r="I316" s="348"/>
      <c r="J316" s="348"/>
      <c r="K316" s="348"/>
      <c r="L316" s="348"/>
      <c r="M316" s="348"/>
      <c r="N316" s="348"/>
      <c r="O316" s="348"/>
      <c r="P316" s="348"/>
      <c r="Q316" s="348"/>
      <c r="R316" s="348"/>
      <c r="S316" s="348"/>
      <c r="T316" s="348"/>
      <c r="U316" s="348" t="s">
        <v>96</v>
      </c>
      <c r="V316" s="348" t="s">
        <v>96</v>
      </c>
      <c r="W316" s="348"/>
      <c r="X316" s="348" t="s">
        <v>96</v>
      </c>
      <c r="Y316" s="772" t="s">
        <v>96</v>
      </c>
      <c r="Z316" s="772" t="s">
        <v>96</v>
      </c>
      <c r="AA316" s="348"/>
      <c r="AB316" s="153"/>
      <c r="AC316" s="348"/>
      <c r="AD316" s="348"/>
      <c r="AE316" s="348"/>
      <c r="AF316" s="348"/>
      <c r="AG316" s="348"/>
      <c r="AH316" s="348"/>
      <c r="AI316" s="348"/>
      <c r="AJ316" s="348"/>
      <c r="AK316" s="348"/>
      <c r="AL316" s="348"/>
      <c r="AM316" s="348"/>
      <c r="AN316" s="348"/>
      <c r="AO316" s="348"/>
      <c r="AP316" s="348"/>
      <c r="AQ316" s="348"/>
      <c r="AR316" s="348"/>
      <c r="AS316" s="348"/>
      <c r="AT316" s="348"/>
      <c r="AU316" s="348"/>
      <c r="AV316" s="348"/>
      <c r="AW316" s="348"/>
      <c r="AX316" s="348"/>
      <c r="AY316" s="348"/>
      <c r="AZ316" s="348"/>
      <c r="BA316" s="348"/>
      <c r="BB316" s="348"/>
      <c r="BC316" s="348"/>
      <c r="BD316" s="348"/>
      <c r="BE316" s="348"/>
      <c r="BF316" s="348"/>
      <c r="BG316" s="348"/>
      <c r="BH316" s="348"/>
      <c r="BI316" s="348"/>
      <c r="BJ316" s="348"/>
      <c r="BK316" s="348"/>
      <c r="BL316" s="348"/>
      <c r="BM316" s="348"/>
      <c r="BN316" s="348"/>
      <c r="BO316" s="348"/>
      <c r="BP316" s="348"/>
      <c r="BQ316" s="348"/>
      <c r="BR316" s="348"/>
      <c r="BS316" s="348"/>
      <c r="BT316" s="348"/>
      <c r="BU316" s="348"/>
      <c r="BV316" s="348"/>
      <c r="BW316" s="806" t="s">
        <v>96</v>
      </c>
      <c r="BX316" s="806"/>
      <c r="BY316" s="806"/>
      <c r="BZ316" s="806"/>
      <c r="CA316" s="806"/>
      <c r="CB316" s="806"/>
      <c r="CC316" s="806"/>
      <c r="CD316" s="806"/>
      <c r="CE316" s="806"/>
      <c r="CF316" s="806"/>
      <c r="CG316" s="806"/>
      <c r="CH316" s="806"/>
      <c r="CI316" s="806"/>
      <c r="CJ316" s="806"/>
      <c r="CK316" s="806"/>
    </row>
    <row r="317">
      <c r="A317" s="348"/>
      <c r="B317" s="348"/>
      <c r="C317" s="726" t="s">
        <v>613</v>
      </c>
      <c r="D317" s="348"/>
      <c r="E317" s="348"/>
      <c r="F317" s="348"/>
      <c r="G317" s="348"/>
      <c r="H317" s="348"/>
      <c r="I317" s="348"/>
      <c r="J317" s="348"/>
      <c r="K317" s="348"/>
      <c r="L317" s="348"/>
      <c r="M317" s="348"/>
      <c r="N317" s="348"/>
      <c r="O317" s="348"/>
      <c r="P317" s="348"/>
      <c r="Q317" s="348"/>
      <c r="R317" s="348"/>
      <c r="S317" s="348"/>
      <c r="T317" s="348"/>
      <c r="U317" s="348" t="s">
        <v>96</v>
      </c>
      <c r="V317" s="348" t="s">
        <v>96</v>
      </c>
      <c r="W317" s="348"/>
      <c r="X317" s="348" t="s">
        <v>96</v>
      </c>
      <c r="Y317" s="772" t="s">
        <v>96</v>
      </c>
      <c r="Z317" s="772" t="s">
        <v>96</v>
      </c>
      <c r="AA317" s="348"/>
      <c r="AB317" s="153"/>
      <c r="AC317" s="348"/>
      <c r="AD317" s="348"/>
      <c r="AE317" s="348"/>
      <c r="AF317" s="348"/>
      <c r="AG317" s="348"/>
      <c r="AH317" s="348"/>
      <c r="AI317" s="348"/>
      <c r="AJ317" s="348"/>
      <c r="AK317" s="348"/>
      <c r="AL317" s="348"/>
      <c r="AM317" s="348"/>
      <c r="AN317" s="348"/>
      <c r="AO317" s="348"/>
      <c r="AP317" s="348"/>
      <c r="AQ317" s="348"/>
      <c r="AR317" s="348"/>
      <c r="AS317" s="348"/>
      <c r="AT317" s="348"/>
      <c r="AU317" s="348"/>
      <c r="AV317" s="348"/>
      <c r="AW317" s="348"/>
      <c r="AX317" s="348"/>
      <c r="AY317" s="348"/>
      <c r="AZ317" s="348"/>
      <c r="BA317" s="348"/>
      <c r="BB317" s="348"/>
      <c r="BC317" s="348"/>
      <c r="BD317" s="348"/>
      <c r="BE317" s="348"/>
      <c r="BF317" s="348"/>
      <c r="BG317" s="348"/>
      <c r="BH317" s="348"/>
      <c r="BI317" s="348"/>
      <c r="BJ317" s="348"/>
      <c r="BK317" s="348"/>
      <c r="BL317" s="348"/>
      <c r="BM317" s="348"/>
      <c r="BN317" s="348"/>
      <c r="BO317" s="348"/>
      <c r="BP317" s="348"/>
      <c r="BQ317" s="348"/>
      <c r="BR317" s="348"/>
      <c r="BS317" s="348"/>
      <c r="BT317" s="348"/>
      <c r="BU317" s="348"/>
      <c r="BV317" s="348"/>
      <c r="BW317" s="806" t="s">
        <v>96</v>
      </c>
      <c r="BX317" s="806"/>
      <c r="BY317" s="806"/>
      <c r="BZ317" s="806"/>
      <c r="CA317" s="806"/>
      <c r="CB317" s="806"/>
      <c r="CC317" s="806"/>
      <c r="CD317" s="806"/>
      <c r="CE317" s="806"/>
      <c r="CF317" s="806"/>
      <c r="CG317" s="806"/>
      <c r="CH317" s="806"/>
      <c r="CI317" s="806"/>
      <c r="CJ317" s="806"/>
      <c r="CK317" s="806"/>
    </row>
    <row r="318">
      <c r="A318" s="348"/>
      <c r="B318" s="348"/>
      <c r="C318" s="726" t="s">
        <v>614</v>
      </c>
      <c r="D318" s="348"/>
      <c r="E318" s="348"/>
      <c r="F318" s="348"/>
      <c r="G318" s="348"/>
      <c r="H318" s="348"/>
      <c r="I318" s="348"/>
      <c r="J318" s="348"/>
      <c r="K318" s="348"/>
      <c r="L318" s="348"/>
      <c r="M318" s="348"/>
      <c r="N318" s="348"/>
      <c r="O318" s="348"/>
      <c r="P318" s="348"/>
      <c r="Q318" s="348"/>
      <c r="R318" s="348"/>
      <c r="S318" s="348"/>
      <c r="T318" s="348"/>
      <c r="U318" s="348" t="s">
        <v>96</v>
      </c>
      <c r="V318" s="348" t="s">
        <v>96</v>
      </c>
      <c r="W318" s="348"/>
      <c r="X318" s="348" t="s">
        <v>96</v>
      </c>
      <c r="Y318" s="772" t="s">
        <v>96</v>
      </c>
      <c r="Z318" s="772" t="s">
        <v>96</v>
      </c>
      <c r="AA318" s="348"/>
      <c r="AB318" s="153"/>
      <c r="AC318" s="348"/>
      <c r="AD318" s="348"/>
      <c r="AE318" s="348"/>
      <c r="AF318" s="348"/>
      <c r="AG318" s="348"/>
      <c r="AH318" s="348"/>
      <c r="AI318" s="348"/>
      <c r="AJ318" s="348"/>
      <c r="AK318" s="348"/>
      <c r="AL318" s="348"/>
      <c r="AM318" s="348"/>
      <c r="AN318" s="348"/>
      <c r="AO318" s="348"/>
      <c r="AP318" s="348"/>
      <c r="AQ318" s="348"/>
      <c r="AR318" s="348"/>
      <c r="AS318" s="348"/>
      <c r="AT318" s="348"/>
      <c r="AU318" s="348"/>
      <c r="AV318" s="348"/>
      <c r="AW318" s="348"/>
      <c r="AX318" s="348"/>
      <c r="AY318" s="348"/>
      <c r="AZ318" s="348"/>
      <c r="BA318" s="348"/>
      <c r="BB318" s="348"/>
      <c r="BC318" s="348"/>
      <c r="BD318" s="348"/>
      <c r="BE318" s="348"/>
      <c r="BF318" s="348"/>
      <c r="BG318" s="348"/>
      <c r="BH318" s="348"/>
      <c r="BI318" s="348"/>
      <c r="BJ318" s="348"/>
      <c r="BK318" s="348"/>
      <c r="BL318" s="348"/>
      <c r="BM318" s="348"/>
      <c r="BN318" s="348"/>
      <c r="BO318" s="348"/>
      <c r="BP318" s="348"/>
      <c r="BQ318" s="348"/>
      <c r="BR318" s="348"/>
      <c r="BS318" s="348"/>
      <c r="BT318" s="348"/>
      <c r="BU318" s="348"/>
      <c r="BV318" s="348"/>
      <c r="BW318" s="806" t="s">
        <v>96</v>
      </c>
      <c r="BX318" s="806"/>
      <c r="BY318" s="806"/>
      <c r="BZ318" s="806"/>
      <c r="CA318" s="806"/>
      <c r="CB318" s="806"/>
      <c r="CC318" s="806"/>
      <c r="CD318" s="806"/>
      <c r="CE318" s="806"/>
      <c r="CF318" s="806"/>
      <c r="CG318" s="806"/>
      <c r="CH318" s="806"/>
      <c r="CI318" s="806"/>
      <c r="CJ318" s="806"/>
      <c r="CK318" s="806"/>
    </row>
    <row r="319">
      <c r="A319" s="348"/>
      <c r="B319" s="348"/>
      <c r="C319" s="726" t="s">
        <v>615</v>
      </c>
      <c r="D319" s="348"/>
      <c r="E319" s="348"/>
      <c r="F319" s="348"/>
      <c r="G319" s="348"/>
      <c r="H319" s="348"/>
      <c r="I319" s="348"/>
      <c r="J319" s="348"/>
      <c r="K319" s="348"/>
      <c r="L319" s="348"/>
      <c r="M319" s="348"/>
      <c r="N319" s="348"/>
      <c r="O319" s="348"/>
      <c r="P319" s="348"/>
      <c r="Q319" s="348"/>
      <c r="R319" s="348"/>
      <c r="S319" s="348"/>
      <c r="T319" s="348"/>
      <c r="U319" s="348" t="s">
        <v>96</v>
      </c>
      <c r="V319" s="348" t="s">
        <v>96</v>
      </c>
      <c r="W319" s="348"/>
      <c r="X319" s="348" t="s">
        <v>96</v>
      </c>
      <c r="Y319" s="772" t="s">
        <v>96</v>
      </c>
      <c r="Z319" s="772" t="s">
        <v>96</v>
      </c>
      <c r="AA319" s="348"/>
      <c r="AB319" s="153"/>
      <c r="AC319" s="348"/>
      <c r="AD319" s="348"/>
      <c r="AE319" s="348"/>
      <c r="AF319" s="348"/>
      <c r="AG319" s="348"/>
      <c r="AH319" s="348"/>
      <c r="AI319" s="348"/>
      <c r="AJ319" s="348"/>
      <c r="AK319" s="348"/>
      <c r="AL319" s="348"/>
      <c r="AM319" s="348"/>
      <c r="AN319" s="348"/>
      <c r="AO319" s="348"/>
      <c r="AP319" s="348"/>
      <c r="AQ319" s="348"/>
      <c r="AR319" s="348"/>
      <c r="AS319" s="348"/>
      <c r="AT319" s="348"/>
      <c r="AU319" s="348"/>
      <c r="AV319" s="348"/>
      <c r="AW319" s="348"/>
      <c r="AX319" s="348"/>
      <c r="AY319" s="348"/>
      <c r="AZ319" s="348"/>
      <c r="BA319" s="348"/>
      <c r="BB319" s="348"/>
      <c r="BC319" s="348"/>
      <c r="BD319" s="348"/>
      <c r="BE319" s="348"/>
      <c r="BF319" s="348"/>
      <c r="BG319" s="348"/>
      <c r="BH319" s="348"/>
      <c r="BI319" s="348"/>
      <c r="BJ319" s="348"/>
      <c r="BK319" s="348"/>
      <c r="BL319" s="348"/>
      <c r="BM319" s="348"/>
      <c r="BN319" s="348"/>
      <c r="BO319" s="348"/>
      <c r="BP319" s="348"/>
      <c r="BQ319" s="348"/>
      <c r="BR319" s="348"/>
      <c r="BS319" s="348"/>
      <c r="BT319" s="348"/>
      <c r="BU319" s="348"/>
      <c r="BV319" s="348"/>
      <c r="BW319" s="806" t="s">
        <v>96</v>
      </c>
      <c r="BX319" s="806"/>
      <c r="BY319" s="806"/>
      <c r="BZ319" s="806"/>
      <c r="CA319" s="806"/>
      <c r="CB319" s="806"/>
      <c r="CC319" s="806"/>
      <c r="CD319" s="806"/>
      <c r="CE319" s="806"/>
      <c r="CF319" s="806"/>
      <c r="CG319" s="806"/>
      <c r="CH319" s="806"/>
      <c r="CI319" s="806"/>
      <c r="CJ319" s="806"/>
      <c r="CK319" s="806"/>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Right="0"/>
  </sheetPr>
  <sheetViews>
    <sheetView workbookViewId="0"/>
  </sheetViews>
  <sheetFormatPr customHeight="1" defaultColWidth="12.63" defaultRowHeight="15.75" outlineLevelRow="1"/>
  <cols>
    <col customWidth="1" min="1" max="1" width="4.5"/>
    <col customWidth="1" min="2" max="2" width="26.38"/>
    <col collapsed="1" customWidth="1" min="3" max="3" width="8.38"/>
    <col customWidth="1" hidden="1" min="4" max="4" width="11.5" outlineLevel="1"/>
    <col collapsed="1" customWidth="1" min="5" max="5" width="2.25"/>
    <col customWidth="1" hidden="1" min="6" max="9" width="2.75" outlineLevel="1"/>
    <col customWidth="1" min="10" max="10" width="4.5"/>
    <col collapsed="1" customWidth="1" min="11" max="11" width="24.0"/>
    <col customWidth="1" hidden="1" min="12" max="12" width="21.0" outlineLevel="1"/>
    <col customWidth="1" hidden="1" min="13" max="15" width="15.0" outlineLevel="1"/>
    <col customWidth="1" min="16" max="16" width="4.38"/>
    <col customWidth="1" min="17" max="17" width="3.88"/>
    <col customWidth="1" min="18" max="18" width="7.63"/>
    <col collapsed="1" customWidth="1" min="19" max="19" width="8.0"/>
    <col customWidth="1" hidden="1" min="20" max="20" width="7.88" outlineLevel="1"/>
    <col customWidth="1" min="21" max="21" width="4.38"/>
    <col customWidth="1" min="22" max="22" width="6.38"/>
    <col customWidth="1" min="23" max="23" width="12.5"/>
    <col collapsed="1" customWidth="1" min="24" max="24" width="9.75"/>
    <col customWidth="1" hidden="1" min="25" max="26" width="11.88" outlineLevel="1"/>
    <col customWidth="1" min="27" max="27" width="13.0"/>
    <col collapsed="1" customWidth="1" min="28" max="28" width="11.38"/>
    <col customWidth="1" hidden="1" min="29" max="31" width="3.25" outlineLevel="1"/>
    <col customWidth="1" min="32" max="33" width="8.5"/>
    <col collapsed="1" customWidth="1" min="34" max="34" width="8.88"/>
    <col customWidth="1" hidden="1" min="35" max="35" width="12.63" outlineLevel="1"/>
    <col customWidth="1" hidden="1" min="36" max="37" width="9.25" outlineLevel="1"/>
    <col customWidth="1" hidden="1" min="38" max="38" width="12.63" outlineLevel="1"/>
    <col customWidth="1" hidden="1" min="39" max="39" width="10.13" outlineLevel="1"/>
    <col customWidth="1" min="40" max="40" width="12.0"/>
    <col customWidth="1" min="41" max="41" width="12.75" outlineLevel="1"/>
    <col customWidth="1" min="42" max="42" width="12.0" outlineLevel="1"/>
    <col customWidth="1" min="43" max="43" width="10.25" outlineLevel="1"/>
    <col customWidth="1" min="44" max="44" width="8.0" outlineLevel="1"/>
    <col customWidth="1" min="45" max="45" width="8.63" outlineLevel="1"/>
    <col customWidth="1" min="46" max="46" width="8.0" outlineLevel="1"/>
    <col customWidth="1" min="47" max="47" width="10.25" outlineLevel="1"/>
    <col customWidth="1" min="48" max="48" width="11.88" outlineLevel="1"/>
    <col customWidth="1" min="49" max="49" width="5.5"/>
    <col customWidth="1" min="50" max="50" width="10.25" outlineLevel="1"/>
    <col customWidth="1" min="51" max="51" width="5.75" outlineLevel="1"/>
    <col customWidth="1" min="52" max="52" width="2.13" outlineLevel="1"/>
    <col customWidth="1" min="53" max="53" width="4.75"/>
    <col customWidth="1" min="54" max="54" width="8.38" outlineLevel="1"/>
    <col customWidth="1" min="55" max="55" width="7.0" outlineLevel="1"/>
    <col customWidth="1" min="56" max="56" width="13.88" outlineLevel="1"/>
    <col min="57" max="59" width="12.63" outlineLevel="1"/>
    <col customWidth="1" min="60" max="60" width="11.13" outlineLevel="1"/>
    <col customWidth="1" min="61" max="61" width="8.63" outlineLevel="1"/>
    <col customWidth="1" min="62" max="62" width="6.38" outlineLevel="1"/>
    <col customWidth="1" min="63" max="63" width="8.0" outlineLevel="1"/>
    <col customWidth="1" min="64" max="64" width="12.75" outlineLevel="1"/>
    <col customWidth="1" min="65" max="65" width="17.38" outlineLevel="1"/>
    <col customWidth="1" min="66" max="66" width="9.88" outlineLevel="1"/>
    <col customWidth="1" min="67" max="67" width="2.13" outlineLevel="1"/>
    <col customWidth="1" min="68" max="68" width="5.25"/>
    <col customWidth="1" min="69" max="69" width="15.0" outlineLevel="1"/>
    <col customWidth="1" hidden="1" min="70" max="70" width="8.88" outlineLevel="1"/>
    <col customWidth="1" min="71" max="71" width="7.0" outlineLevel="1"/>
    <col customWidth="1" min="72" max="72" width="9.13" outlineLevel="1"/>
    <col customWidth="1" min="73" max="73" width="11.38" outlineLevel="1"/>
    <col customWidth="1" min="74" max="74" width="8.38" outlineLevel="1"/>
    <col customWidth="1" min="75" max="75" width="8.25" outlineLevel="1"/>
    <col customWidth="1" min="76" max="76" width="10.5" outlineLevel="1"/>
    <col customWidth="1" min="77" max="77" width="17.38" outlineLevel="1"/>
    <col customWidth="1" min="78" max="78" width="13.88" outlineLevel="1"/>
    <col customWidth="1" min="79" max="79" width="13.13" outlineLevel="1"/>
    <col customWidth="1" min="80" max="80" width="2.5" outlineLevel="1"/>
    <col customWidth="1" min="81" max="81" width="3.25" outlineLevel="1"/>
  </cols>
  <sheetData>
    <row r="1" hidden="1" outlineLevel="1">
      <c r="A1" s="821" t="str">
        <f>IFERROR(__xludf.DUMMYFUNCTION("IMPORTRANGE( 'S-10 Для Внешней Оплаты'!$F$6, ""'6 Оплаты Внешняя'!A1:D"")"),"#N/A")</f>
        <v>#N/A</v>
      </c>
      <c r="B1" s="84"/>
      <c r="C1" s="348"/>
      <c r="D1" s="348"/>
      <c r="E1" s="84"/>
      <c r="F1" s="84"/>
      <c r="G1" s="822" t="str">
        <f>IFERROR(__xludf.DUMMYFUNCTION("LAMBDA(theData,theUrl,theEmpty, IF(theUrl="""", {theEmpty;{"""","""","""","""",""Нет внешней таблицы оплат. ошибка""}},IF( ISERR(theData), {theEmpty;{"""","""","""",theData,""&lt;&lt; Откройте доступ ошибка""};{"""","""","""",theUrl,""&lt;&lt; Внешняя таблица оплат"""&amp;"}},theData)))(IMPORTRANGE( 'S-10 Для Внешней Оплаты'!$F$6, 'S-10 Для Внешней Оплаты'!$D$6),'S-10 Для Внешней Оплаты'!$F$6,AT1:AX9)"),"")</f>
        <v/>
      </c>
      <c r="H1" s="84"/>
      <c r="I1" s="84"/>
      <c r="J1" s="823"/>
      <c r="K1" s="824"/>
      <c r="L1" s="824"/>
      <c r="M1" s="824"/>
      <c r="N1" s="824"/>
      <c r="O1" s="824"/>
      <c r="P1" s="826"/>
      <c r="Q1" s="827"/>
      <c r="R1" s="829"/>
      <c r="S1" s="829"/>
      <c r="T1" s="831"/>
      <c r="U1" s="831"/>
      <c r="V1" s="833"/>
      <c r="W1" s="834"/>
      <c r="X1" s="827"/>
      <c r="Y1" s="831"/>
      <c r="Z1" s="831"/>
      <c r="AA1" s="833"/>
      <c r="AB1" s="831"/>
      <c r="AC1" s="834"/>
      <c r="AD1" s="834"/>
      <c r="AE1" s="834"/>
      <c r="AF1" s="834"/>
      <c r="AG1" s="834"/>
      <c r="AH1" s="835"/>
      <c r="AI1" s="834"/>
      <c r="AJ1" s="834"/>
      <c r="AK1" s="834"/>
      <c r="AL1" s="834"/>
      <c r="AM1" s="834"/>
      <c r="AN1" s="834"/>
      <c r="AO1" s="834"/>
      <c r="AP1" s="833"/>
      <c r="AQ1" s="834"/>
      <c r="AR1" s="833"/>
      <c r="AS1" s="829"/>
      <c r="AT1" s="836"/>
      <c r="AU1" s="837"/>
      <c r="AV1" s="837"/>
      <c r="AW1" s="838"/>
      <c r="AX1" s="838"/>
      <c r="AY1" s="838"/>
      <c r="AZ1" s="838"/>
      <c r="BA1" s="840"/>
      <c r="BB1" s="841"/>
      <c r="BC1" s="843"/>
      <c r="BD1" s="840"/>
      <c r="BE1" s="840"/>
      <c r="BF1" s="840"/>
      <c r="BG1" s="840"/>
      <c r="BH1" s="845"/>
      <c r="BI1" s="846"/>
      <c r="BJ1" s="845"/>
      <c r="BK1" s="847"/>
      <c r="BL1" s="840"/>
      <c r="BM1" s="848"/>
      <c r="BN1" s="845"/>
      <c r="BO1" s="845"/>
      <c r="BP1" s="849"/>
      <c r="BQ1" s="850"/>
      <c r="BR1" s="851"/>
      <c r="BS1" s="852"/>
      <c r="BT1" s="853"/>
      <c r="BU1" s="853"/>
      <c r="BV1" s="854"/>
      <c r="BW1" s="854"/>
      <c r="BX1" s="854"/>
      <c r="BY1" s="855"/>
      <c r="BZ1" s="855"/>
      <c r="CA1" s="854"/>
      <c r="CB1" s="857"/>
      <c r="CC1" s="857"/>
    </row>
    <row r="2" ht="18.0" hidden="1" customHeight="1" outlineLevel="1">
      <c r="A2" s="821"/>
      <c r="B2" s="859"/>
      <c r="C2" s="861"/>
      <c r="D2" s="861"/>
      <c r="E2" s="859"/>
      <c r="F2" s="859"/>
      <c r="G2" s="863"/>
      <c r="H2" s="863"/>
      <c r="I2" s="865"/>
      <c r="J2" s="823"/>
      <c r="K2" s="824"/>
      <c r="L2" s="824"/>
      <c r="M2" s="824"/>
      <c r="N2" s="824"/>
      <c r="O2" s="824"/>
      <c r="P2" s="866"/>
      <c r="Q2" s="827"/>
      <c r="R2" s="829"/>
      <c r="S2" s="829"/>
      <c r="T2" s="866"/>
      <c r="U2" s="866"/>
      <c r="V2" s="833"/>
      <c r="W2" s="866"/>
      <c r="X2" s="827"/>
      <c r="Y2" s="866"/>
      <c r="Z2" s="866"/>
      <c r="AA2" s="833"/>
      <c r="AB2" s="866"/>
      <c r="AC2" s="866"/>
      <c r="AD2" s="866"/>
      <c r="AE2" s="866"/>
      <c r="AF2" s="829"/>
      <c r="AG2" s="829"/>
      <c r="AH2" s="835"/>
      <c r="AI2" s="866"/>
      <c r="AJ2" s="829"/>
      <c r="AK2" s="829"/>
      <c r="AL2" s="866"/>
      <c r="AM2" s="829"/>
      <c r="AN2" s="834"/>
      <c r="AO2" s="834"/>
      <c r="AP2" s="833"/>
      <c r="AQ2" s="834"/>
      <c r="AR2" s="833"/>
      <c r="AS2" s="829"/>
      <c r="AT2" s="836"/>
      <c r="AU2" s="837"/>
      <c r="AV2" s="837"/>
      <c r="AW2" s="838"/>
      <c r="AX2" s="838"/>
      <c r="AY2" s="838"/>
      <c r="AZ2" s="838"/>
      <c r="BA2" s="840"/>
      <c r="BB2" s="841"/>
      <c r="BC2" s="843"/>
      <c r="BD2" s="840"/>
      <c r="BE2" s="840"/>
      <c r="BF2" s="840"/>
      <c r="BG2" s="840"/>
      <c r="BH2" s="845"/>
      <c r="BI2" s="846"/>
      <c r="BJ2" s="845"/>
      <c r="BK2" s="847"/>
      <c r="BL2" s="840"/>
      <c r="BM2" s="848"/>
      <c r="BN2" s="845"/>
      <c r="BO2" s="845"/>
      <c r="BP2" s="849"/>
      <c r="BQ2" s="850"/>
      <c r="BR2" s="851"/>
      <c r="BS2" s="852"/>
      <c r="BT2" s="853"/>
      <c r="BU2" s="853"/>
      <c r="BV2" s="854"/>
      <c r="BW2" s="854"/>
      <c r="BX2" s="854"/>
      <c r="BY2" s="855"/>
      <c r="BZ2" s="855"/>
      <c r="CA2" s="854"/>
      <c r="CB2" s="857"/>
      <c r="CC2" s="857"/>
    </row>
    <row r="3" ht="18.0" hidden="1" customHeight="1" outlineLevel="1">
      <c r="A3" s="868"/>
      <c r="B3" s="859"/>
      <c r="C3" s="861"/>
      <c r="D3" s="861"/>
      <c r="E3" s="859"/>
      <c r="F3" s="859"/>
      <c r="G3" s="870"/>
      <c r="H3" s="859"/>
      <c r="I3" s="871"/>
      <c r="J3" s="823"/>
      <c r="K3" s="824"/>
      <c r="L3" s="824"/>
      <c r="M3" s="824"/>
      <c r="N3" s="824"/>
      <c r="O3" s="824"/>
      <c r="P3" s="826"/>
      <c r="Q3" s="827"/>
      <c r="R3" s="829"/>
      <c r="S3" s="829"/>
      <c r="T3" s="826"/>
      <c r="U3" s="826"/>
      <c r="V3" s="833"/>
      <c r="W3" s="826"/>
      <c r="X3" s="827"/>
      <c r="Y3" s="826"/>
      <c r="Z3" s="826"/>
      <c r="AA3" s="833"/>
      <c r="AB3" s="826"/>
      <c r="AC3" s="826"/>
      <c r="AD3" s="826"/>
      <c r="AE3" s="826"/>
      <c r="AF3" s="826"/>
      <c r="AG3" s="826"/>
      <c r="AH3" s="835"/>
      <c r="AI3" s="826"/>
      <c r="AJ3" s="834"/>
      <c r="AK3" s="834"/>
      <c r="AL3" s="826"/>
      <c r="AM3" s="826"/>
      <c r="AN3" s="834"/>
      <c r="AO3" s="834"/>
      <c r="AP3" s="833"/>
      <c r="AQ3" s="834"/>
      <c r="AR3" s="833"/>
      <c r="AS3" s="829"/>
      <c r="AT3" s="836"/>
      <c r="AU3" s="837"/>
      <c r="AV3" s="837"/>
      <c r="AW3" s="838"/>
      <c r="AX3" s="838"/>
      <c r="AY3" s="838"/>
      <c r="AZ3" s="838"/>
      <c r="BA3" s="840"/>
      <c r="BB3" s="841"/>
      <c r="BC3" s="843"/>
      <c r="BD3" s="840"/>
      <c r="BE3" s="840"/>
      <c r="BF3" s="840"/>
      <c r="BG3" s="840"/>
      <c r="BH3" s="845"/>
      <c r="BI3" s="846"/>
      <c r="BJ3" s="845"/>
      <c r="BK3" s="847"/>
      <c r="BL3" s="840"/>
      <c r="BM3" s="848"/>
      <c r="BN3" s="845"/>
      <c r="BO3" s="845"/>
      <c r="BP3" s="849"/>
      <c r="BQ3" s="850"/>
      <c r="BR3" s="851"/>
      <c r="BS3" s="852"/>
      <c r="BT3" s="853"/>
      <c r="BU3" s="853"/>
      <c r="BV3" s="854"/>
      <c r="BW3" s="854"/>
      <c r="BX3" s="854"/>
      <c r="BY3" s="855"/>
      <c r="BZ3" s="855"/>
      <c r="CA3" s="854"/>
      <c r="CB3" s="857"/>
      <c r="CC3" s="857"/>
    </row>
    <row r="4" ht="18.0" hidden="1" customHeight="1" outlineLevel="1">
      <c r="A4" s="868"/>
      <c r="B4" s="859"/>
      <c r="C4" s="861"/>
      <c r="D4" s="861"/>
      <c r="E4" s="859"/>
      <c r="F4" s="859"/>
      <c r="G4" s="870"/>
      <c r="H4" s="859"/>
      <c r="I4" s="859"/>
      <c r="J4" s="823"/>
      <c r="K4" s="824"/>
      <c r="L4" s="824"/>
      <c r="M4" s="824"/>
      <c r="N4" s="824"/>
      <c r="O4" s="824"/>
      <c r="P4" s="831"/>
      <c r="Q4" s="827"/>
      <c r="R4" s="829"/>
      <c r="S4" s="829"/>
      <c r="T4" s="831"/>
      <c r="U4" s="831"/>
      <c r="V4" s="833"/>
      <c r="W4" s="834"/>
      <c r="X4" s="827"/>
      <c r="Y4" s="831"/>
      <c r="Z4" s="831"/>
      <c r="AA4" s="833"/>
      <c r="AB4" s="831"/>
      <c r="AC4" s="834"/>
      <c r="AD4" s="834"/>
      <c r="AE4" s="834"/>
      <c r="AF4" s="834"/>
      <c r="AG4" s="834"/>
      <c r="AH4" s="835"/>
      <c r="AI4" s="834"/>
      <c r="AJ4" s="834"/>
      <c r="AK4" s="834"/>
      <c r="AL4" s="834"/>
      <c r="AM4" s="834"/>
      <c r="AN4" s="834"/>
      <c r="AO4" s="834"/>
      <c r="AP4" s="833"/>
      <c r="AQ4" s="834"/>
      <c r="AR4" s="833"/>
      <c r="AS4" s="829"/>
      <c r="AT4" s="836"/>
      <c r="AU4" s="837"/>
      <c r="AV4" s="837"/>
      <c r="AW4" s="838"/>
      <c r="AX4" s="838"/>
      <c r="AY4" s="838"/>
      <c r="AZ4" s="838"/>
      <c r="BA4" s="840"/>
      <c r="BB4" s="841"/>
      <c r="BC4" s="843"/>
      <c r="BD4" s="840"/>
      <c r="BE4" s="840"/>
      <c r="BF4" s="840"/>
      <c r="BG4" s="840"/>
      <c r="BH4" s="845"/>
      <c r="BI4" s="846"/>
      <c r="BJ4" s="845"/>
      <c r="BK4" s="847"/>
      <c r="BL4" s="840"/>
      <c r="BM4" s="848"/>
      <c r="BN4" s="845"/>
      <c r="BO4" s="845"/>
      <c r="BP4" s="849"/>
      <c r="BQ4" s="850"/>
      <c r="BR4" s="851"/>
      <c r="BS4" s="852"/>
      <c r="BT4" s="853"/>
      <c r="BU4" s="853"/>
      <c r="BV4" s="854"/>
      <c r="BW4" s="854"/>
      <c r="BX4" s="854"/>
      <c r="BY4" s="855"/>
      <c r="BZ4" s="855"/>
      <c r="CA4" s="854"/>
      <c r="CB4" s="857"/>
      <c r="CC4" s="857"/>
    </row>
    <row r="5" ht="18.0" hidden="1" customHeight="1" outlineLevel="1">
      <c r="A5" s="868"/>
      <c r="B5" s="859"/>
      <c r="C5" s="861"/>
      <c r="D5" s="861"/>
      <c r="E5" s="859"/>
      <c r="F5" s="859"/>
      <c r="G5" s="870"/>
      <c r="H5" s="859"/>
      <c r="I5" s="859"/>
      <c r="J5" s="823"/>
      <c r="K5" s="824"/>
      <c r="L5" s="824"/>
      <c r="M5" s="824"/>
      <c r="N5" s="824"/>
      <c r="O5" s="824"/>
      <c r="P5" s="875"/>
      <c r="Q5" s="827"/>
      <c r="R5" s="829"/>
      <c r="S5" s="829"/>
      <c r="T5" s="875"/>
      <c r="U5" s="875"/>
      <c r="V5" s="833"/>
      <c r="W5" s="834"/>
      <c r="X5" s="827"/>
      <c r="Y5" s="831"/>
      <c r="Z5" s="831"/>
      <c r="AA5" s="833"/>
      <c r="AB5" s="831"/>
      <c r="AC5" s="834"/>
      <c r="AD5" s="834"/>
      <c r="AE5" s="834"/>
      <c r="AF5" s="834"/>
      <c r="AG5" s="834"/>
      <c r="AH5" s="835"/>
      <c r="AI5" s="834"/>
      <c r="AJ5" s="834"/>
      <c r="AK5" s="834"/>
      <c r="AL5" s="834"/>
      <c r="AM5" s="834"/>
      <c r="AN5" s="834"/>
      <c r="AO5" s="834"/>
      <c r="AP5" s="833"/>
      <c r="AQ5" s="834"/>
      <c r="AR5" s="833"/>
      <c r="AS5" s="829"/>
      <c r="AT5" s="836"/>
      <c r="AU5" s="837"/>
      <c r="AV5" s="837"/>
      <c r="AW5" s="838"/>
      <c r="AX5" s="838"/>
      <c r="AY5" s="838"/>
      <c r="AZ5" s="838"/>
      <c r="BA5" s="840"/>
      <c r="BB5" s="841"/>
      <c r="BC5" s="843"/>
      <c r="BD5" s="840"/>
      <c r="BE5" s="840"/>
      <c r="BF5" s="840"/>
      <c r="BG5" s="840"/>
      <c r="BH5" s="845"/>
      <c r="BI5" s="846"/>
      <c r="BJ5" s="845"/>
      <c r="BK5" s="847"/>
      <c r="BL5" s="840"/>
      <c r="BM5" s="848"/>
      <c r="BN5" s="845"/>
      <c r="BO5" s="845"/>
      <c r="BP5" s="849"/>
      <c r="BQ5" s="850"/>
      <c r="BR5" s="851"/>
      <c r="BS5" s="852"/>
      <c r="BT5" s="853"/>
      <c r="BU5" s="853"/>
      <c r="BV5" s="854"/>
      <c r="BW5" s="854"/>
      <c r="BX5" s="854"/>
      <c r="BY5" s="855"/>
      <c r="BZ5" s="855"/>
      <c r="CA5" s="854"/>
      <c r="CB5" s="857"/>
      <c r="CC5" s="857"/>
    </row>
    <row r="6" ht="18.0" hidden="1" customHeight="1" outlineLevel="1">
      <c r="A6" s="868"/>
      <c r="B6" s="859"/>
      <c r="C6" s="861"/>
      <c r="D6" s="861"/>
      <c r="E6" s="859"/>
      <c r="F6" s="859"/>
      <c r="G6" s="870"/>
      <c r="H6" s="859"/>
      <c r="I6" s="859"/>
      <c r="J6" s="823"/>
      <c r="K6" s="824"/>
      <c r="L6" s="824"/>
      <c r="M6" s="824"/>
      <c r="N6" s="824"/>
      <c r="O6" s="824"/>
      <c r="P6" s="831"/>
      <c r="Q6" s="827"/>
      <c r="R6" s="829"/>
      <c r="S6" s="829"/>
      <c r="T6" s="831"/>
      <c r="U6" s="831"/>
      <c r="V6" s="833"/>
      <c r="W6" s="834"/>
      <c r="X6" s="827"/>
      <c r="Y6" s="831"/>
      <c r="Z6" s="831"/>
      <c r="AA6" s="833"/>
      <c r="AB6" s="831"/>
      <c r="AC6" s="834"/>
      <c r="AD6" s="834"/>
      <c r="AE6" s="834"/>
      <c r="AF6" s="834"/>
      <c r="AG6" s="834"/>
      <c r="AH6" s="835"/>
      <c r="AI6" s="834"/>
      <c r="AJ6" s="834"/>
      <c r="AK6" s="834"/>
      <c r="AL6" s="834"/>
      <c r="AM6" s="834"/>
      <c r="AN6" s="834"/>
      <c r="AO6" s="834"/>
      <c r="AP6" s="833"/>
      <c r="AQ6" s="834"/>
      <c r="AR6" s="833"/>
      <c r="AS6" s="829"/>
      <c r="AT6" s="836"/>
      <c r="AU6" s="837"/>
      <c r="AV6" s="837"/>
      <c r="AW6" s="838"/>
      <c r="AX6" s="838"/>
      <c r="AY6" s="838"/>
      <c r="AZ6" s="838"/>
      <c r="BA6" s="840"/>
      <c r="BB6" s="841"/>
      <c r="BC6" s="843"/>
      <c r="BD6" s="840"/>
      <c r="BE6" s="840"/>
      <c r="BF6" s="840"/>
      <c r="BG6" s="840"/>
      <c r="BH6" s="845"/>
      <c r="BI6" s="846"/>
      <c r="BJ6" s="845"/>
      <c r="BK6" s="847"/>
      <c r="BL6" s="840"/>
      <c r="BM6" s="848"/>
      <c r="BN6" s="845"/>
      <c r="BO6" s="845"/>
      <c r="BP6" s="849"/>
      <c r="BQ6" s="850"/>
      <c r="BR6" s="851"/>
      <c r="BS6" s="852"/>
      <c r="BT6" s="853"/>
      <c r="BU6" s="853"/>
      <c r="BV6" s="854"/>
      <c r="BW6" s="854"/>
      <c r="BX6" s="854"/>
      <c r="BY6" s="855"/>
      <c r="BZ6" s="855"/>
      <c r="CA6" s="854"/>
      <c r="CB6" s="857"/>
      <c r="CC6" s="857"/>
    </row>
    <row r="7" ht="18.0" hidden="1" customHeight="1" outlineLevel="1">
      <c r="A7" s="868"/>
      <c r="B7" s="859"/>
      <c r="C7" s="861"/>
      <c r="D7" s="861"/>
      <c r="E7" s="859"/>
      <c r="F7" s="859"/>
      <c r="G7" s="870"/>
      <c r="H7" s="859"/>
      <c r="I7" s="859"/>
      <c r="J7" s="823"/>
      <c r="K7" s="824"/>
      <c r="L7" s="824"/>
      <c r="M7" s="824"/>
      <c r="N7" s="824"/>
      <c r="O7" s="824"/>
      <c r="P7" s="831"/>
      <c r="Q7" s="827"/>
      <c r="R7" s="829"/>
      <c r="S7" s="829"/>
      <c r="T7" s="831"/>
      <c r="U7" s="831"/>
      <c r="V7" s="833"/>
      <c r="W7" s="834"/>
      <c r="X7" s="827"/>
      <c r="Y7" s="831"/>
      <c r="Z7" s="831"/>
      <c r="AA7" s="833"/>
      <c r="AB7" s="831"/>
      <c r="AC7" s="834"/>
      <c r="AD7" s="834"/>
      <c r="AE7" s="834"/>
      <c r="AF7" s="834"/>
      <c r="AG7" s="834"/>
      <c r="AH7" s="835"/>
      <c r="AI7" s="834"/>
      <c r="AJ7" s="834"/>
      <c r="AK7" s="834"/>
      <c r="AL7" s="834"/>
      <c r="AM7" s="834"/>
      <c r="AN7" s="834"/>
      <c r="AO7" s="834"/>
      <c r="AP7" s="833"/>
      <c r="AQ7" s="834"/>
      <c r="AR7" s="833"/>
      <c r="AS7" s="829"/>
      <c r="AT7" s="836"/>
      <c r="AU7" s="837"/>
      <c r="AV7" s="837"/>
      <c r="AW7" s="838"/>
      <c r="AX7" s="838"/>
      <c r="AY7" s="838"/>
      <c r="AZ7" s="838"/>
      <c r="BA7" s="840"/>
      <c r="BB7" s="841"/>
      <c r="BC7" s="843"/>
      <c r="BD7" s="840"/>
      <c r="BE7" s="840"/>
      <c r="BF7" s="840"/>
      <c r="BG7" s="840"/>
      <c r="BH7" s="845"/>
      <c r="BI7" s="846"/>
      <c r="BJ7" s="845"/>
      <c r="BK7" s="847"/>
      <c r="BL7" s="840"/>
      <c r="BM7" s="848"/>
      <c r="BN7" s="845"/>
      <c r="BO7" s="845"/>
      <c r="BP7" s="849"/>
      <c r="BQ7" s="850"/>
      <c r="BR7" s="851"/>
      <c r="BS7" s="852"/>
      <c r="BT7" s="853"/>
      <c r="BU7" s="853"/>
      <c r="BV7" s="854"/>
      <c r="BW7" s="854"/>
      <c r="BX7" s="854"/>
      <c r="BY7" s="855"/>
      <c r="BZ7" s="855"/>
      <c r="CA7" s="854"/>
      <c r="CB7" s="857"/>
      <c r="CC7" s="857"/>
    </row>
    <row r="8" ht="11.25" hidden="1" customHeight="1" outlineLevel="1">
      <c r="A8" s="868"/>
      <c r="B8" s="859"/>
      <c r="C8" s="861"/>
      <c r="D8" s="861"/>
      <c r="E8" s="859"/>
      <c r="F8" s="859"/>
      <c r="G8" s="870"/>
      <c r="H8" s="859"/>
      <c r="I8" s="859"/>
      <c r="J8" s="823"/>
      <c r="K8" s="824"/>
      <c r="L8" s="824"/>
      <c r="M8" s="824"/>
      <c r="N8" s="824"/>
      <c r="O8" s="824"/>
      <c r="P8" s="831"/>
      <c r="Q8" s="827"/>
      <c r="R8" s="829"/>
      <c r="S8" s="829"/>
      <c r="T8" s="831"/>
      <c r="U8" s="831"/>
      <c r="V8" s="833"/>
      <c r="W8" s="834"/>
      <c r="X8" s="827"/>
      <c r="Y8" s="831"/>
      <c r="Z8" s="831"/>
      <c r="AA8" s="833"/>
      <c r="AB8" s="831"/>
      <c r="AC8" s="834"/>
      <c r="AD8" s="834"/>
      <c r="AE8" s="834"/>
      <c r="AF8" s="834"/>
      <c r="AG8" s="834"/>
      <c r="AH8" s="835"/>
      <c r="AI8" s="834"/>
      <c r="AJ8" s="834"/>
      <c r="AK8" s="834"/>
      <c r="AL8" s="834"/>
      <c r="AM8" s="834"/>
      <c r="AN8" s="834"/>
      <c r="AO8" s="834"/>
      <c r="AP8" s="833"/>
      <c r="AQ8" s="834"/>
      <c r="AR8" s="833"/>
      <c r="AS8" s="829"/>
      <c r="AT8" s="836"/>
      <c r="AU8" s="837"/>
      <c r="AV8" s="837"/>
      <c r="AW8" s="838"/>
      <c r="AX8" s="838"/>
      <c r="AY8" s="838"/>
      <c r="AZ8" s="838"/>
      <c r="BA8" s="840"/>
      <c r="BB8" s="841"/>
      <c r="BC8" s="843"/>
      <c r="BD8" s="840"/>
      <c r="BE8" s="840"/>
      <c r="BF8" s="840"/>
      <c r="BG8" s="840"/>
      <c r="BH8" s="845"/>
      <c r="BI8" s="846"/>
      <c r="BJ8" s="845"/>
      <c r="BK8" s="847"/>
      <c r="BL8" s="840"/>
      <c r="BM8" s="848"/>
      <c r="BN8" s="845"/>
      <c r="BO8" s="845"/>
      <c r="BP8" s="849"/>
      <c r="BQ8" s="850"/>
      <c r="BR8" s="851"/>
      <c r="BS8" s="852"/>
      <c r="BT8" s="853"/>
      <c r="BU8" s="853"/>
      <c r="BV8" s="854"/>
      <c r="BW8" s="854"/>
      <c r="BX8" s="854"/>
      <c r="BY8" s="855"/>
      <c r="BZ8" s="855"/>
      <c r="CA8" s="854"/>
      <c r="CB8" s="857"/>
      <c r="CC8" s="857"/>
    </row>
    <row r="9" ht="18.0" customHeight="1" collapsed="1">
      <c r="A9" s="876"/>
      <c r="B9" s="877"/>
      <c r="C9" s="878"/>
      <c r="D9" s="878"/>
      <c r="E9" s="879"/>
      <c r="F9" s="879"/>
      <c r="G9" s="880"/>
      <c r="H9" s="879"/>
      <c r="I9" s="879"/>
      <c r="J9" s="881"/>
      <c r="K9" s="882"/>
      <c r="L9" s="882"/>
      <c r="M9" s="882"/>
      <c r="N9" s="882"/>
      <c r="O9" s="882"/>
      <c r="P9" s="884"/>
      <c r="Q9" s="885"/>
      <c r="R9" s="886"/>
      <c r="S9" s="886"/>
      <c r="T9" s="884"/>
      <c r="U9" s="884"/>
      <c r="V9" s="887"/>
      <c r="W9" s="889"/>
      <c r="X9" s="885"/>
      <c r="Y9" s="884"/>
      <c r="Z9" s="884"/>
      <c r="AA9" s="887"/>
      <c r="AB9" s="884"/>
      <c r="AC9" s="889"/>
      <c r="AD9" s="889"/>
      <c r="AE9" s="889"/>
      <c r="AF9" s="889"/>
      <c r="AG9" s="889"/>
      <c r="AH9" s="891"/>
      <c r="AI9" s="889"/>
      <c r="AJ9" s="889"/>
      <c r="AK9" s="889"/>
      <c r="AL9" s="889"/>
      <c r="AM9" s="889"/>
      <c r="AN9" s="893"/>
      <c r="AO9" s="894"/>
      <c r="AP9" s="895"/>
      <c r="AQ9" s="894"/>
      <c r="AR9" s="895"/>
      <c r="AS9" s="896"/>
      <c r="AT9" s="897"/>
      <c r="AU9" s="894"/>
      <c r="AV9" s="894"/>
      <c r="AW9" s="898"/>
      <c r="AX9" s="899"/>
      <c r="AY9" s="900"/>
      <c r="AZ9" s="899"/>
      <c r="BA9" s="901"/>
      <c r="BB9" s="902"/>
      <c r="BC9" s="903"/>
      <c r="BD9" s="904"/>
      <c r="BE9" s="904"/>
      <c r="BF9" s="904"/>
      <c r="BG9" s="904"/>
      <c r="BH9" s="905"/>
      <c r="BI9" s="906"/>
      <c r="BJ9" s="905"/>
      <c r="BK9" s="906"/>
      <c r="BL9" s="904"/>
      <c r="BM9" s="905"/>
      <c r="BN9" s="905"/>
      <c r="BO9" s="905"/>
      <c r="BP9" s="907"/>
      <c r="BQ9" s="908"/>
      <c r="BR9" s="909"/>
      <c r="BS9" s="908"/>
      <c r="BT9" s="910"/>
      <c r="BU9" s="910"/>
      <c r="BV9" s="911"/>
      <c r="BW9" s="911"/>
      <c r="BX9" s="911"/>
      <c r="BY9" s="911"/>
      <c r="BZ9" s="911"/>
      <c r="CA9" s="911"/>
      <c r="CB9" s="912"/>
      <c r="CC9" s="912"/>
    </row>
    <row r="10" ht="27.0" customHeight="1">
      <c r="A10" s="737"/>
      <c r="B10" s="737"/>
      <c r="C10" s="764"/>
      <c r="D10" s="764"/>
      <c r="E10" s="737"/>
      <c r="F10" s="737"/>
      <c r="G10" s="737" t="str">
        <f>IFERROR(__xludf.DUMMYFUNCTION("""COMPUTED_VALUE"""),"")</f>
        <v/>
      </c>
      <c r="H10" s="737" t="str">
        <f>IFERROR(__xludf.DUMMYFUNCTION("""COMPUTED_VALUE"""),"")</f>
        <v/>
      </c>
      <c r="I10" s="737" t="str">
        <f>IFERROR(__xludf.DUMMYFUNCTION("""COMPUTED_VALUE"""),"")</f>
        <v/>
      </c>
      <c r="J10" s="913" t="str">
        <f>IFERROR(__xludf.DUMMYFUNCTION("""COMPUTED_VALUE"""),"")</f>
        <v/>
      </c>
      <c r="K10" s="913" t="str">
        <f>IFERROR(__xludf.DUMMYFUNCTION("""COMPUTED_VALUE"""),"Нет внешней таблицы оплат. ошибка")</f>
        <v>Нет внешней таблицы оплат. ошибка</v>
      </c>
      <c r="L10" s="913"/>
      <c r="M10" s="913"/>
      <c r="N10" s="913"/>
      <c r="O10" s="913"/>
      <c r="P10" s="913"/>
      <c r="Q10" s="913"/>
      <c r="R10" s="913"/>
      <c r="S10" s="913"/>
      <c r="T10" s="913"/>
      <c r="U10" s="913"/>
      <c r="V10" s="914"/>
      <c r="W10" s="913"/>
      <c r="X10" s="915"/>
      <c r="Y10" s="913"/>
      <c r="Z10" s="913"/>
      <c r="AA10" s="913"/>
      <c r="AB10" s="913"/>
      <c r="AC10" s="913"/>
      <c r="AD10" s="913"/>
      <c r="AE10" s="913"/>
      <c r="AF10" s="913"/>
      <c r="AG10" s="913"/>
      <c r="AH10" s="913"/>
      <c r="AI10" s="913"/>
      <c r="AJ10" s="913"/>
      <c r="AK10" s="913"/>
      <c r="AL10" s="913"/>
      <c r="AM10" s="913"/>
      <c r="AN10" s="916"/>
      <c r="AO10" s="916"/>
      <c r="AP10" s="916"/>
      <c r="AQ10" s="916"/>
      <c r="AR10" s="917"/>
      <c r="AS10" s="918"/>
      <c r="AT10" s="916"/>
      <c r="AU10" s="916"/>
      <c r="AV10" s="919"/>
      <c r="AW10" s="920"/>
      <c r="AX10" s="920"/>
      <c r="AY10" s="921"/>
      <c r="AZ10" s="920"/>
      <c r="BA10" s="922"/>
      <c r="BB10" s="923"/>
      <c r="BC10" s="924"/>
      <c r="BD10" s="925"/>
      <c r="BE10" s="925"/>
      <c r="BF10" s="925"/>
      <c r="BG10" s="925"/>
      <c r="BH10" s="925"/>
      <c r="BI10" s="926"/>
      <c r="BJ10" s="925"/>
      <c r="BK10" s="925"/>
      <c r="BL10" s="925"/>
      <c r="BM10" s="927"/>
      <c r="BN10" s="928"/>
      <c r="BO10" s="922"/>
      <c r="BP10" s="929"/>
      <c r="BQ10" s="930"/>
      <c r="BR10" s="930"/>
      <c r="BS10" s="931"/>
      <c r="BT10" s="932"/>
      <c r="BU10" s="932"/>
      <c r="BV10" s="933"/>
      <c r="BW10" s="933"/>
      <c r="BX10" s="933"/>
      <c r="BY10" s="933"/>
      <c r="BZ10" s="933"/>
      <c r="CA10" s="933"/>
      <c r="CB10" s="929"/>
      <c r="CC10" s="929"/>
    </row>
    <row r="11">
      <c r="A11" s="934"/>
      <c r="B11" s="87"/>
      <c r="C11" s="711"/>
      <c r="D11" s="935"/>
      <c r="E11" s="87"/>
      <c r="F11" s="87"/>
      <c r="G11" s="87"/>
      <c r="H11" s="87"/>
      <c r="I11" s="87"/>
      <c r="J11" s="936"/>
      <c r="K11" s="936"/>
      <c r="L11" s="936"/>
      <c r="M11" s="936"/>
      <c r="N11" s="936"/>
      <c r="O11" s="936"/>
      <c r="P11" s="936"/>
      <c r="Q11" s="936"/>
      <c r="R11" s="937"/>
      <c r="S11" s="936"/>
      <c r="T11" s="936"/>
      <c r="U11" s="936"/>
      <c r="V11" s="938"/>
      <c r="W11" s="936"/>
      <c r="X11" s="939"/>
      <c r="Y11" s="936"/>
      <c r="Z11" s="936"/>
      <c r="AA11" s="940"/>
      <c r="AB11" s="936"/>
      <c r="AC11" s="941"/>
      <c r="AD11" s="942"/>
      <c r="AE11" s="943"/>
      <c r="AF11" s="944"/>
      <c r="AG11" s="944"/>
      <c r="AH11" s="945"/>
      <c r="AI11" s="945"/>
      <c r="AJ11" s="944"/>
      <c r="AK11" s="944"/>
      <c r="AL11" s="946"/>
      <c r="AM11" s="942"/>
      <c r="AN11" s="944"/>
      <c r="AO11" s="944"/>
      <c r="AP11" s="944"/>
      <c r="AQ11" s="947"/>
      <c r="AR11" s="938"/>
      <c r="AS11" s="937"/>
      <c r="AT11" s="948"/>
      <c r="AU11" s="942"/>
      <c r="AV11" s="949"/>
      <c r="AW11" s="950"/>
      <c r="AX11" s="950"/>
      <c r="AY11" s="951"/>
      <c r="AZ11" s="950"/>
      <c r="BA11" s="952"/>
      <c r="BB11" s="953"/>
      <c r="BC11" s="954"/>
      <c r="BD11" s="955"/>
      <c r="BE11" s="955"/>
      <c r="BF11" s="955"/>
      <c r="BG11" s="955"/>
      <c r="BH11" s="956"/>
      <c r="BI11" s="957"/>
      <c r="BJ11" s="956"/>
      <c r="BK11" s="957"/>
      <c r="BL11" s="956"/>
      <c r="BM11" s="956"/>
      <c r="BN11" s="952"/>
      <c r="BO11" s="952"/>
      <c r="BP11" s="958"/>
      <c r="BQ11" s="959"/>
      <c r="BR11" s="960"/>
      <c r="BS11" s="961"/>
      <c r="BT11" s="962"/>
      <c r="BU11" s="962"/>
      <c r="BV11" s="963"/>
      <c r="BW11" s="963"/>
      <c r="BX11" s="963"/>
      <c r="BY11" s="964"/>
      <c r="BZ11" s="963"/>
      <c r="CA11" s="963"/>
      <c r="CB11" s="965"/>
      <c r="CC11" s="965"/>
    </row>
    <row r="12">
      <c r="A12" s="934"/>
      <c r="B12" s="87"/>
      <c r="C12" s="711"/>
      <c r="D12" s="87"/>
      <c r="E12" s="87"/>
      <c r="F12" s="87"/>
      <c r="G12" s="87"/>
      <c r="H12" s="87"/>
      <c r="I12" s="87"/>
      <c r="J12" s="936"/>
      <c r="K12" s="936"/>
      <c r="L12" s="936"/>
      <c r="M12" s="936"/>
      <c r="N12" s="936"/>
      <c r="O12" s="936"/>
      <c r="P12" s="936"/>
      <c r="Q12" s="936"/>
      <c r="R12" s="937"/>
      <c r="S12" s="936"/>
      <c r="T12" s="936"/>
      <c r="U12" s="936"/>
      <c r="V12" s="938"/>
      <c r="W12" s="936"/>
      <c r="X12" s="939"/>
      <c r="Y12" s="936"/>
      <c r="Z12" s="936"/>
      <c r="AA12" s="938"/>
      <c r="AB12" s="936"/>
      <c r="AC12" s="966"/>
      <c r="AD12" s="937"/>
      <c r="AE12" s="943"/>
      <c r="AF12" s="947"/>
      <c r="AG12" s="947"/>
      <c r="AH12" s="945"/>
      <c r="AI12" s="945"/>
      <c r="AJ12" s="944"/>
      <c r="AK12" s="944"/>
      <c r="AL12" s="946"/>
      <c r="AM12" s="942"/>
      <c r="AN12" s="944"/>
      <c r="AO12" s="944"/>
      <c r="AP12" s="944"/>
      <c r="AQ12" s="947"/>
      <c r="AR12" s="938"/>
      <c r="AS12" s="937"/>
      <c r="AT12" s="948"/>
      <c r="AU12" s="942"/>
      <c r="AV12" s="949"/>
      <c r="AW12" s="950"/>
      <c r="AX12" s="950"/>
      <c r="AY12" s="951"/>
      <c r="AZ12" s="950"/>
      <c r="BA12" s="952"/>
      <c r="BB12" s="953"/>
      <c r="BC12" s="954"/>
      <c r="BD12" s="955"/>
      <c r="BE12" s="955"/>
      <c r="BF12" s="955"/>
      <c r="BG12" s="955"/>
      <c r="BH12" s="956"/>
      <c r="BI12" s="957"/>
      <c r="BJ12" s="956"/>
      <c r="BK12" s="957"/>
      <c r="BL12" s="956"/>
      <c r="BM12" s="956"/>
      <c r="BN12" s="952"/>
      <c r="BO12" s="952"/>
      <c r="BP12" s="965"/>
      <c r="BQ12" s="961"/>
      <c r="BR12" s="960"/>
      <c r="BS12" s="961"/>
      <c r="BT12" s="962"/>
      <c r="BU12" s="962"/>
      <c r="BV12" s="963"/>
      <c r="BW12" s="963"/>
      <c r="BX12" s="963"/>
      <c r="BY12" s="964"/>
      <c r="BZ12" s="963"/>
      <c r="CA12" s="963"/>
      <c r="CB12" s="965"/>
      <c r="CC12" s="965"/>
    </row>
    <row r="13">
      <c r="A13" s="934"/>
      <c r="B13" s="87"/>
      <c r="C13" s="711"/>
      <c r="D13" s="87"/>
      <c r="E13" s="87"/>
      <c r="F13" s="87"/>
      <c r="G13" s="87"/>
      <c r="H13" s="87"/>
      <c r="I13" s="87"/>
      <c r="J13" s="936"/>
      <c r="K13" s="936"/>
      <c r="L13" s="936"/>
      <c r="M13" s="936"/>
      <c r="N13" s="936"/>
      <c r="O13" s="936"/>
      <c r="P13" s="936"/>
      <c r="Q13" s="936"/>
      <c r="R13" s="947"/>
      <c r="S13" s="936"/>
      <c r="T13" s="936"/>
      <c r="U13" s="936"/>
      <c r="V13" s="938"/>
      <c r="W13" s="936"/>
      <c r="X13" s="939"/>
      <c r="Y13" s="936"/>
      <c r="Z13" s="936"/>
      <c r="AA13" s="938"/>
      <c r="AB13" s="936"/>
      <c r="AC13" s="966"/>
      <c r="AD13" s="937"/>
      <c r="AE13" s="943"/>
      <c r="AF13" s="947"/>
      <c r="AG13" s="947"/>
      <c r="AH13" s="945"/>
      <c r="AI13" s="944"/>
      <c r="AJ13" s="944"/>
      <c r="AK13" s="944"/>
      <c r="AL13" s="944"/>
      <c r="AM13" s="944"/>
      <c r="AN13" s="944"/>
      <c r="AO13" s="944"/>
      <c r="AP13" s="944"/>
      <c r="AQ13" s="947"/>
      <c r="AR13" s="938"/>
      <c r="AS13" s="937"/>
      <c r="AT13" s="948"/>
      <c r="AU13" s="942"/>
      <c r="AV13" s="949"/>
      <c r="AW13" s="950"/>
      <c r="AX13" s="950"/>
      <c r="AY13" s="951"/>
      <c r="AZ13" s="950"/>
      <c r="BA13" s="952"/>
      <c r="BB13" s="953"/>
      <c r="BC13" s="954"/>
      <c r="BD13" s="955"/>
      <c r="BE13" s="955"/>
      <c r="BF13" s="955"/>
      <c r="BG13" s="955"/>
      <c r="BH13" s="956"/>
      <c r="BI13" s="957"/>
      <c r="BJ13" s="956"/>
      <c r="BK13" s="957"/>
      <c r="BL13" s="956"/>
      <c r="BM13" s="956"/>
      <c r="BN13" s="952"/>
      <c r="BO13" s="952"/>
      <c r="BP13" s="965"/>
      <c r="BQ13" s="961"/>
      <c r="BR13" s="960"/>
      <c r="BS13" s="961"/>
      <c r="BT13" s="962"/>
      <c r="BU13" s="962"/>
      <c r="BV13" s="963"/>
      <c r="BW13" s="963"/>
      <c r="BX13" s="963"/>
      <c r="BY13" s="963"/>
      <c r="BZ13" s="963"/>
      <c r="CA13" s="963"/>
      <c r="CB13" s="965"/>
      <c r="CC13" s="965"/>
    </row>
    <row r="14">
      <c r="A14" s="934"/>
      <c r="B14" s="87"/>
      <c r="C14" s="711"/>
      <c r="D14" s="87"/>
      <c r="E14" s="87"/>
      <c r="F14" s="87"/>
      <c r="G14" s="87"/>
      <c r="H14" s="87"/>
      <c r="I14" s="87"/>
      <c r="J14" s="936"/>
      <c r="K14" s="936"/>
      <c r="L14" s="936"/>
      <c r="M14" s="936"/>
      <c r="N14" s="936"/>
      <c r="O14" s="936"/>
      <c r="P14" s="936"/>
      <c r="Q14" s="936"/>
      <c r="R14" s="947"/>
      <c r="S14" s="936"/>
      <c r="T14" s="936"/>
      <c r="U14" s="936"/>
      <c r="V14" s="938"/>
      <c r="W14" s="936"/>
      <c r="X14" s="939"/>
      <c r="Y14" s="936"/>
      <c r="Z14" s="936"/>
      <c r="AA14" s="938"/>
      <c r="AB14" s="936"/>
      <c r="AC14" s="966"/>
      <c r="AD14" s="937"/>
      <c r="AE14" s="943"/>
      <c r="AF14" s="947"/>
      <c r="AG14" s="947"/>
      <c r="AH14" s="945"/>
      <c r="AI14" s="944"/>
      <c r="AJ14" s="944"/>
      <c r="AK14" s="944"/>
      <c r="AL14" s="944"/>
      <c r="AM14" s="944"/>
      <c r="AN14" s="944"/>
      <c r="AO14" s="944"/>
      <c r="AP14" s="944"/>
      <c r="AQ14" s="947"/>
      <c r="AR14" s="938"/>
      <c r="AS14" s="937"/>
      <c r="AT14" s="948"/>
      <c r="AU14" s="942"/>
      <c r="AV14" s="949"/>
      <c r="AW14" s="950"/>
      <c r="AX14" s="950"/>
      <c r="AY14" s="951"/>
      <c r="AZ14" s="950"/>
      <c r="BA14" s="952"/>
      <c r="BB14" s="967"/>
      <c r="BC14" s="968"/>
      <c r="BD14" s="955"/>
      <c r="BE14" s="955"/>
      <c r="BF14" s="955"/>
      <c r="BG14" s="955"/>
      <c r="BH14" s="955"/>
      <c r="BI14" s="969"/>
      <c r="BJ14" s="955"/>
      <c r="BK14" s="969"/>
      <c r="BL14" s="955"/>
      <c r="BM14" s="955"/>
      <c r="BN14" s="952"/>
      <c r="BO14" s="952"/>
      <c r="BP14" s="965"/>
      <c r="BQ14" s="961"/>
      <c r="BR14" s="960"/>
      <c r="BS14" s="961"/>
      <c r="BT14" s="962"/>
      <c r="BU14" s="962"/>
      <c r="BV14" s="963"/>
      <c r="BW14" s="963"/>
      <c r="BX14" s="963"/>
      <c r="BY14" s="963"/>
      <c r="BZ14" s="963"/>
      <c r="CA14" s="963"/>
      <c r="CB14" s="965"/>
      <c r="CC14" s="965"/>
    </row>
    <row r="15">
      <c r="A15" s="934"/>
      <c r="B15" s="87"/>
      <c r="C15" s="711"/>
      <c r="D15" s="87"/>
      <c r="E15" s="87"/>
      <c r="F15" s="87"/>
      <c r="G15" s="87"/>
      <c r="H15" s="87"/>
      <c r="I15" s="87"/>
      <c r="J15" s="936"/>
      <c r="K15" s="936"/>
      <c r="L15" s="936"/>
      <c r="M15" s="936"/>
      <c r="N15" s="936"/>
      <c r="O15" s="936"/>
      <c r="P15" s="936"/>
      <c r="Q15" s="936"/>
      <c r="R15" s="947"/>
      <c r="S15" s="936"/>
      <c r="T15" s="936"/>
      <c r="U15" s="936"/>
      <c r="V15" s="938"/>
      <c r="W15" s="936"/>
      <c r="X15" s="939"/>
      <c r="Y15" s="936"/>
      <c r="Z15" s="936"/>
      <c r="AA15" s="938"/>
      <c r="AB15" s="936"/>
      <c r="AC15" s="966"/>
      <c r="AD15" s="937"/>
      <c r="AE15" s="943"/>
      <c r="AF15" s="947"/>
      <c r="AG15" s="947"/>
      <c r="AH15" s="945"/>
      <c r="AI15" s="944"/>
      <c r="AJ15" s="944"/>
      <c r="AK15" s="944"/>
      <c r="AL15" s="944"/>
      <c r="AM15" s="944"/>
      <c r="AN15" s="944"/>
      <c r="AO15" s="944"/>
      <c r="AP15" s="944"/>
      <c r="AQ15" s="947"/>
      <c r="AR15" s="938"/>
      <c r="AS15" s="937"/>
      <c r="AT15" s="948"/>
      <c r="AU15" s="942"/>
      <c r="AV15" s="949"/>
      <c r="AW15" s="950"/>
      <c r="AX15" s="950"/>
      <c r="AY15" s="951"/>
      <c r="AZ15" s="950"/>
      <c r="BA15" s="952"/>
      <c r="BB15" s="967"/>
      <c r="BC15" s="968"/>
      <c r="BD15" s="955"/>
      <c r="BE15" s="955"/>
      <c r="BF15" s="955"/>
      <c r="BG15" s="955"/>
      <c r="BH15" s="955"/>
      <c r="BI15" s="969"/>
      <c r="BJ15" s="955"/>
      <c r="BK15" s="969"/>
      <c r="BL15" s="955"/>
      <c r="BM15" s="955"/>
      <c r="BN15" s="952"/>
      <c r="BO15" s="952"/>
      <c r="BP15" s="965"/>
      <c r="BQ15" s="961"/>
      <c r="BR15" s="960"/>
      <c r="BS15" s="961"/>
      <c r="BT15" s="962"/>
      <c r="BU15" s="962"/>
      <c r="BV15" s="963"/>
      <c r="BW15" s="963"/>
      <c r="BX15" s="963"/>
      <c r="BY15" s="963"/>
      <c r="BZ15" s="963"/>
      <c r="CA15" s="963"/>
      <c r="CB15" s="965"/>
      <c r="CC15" s="965"/>
    </row>
    <row r="16">
      <c r="A16" s="970"/>
      <c r="B16" s="971"/>
      <c r="C16" s="972"/>
      <c r="D16" s="87"/>
      <c r="E16" s="87"/>
      <c r="F16" s="87"/>
      <c r="G16" s="87"/>
      <c r="H16" s="87"/>
      <c r="I16" s="87"/>
      <c r="J16" s="936"/>
      <c r="K16" s="936"/>
      <c r="L16" s="936"/>
      <c r="M16" s="936"/>
      <c r="N16" s="936"/>
      <c r="O16" s="936"/>
      <c r="P16" s="936"/>
      <c r="Q16" s="936"/>
      <c r="R16" s="947"/>
      <c r="S16" s="936"/>
      <c r="T16" s="936"/>
      <c r="U16" s="936"/>
      <c r="V16" s="938"/>
      <c r="W16" s="936"/>
      <c r="X16" s="939"/>
      <c r="Y16" s="936"/>
      <c r="Z16" s="936"/>
      <c r="AA16" s="938"/>
      <c r="AB16" s="936"/>
      <c r="AC16" s="966"/>
      <c r="AD16" s="937"/>
      <c r="AE16" s="943"/>
      <c r="AF16" s="947"/>
      <c r="AG16" s="947"/>
      <c r="AH16" s="945"/>
      <c r="AI16" s="944"/>
      <c r="AJ16" s="944"/>
      <c r="AK16" s="944"/>
      <c r="AL16" s="944"/>
      <c r="AM16" s="944"/>
      <c r="AN16" s="944"/>
      <c r="AO16" s="944"/>
      <c r="AP16" s="944"/>
      <c r="AQ16" s="947"/>
      <c r="AR16" s="938"/>
      <c r="AS16" s="937"/>
      <c r="AT16" s="948"/>
      <c r="AU16" s="942"/>
      <c r="AV16" s="949"/>
      <c r="AW16" s="950"/>
      <c r="AX16" s="950"/>
      <c r="AY16" s="951"/>
      <c r="AZ16" s="950"/>
      <c r="BA16" s="952"/>
      <c r="BB16" s="967"/>
      <c r="BC16" s="968"/>
      <c r="BD16" s="955"/>
      <c r="BE16" s="955"/>
      <c r="BF16" s="955"/>
      <c r="BG16" s="955"/>
      <c r="BH16" s="955"/>
      <c r="BI16" s="969"/>
      <c r="BJ16" s="955"/>
      <c r="BK16" s="969"/>
      <c r="BL16" s="955"/>
      <c r="BM16" s="955"/>
      <c r="BN16" s="952"/>
      <c r="BO16" s="952"/>
      <c r="BP16" s="965"/>
      <c r="BQ16" s="961"/>
      <c r="BR16" s="960"/>
      <c r="BS16" s="961"/>
      <c r="BT16" s="962"/>
      <c r="BU16" s="962"/>
      <c r="BV16" s="963"/>
      <c r="BW16" s="963"/>
      <c r="BX16" s="963"/>
      <c r="BY16" s="963"/>
      <c r="BZ16" s="963"/>
      <c r="CA16" s="963"/>
      <c r="CB16" s="965"/>
      <c r="CC16" s="965"/>
    </row>
    <row r="17">
      <c r="A17" s="934"/>
      <c r="B17" s="87"/>
      <c r="C17" s="711"/>
      <c r="D17" s="87"/>
      <c r="E17" s="87"/>
      <c r="F17" s="87"/>
      <c r="G17" s="87"/>
      <c r="H17" s="87"/>
      <c r="I17" s="87"/>
      <c r="J17" s="936"/>
      <c r="K17" s="936"/>
      <c r="L17" s="936"/>
      <c r="M17" s="936"/>
      <c r="N17" s="936"/>
      <c r="O17" s="936"/>
      <c r="P17" s="936"/>
      <c r="Q17" s="936"/>
      <c r="R17" s="947"/>
      <c r="S17" s="936"/>
      <c r="T17" s="936"/>
      <c r="U17" s="936"/>
      <c r="V17" s="938"/>
      <c r="W17" s="936"/>
      <c r="X17" s="939"/>
      <c r="Y17" s="936"/>
      <c r="Z17" s="936"/>
      <c r="AA17" s="938"/>
      <c r="AB17" s="936"/>
      <c r="AC17" s="966"/>
      <c r="AD17" s="937"/>
      <c r="AE17" s="943"/>
      <c r="AF17" s="947"/>
      <c r="AG17" s="947"/>
      <c r="AH17" s="945"/>
      <c r="AI17" s="944"/>
      <c r="AJ17" s="944"/>
      <c r="AK17" s="944"/>
      <c r="AL17" s="944"/>
      <c r="AM17" s="944"/>
      <c r="AN17" s="944"/>
      <c r="AO17" s="944"/>
      <c r="AP17" s="944"/>
      <c r="AQ17" s="947"/>
      <c r="AR17" s="938"/>
      <c r="AS17" s="937"/>
      <c r="AT17" s="948"/>
      <c r="AU17" s="942"/>
      <c r="AV17" s="949"/>
      <c r="AW17" s="950"/>
      <c r="AX17" s="950"/>
      <c r="AY17" s="951"/>
      <c r="AZ17" s="950"/>
      <c r="BA17" s="952"/>
      <c r="BB17" s="967"/>
      <c r="BC17" s="968"/>
      <c r="BD17" s="955"/>
      <c r="BE17" s="955"/>
      <c r="BF17" s="955"/>
      <c r="BG17" s="955"/>
      <c r="BH17" s="955"/>
      <c r="BI17" s="969"/>
      <c r="BJ17" s="955"/>
      <c r="BK17" s="969"/>
      <c r="BL17" s="955"/>
      <c r="BM17" s="955"/>
      <c r="BN17" s="952"/>
      <c r="BO17" s="952"/>
      <c r="BP17" s="965"/>
      <c r="BQ17" s="961"/>
      <c r="BR17" s="960"/>
      <c r="BS17" s="961"/>
      <c r="BT17" s="962"/>
      <c r="BU17" s="962"/>
      <c r="BV17" s="963"/>
      <c r="BW17" s="963"/>
      <c r="BX17" s="963"/>
      <c r="BY17" s="963"/>
      <c r="BZ17" s="963"/>
      <c r="CA17" s="963"/>
      <c r="CB17" s="965"/>
      <c r="CC17" s="965"/>
    </row>
    <row r="18">
      <c r="A18" s="934"/>
      <c r="B18" s="87"/>
      <c r="C18" s="711"/>
      <c r="D18" s="935"/>
      <c r="E18" s="87"/>
      <c r="F18" s="87"/>
      <c r="G18" s="87"/>
      <c r="H18" s="87"/>
      <c r="I18" s="87"/>
      <c r="J18" s="936"/>
      <c r="K18" s="936"/>
      <c r="L18" s="936"/>
      <c r="M18" s="936"/>
      <c r="N18" s="936"/>
      <c r="O18" s="936"/>
      <c r="P18" s="936"/>
      <c r="Q18" s="936"/>
      <c r="R18" s="947"/>
      <c r="S18" s="936"/>
      <c r="T18" s="936"/>
      <c r="U18" s="936"/>
      <c r="V18" s="938"/>
      <c r="W18" s="936"/>
      <c r="X18" s="939"/>
      <c r="Y18" s="936"/>
      <c r="Z18" s="936"/>
      <c r="AA18" s="938"/>
      <c r="AB18" s="936"/>
      <c r="AC18" s="966"/>
      <c r="AD18" s="937"/>
      <c r="AE18" s="943"/>
      <c r="AF18" s="947"/>
      <c r="AG18" s="947"/>
      <c r="AH18" s="945"/>
      <c r="AI18" s="944"/>
      <c r="AJ18" s="944"/>
      <c r="AK18" s="944"/>
      <c r="AL18" s="944"/>
      <c r="AM18" s="944"/>
      <c r="AN18" s="973"/>
      <c r="AO18" s="973"/>
      <c r="AP18" s="973"/>
      <c r="AQ18" s="974"/>
      <c r="AR18" s="938"/>
      <c r="AS18" s="937"/>
      <c r="AT18" s="948"/>
      <c r="AU18" s="942"/>
      <c r="AV18" s="949"/>
      <c r="AW18" s="950"/>
      <c r="AX18" s="950"/>
      <c r="AY18" s="951"/>
      <c r="AZ18" s="950"/>
      <c r="BA18" s="952"/>
      <c r="BB18" s="967"/>
      <c r="BC18" s="968"/>
      <c r="BD18" s="955"/>
      <c r="BE18" s="955"/>
      <c r="BF18" s="955"/>
      <c r="BG18" s="955"/>
      <c r="BH18" s="955"/>
      <c r="BI18" s="969"/>
      <c r="BJ18" s="955"/>
      <c r="BK18" s="969"/>
      <c r="BL18" s="955"/>
      <c r="BM18" s="955"/>
      <c r="BN18" s="952"/>
      <c r="BO18" s="952"/>
      <c r="BP18" s="965"/>
      <c r="BQ18" s="961"/>
      <c r="BR18" s="960"/>
      <c r="BS18" s="961"/>
      <c r="BT18" s="962"/>
      <c r="BU18" s="962"/>
      <c r="BV18" s="963"/>
      <c r="BW18" s="963"/>
      <c r="BX18" s="963"/>
      <c r="BY18" s="963"/>
      <c r="BZ18" s="963"/>
      <c r="CA18" s="963"/>
      <c r="CB18" s="965"/>
      <c r="CC18" s="965"/>
    </row>
    <row r="19">
      <c r="A19" s="934"/>
      <c r="B19" s="87"/>
      <c r="C19" s="711"/>
      <c r="D19" s="935"/>
      <c r="E19" s="87"/>
      <c r="F19" s="87"/>
      <c r="G19" s="87"/>
      <c r="H19" s="87"/>
      <c r="I19" s="87"/>
      <c r="J19" s="936"/>
      <c r="K19" s="936"/>
      <c r="L19" s="936"/>
      <c r="M19" s="936"/>
      <c r="N19" s="936"/>
      <c r="O19" s="936"/>
      <c r="P19" s="936"/>
      <c r="Q19" s="936"/>
      <c r="R19" s="947"/>
      <c r="S19" s="936"/>
      <c r="T19" s="936"/>
      <c r="U19" s="936"/>
      <c r="V19" s="938"/>
      <c r="W19" s="936"/>
      <c r="X19" s="939"/>
      <c r="Y19" s="936"/>
      <c r="Z19" s="936"/>
      <c r="AA19" s="938"/>
      <c r="AB19" s="936"/>
      <c r="AC19" s="966"/>
      <c r="AD19" s="937"/>
      <c r="AE19" s="943"/>
      <c r="AF19" s="947"/>
      <c r="AG19" s="947"/>
      <c r="AH19" s="945"/>
      <c r="AI19" s="944"/>
      <c r="AJ19" s="944"/>
      <c r="AK19" s="944"/>
      <c r="AL19" s="944"/>
      <c r="AM19" s="944"/>
      <c r="AN19" s="973"/>
      <c r="AO19" s="973"/>
      <c r="AP19" s="973"/>
      <c r="AQ19" s="974"/>
      <c r="AR19" s="938"/>
      <c r="AS19" s="937"/>
      <c r="AT19" s="948"/>
      <c r="AU19" s="942"/>
      <c r="AV19" s="949"/>
      <c r="AW19" s="950"/>
      <c r="AX19" s="950"/>
      <c r="AY19" s="951"/>
      <c r="AZ19" s="950"/>
      <c r="BA19" s="952"/>
      <c r="BB19" s="967"/>
      <c r="BC19" s="968"/>
      <c r="BD19" s="955"/>
      <c r="BE19" s="955"/>
      <c r="BF19" s="955"/>
      <c r="BG19" s="955"/>
      <c r="BH19" s="955"/>
      <c r="BI19" s="969"/>
      <c r="BJ19" s="955"/>
      <c r="BK19" s="969"/>
      <c r="BL19" s="955"/>
      <c r="BM19" s="955"/>
      <c r="BN19" s="952"/>
      <c r="BO19" s="952"/>
      <c r="BP19" s="965"/>
      <c r="BQ19" s="961"/>
      <c r="BR19" s="960"/>
      <c r="BS19" s="961"/>
      <c r="BT19" s="962"/>
      <c r="BU19" s="962"/>
      <c r="BV19" s="963"/>
      <c r="BW19" s="963"/>
      <c r="BX19" s="963"/>
      <c r="BY19" s="963"/>
      <c r="BZ19" s="963"/>
      <c r="CA19" s="963"/>
      <c r="CB19" s="965"/>
      <c r="CC19" s="965"/>
    </row>
    <row r="20">
      <c r="A20" s="976"/>
      <c r="B20" s="84"/>
      <c r="C20" s="242"/>
      <c r="D20" s="348"/>
      <c r="E20" s="84"/>
      <c r="F20" s="84"/>
      <c r="G20" s="84"/>
      <c r="H20" s="84"/>
      <c r="I20" s="84"/>
      <c r="J20" s="936"/>
      <c r="K20" s="936"/>
      <c r="L20" s="936"/>
      <c r="M20" s="936"/>
      <c r="N20" s="936"/>
      <c r="O20" s="936"/>
      <c r="P20" s="936"/>
      <c r="Q20" s="936"/>
      <c r="R20" s="947"/>
      <c r="S20" s="936"/>
      <c r="T20" s="936"/>
      <c r="U20" s="936"/>
      <c r="V20" s="938"/>
      <c r="W20" s="936"/>
      <c r="X20" s="939"/>
      <c r="Y20" s="936"/>
      <c r="Z20" s="936"/>
      <c r="AA20" s="938"/>
      <c r="AB20" s="936"/>
      <c r="AC20" s="966"/>
      <c r="AD20" s="937"/>
      <c r="AE20" s="943"/>
      <c r="AF20" s="947"/>
      <c r="AG20" s="947"/>
      <c r="AH20" s="945"/>
      <c r="AI20" s="944"/>
      <c r="AJ20" s="944"/>
      <c r="AK20" s="944"/>
      <c r="AL20" s="944"/>
      <c r="AM20" s="944"/>
      <c r="AN20" s="977"/>
      <c r="AO20" s="977"/>
      <c r="AP20" s="977"/>
      <c r="AQ20" s="947"/>
      <c r="AR20" s="938"/>
      <c r="AS20" s="937"/>
      <c r="AT20" s="948"/>
      <c r="AU20" s="942"/>
      <c r="AV20" s="949"/>
      <c r="AW20" s="950"/>
      <c r="AX20" s="950"/>
      <c r="AY20" s="951"/>
      <c r="AZ20" s="950"/>
      <c r="BA20" s="952"/>
      <c r="BB20" s="967"/>
      <c r="BC20" s="968"/>
      <c r="BD20" s="955"/>
      <c r="BE20" s="955"/>
      <c r="BF20" s="955"/>
      <c r="BG20" s="955"/>
      <c r="BH20" s="955"/>
      <c r="BI20" s="969"/>
      <c r="BJ20" s="955"/>
      <c r="BK20" s="969"/>
      <c r="BL20" s="955"/>
      <c r="BM20" s="955"/>
      <c r="BN20" s="952"/>
      <c r="BO20" s="952"/>
      <c r="BP20" s="965"/>
      <c r="BQ20" s="961"/>
      <c r="BR20" s="960"/>
      <c r="BS20" s="961"/>
      <c r="BT20" s="962"/>
      <c r="BU20" s="962"/>
      <c r="BV20" s="963"/>
      <c r="BW20" s="963"/>
      <c r="BX20" s="963"/>
      <c r="BY20" s="963"/>
      <c r="BZ20" s="963"/>
      <c r="CA20" s="963"/>
      <c r="CB20" s="965"/>
      <c r="CC20" s="965"/>
    </row>
    <row r="21">
      <c r="A21" s="976"/>
      <c r="B21" s="84"/>
      <c r="C21" s="242"/>
      <c r="D21" s="348"/>
      <c r="E21" s="84"/>
      <c r="F21" s="84"/>
      <c r="G21" s="84"/>
      <c r="H21" s="84"/>
      <c r="I21" s="84"/>
      <c r="J21" s="936"/>
      <c r="K21" s="936"/>
      <c r="L21" s="936"/>
      <c r="M21" s="936"/>
      <c r="N21" s="936"/>
      <c r="O21" s="936"/>
      <c r="P21" s="936"/>
      <c r="Q21" s="936"/>
      <c r="R21" s="947"/>
      <c r="S21" s="936"/>
      <c r="T21" s="936"/>
      <c r="U21" s="936"/>
      <c r="V21" s="938"/>
      <c r="W21" s="936"/>
      <c r="X21" s="939"/>
      <c r="Y21" s="936"/>
      <c r="Z21" s="936"/>
      <c r="AA21" s="938"/>
      <c r="AB21" s="936"/>
      <c r="AC21" s="966"/>
      <c r="AD21" s="937"/>
      <c r="AE21" s="943"/>
      <c r="AF21" s="947"/>
      <c r="AG21" s="947"/>
      <c r="AH21" s="945"/>
      <c r="AI21" s="944"/>
      <c r="AJ21" s="944"/>
      <c r="AK21" s="944"/>
      <c r="AL21" s="944"/>
      <c r="AM21" s="944"/>
      <c r="AN21" s="977"/>
      <c r="AO21" s="977"/>
      <c r="AP21" s="977"/>
      <c r="AQ21" s="947"/>
      <c r="AR21" s="938"/>
      <c r="AS21" s="937"/>
      <c r="AT21" s="948"/>
      <c r="AU21" s="942"/>
      <c r="AV21" s="949"/>
      <c r="AW21" s="950"/>
      <c r="AX21" s="950"/>
      <c r="AY21" s="951"/>
      <c r="AZ21" s="950"/>
      <c r="BA21" s="952"/>
      <c r="BB21" s="967"/>
      <c r="BC21" s="968"/>
      <c r="BD21" s="955"/>
      <c r="BE21" s="955"/>
      <c r="BF21" s="955"/>
      <c r="BG21" s="955"/>
      <c r="BH21" s="955"/>
      <c r="BI21" s="969"/>
      <c r="BJ21" s="955"/>
      <c r="BK21" s="969"/>
      <c r="BL21" s="955"/>
      <c r="BM21" s="955"/>
      <c r="BN21" s="952"/>
      <c r="BO21" s="952"/>
      <c r="BP21" s="965"/>
      <c r="BQ21" s="961"/>
      <c r="BR21" s="960"/>
      <c r="BS21" s="961"/>
      <c r="BT21" s="962"/>
      <c r="BU21" s="962"/>
      <c r="BV21" s="963"/>
      <c r="BW21" s="963"/>
      <c r="BX21" s="963"/>
      <c r="BY21" s="963"/>
      <c r="BZ21" s="963"/>
      <c r="CA21" s="963"/>
      <c r="CB21" s="965"/>
      <c r="CC21" s="965"/>
    </row>
    <row r="22">
      <c r="A22" s="976"/>
      <c r="B22" s="149"/>
      <c r="C22" s="242"/>
      <c r="D22" s="348"/>
      <c r="E22" s="84"/>
      <c r="F22" s="84"/>
      <c r="G22" s="84"/>
      <c r="H22" s="84"/>
      <c r="I22" s="84"/>
      <c r="J22" s="936"/>
      <c r="K22" s="936"/>
      <c r="L22" s="936"/>
      <c r="M22" s="936"/>
      <c r="N22" s="936"/>
      <c r="O22" s="936"/>
      <c r="P22" s="936"/>
      <c r="Q22" s="936"/>
      <c r="R22" s="937"/>
      <c r="S22" s="936"/>
      <c r="T22" s="936"/>
      <c r="U22" s="936"/>
      <c r="V22" s="938"/>
      <c r="W22" s="936"/>
      <c r="X22" s="939"/>
      <c r="Y22" s="936"/>
      <c r="Z22" s="936"/>
      <c r="AA22" s="938"/>
      <c r="AB22" s="936"/>
      <c r="AC22" s="966"/>
      <c r="AD22" s="937"/>
      <c r="AE22" s="943"/>
      <c r="AF22" s="947"/>
      <c r="AG22" s="947"/>
      <c r="AH22" s="945"/>
      <c r="AI22" s="944"/>
      <c r="AJ22" s="944"/>
      <c r="AK22" s="944"/>
      <c r="AL22" s="944"/>
      <c r="AM22" s="944"/>
      <c r="AN22" s="977"/>
      <c r="AO22" s="977"/>
      <c r="AP22" s="977"/>
      <c r="AQ22" s="947"/>
      <c r="AR22" s="938"/>
      <c r="AS22" s="937"/>
      <c r="AT22" s="948"/>
      <c r="AU22" s="944"/>
      <c r="AV22" s="978"/>
      <c r="AW22" s="950"/>
      <c r="AX22" s="950"/>
      <c r="AY22" s="951"/>
      <c r="AZ22" s="950"/>
      <c r="BA22" s="952"/>
      <c r="BB22" s="967"/>
      <c r="BC22" s="968"/>
      <c r="BD22" s="955"/>
      <c r="BE22" s="955"/>
      <c r="BF22" s="955"/>
      <c r="BG22" s="955"/>
      <c r="BH22" s="955"/>
      <c r="BI22" s="969"/>
      <c r="BJ22" s="955"/>
      <c r="BK22" s="969"/>
      <c r="BL22" s="955"/>
      <c r="BM22" s="955"/>
      <c r="BN22" s="952"/>
      <c r="BO22" s="952"/>
      <c r="BP22" s="965"/>
      <c r="BQ22" s="961"/>
      <c r="BR22" s="960"/>
      <c r="BS22" s="961"/>
      <c r="BT22" s="962"/>
      <c r="BU22" s="962"/>
      <c r="BV22" s="963"/>
      <c r="BW22" s="963"/>
      <c r="BX22" s="963"/>
      <c r="BY22" s="963"/>
      <c r="BZ22" s="963"/>
      <c r="CA22" s="963"/>
      <c r="CB22" s="965"/>
      <c r="CC22" s="965"/>
    </row>
    <row r="23">
      <c r="A23" s="976"/>
      <c r="B23" s="84"/>
      <c r="C23" s="242"/>
      <c r="D23" s="348"/>
      <c r="E23" s="84"/>
      <c r="F23" s="84"/>
      <c r="G23" s="84"/>
      <c r="H23" s="84"/>
      <c r="I23" s="84"/>
      <c r="J23" s="947"/>
      <c r="K23" s="947"/>
      <c r="L23" s="947"/>
      <c r="M23" s="947"/>
      <c r="N23" s="947"/>
      <c r="O23" s="947"/>
      <c r="P23" s="947"/>
      <c r="Q23" s="947"/>
      <c r="R23" s="937"/>
      <c r="S23" s="937"/>
      <c r="T23" s="947"/>
      <c r="U23" s="947"/>
      <c r="V23" s="938"/>
      <c r="W23" s="947"/>
      <c r="X23" s="939"/>
      <c r="Y23" s="947"/>
      <c r="Z23" s="947"/>
      <c r="AA23" s="938"/>
      <c r="AB23" s="947"/>
      <c r="AC23" s="947"/>
      <c r="AD23" s="947"/>
      <c r="AE23" s="947"/>
      <c r="AF23" s="947"/>
      <c r="AG23" s="947"/>
      <c r="AH23" s="948"/>
      <c r="AI23" s="947"/>
      <c r="AJ23" s="947"/>
      <c r="AK23" s="947"/>
      <c r="AL23" s="947"/>
      <c r="AM23" s="947"/>
      <c r="AN23" s="947"/>
      <c r="AO23" s="947"/>
      <c r="AP23" s="938"/>
      <c r="AQ23" s="947"/>
      <c r="AR23" s="938"/>
      <c r="AS23" s="937"/>
      <c r="AT23" s="948"/>
      <c r="AU23" s="947"/>
      <c r="AV23" s="981"/>
      <c r="AW23" s="950"/>
      <c r="AX23" s="950"/>
      <c r="AY23" s="951"/>
      <c r="AZ23" s="950"/>
      <c r="BA23" s="952"/>
      <c r="BB23" s="967"/>
      <c r="BC23" s="968"/>
      <c r="BD23" s="955"/>
      <c r="BE23" s="955"/>
      <c r="BF23" s="955"/>
      <c r="BG23" s="955"/>
      <c r="BH23" s="955"/>
      <c r="BI23" s="969"/>
      <c r="BJ23" s="955"/>
      <c r="BK23" s="969"/>
      <c r="BL23" s="955"/>
      <c r="BM23" s="955"/>
      <c r="BN23" s="952"/>
      <c r="BO23" s="952"/>
      <c r="BP23" s="965"/>
      <c r="BQ23" s="961"/>
      <c r="BR23" s="960"/>
      <c r="BS23" s="961"/>
      <c r="BT23" s="962"/>
      <c r="BU23" s="962"/>
      <c r="BV23" s="963"/>
      <c r="BW23" s="963"/>
      <c r="BX23" s="963"/>
      <c r="BY23" s="963"/>
      <c r="BZ23" s="963"/>
      <c r="CA23" s="963"/>
      <c r="CB23" s="965"/>
      <c r="CC23" s="965"/>
    </row>
    <row r="24">
      <c r="A24" s="976"/>
      <c r="B24" s="84"/>
      <c r="C24" s="242"/>
      <c r="D24" s="348"/>
      <c r="E24" s="84"/>
      <c r="F24" s="84"/>
      <c r="G24" s="84"/>
      <c r="H24" s="84"/>
      <c r="I24" s="84"/>
      <c r="J24" s="947"/>
      <c r="K24" s="947"/>
      <c r="L24" s="947"/>
      <c r="M24" s="947"/>
      <c r="N24" s="947"/>
      <c r="O24" s="947"/>
      <c r="P24" s="947"/>
      <c r="Q24" s="947"/>
      <c r="R24" s="937"/>
      <c r="S24" s="937"/>
      <c r="T24" s="947"/>
      <c r="U24" s="947"/>
      <c r="V24" s="938"/>
      <c r="W24" s="947"/>
      <c r="X24" s="939"/>
      <c r="Y24" s="947"/>
      <c r="Z24" s="947"/>
      <c r="AA24" s="938"/>
      <c r="AB24" s="947"/>
      <c r="AC24" s="947"/>
      <c r="AD24" s="947"/>
      <c r="AE24" s="947"/>
      <c r="AF24" s="947"/>
      <c r="AG24" s="947"/>
      <c r="AH24" s="948"/>
      <c r="AI24" s="947"/>
      <c r="AJ24" s="947"/>
      <c r="AK24" s="947"/>
      <c r="AL24" s="947"/>
      <c r="AM24" s="947"/>
      <c r="AN24" s="947"/>
      <c r="AO24" s="947"/>
      <c r="AP24" s="938"/>
      <c r="AQ24" s="947"/>
      <c r="AR24" s="938"/>
      <c r="AS24" s="937"/>
      <c r="AT24" s="948"/>
      <c r="AU24" s="947"/>
      <c r="AV24" s="981"/>
      <c r="AW24" s="950"/>
      <c r="AX24" s="950"/>
      <c r="AY24" s="951"/>
      <c r="AZ24" s="950"/>
      <c r="BA24" s="952"/>
      <c r="BB24" s="967"/>
      <c r="BC24" s="968"/>
      <c r="BD24" s="955"/>
      <c r="BE24" s="955"/>
      <c r="BF24" s="955"/>
      <c r="BG24" s="955"/>
      <c r="BH24" s="955"/>
      <c r="BI24" s="969"/>
      <c r="BJ24" s="955"/>
      <c r="BK24" s="969"/>
      <c r="BL24" s="955"/>
      <c r="BM24" s="955"/>
      <c r="BN24" s="952"/>
      <c r="BO24" s="952"/>
      <c r="BP24" s="965"/>
      <c r="BQ24" s="961"/>
      <c r="BR24" s="960"/>
      <c r="BS24" s="961"/>
      <c r="BT24" s="962"/>
      <c r="BU24" s="962"/>
      <c r="BV24" s="963"/>
      <c r="BW24" s="963"/>
      <c r="BX24" s="963"/>
      <c r="BY24" s="963"/>
      <c r="BZ24" s="963"/>
      <c r="CA24" s="963"/>
      <c r="CB24" s="965"/>
      <c r="CC24" s="965"/>
    </row>
    <row r="25">
      <c r="A25" s="976"/>
      <c r="B25" s="84"/>
      <c r="C25" s="242"/>
      <c r="D25" s="348"/>
      <c r="E25" s="84"/>
      <c r="F25" s="84"/>
      <c r="G25" s="84"/>
      <c r="H25" s="84"/>
      <c r="I25" s="84"/>
      <c r="J25" s="947"/>
      <c r="K25" s="947"/>
      <c r="L25" s="947"/>
      <c r="M25" s="947"/>
      <c r="N25" s="947"/>
      <c r="O25" s="947"/>
      <c r="P25" s="947"/>
      <c r="Q25" s="947"/>
      <c r="R25" s="937"/>
      <c r="S25" s="937"/>
      <c r="T25" s="947"/>
      <c r="U25" s="947"/>
      <c r="V25" s="938"/>
      <c r="W25" s="947"/>
      <c r="X25" s="939"/>
      <c r="Y25" s="947"/>
      <c r="Z25" s="947"/>
      <c r="AA25" s="938"/>
      <c r="AB25" s="947"/>
      <c r="AC25" s="947"/>
      <c r="AD25" s="947"/>
      <c r="AE25" s="947"/>
      <c r="AF25" s="947"/>
      <c r="AG25" s="947"/>
      <c r="AH25" s="948"/>
      <c r="AI25" s="947"/>
      <c r="AJ25" s="947"/>
      <c r="AK25" s="947"/>
      <c r="AL25" s="947"/>
      <c r="AM25" s="947"/>
      <c r="AN25" s="947"/>
      <c r="AO25" s="947"/>
      <c r="AP25" s="938"/>
      <c r="AQ25" s="977"/>
      <c r="AR25" s="938"/>
      <c r="AS25" s="937"/>
      <c r="AT25" s="948"/>
      <c r="AU25" s="947"/>
      <c r="AV25" s="981"/>
      <c r="AW25" s="950"/>
      <c r="AX25" s="950"/>
      <c r="AY25" s="951"/>
      <c r="AZ25" s="950"/>
      <c r="BA25" s="952"/>
      <c r="BB25" s="967"/>
      <c r="BC25" s="968"/>
      <c r="BD25" s="955"/>
      <c r="BE25" s="955"/>
      <c r="BF25" s="955"/>
      <c r="BG25" s="955"/>
      <c r="BH25" s="955"/>
      <c r="BI25" s="969"/>
      <c r="BJ25" s="955"/>
      <c r="BK25" s="969"/>
      <c r="BL25" s="955"/>
      <c r="BM25" s="955"/>
      <c r="BN25" s="952"/>
      <c r="BO25" s="952"/>
      <c r="BP25" s="965"/>
      <c r="BQ25" s="961"/>
      <c r="BR25" s="960"/>
      <c r="BS25" s="961"/>
      <c r="BT25" s="962"/>
      <c r="BU25" s="962"/>
      <c r="BV25" s="963"/>
      <c r="BW25" s="963"/>
      <c r="BX25" s="963"/>
      <c r="BY25" s="963"/>
      <c r="BZ25" s="963"/>
      <c r="CA25" s="963"/>
      <c r="CB25" s="965"/>
      <c r="CC25" s="965"/>
    </row>
    <row r="26">
      <c r="A26" s="976"/>
      <c r="B26" s="84"/>
      <c r="C26" s="242"/>
      <c r="D26" s="348"/>
      <c r="E26" s="84"/>
      <c r="F26" s="84"/>
      <c r="G26" s="84"/>
      <c r="H26" s="84"/>
      <c r="I26" s="84"/>
      <c r="J26" s="947"/>
      <c r="K26" s="947"/>
      <c r="L26" s="947"/>
      <c r="M26" s="947"/>
      <c r="N26" s="947"/>
      <c r="O26" s="947"/>
      <c r="P26" s="947"/>
      <c r="Q26" s="947"/>
      <c r="R26" s="937"/>
      <c r="S26" s="937"/>
      <c r="T26" s="947"/>
      <c r="U26" s="947"/>
      <c r="V26" s="938"/>
      <c r="W26" s="947"/>
      <c r="X26" s="939"/>
      <c r="Y26" s="947"/>
      <c r="Z26" s="947"/>
      <c r="AA26" s="938"/>
      <c r="AB26" s="947"/>
      <c r="AC26" s="947"/>
      <c r="AD26" s="947"/>
      <c r="AE26" s="947"/>
      <c r="AF26" s="947"/>
      <c r="AG26" s="947"/>
      <c r="AH26" s="948"/>
      <c r="AI26" s="947"/>
      <c r="AJ26" s="947"/>
      <c r="AK26" s="947"/>
      <c r="AL26" s="947"/>
      <c r="AM26" s="947"/>
      <c r="AN26" s="947"/>
      <c r="AO26" s="947"/>
      <c r="AP26" s="938"/>
      <c r="AQ26" s="977"/>
      <c r="AR26" s="938"/>
      <c r="AS26" s="937"/>
      <c r="AT26" s="948"/>
      <c r="AU26" s="947"/>
      <c r="AV26" s="981"/>
      <c r="AW26" s="950"/>
      <c r="AX26" s="950"/>
      <c r="AY26" s="951"/>
      <c r="AZ26" s="950"/>
      <c r="BA26" s="952"/>
      <c r="BB26" s="967"/>
      <c r="BC26" s="968"/>
      <c r="BD26" s="955"/>
      <c r="BE26" s="955"/>
      <c r="BF26" s="955"/>
      <c r="BG26" s="955"/>
      <c r="BH26" s="955"/>
      <c r="BI26" s="969"/>
      <c r="BJ26" s="955"/>
      <c r="BK26" s="969"/>
      <c r="BL26" s="955"/>
      <c r="BM26" s="955"/>
      <c r="BN26" s="952"/>
      <c r="BO26" s="952"/>
      <c r="BP26" s="965"/>
      <c r="BQ26" s="961"/>
      <c r="BR26" s="960"/>
      <c r="BS26" s="961"/>
      <c r="BT26" s="962"/>
      <c r="BU26" s="962"/>
      <c r="BV26" s="963"/>
      <c r="BW26" s="963"/>
      <c r="BX26" s="963"/>
      <c r="BY26" s="963"/>
      <c r="BZ26" s="963"/>
      <c r="CA26" s="963"/>
      <c r="CB26" s="965"/>
      <c r="CC26" s="965"/>
    </row>
    <row r="27">
      <c r="A27" s="976"/>
      <c r="B27" s="84"/>
      <c r="C27" s="242"/>
      <c r="D27" s="348"/>
      <c r="E27" s="84"/>
      <c r="F27" s="84"/>
      <c r="G27" s="84"/>
      <c r="H27" s="84"/>
      <c r="I27" s="84"/>
      <c r="J27" s="947"/>
      <c r="K27" s="947"/>
      <c r="L27" s="947"/>
      <c r="M27" s="947"/>
      <c r="N27" s="947"/>
      <c r="O27" s="947"/>
      <c r="P27" s="947"/>
      <c r="Q27" s="947"/>
      <c r="R27" s="937"/>
      <c r="S27" s="937"/>
      <c r="T27" s="947"/>
      <c r="U27" s="947"/>
      <c r="V27" s="938"/>
      <c r="W27" s="947"/>
      <c r="X27" s="939"/>
      <c r="Y27" s="947"/>
      <c r="Z27" s="947"/>
      <c r="AA27" s="938"/>
      <c r="AB27" s="947"/>
      <c r="AC27" s="947"/>
      <c r="AD27" s="947"/>
      <c r="AE27" s="947"/>
      <c r="AF27" s="947"/>
      <c r="AG27" s="947"/>
      <c r="AH27" s="948"/>
      <c r="AI27" s="947"/>
      <c r="AJ27" s="947"/>
      <c r="AK27" s="947"/>
      <c r="AL27" s="947"/>
      <c r="AM27" s="947"/>
      <c r="AN27" s="947"/>
      <c r="AO27" s="947"/>
      <c r="AP27" s="938"/>
      <c r="AQ27" s="947"/>
      <c r="AR27" s="938"/>
      <c r="AS27" s="937"/>
      <c r="AT27" s="948"/>
      <c r="AU27" s="947"/>
      <c r="AV27" s="981"/>
      <c r="AW27" s="950"/>
      <c r="AX27" s="950"/>
      <c r="AY27" s="951"/>
      <c r="AZ27" s="950"/>
      <c r="BA27" s="952"/>
      <c r="BB27" s="967"/>
      <c r="BC27" s="968"/>
      <c r="BD27" s="955"/>
      <c r="BE27" s="955"/>
      <c r="BF27" s="955"/>
      <c r="BG27" s="955"/>
      <c r="BH27" s="955"/>
      <c r="BI27" s="969"/>
      <c r="BJ27" s="955"/>
      <c r="BK27" s="969"/>
      <c r="BL27" s="955"/>
      <c r="BM27" s="955"/>
      <c r="BN27" s="952"/>
      <c r="BO27" s="952"/>
      <c r="BP27" s="965"/>
      <c r="BQ27" s="961"/>
      <c r="BR27" s="960"/>
      <c r="BS27" s="961"/>
      <c r="BT27" s="962"/>
      <c r="BU27" s="962"/>
      <c r="BV27" s="963"/>
      <c r="BW27" s="963"/>
      <c r="BX27" s="963"/>
      <c r="BY27" s="963"/>
      <c r="BZ27" s="963"/>
      <c r="CA27" s="963"/>
      <c r="CB27" s="965"/>
      <c r="CC27" s="965"/>
    </row>
    <row r="28">
      <c r="A28" s="976"/>
      <c r="B28" s="84"/>
      <c r="C28" s="242"/>
      <c r="D28" s="348"/>
      <c r="E28" s="84"/>
      <c r="F28" s="84"/>
      <c r="G28" s="84"/>
      <c r="H28" s="84"/>
      <c r="I28" s="84"/>
      <c r="J28" s="947"/>
      <c r="K28" s="947"/>
      <c r="L28" s="947"/>
      <c r="M28" s="947"/>
      <c r="N28" s="947"/>
      <c r="O28" s="947"/>
      <c r="P28" s="947"/>
      <c r="Q28" s="947"/>
      <c r="R28" s="937"/>
      <c r="S28" s="937"/>
      <c r="T28" s="947"/>
      <c r="U28" s="947"/>
      <c r="V28" s="938"/>
      <c r="W28" s="947"/>
      <c r="X28" s="939"/>
      <c r="Y28" s="947"/>
      <c r="Z28" s="947"/>
      <c r="AA28" s="938"/>
      <c r="AB28" s="947"/>
      <c r="AC28" s="947"/>
      <c r="AD28" s="947"/>
      <c r="AE28" s="947"/>
      <c r="AF28" s="947"/>
      <c r="AG28" s="947"/>
      <c r="AH28" s="948"/>
      <c r="AI28" s="947"/>
      <c r="AJ28" s="947"/>
      <c r="AK28" s="947"/>
      <c r="AL28" s="947"/>
      <c r="AM28" s="947"/>
      <c r="AN28" s="947"/>
      <c r="AO28" s="947"/>
      <c r="AP28" s="938"/>
      <c r="AQ28" s="947"/>
      <c r="AR28" s="938"/>
      <c r="AS28" s="937"/>
      <c r="AT28" s="948"/>
      <c r="AU28" s="947"/>
      <c r="AV28" s="981"/>
      <c r="AW28" s="950"/>
      <c r="AX28" s="950"/>
      <c r="AY28" s="951"/>
      <c r="AZ28" s="950"/>
      <c r="BA28" s="952"/>
      <c r="BB28" s="967"/>
      <c r="BC28" s="968"/>
      <c r="BD28" s="955"/>
      <c r="BE28" s="955"/>
      <c r="BF28" s="955"/>
      <c r="BG28" s="955"/>
      <c r="BH28" s="955"/>
      <c r="BI28" s="969"/>
      <c r="BJ28" s="955"/>
      <c r="BK28" s="969"/>
      <c r="BL28" s="955"/>
      <c r="BM28" s="955"/>
      <c r="BN28" s="952"/>
      <c r="BO28" s="952"/>
      <c r="BP28" s="965"/>
      <c r="BQ28" s="961"/>
      <c r="BR28" s="960"/>
      <c r="BS28" s="961"/>
      <c r="BT28" s="962"/>
      <c r="BU28" s="962"/>
      <c r="BV28" s="963"/>
      <c r="BW28" s="963"/>
      <c r="BX28" s="963"/>
      <c r="BY28" s="963"/>
      <c r="BZ28" s="963"/>
      <c r="CA28" s="963"/>
      <c r="CB28" s="965"/>
      <c r="CC28" s="965"/>
    </row>
    <row r="29">
      <c r="A29" s="976"/>
      <c r="B29" s="84"/>
      <c r="C29" s="242"/>
      <c r="D29" s="348"/>
      <c r="E29" s="84"/>
      <c r="F29" s="84"/>
      <c r="G29" s="84"/>
      <c r="H29" s="84"/>
      <c r="I29" s="84"/>
      <c r="J29" s="947"/>
      <c r="K29" s="947"/>
      <c r="L29" s="947"/>
      <c r="M29" s="947"/>
      <c r="N29" s="947"/>
      <c r="O29" s="947"/>
      <c r="P29" s="947"/>
      <c r="Q29" s="947"/>
      <c r="R29" s="937"/>
      <c r="S29" s="937"/>
      <c r="T29" s="947"/>
      <c r="U29" s="947"/>
      <c r="V29" s="938"/>
      <c r="W29" s="947"/>
      <c r="X29" s="939"/>
      <c r="Y29" s="947"/>
      <c r="Z29" s="947"/>
      <c r="AA29" s="938"/>
      <c r="AB29" s="947"/>
      <c r="AC29" s="947"/>
      <c r="AD29" s="947"/>
      <c r="AE29" s="947"/>
      <c r="AF29" s="947"/>
      <c r="AG29" s="947"/>
      <c r="AH29" s="948"/>
      <c r="AI29" s="947"/>
      <c r="AJ29" s="947"/>
      <c r="AK29" s="947"/>
      <c r="AL29" s="947"/>
      <c r="AM29" s="947"/>
      <c r="AN29" s="947"/>
      <c r="AO29" s="947"/>
      <c r="AP29" s="938"/>
      <c r="AQ29" s="988"/>
      <c r="AR29" s="938"/>
      <c r="AS29" s="937"/>
      <c r="AT29" s="948"/>
      <c r="AU29" s="947"/>
      <c r="AV29" s="981"/>
      <c r="AW29" s="950"/>
      <c r="AX29" s="950"/>
      <c r="AY29" s="951"/>
      <c r="AZ29" s="950"/>
      <c r="BA29" s="952"/>
      <c r="BB29" s="967"/>
      <c r="BC29" s="968"/>
      <c r="BD29" s="955"/>
      <c r="BE29" s="955"/>
      <c r="BF29" s="955"/>
      <c r="BG29" s="955"/>
      <c r="BH29" s="955"/>
      <c r="BI29" s="969"/>
      <c r="BJ29" s="955"/>
      <c r="BK29" s="969"/>
      <c r="BL29" s="955"/>
      <c r="BM29" s="955"/>
      <c r="BN29" s="952"/>
      <c r="BO29" s="952"/>
      <c r="BP29" s="965"/>
      <c r="BQ29" s="961"/>
      <c r="BR29" s="960"/>
      <c r="BS29" s="961"/>
      <c r="BT29" s="962"/>
      <c r="BU29" s="962"/>
      <c r="BV29" s="963"/>
      <c r="BW29" s="963"/>
      <c r="BX29" s="963"/>
      <c r="BY29" s="963"/>
      <c r="BZ29" s="963"/>
      <c r="CA29" s="963"/>
      <c r="CB29" s="965"/>
      <c r="CC29" s="965"/>
    </row>
    <row r="30">
      <c r="A30" s="976"/>
      <c r="B30" s="84"/>
      <c r="C30" s="242"/>
      <c r="D30" s="348"/>
      <c r="E30" s="84"/>
      <c r="F30" s="84"/>
      <c r="G30" s="84"/>
      <c r="H30" s="84"/>
      <c r="I30" s="84"/>
      <c r="J30" s="947"/>
      <c r="K30" s="947"/>
      <c r="L30" s="947"/>
      <c r="M30" s="947"/>
      <c r="N30" s="947"/>
      <c r="O30" s="947"/>
      <c r="P30" s="947"/>
      <c r="Q30" s="947"/>
      <c r="R30" s="937"/>
      <c r="S30" s="937"/>
      <c r="T30" s="947"/>
      <c r="U30" s="947"/>
      <c r="V30" s="938"/>
      <c r="W30" s="947"/>
      <c r="X30" s="939"/>
      <c r="Y30" s="947"/>
      <c r="Z30" s="947"/>
      <c r="AA30" s="938"/>
      <c r="AB30" s="947"/>
      <c r="AC30" s="947"/>
      <c r="AD30" s="947"/>
      <c r="AE30" s="947"/>
      <c r="AF30" s="947"/>
      <c r="AG30" s="947"/>
      <c r="AH30" s="948"/>
      <c r="AI30" s="947"/>
      <c r="AJ30" s="947"/>
      <c r="AK30" s="947"/>
      <c r="AL30" s="947"/>
      <c r="AM30" s="947"/>
      <c r="AN30" s="947"/>
      <c r="AO30" s="947"/>
      <c r="AP30" s="938"/>
      <c r="AQ30" s="947"/>
      <c r="AR30" s="938"/>
      <c r="AS30" s="937"/>
      <c r="AT30" s="948"/>
      <c r="AU30" s="947"/>
      <c r="AV30" s="981"/>
      <c r="AW30" s="950"/>
      <c r="AX30" s="950"/>
      <c r="AY30" s="951"/>
      <c r="AZ30" s="950"/>
      <c r="BA30" s="952"/>
      <c r="BB30" s="967"/>
      <c r="BC30" s="968"/>
      <c r="BD30" s="955"/>
      <c r="BE30" s="955"/>
      <c r="BF30" s="955"/>
      <c r="BG30" s="955"/>
      <c r="BH30" s="955"/>
      <c r="BI30" s="969"/>
      <c r="BJ30" s="955"/>
      <c r="BK30" s="969"/>
      <c r="BL30" s="955"/>
      <c r="BM30" s="955"/>
      <c r="BN30" s="952"/>
      <c r="BO30" s="952"/>
      <c r="BP30" s="965"/>
      <c r="BQ30" s="961"/>
      <c r="BR30" s="960"/>
      <c r="BS30" s="961"/>
      <c r="BT30" s="962"/>
      <c r="BU30" s="962"/>
      <c r="BV30" s="963"/>
      <c r="BW30" s="963"/>
      <c r="BX30" s="963"/>
      <c r="BY30" s="963"/>
      <c r="BZ30" s="963"/>
      <c r="CA30" s="963"/>
      <c r="CB30" s="965"/>
      <c r="CC30" s="965"/>
    </row>
    <row r="31">
      <c r="A31" s="976"/>
      <c r="B31" s="84"/>
      <c r="C31" s="242"/>
      <c r="D31" s="348"/>
      <c r="E31" s="84"/>
      <c r="F31" s="84"/>
      <c r="G31" s="84"/>
      <c r="H31" s="84"/>
      <c r="I31" s="84"/>
      <c r="J31" s="947"/>
      <c r="K31" s="947"/>
      <c r="L31" s="947"/>
      <c r="M31" s="947"/>
      <c r="N31" s="947"/>
      <c r="O31" s="947"/>
      <c r="P31" s="947"/>
      <c r="Q31" s="947"/>
      <c r="R31" s="937"/>
      <c r="S31" s="937"/>
      <c r="T31" s="947"/>
      <c r="U31" s="947"/>
      <c r="V31" s="938"/>
      <c r="W31" s="947"/>
      <c r="X31" s="939"/>
      <c r="Y31" s="947"/>
      <c r="Z31" s="947"/>
      <c r="AA31" s="938"/>
      <c r="AB31" s="947"/>
      <c r="AC31" s="947"/>
      <c r="AD31" s="947"/>
      <c r="AE31" s="947"/>
      <c r="AF31" s="947"/>
      <c r="AG31" s="947"/>
      <c r="AH31" s="948"/>
      <c r="AI31" s="947"/>
      <c r="AJ31" s="947"/>
      <c r="AK31" s="947"/>
      <c r="AL31" s="947"/>
      <c r="AM31" s="947"/>
      <c r="AN31" s="947"/>
      <c r="AO31" s="947"/>
      <c r="AP31" s="938"/>
      <c r="AQ31" s="947"/>
      <c r="AR31" s="938"/>
      <c r="AS31" s="937"/>
      <c r="AT31" s="948"/>
      <c r="AU31" s="947"/>
      <c r="AV31" s="981"/>
      <c r="AW31" s="950"/>
      <c r="AX31" s="950"/>
      <c r="AY31" s="951"/>
      <c r="AZ31" s="950"/>
      <c r="BA31" s="952"/>
      <c r="BB31" s="967"/>
      <c r="BC31" s="968"/>
      <c r="BD31" s="955"/>
      <c r="BE31" s="955"/>
      <c r="BF31" s="955"/>
      <c r="BG31" s="955"/>
      <c r="BH31" s="955"/>
      <c r="BI31" s="969"/>
      <c r="BJ31" s="955"/>
      <c r="BK31" s="969"/>
      <c r="BL31" s="955"/>
      <c r="BM31" s="955"/>
      <c r="BN31" s="952"/>
      <c r="BO31" s="952"/>
      <c r="BP31" s="965"/>
      <c r="BQ31" s="961"/>
      <c r="BR31" s="960"/>
      <c r="BS31" s="961"/>
      <c r="BT31" s="962"/>
      <c r="BU31" s="962"/>
      <c r="BV31" s="963"/>
      <c r="BW31" s="963"/>
      <c r="BX31" s="963"/>
      <c r="BY31" s="963"/>
      <c r="BZ31" s="963"/>
      <c r="CA31" s="963"/>
      <c r="CB31" s="965"/>
      <c r="CC31" s="965"/>
    </row>
    <row r="32">
      <c r="A32" s="976"/>
      <c r="B32" s="84"/>
      <c r="C32" s="242"/>
      <c r="D32" s="348"/>
      <c r="E32" s="84"/>
      <c r="F32" s="84"/>
      <c r="G32" s="84"/>
      <c r="H32" s="84"/>
      <c r="I32" s="84"/>
      <c r="J32" s="947"/>
      <c r="K32" s="947"/>
      <c r="L32" s="947"/>
      <c r="M32" s="947"/>
      <c r="N32" s="947"/>
      <c r="O32" s="947"/>
      <c r="P32" s="947"/>
      <c r="Q32" s="947"/>
      <c r="R32" s="937"/>
      <c r="S32" s="937"/>
      <c r="T32" s="947"/>
      <c r="U32" s="947"/>
      <c r="V32" s="938"/>
      <c r="W32" s="947"/>
      <c r="X32" s="939"/>
      <c r="Y32" s="947"/>
      <c r="Z32" s="947"/>
      <c r="AA32" s="938"/>
      <c r="AB32" s="947"/>
      <c r="AC32" s="947"/>
      <c r="AD32" s="947"/>
      <c r="AE32" s="947"/>
      <c r="AF32" s="947"/>
      <c r="AG32" s="947"/>
      <c r="AH32" s="948"/>
      <c r="AI32" s="947"/>
      <c r="AJ32" s="947"/>
      <c r="AK32" s="947"/>
      <c r="AL32" s="947"/>
      <c r="AM32" s="947"/>
      <c r="AN32" s="947"/>
      <c r="AO32" s="947"/>
      <c r="AP32" s="938"/>
      <c r="AQ32" s="947"/>
      <c r="AR32" s="938"/>
      <c r="AS32" s="937"/>
      <c r="AT32" s="948"/>
      <c r="AU32" s="947"/>
      <c r="AV32" s="981"/>
      <c r="AW32" s="950"/>
      <c r="AX32" s="950"/>
      <c r="AY32" s="951"/>
      <c r="AZ32" s="950"/>
      <c r="BA32" s="952"/>
      <c r="BB32" s="967"/>
      <c r="BC32" s="968"/>
      <c r="BD32" s="955"/>
      <c r="BE32" s="955"/>
      <c r="BF32" s="955"/>
      <c r="BG32" s="955"/>
      <c r="BH32" s="955"/>
      <c r="BI32" s="969"/>
      <c r="BJ32" s="955"/>
      <c r="BK32" s="969"/>
      <c r="BL32" s="955"/>
      <c r="BM32" s="955"/>
      <c r="BN32" s="952"/>
      <c r="BO32" s="952"/>
      <c r="BP32" s="965"/>
      <c r="BQ32" s="961"/>
      <c r="BR32" s="960"/>
      <c r="BS32" s="961"/>
      <c r="BT32" s="962"/>
      <c r="BU32" s="962"/>
      <c r="BV32" s="963"/>
      <c r="BW32" s="963"/>
      <c r="BX32" s="963"/>
      <c r="BY32" s="963"/>
      <c r="BZ32" s="963"/>
      <c r="CA32" s="963"/>
      <c r="CB32" s="965"/>
      <c r="CC32" s="965"/>
    </row>
    <row r="33">
      <c r="A33" s="976"/>
      <c r="B33" s="84"/>
      <c r="C33" s="242"/>
      <c r="D33" s="348"/>
      <c r="E33" s="84"/>
      <c r="F33" s="84"/>
      <c r="G33" s="84"/>
      <c r="H33" s="84"/>
      <c r="I33" s="84"/>
      <c r="J33" s="947"/>
      <c r="K33" s="947"/>
      <c r="L33" s="947"/>
      <c r="M33" s="947"/>
      <c r="N33" s="947"/>
      <c r="O33" s="947"/>
      <c r="P33" s="947"/>
      <c r="Q33" s="947"/>
      <c r="R33" s="937"/>
      <c r="S33" s="937"/>
      <c r="T33" s="947"/>
      <c r="U33" s="947"/>
      <c r="V33" s="938"/>
      <c r="W33" s="947"/>
      <c r="X33" s="939"/>
      <c r="Y33" s="947"/>
      <c r="Z33" s="947"/>
      <c r="AA33" s="938"/>
      <c r="AB33" s="947"/>
      <c r="AC33" s="947"/>
      <c r="AD33" s="947"/>
      <c r="AE33" s="947"/>
      <c r="AF33" s="947"/>
      <c r="AG33" s="947"/>
      <c r="AH33" s="948"/>
      <c r="AI33" s="947"/>
      <c r="AJ33" s="947"/>
      <c r="AK33" s="947"/>
      <c r="AL33" s="947"/>
      <c r="AM33" s="947"/>
      <c r="AN33" s="947"/>
      <c r="AO33" s="947"/>
      <c r="AP33" s="938"/>
      <c r="AQ33" s="947"/>
      <c r="AR33" s="938"/>
      <c r="AS33" s="937"/>
      <c r="AT33" s="948"/>
      <c r="AU33" s="947"/>
      <c r="AV33" s="981"/>
      <c r="AW33" s="950"/>
      <c r="AX33" s="950"/>
      <c r="AY33" s="951"/>
      <c r="AZ33" s="950"/>
      <c r="BA33" s="952"/>
      <c r="BB33" s="967"/>
      <c r="BC33" s="968"/>
      <c r="BD33" s="955"/>
      <c r="BE33" s="955"/>
      <c r="BF33" s="955"/>
      <c r="BG33" s="955"/>
      <c r="BH33" s="955"/>
      <c r="BI33" s="969"/>
      <c r="BJ33" s="955"/>
      <c r="BK33" s="969"/>
      <c r="BL33" s="955"/>
      <c r="BM33" s="955"/>
      <c r="BN33" s="952"/>
      <c r="BO33" s="952"/>
      <c r="BP33" s="965"/>
      <c r="BQ33" s="961"/>
      <c r="BR33" s="960"/>
      <c r="BS33" s="961"/>
      <c r="BT33" s="962"/>
      <c r="BU33" s="962"/>
      <c r="BV33" s="963"/>
      <c r="BW33" s="963"/>
      <c r="BX33" s="963"/>
      <c r="BY33" s="963"/>
      <c r="BZ33" s="963"/>
      <c r="CA33" s="963"/>
      <c r="CB33" s="965"/>
      <c r="CC33" s="965"/>
    </row>
    <row r="34">
      <c r="A34" s="976"/>
      <c r="B34" s="84"/>
      <c r="C34" s="242"/>
      <c r="D34" s="348"/>
      <c r="E34" s="84"/>
      <c r="F34" s="84"/>
      <c r="G34" s="84"/>
      <c r="H34" s="84"/>
      <c r="I34" s="84"/>
      <c r="J34" s="947"/>
      <c r="K34" s="947"/>
      <c r="L34" s="947"/>
      <c r="M34" s="947"/>
      <c r="N34" s="947"/>
      <c r="O34" s="947"/>
      <c r="P34" s="947"/>
      <c r="Q34" s="947"/>
      <c r="R34" s="937"/>
      <c r="S34" s="937"/>
      <c r="T34" s="947"/>
      <c r="U34" s="947"/>
      <c r="V34" s="938"/>
      <c r="W34" s="947"/>
      <c r="X34" s="939"/>
      <c r="Y34" s="947"/>
      <c r="Z34" s="947"/>
      <c r="AA34" s="938"/>
      <c r="AB34" s="947"/>
      <c r="AC34" s="947"/>
      <c r="AD34" s="947"/>
      <c r="AE34" s="947"/>
      <c r="AF34" s="947"/>
      <c r="AG34" s="947"/>
      <c r="AH34" s="948"/>
      <c r="AI34" s="947"/>
      <c r="AJ34" s="947"/>
      <c r="AK34" s="947"/>
      <c r="AL34" s="947"/>
      <c r="AM34" s="947"/>
      <c r="AN34" s="947"/>
      <c r="AO34" s="947"/>
      <c r="AP34" s="938"/>
      <c r="AQ34" s="947"/>
      <c r="AR34" s="938"/>
      <c r="AS34" s="937"/>
      <c r="AT34" s="948"/>
      <c r="AU34" s="947"/>
      <c r="AV34" s="981"/>
      <c r="AW34" s="950"/>
      <c r="AX34" s="950"/>
      <c r="AY34" s="951"/>
      <c r="AZ34" s="950"/>
      <c r="BA34" s="952"/>
      <c r="BB34" s="967"/>
      <c r="BC34" s="968"/>
      <c r="BD34" s="955"/>
      <c r="BE34" s="955"/>
      <c r="BF34" s="955"/>
      <c r="BG34" s="955"/>
      <c r="BH34" s="955"/>
      <c r="BI34" s="969"/>
      <c r="BJ34" s="955"/>
      <c r="BK34" s="969"/>
      <c r="BL34" s="955"/>
      <c r="BM34" s="955"/>
      <c r="BN34" s="952"/>
      <c r="BO34" s="952"/>
      <c r="BP34" s="965"/>
      <c r="BQ34" s="961"/>
      <c r="BR34" s="960"/>
      <c r="BS34" s="961"/>
      <c r="BT34" s="962"/>
      <c r="BU34" s="962"/>
      <c r="BV34" s="963"/>
      <c r="BW34" s="963"/>
      <c r="BX34" s="963"/>
      <c r="BY34" s="963"/>
      <c r="BZ34" s="963"/>
      <c r="CA34" s="963"/>
      <c r="CB34" s="965"/>
      <c r="CC34" s="965"/>
    </row>
    <row r="35">
      <c r="A35" s="976"/>
      <c r="B35" s="84"/>
      <c r="C35" s="242"/>
      <c r="D35" s="348"/>
      <c r="E35" s="84"/>
      <c r="F35" s="84"/>
      <c r="G35" s="84"/>
      <c r="H35" s="84"/>
      <c r="I35" s="84"/>
      <c r="J35" s="947"/>
      <c r="K35" s="947"/>
      <c r="L35" s="947"/>
      <c r="M35" s="947"/>
      <c r="N35" s="947"/>
      <c r="O35" s="947"/>
      <c r="P35" s="947"/>
      <c r="Q35" s="947"/>
      <c r="R35" s="937"/>
      <c r="S35" s="937"/>
      <c r="T35" s="947"/>
      <c r="U35" s="947"/>
      <c r="V35" s="938"/>
      <c r="W35" s="947"/>
      <c r="X35" s="939"/>
      <c r="Y35" s="947"/>
      <c r="Z35" s="947"/>
      <c r="AA35" s="938"/>
      <c r="AB35" s="947"/>
      <c r="AC35" s="947"/>
      <c r="AD35" s="947"/>
      <c r="AE35" s="947"/>
      <c r="AF35" s="947"/>
      <c r="AG35" s="947"/>
      <c r="AH35" s="948"/>
      <c r="AI35" s="947"/>
      <c r="AJ35" s="947"/>
      <c r="AK35" s="947"/>
      <c r="AL35" s="947"/>
      <c r="AM35" s="947"/>
      <c r="AN35" s="947"/>
      <c r="AO35" s="947"/>
      <c r="AP35" s="938"/>
      <c r="AQ35" s="947"/>
      <c r="AR35" s="938"/>
      <c r="AS35" s="937"/>
      <c r="AT35" s="948"/>
      <c r="AU35" s="947"/>
      <c r="AV35" s="981"/>
      <c r="AW35" s="950"/>
      <c r="AX35" s="950"/>
      <c r="AY35" s="951"/>
      <c r="AZ35" s="950"/>
      <c r="BA35" s="952"/>
      <c r="BB35" s="967"/>
      <c r="BC35" s="968"/>
      <c r="BD35" s="955"/>
      <c r="BE35" s="955"/>
      <c r="BF35" s="955"/>
      <c r="BG35" s="955"/>
      <c r="BH35" s="955"/>
      <c r="BI35" s="969"/>
      <c r="BJ35" s="955"/>
      <c r="BK35" s="969"/>
      <c r="BL35" s="955"/>
      <c r="BM35" s="955"/>
      <c r="BN35" s="952"/>
      <c r="BO35" s="952"/>
      <c r="BP35" s="965"/>
      <c r="BQ35" s="961"/>
      <c r="BR35" s="960"/>
      <c r="BS35" s="961"/>
      <c r="BT35" s="962"/>
      <c r="BU35" s="962"/>
      <c r="BV35" s="963"/>
      <c r="BW35" s="963"/>
      <c r="BX35" s="963"/>
      <c r="BY35" s="963"/>
      <c r="BZ35" s="963"/>
      <c r="CA35" s="963"/>
      <c r="CB35" s="965"/>
      <c r="CC35" s="965"/>
    </row>
    <row r="36">
      <c r="A36" s="976"/>
      <c r="B36" s="84"/>
      <c r="C36" s="348"/>
      <c r="D36" s="348"/>
      <c r="E36" s="84"/>
      <c r="F36" s="84"/>
      <c r="G36" s="84"/>
      <c r="H36" s="84"/>
      <c r="I36" s="84"/>
      <c r="J36" s="947"/>
      <c r="K36" s="947"/>
      <c r="L36" s="947"/>
      <c r="M36" s="947"/>
      <c r="N36" s="947"/>
      <c r="O36" s="947"/>
      <c r="P36" s="947"/>
      <c r="Q36" s="947"/>
      <c r="R36" s="937"/>
      <c r="S36" s="937"/>
      <c r="T36" s="947"/>
      <c r="U36" s="947"/>
      <c r="V36" s="938"/>
      <c r="W36" s="947"/>
      <c r="X36" s="939"/>
      <c r="Y36" s="947"/>
      <c r="Z36" s="947"/>
      <c r="AA36" s="938"/>
      <c r="AB36" s="947"/>
      <c r="AC36" s="947"/>
      <c r="AD36" s="947"/>
      <c r="AE36" s="947"/>
      <c r="AF36" s="947"/>
      <c r="AG36" s="947"/>
      <c r="AH36" s="948"/>
      <c r="AI36" s="947"/>
      <c r="AJ36" s="947"/>
      <c r="AK36" s="947"/>
      <c r="AL36" s="947"/>
      <c r="AM36" s="947"/>
      <c r="AN36" s="947"/>
      <c r="AO36" s="947"/>
      <c r="AP36" s="938"/>
      <c r="AQ36" s="947"/>
      <c r="AR36" s="938"/>
      <c r="AS36" s="937"/>
      <c r="AT36" s="948"/>
      <c r="AU36" s="947"/>
      <c r="AV36" s="981"/>
      <c r="AW36" s="950"/>
      <c r="AX36" s="950"/>
      <c r="AY36" s="951"/>
      <c r="AZ36" s="950"/>
      <c r="BA36" s="952"/>
      <c r="BB36" s="967"/>
      <c r="BC36" s="968"/>
      <c r="BD36" s="955"/>
      <c r="BE36" s="955"/>
      <c r="BF36" s="955"/>
      <c r="BG36" s="955"/>
      <c r="BH36" s="955"/>
      <c r="BI36" s="969"/>
      <c r="BJ36" s="955"/>
      <c r="BK36" s="969"/>
      <c r="BL36" s="955"/>
      <c r="BM36" s="955"/>
      <c r="BN36" s="952"/>
      <c r="BO36" s="952"/>
      <c r="BP36" s="965"/>
      <c r="BQ36" s="961"/>
      <c r="BR36" s="960"/>
      <c r="BS36" s="961"/>
      <c r="BT36" s="962"/>
      <c r="BU36" s="962"/>
      <c r="BV36" s="963"/>
      <c r="BW36" s="963"/>
      <c r="BX36" s="963"/>
      <c r="BY36" s="963"/>
      <c r="BZ36" s="963"/>
      <c r="CA36" s="963"/>
      <c r="CB36" s="965"/>
      <c r="CC36" s="965"/>
    </row>
    <row r="37">
      <c r="A37" s="976"/>
      <c r="B37" s="84"/>
      <c r="C37" s="348"/>
      <c r="D37" s="348"/>
      <c r="E37" s="84"/>
      <c r="F37" s="84"/>
      <c r="G37" s="84"/>
      <c r="H37" s="84"/>
      <c r="I37" s="84"/>
      <c r="J37" s="947"/>
      <c r="K37" s="947"/>
      <c r="L37" s="947"/>
      <c r="M37" s="947"/>
      <c r="N37" s="947"/>
      <c r="O37" s="947"/>
      <c r="P37" s="947"/>
      <c r="Q37" s="947"/>
      <c r="R37" s="937"/>
      <c r="S37" s="937"/>
      <c r="T37" s="947"/>
      <c r="U37" s="947"/>
      <c r="V37" s="938"/>
      <c r="W37" s="947"/>
      <c r="X37" s="939"/>
      <c r="Y37" s="947"/>
      <c r="Z37" s="947"/>
      <c r="AA37" s="938"/>
      <c r="AB37" s="947"/>
      <c r="AC37" s="947"/>
      <c r="AD37" s="947"/>
      <c r="AE37" s="947"/>
      <c r="AF37" s="947"/>
      <c r="AG37" s="947"/>
      <c r="AH37" s="948"/>
      <c r="AI37" s="947"/>
      <c r="AJ37" s="947"/>
      <c r="AK37" s="947"/>
      <c r="AL37" s="947"/>
      <c r="AM37" s="947"/>
      <c r="AN37" s="947"/>
      <c r="AO37" s="947"/>
      <c r="AP37" s="938"/>
      <c r="AQ37" s="947"/>
      <c r="AR37" s="938"/>
      <c r="AS37" s="937"/>
      <c r="AT37" s="948"/>
      <c r="AU37" s="947"/>
      <c r="AV37" s="981"/>
      <c r="AW37" s="950"/>
      <c r="AX37" s="950"/>
      <c r="AY37" s="951"/>
      <c r="AZ37" s="950"/>
      <c r="BA37" s="952"/>
      <c r="BB37" s="967"/>
      <c r="BC37" s="968"/>
      <c r="BD37" s="955"/>
      <c r="BE37" s="955"/>
      <c r="BF37" s="955"/>
      <c r="BG37" s="955"/>
      <c r="BH37" s="955"/>
      <c r="BI37" s="969"/>
      <c r="BJ37" s="955"/>
      <c r="BK37" s="969"/>
      <c r="BL37" s="955"/>
      <c r="BM37" s="955"/>
      <c r="BN37" s="952"/>
      <c r="BO37" s="952"/>
      <c r="BP37" s="965"/>
      <c r="BQ37" s="961"/>
      <c r="BR37" s="960"/>
      <c r="BS37" s="961"/>
      <c r="BT37" s="962"/>
      <c r="BU37" s="962"/>
      <c r="BV37" s="963"/>
      <c r="BW37" s="963"/>
      <c r="BX37" s="963"/>
      <c r="BY37" s="963"/>
      <c r="BZ37" s="963"/>
      <c r="CA37" s="963"/>
      <c r="CB37" s="965"/>
      <c r="CC37" s="965"/>
    </row>
    <row r="38">
      <c r="A38" s="976"/>
      <c r="B38" s="84"/>
      <c r="C38" s="348"/>
      <c r="D38" s="348"/>
      <c r="E38" s="84"/>
      <c r="F38" s="84"/>
      <c r="G38" s="84"/>
      <c r="H38" s="84"/>
      <c r="I38" s="84"/>
      <c r="J38" s="947"/>
      <c r="K38" s="947"/>
      <c r="L38" s="947"/>
      <c r="M38" s="947"/>
      <c r="N38" s="947"/>
      <c r="O38" s="947"/>
      <c r="P38" s="947"/>
      <c r="Q38" s="947"/>
      <c r="R38" s="937"/>
      <c r="S38" s="937"/>
      <c r="T38" s="947"/>
      <c r="U38" s="947"/>
      <c r="V38" s="938"/>
      <c r="W38" s="947"/>
      <c r="X38" s="939"/>
      <c r="Y38" s="947"/>
      <c r="Z38" s="947"/>
      <c r="AA38" s="938"/>
      <c r="AB38" s="947"/>
      <c r="AC38" s="947"/>
      <c r="AD38" s="947"/>
      <c r="AE38" s="947"/>
      <c r="AF38" s="947"/>
      <c r="AG38" s="947"/>
      <c r="AH38" s="948"/>
      <c r="AI38" s="947"/>
      <c r="AJ38" s="947"/>
      <c r="AK38" s="947"/>
      <c r="AL38" s="947"/>
      <c r="AM38" s="947"/>
      <c r="AN38" s="947"/>
      <c r="AO38" s="947"/>
      <c r="AP38" s="938"/>
      <c r="AQ38" s="947"/>
      <c r="AR38" s="938"/>
      <c r="AS38" s="937"/>
      <c r="AT38" s="948"/>
      <c r="AU38" s="947"/>
      <c r="AV38" s="981"/>
      <c r="AW38" s="950"/>
      <c r="AX38" s="950"/>
      <c r="AY38" s="951"/>
      <c r="AZ38" s="950"/>
      <c r="BA38" s="952"/>
      <c r="BB38" s="967"/>
      <c r="BC38" s="968"/>
      <c r="BD38" s="955"/>
      <c r="BE38" s="955"/>
      <c r="BF38" s="955"/>
      <c r="BG38" s="955"/>
      <c r="BH38" s="955"/>
      <c r="BI38" s="969"/>
      <c r="BJ38" s="955"/>
      <c r="BK38" s="969"/>
      <c r="BL38" s="955"/>
      <c r="BM38" s="955"/>
      <c r="BN38" s="952"/>
      <c r="BO38" s="952"/>
      <c r="BP38" s="965"/>
      <c r="BQ38" s="961"/>
      <c r="BR38" s="960"/>
      <c r="BS38" s="961"/>
      <c r="BT38" s="962"/>
      <c r="BU38" s="962"/>
      <c r="BV38" s="963"/>
      <c r="BW38" s="963"/>
      <c r="BX38" s="963"/>
      <c r="BY38" s="963"/>
      <c r="BZ38" s="963"/>
      <c r="CA38" s="963"/>
      <c r="CB38" s="965"/>
      <c r="CC38" s="965"/>
    </row>
    <row r="39">
      <c r="A39" s="976"/>
      <c r="B39" s="84"/>
      <c r="C39" s="348"/>
      <c r="D39" s="348"/>
      <c r="E39" s="84"/>
      <c r="F39" s="84"/>
      <c r="G39" s="84"/>
      <c r="H39" s="84"/>
      <c r="I39" s="84"/>
      <c r="J39" s="947"/>
      <c r="K39" s="947"/>
      <c r="L39" s="947"/>
      <c r="M39" s="947"/>
      <c r="N39" s="947"/>
      <c r="O39" s="947"/>
      <c r="P39" s="947"/>
      <c r="Q39" s="947"/>
      <c r="R39" s="937"/>
      <c r="S39" s="937"/>
      <c r="T39" s="947"/>
      <c r="U39" s="947"/>
      <c r="V39" s="938"/>
      <c r="W39" s="947"/>
      <c r="X39" s="939"/>
      <c r="Y39" s="947"/>
      <c r="Z39" s="947"/>
      <c r="AA39" s="938"/>
      <c r="AB39" s="947"/>
      <c r="AC39" s="947"/>
      <c r="AD39" s="947"/>
      <c r="AE39" s="947"/>
      <c r="AF39" s="947"/>
      <c r="AG39" s="947"/>
      <c r="AH39" s="948"/>
      <c r="AI39" s="947"/>
      <c r="AJ39" s="947"/>
      <c r="AK39" s="947"/>
      <c r="AL39" s="947"/>
      <c r="AM39" s="947"/>
      <c r="AN39" s="947"/>
      <c r="AO39" s="947"/>
      <c r="AP39" s="938"/>
      <c r="AQ39" s="947"/>
      <c r="AR39" s="938"/>
      <c r="AS39" s="937"/>
      <c r="AT39" s="948"/>
      <c r="AU39" s="947"/>
      <c r="AV39" s="981"/>
      <c r="AW39" s="950"/>
      <c r="AX39" s="950"/>
      <c r="AY39" s="951"/>
      <c r="AZ39" s="950"/>
      <c r="BA39" s="952"/>
      <c r="BB39" s="967"/>
      <c r="BC39" s="968"/>
      <c r="BD39" s="955"/>
      <c r="BE39" s="955"/>
      <c r="BF39" s="955"/>
      <c r="BG39" s="955"/>
      <c r="BH39" s="955"/>
      <c r="BI39" s="969"/>
      <c r="BJ39" s="955"/>
      <c r="BK39" s="969"/>
      <c r="BL39" s="955"/>
      <c r="BM39" s="955"/>
      <c r="BN39" s="952"/>
      <c r="BO39" s="952"/>
      <c r="BP39" s="965"/>
      <c r="BQ39" s="961"/>
      <c r="BR39" s="960"/>
      <c r="BS39" s="961"/>
      <c r="BT39" s="962"/>
      <c r="BU39" s="962"/>
      <c r="BV39" s="963"/>
      <c r="BW39" s="963"/>
      <c r="BX39" s="963"/>
      <c r="BY39" s="963"/>
      <c r="BZ39" s="963"/>
      <c r="CA39" s="963"/>
      <c r="CB39" s="965"/>
      <c r="CC39" s="965"/>
    </row>
    <row r="40">
      <c r="A40" s="976"/>
      <c r="B40" s="84"/>
      <c r="C40" s="348"/>
      <c r="D40" s="348"/>
      <c r="E40" s="84"/>
      <c r="F40" s="84"/>
      <c r="G40" s="84"/>
      <c r="H40" s="84"/>
      <c r="I40" s="84"/>
      <c r="J40" s="947"/>
      <c r="K40" s="947"/>
      <c r="L40" s="947"/>
      <c r="M40" s="947"/>
      <c r="N40" s="947"/>
      <c r="O40" s="947"/>
      <c r="P40" s="947"/>
      <c r="Q40" s="947"/>
      <c r="R40" s="937"/>
      <c r="S40" s="937"/>
      <c r="T40" s="947"/>
      <c r="U40" s="947"/>
      <c r="V40" s="938"/>
      <c r="W40" s="947"/>
      <c r="X40" s="939"/>
      <c r="Y40" s="947"/>
      <c r="Z40" s="947"/>
      <c r="AA40" s="938"/>
      <c r="AB40" s="947"/>
      <c r="AC40" s="947"/>
      <c r="AD40" s="947"/>
      <c r="AE40" s="947"/>
      <c r="AF40" s="947"/>
      <c r="AG40" s="947"/>
      <c r="AH40" s="948"/>
      <c r="AI40" s="947"/>
      <c r="AJ40" s="947"/>
      <c r="AK40" s="947"/>
      <c r="AL40" s="947"/>
      <c r="AM40" s="947"/>
      <c r="AN40" s="947"/>
      <c r="AO40" s="947"/>
      <c r="AP40" s="938"/>
      <c r="AQ40" s="947"/>
      <c r="AR40" s="938"/>
      <c r="AS40" s="937"/>
      <c r="AT40" s="948"/>
      <c r="AU40" s="947"/>
      <c r="AV40" s="981"/>
      <c r="AW40" s="950"/>
      <c r="AX40" s="950"/>
      <c r="AY40" s="951"/>
      <c r="AZ40" s="950"/>
      <c r="BA40" s="952"/>
      <c r="BB40" s="967"/>
      <c r="BC40" s="968"/>
      <c r="BD40" s="955"/>
      <c r="BE40" s="955"/>
      <c r="BF40" s="955"/>
      <c r="BG40" s="955"/>
      <c r="BH40" s="955"/>
      <c r="BI40" s="969"/>
      <c r="BJ40" s="955"/>
      <c r="BK40" s="969"/>
      <c r="BL40" s="955"/>
      <c r="BM40" s="955"/>
      <c r="BN40" s="952"/>
      <c r="BO40" s="952"/>
      <c r="BP40" s="965"/>
      <c r="BQ40" s="961"/>
      <c r="BR40" s="960"/>
      <c r="BS40" s="961"/>
      <c r="BT40" s="962"/>
      <c r="BU40" s="962"/>
      <c r="BV40" s="963"/>
      <c r="BW40" s="963"/>
      <c r="BX40" s="963"/>
      <c r="BY40" s="963"/>
      <c r="BZ40" s="963"/>
      <c r="CA40" s="963"/>
      <c r="CB40" s="965"/>
      <c r="CC40" s="965"/>
    </row>
    <row r="41">
      <c r="A41" s="976"/>
      <c r="B41" s="84"/>
      <c r="C41" s="348"/>
      <c r="D41" s="348"/>
      <c r="E41" s="84"/>
      <c r="F41" s="84"/>
      <c r="G41" s="84"/>
      <c r="H41" s="84"/>
      <c r="I41" s="84"/>
      <c r="J41" s="947"/>
      <c r="K41" s="947"/>
      <c r="L41" s="947"/>
      <c r="M41" s="947"/>
      <c r="N41" s="947"/>
      <c r="O41" s="947"/>
      <c r="P41" s="947"/>
      <c r="Q41" s="947"/>
      <c r="R41" s="937"/>
      <c r="S41" s="937"/>
      <c r="T41" s="947"/>
      <c r="U41" s="947"/>
      <c r="V41" s="938"/>
      <c r="W41" s="947"/>
      <c r="X41" s="939"/>
      <c r="Y41" s="947"/>
      <c r="Z41" s="947"/>
      <c r="AA41" s="938"/>
      <c r="AB41" s="947"/>
      <c r="AC41" s="947"/>
      <c r="AD41" s="947"/>
      <c r="AE41" s="947"/>
      <c r="AF41" s="947"/>
      <c r="AG41" s="947"/>
      <c r="AH41" s="948"/>
      <c r="AI41" s="947"/>
      <c r="AJ41" s="947"/>
      <c r="AK41" s="947"/>
      <c r="AL41" s="947"/>
      <c r="AM41" s="947"/>
      <c r="AN41" s="947"/>
      <c r="AO41" s="947"/>
      <c r="AP41" s="938"/>
      <c r="AQ41" s="947"/>
      <c r="AR41" s="938"/>
      <c r="AS41" s="937"/>
      <c r="AT41" s="948"/>
      <c r="AU41" s="947"/>
      <c r="AV41" s="981"/>
      <c r="AW41" s="950"/>
      <c r="AX41" s="950"/>
      <c r="AY41" s="951"/>
      <c r="AZ41" s="950"/>
      <c r="BA41" s="952"/>
      <c r="BB41" s="967"/>
      <c r="BC41" s="968"/>
      <c r="BD41" s="955"/>
      <c r="BE41" s="955"/>
      <c r="BF41" s="955"/>
      <c r="BG41" s="955"/>
      <c r="BH41" s="955"/>
      <c r="BI41" s="969"/>
      <c r="BJ41" s="955"/>
      <c r="BK41" s="969"/>
      <c r="BL41" s="955"/>
      <c r="BM41" s="955"/>
      <c r="BN41" s="952"/>
      <c r="BO41" s="952"/>
      <c r="BP41" s="965"/>
      <c r="BQ41" s="961"/>
      <c r="BR41" s="960"/>
      <c r="BS41" s="961"/>
      <c r="BT41" s="962"/>
      <c r="BU41" s="962"/>
      <c r="BV41" s="963"/>
      <c r="BW41" s="963"/>
      <c r="BX41" s="963"/>
      <c r="BY41" s="963"/>
      <c r="BZ41" s="963"/>
      <c r="CA41" s="963"/>
      <c r="CB41" s="965"/>
      <c r="CC41" s="965"/>
    </row>
    <row r="42">
      <c r="A42" s="976"/>
      <c r="B42" s="84"/>
      <c r="C42" s="348"/>
      <c r="D42" s="348"/>
      <c r="E42" s="84"/>
      <c r="F42" s="84"/>
      <c r="G42" s="84"/>
      <c r="H42" s="84"/>
      <c r="I42" s="84"/>
      <c r="J42" s="947"/>
      <c r="K42" s="947"/>
      <c r="L42" s="947"/>
      <c r="M42" s="947"/>
      <c r="N42" s="947"/>
      <c r="O42" s="947"/>
      <c r="P42" s="947"/>
      <c r="Q42" s="947"/>
      <c r="R42" s="937"/>
      <c r="S42" s="937"/>
      <c r="T42" s="947"/>
      <c r="U42" s="947"/>
      <c r="V42" s="938"/>
      <c r="W42" s="947"/>
      <c r="X42" s="939"/>
      <c r="Y42" s="947"/>
      <c r="Z42" s="947"/>
      <c r="AA42" s="938"/>
      <c r="AB42" s="947"/>
      <c r="AC42" s="947"/>
      <c r="AD42" s="947"/>
      <c r="AE42" s="947"/>
      <c r="AF42" s="947"/>
      <c r="AG42" s="947"/>
      <c r="AH42" s="948"/>
      <c r="AI42" s="947"/>
      <c r="AJ42" s="947"/>
      <c r="AK42" s="947"/>
      <c r="AL42" s="947"/>
      <c r="AM42" s="947"/>
      <c r="AN42" s="947"/>
      <c r="AO42" s="947"/>
      <c r="AP42" s="938"/>
      <c r="AQ42" s="947"/>
      <c r="AR42" s="938"/>
      <c r="AS42" s="937"/>
      <c r="AT42" s="948"/>
      <c r="AU42" s="947"/>
      <c r="AV42" s="981"/>
      <c r="AW42" s="950"/>
      <c r="AX42" s="950"/>
      <c r="AY42" s="951"/>
      <c r="AZ42" s="950"/>
      <c r="BA42" s="952"/>
      <c r="BB42" s="967"/>
      <c r="BC42" s="968"/>
      <c r="BD42" s="955"/>
      <c r="BE42" s="955"/>
      <c r="BF42" s="955"/>
      <c r="BG42" s="955"/>
      <c r="BH42" s="955"/>
      <c r="BI42" s="969"/>
      <c r="BJ42" s="955"/>
      <c r="BK42" s="969"/>
      <c r="BL42" s="955"/>
      <c r="BM42" s="955"/>
      <c r="BN42" s="952"/>
      <c r="BO42" s="952"/>
      <c r="BP42" s="965"/>
      <c r="BQ42" s="961"/>
      <c r="BR42" s="960"/>
      <c r="BS42" s="961"/>
      <c r="BT42" s="962"/>
      <c r="BU42" s="962"/>
      <c r="BV42" s="963"/>
      <c r="BW42" s="963"/>
      <c r="BX42" s="963"/>
      <c r="BY42" s="963"/>
      <c r="BZ42" s="963"/>
      <c r="CA42" s="963"/>
      <c r="CB42" s="965"/>
      <c r="CC42" s="965"/>
    </row>
    <row r="43">
      <c r="A43" s="976"/>
      <c r="B43" s="84"/>
      <c r="C43" s="348"/>
      <c r="D43" s="348"/>
      <c r="E43" s="84"/>
      <c r="F43" s="84"/>
      <c r="G43" s="84"/>
      <c r="H43" s="84"/>
      <c r="I43" s="84"/>
      <c r="J43" s="947"/>
      <c r="K43" s="947"/>
      <c r="L43" s="947"/>
      <c r="M43" s="947"/>
      <c r="N43" s="947"/>
      <c r="O43" s="947"/>
      <c r="P43" s="947"/>
      <c r="Q43" s="947"/>
      <c r="R43" s="937"/>
      <c r="S43" s="937"/>
      <c r="T43" s="947"/>
      <c r="U43" s="947"/>
      <c r="V43" s="938"/>
      <c r="W43" s="947"/>
      <c r="X43" s="939"/>
      <c r="Y43" s="947"/>
      <c r="Z43" s="947"/>
      <c r="AA43" s="938"/>
      <c r="AB43" s="947"/>
      <c r="AC43" s="947"/>
      <c r="AD43" s="947"/>
      <c r="AE43" s="947"/>
      <c r="AF43" s="947"/>
      <c r="AG43" s="947"/>
      <c r="AH43" s="948"/>
      <c r="AI43" s="947"/>
      <c r="AJ43" s="947"/>
      <c r="AK43" s="947"/>
      <c r="AL43" s="947"/>
      <c r="AM43" s="947"/>
      <c r="AN43" s="947"/>
      <c r="AO43" s="947"/>
      <c r="AP43" s="938"/>
      <c r="AQ43" s="947"/>
      <c r="AR43" s="938"/>
      <c r="AS43" s="937"/>
      <c r="AT43" s="948"/>
      <c r="AU43" s="947"/>
      <c r="AV43" s="981"/>
      <c r="AW43" s="950"/>
      <c r="AX43" s="950"/>
      <c r="AY43" s="951"/>
      <c r="AZ43" s="950"/>
      <c r="BA43" s="952"/>
      <c r="BB43" s="967"/>
      <c r="BC43" s="968"/>
      <c r="BD43" s="955"/>
      <c r="BE43" s="955"/>
      <c r="BF43" s="955"/>
      <c r="BG43" s="955"/>
      <c r="BH43" s="955"/>
      <c r="BI43" s="969"/>
      <c r="BJ43" s="955"/>
      <c r="BK43" s="969"/>
      <c r="BL43" s="955"/>
      <c r="BM43" s="955"/>
      <c r="BN43" s="952"/>
      <c r="BO43" s="952"/>
      <c r="BP43" s="965"/>
      <c r="BQ43" s="961"/>
      <c r="BR43" s="960"/>
      <c r="BS43" s="961"/>
      <c r="BT43" s="962"/>
      <c r="BU43" s="962"/>
      <c r="BV43" s="963"/>
      <c r="BW43" s="963"/>
      <c r="BX43" s="963"/>
      <c r="BY43" s="963"/>
      <c r="BZ43" s="963"/>
      <c r="CA43" s="963"/>
      <c r="CB43" s="965"/>
      <c r="CC43" s="965"/>
    </row>
    <row r="44">
      <c r="A44" s="976"/>
      <c r="B44" s="84"/>
      <c r="C44" s="348"/>
      <c r="D44" s="348"/>
      <c r="E44" s="84"/>
      <c r="F44" s="84"/>
      <c r="G44" s="84"/>
      <c r="H44" s="84"/>
      <c r="I44" s="84"/>
      <c r="J44" s="947"/>
      <c r="K44" s="947"/>
      <c r="L44" s="947"/>
      <c r="M44" s="947"/>
      <c r="N44" s="947"/>
      <c r="O44" s="947"/>
      <c r="P44" s="947"/>
      <c r="Q44" s="947"/>
      <c r="R44" s="937"/>
      <c r="S44" s="937"/>
      <c r="T44" s="947"/>
      <c r="U44" s="947"/>
      <c r="V44" s="938"/>
      <c r="W44" s="947"/>
      <c r="X44" s="939"/>
      <c r="Y44" s="947"/>
      <c r="Z44" s="947"/>
      <c r="AA44" s="938"/>
      <c r="AB44" s="947"/>
      <c r="AC44" s="947"/>
      <c r="AD44" s="947"/>
      <c r="AE44" s="947"/>
      <c r="AF44" s="947"/>
      <c r="AG44" s="947"/>
      <c r="AH44" s="948"/>
      <c r="AI44" s="947"/>
      <c r="AJ44" s="947"/>
      <c r="AK44" s="947"/>
      <c r="AL44" s="947"/>
      <c r="AM44" s="947"/>
      <c r="AN44" s="947"/>
      <c r="AO44" s="947"/>
      <c r="AP44" s="938"/>
      <c r="AQ44" s="947"/>
      <c r="AR44" s="938"/>
      <c r="AS44" s="937"/>
      <c r="AT44" s="948"/>
      <c r="AU44" s="947"/>
      <c r="AV44" s="981"/>
      <c r="AW44" s="950"/>
      <c r="AX44" s="950"/>
      <c r="AY44" s="951"/>
      <c r="AZ44" s="950"/>
      <c r="BA44" s="952"/>
      <c r="BB44" s="967"/>
      <c r="BC44" s="968"/>
      <c r="BD44" s="955"/>
      <c r="BE44" s="955"/>
      <c r="BF44" s="955"/>
      <c r="BG44" s="955"/>
      <c r="BH44" s="955"/>
      <c r="BI44" s="969"/>
      <c r="BJ44" s="955"/>
      <c r="BK44" s="969"/>
      <c r="BL44" s="955"/>
      <c r="BM44" s="955"/>
      <c r="BN44" s="952"/>
      <c r="BO44" s="952"/>
      <c r="BP44" s="965"/>
      <c r="BQ44" s="961"/>
      <c r="BR44" s="960"/>
      <c r="BS44" s="961"/>
      <c r="BT44" s="962"/>
      <c r="BU44" s="962"/>
      <c r="BV44" s="963"/>
      <c r="BW44" s="963"/>
      <c r="BX44" s="963"/>
      <c r="BY44" s="963"/>
      <c r="BZ44" s="963"/>
      <c r="CA44" s="963"/>
      <c r="CB44" s="965"/>
      <c r="CC44" s="965"/>
    </row>
    <row r="45">
      <c r="A45" s="976"/>
      <c r="B45" s="84"/>
      <c r="C45" s="348"/>
      <c r="D45" s="348"/>
      <c r="E45" s="84"/>
      <c r="F45" s="84"/>
      <c r="G45" s="84"/>
      <c r="H45" s="84"/>
      <c r="I45" s="84"/>
      <c r="J45" s="947"/>
      <c r="K45" s="947"/>
      <c r="L45" s="947"/>
      <c r="M45" s="947"/>
      <c r="N45" s="947"/>
      <c r="O45" s="947"/>
      <c r="P45" s="947"/>
      <c r="Q45" s="947"/>
      <c r="R45" s="937"/>
      <c r="S45" s="937"/>
      <c r="T45" s="947"/>
      <c r="U45" s="947"/>
      <c r="V45" s="938"/>
      <c r="W45" s="947"/>
      <c r="X45" s="939"/>
      <c r="Y45" s="947"/>
      <c r="Z45" s="947"/>
      <c r="AA45" s="938"/>
      <c r="AB45" s="947"/>
      <c r="AC45" s="947"/>
      <c r="AD45" s="947"/>
      <c r="AE45" s="947"/>
      <c r="AF45" s="947"/>
      <c r="AG45" s="947"/>
      <c r="AH45" s="948"/>
      <c r="AI45" s="947"/>
      <c r="AJ45" s="947"/>
      <c r="AK45" s="947"/>
      <c r="AL45" s="947"/>
      <c r="AM45" s="947"/>
      <c r="AN45" s="947"/>
      <c r="AO45" s="947"/>
      <c r="AP45" s="938"/>
      <c r="AQ45" s="947"/>
      <c r="AR45" s="938"/>
      <c r="AS45" s="937"/>
      <c r="AT45" s="948"/>
      <c r="AU45" s="947"/>
      <c r="AV45" s="981"/>
      <c r="AW45" s="950"/>
      <c r="AX45" s="950"/>
      <c r="AY45" s="951"/>
      <c r="AZ45" s="950"/>
      <c r="BA45" s="952"/>
      <c r="BB45" s="967"/>
      <c r="BC45" s="968"/>
      <c r="BD45" s="955"/>
      <c r="BE45" s="955"/>
      <c r="BF45" s="955"/>
      <c r="BG45" s="955"/>
      <c r="BH45" s="955"/>
      <c r="BI45" s="969"/>
      <c r="BJ45" s="955"/>
      <c r="BK45" s="969"/>
      <c r="BL45" s="955"/>
      <c r="BM45" s="955"/>
      <c r="BN45" s="952"/>
      <c r="BO45" s="952"/>
      <c r="BP45" s="965"/>
      <c r="BQ45" s="961"/>
      <c r="BR45" s="960"/>
      <c r="BS45" s="961"/>
      <c r="BT45" s="962"/>
      <c r="BU45" s="962"/>
      <c r="BV45" s="963"/>
      <c r="BW45" s="963"/>
      <c r="BX45" s="963"/>
      <c r="BY45" s="963"/>
      <c r="BZ45" s="963"/>
      <c r="CA45" s="963"/>
      <c r="CB45" s="965"/>
      <c r="CC45" s="965"/>
    </row>
    <row r="46">
      <c r="A46" s="976"/>
      <c r="B46" s="84"/>
      <c r="C46" s="348"/>
      <c r="D46" s="348"/>
      <c r="E46" s="84"/>
      <c r="F46" s="84"/>
      <c r="G46" s="84"/>
      <c r="H46" s="84"/>
      <c r="I46" s="84"/>
      <c r="J46" s="947"/>
      <c r="K46" s="947"/>
      <c r="L46" s="947"/>
      <c r="M46" s="947"/>
      <c r="N46" s="947"/>
      <c r="O46" s="947"/>
      <c r="P46" s="947"/>
      <c r="Q46" s="947"/>
      <c r="R46" s="937"/>
      <c r="S46" s="937"/>
      <c r="T46" s="947"/>
      <c r="U46" s="947"/>
      <c r="V46" s="938"/>
      <c r="W46" s="947"/>
      <c r="X46" s="939"/>
      <c r="Y46" s="947"/>
      <c r="Z46" s="947"/>
      <c r="AA46" s="938"/>
      <c r="AB46" s="947"/>
      <c r="AC46" s="947"/>
      <c r="AD46" s="947"/>
      <c r="AE46" s="947"/>
      <c r="AF46" s="947"/>
      <c r="AG46" s="947"/>
      <c r="AH46" s="948"/>
      <c r="AI46" s="947"/>
      <c r="AJ46" s="947"/>
      <c r="AK46" s="947"/>
      <c r="AL46" s="947"/>
      <c r="AM46" s="947"/>
      <c r="AN46" s="947"/>
      <c r="AO46" s="947"/>
      <c r="AP46" s="938"/>
      <c r="AQ46" s="947"/>
      <c r="AR46" s="938"/>
      <c r="AS46" s="937"/>
      <c r="AT46" s="948"/>
      <c r="AU46" s="947"/>
      <c r="AV46" s="981"/>
      <c r="AW46" s="950"/>
      <c r="AX46" s="950"/>
      <c r="AY46" s="951"/>
      <c r="AZ46" s="950"/>
      <c r="BA46" s="952"/>
      <c r="BB46" s="967"/>
      <c r="BC46" s="968"/>
      <c r="BD46" s="955"/>
      <c r="BE46" s="955"/>
      <c r="BF46" s="955"/>
      <c r="BG46" s="955"/>
      <c r="BH46" s="955"/>
      <c r="BI46" s="969"/>
      <c r="BJ46" s="955"/>
      <c r="BK46" s="969"/>
      <c r="BL46" s="955"/>
      <c r="BM46" s="955"/>
      <c r="BN46" s="952"/>
      <c r="BO46" s="952"/>
      <c r="BP46" s="965"/>
      <c r="BQ46" s="961"/>
      <c r="BR46" s="960"/>
      <c r="BS46" s="961"/>
      <c r="BT46" s="962"/>
      <c r="BU46" s="962"/>
      <c r="BV46" s="963"/>
      <c r="BW46" s="963"/>
      <c r="BX46" s="963"/>
      <c r="BY46" s="963"/>
      <c r="BZ46" s="963"/>
      <c r="CA46" s="963"/>
      <c r="CB46" s="965"/>
      <c r="CC46" s="965"/>
    </row>
    <row r="47">
      <c r="A47" s="976"/>
      <c r="B47" s="84"/>
      <c r="C47" s="348"/>
      <c r="D47" s="348"/>
      <c r="E47" s="84"/>
      <c r="F47" s="84"/>
      <c r="G47" s="84"/>
      <c r="H47" s="84"/>
      <c r="I47" s="84"/>
      <c r="J47" s="947"/>
      <c r="K47" s="947"/>
      <c r="L47" s="947"/>
      <c r="M47" s="947"/>
      <c r="N47" s="947"/>
      <c r="O47" s="947"/>
      <c r="P47" s="947"/>
      <c r="Q47" s="947"/>
      <c r="R47" s="937"/>
      <c r="S47" s="937"/>
      <c r="T47" s="947"/>
      <c r="U47" s="947"/>
      <c r="V47" s="938"/>
      <c r="W47" s="947"/>
      <c r="X47" s="939"/>
      <c r="Y47" s="947"/>
      <c r="Z47" s="947"/>
      <c r="AA47" s="938"/>
      <c r="AB47" s="947"/>
      <c r="AC47" s="947"/>
      <c r="AD47" s="947"/>
      <c r="AE47" s="947"/>
      <c r="AF47" s="947"/>
      <c r="AG47" s="947"/>
      <c r="AH47" s="948"/>
      <c r="AI47" s="947"/>
      <c r="AJ47" s="947"/>
      <c r="AK47" s="947"/>
      <c r="AL47" s="947"/>
      <c r="AM47" s="947"/>
      <c r="AN47" s="947"/>
      <c r="AO47" s="947"/>
      <c r="AP47" s="938"/>
      <c r="AQ47" s="947"/>
      <c r="AR47" s="938"/>
      <c r="AS47" s="937"/>
      <c r="AT47" s="948"/>
      <c r="AU47" s="947"/>
      <c r="AV47" s="981"/>
      <c r="AW47" s="950"/>
      <c r="AX47" s="950"/>
      <c r="AY47" s="951"/>
      <c r="AZ47" s="950"/>
      <c r="BA47" s="952"/>
      <c r="BB47" s="967"/>
      <c r="BC47" s="968"/>
      <c r="BD47" s="955"/>
      <c r="BE47" s="955"/>
      <c r="BF47" s="955"/>
      <c r="BG47" s="955"/>
      <c r="BH47" s="955"/>
      <c r="BI47" s="969"/>
      <c r="BJ47" s="955"/>
      <c r="BK47" s="969"/>
      <c r="BL47" s="955"/>
      <c r="BM47" s="955"/>
      <c r="BN47" s="952"/>
      <c r="BO47" s="952"/>
      <c r="BP47" s="965"/>
      <c r="BQ47" s="961"/>
      <c r="BR47" s="960"/>
      <c r="BS47" s="961"/>
      <c r="BT47" s="962"/>
      <c r="BU47" s="962"/>
      <c r="BV47" s="963"/>
      <c r="BW47" s="963"/>
      <c r="BX47" s="963"/>
      <c r="BY47" s="963"/>
      <c r="BZ47" s="963"/>
      <c r="CA47" s="963"/>
      <c r="CB47" s="965"/>
      <c r="CC47" s="965"/>
    </row>
    <row r="48">
      <c r="A48" s="976"/>
      <c r="B48" s="84"/>
      <c r="C48" s="348"/>
      <c r="D48" s="348"/>
      <c r="E48" s="84"/>
      <c r="F48" s="84"/>
      <c r="G48" s="84"/>
      <c r="H48" s="84"/>
      <c r="I48" s="84"/>
      <c r="J48" s="947"/>
      <c r="K48" s="947"/>
      <c r="L48" s="947"/>
      <c r="M48" s="947"/>
      <c r="N48" s="947"/>
      <c r="O48" s="947"/>
      <c r="P48" s="947"/>
      <c r="Q48" s="947"/>
      <c r="R48" s="937"/>
      <c r="S48" s="937"/>
      <c r="T48" s="947"/>
      <c r="U48" s="947"/>
      <c r="V48" s="938"/>
      <c r="W48" s="947"/>
      <c r="X48" s="939"/>
      <c r="Y48" s="947"/>
      <c r="Z48" s="947"/>
      <c r="AA48" s="938"/>
      <c r="AB48" s="947"/>
      <c r="AC48" s="947"/>
      <c r="AD48" s="947"/>
      <c r="AE48" s="947"/>
      <c r="AF48" s="947"/>
      <c r="AG48" s="947"/>
      <c r="AH48" s="948"/>
      <c r="AI48" s="947"/>
      <c r="AJ48" s="947"/>
      <c r="AK48" s="947"/>
      <c r="AL48" s="947"/>
      <c r="AM48" s="947"/>
      <c r="AN48" s="947"/>
      <c r="AO48" s="947"/>
      <c r="AP48" s="938"/>
      <c r="AQ48" s="947"/>
      <c r="AR48" s="938"/>
      <c r="AS48" s="937"/>
      <c r="AT48" s="948"/>
      <c r="AU48" s="947"/>
      <c r="AV48" s="981"/>
      <c r="AW48" s="950"/>
      <c r="AX48" s="950"/>
      <c r="AY48" s="951"/>
      <c r="AZ48" s="950"/>
      <c r="BA48" s="952"/>
      <c r="BB48" s="967"/>
      <c r="BC48" s="968"/>
      <c r="BD48" s="955"/>
      <c r="BE48" s="955"/>
      <c r="BF48" s="955"/>
      <c r="BG48" s="955"/>
      <c r="BH48" s="955"/>
      <c r="BI48" s="969"/>
      <c r="BJ48" s="955"/>
      <c r="BK48" s="969"/>
      <c r="BL48" s="955"/>
      <c r="BM48" s="955"/>
      <c r="BN48" s="952"/>
      <c r="BO48" s="952"/>
      <c r="BP48" s="965"/>
      <c r="BQ48" s="961"/>
      <c r="BR48" s="960"/>
      <c r="BS48" s="961"/>
      <c r="BT48" s="962"/>
      <c r="BU48" s="962"/>
      <c r="BV48" s="963"/>
      <c r="BW48" s="963"/>
      <c r="BX48" s="963"/>
      <c r="BY48" s="963"/>
      <c r="BZ48" s="963"/>
      <c r="CA48" s="963"/>
      <c r="CB48" s="965"/>
      <c r="CC48" s="965"/>
    </row>
    <row r="49">
      <c r="A49" s="976"/>
      <c r="B49" s="84"/>
      <c r="C49" s="348"/>
      <c r="D49" s="348"/>
      <c r="E49" s="84"/>
      <c r="F49" s="84"/>
      <c r="G49" s="84"/>
      <c r="H49" s="84"/>
      <c r="I49" s="84"/>
      <c r="J49" s="947"/>
      <c r="K49" s="947"/>
      <c r="L49" s="947"/>
      <c r="M49" s="947"/>
      <c r="N49" s="947"/>
      <c r="O49" s="947"/>
      <c r="P49" s="947"/>
      <c r="Q49" s="947"/>
      <c r="R49" s="937"/>
      <c r="S49" s="937"/>
      <c r="T49" s="947"/>
      <c r="U49" s="947"/>
      <c r="V49" s="938"/>
      <c r="W49" s="947"/>
      <c r="X49" s="939"/>
      <c r="Y49" s="947"/>
      <c r="Z49" s="947"/>
      <c r="AA49" s="938"/>
      <c r="AB49" s="947"/>
      <c r="AC49" s="947"/>
      <c r="AD49" s="947"/>
      <c r="AE49" s="947"/>
      <c r="AF49" s="947"/>
      <c r="AG49" s="947"/>
      <c r="AH49" s="948"/>
      <c r="AI49" s="947"/>
      <c r="AJ49" s="947"/>
      <c r="AK49" s="947"/>
      <c r="AL49" s="947"/>
      <c r="AM49" s="947"/>
      <c r="AN49" s="947"/>
      <c r="AO49" s="947"/>
      <c r="AP49" s="938"/>
      <c r="AQ49" s="947"/>
      <c r="AR49" s="938"/>
      <c r="AS49" s="937"/>
      <c r="AT49" s="948"/>
      <c r="AU49" s="947"/>
      <c r="AV49" s="981"/>
      <c r="AW49" s="950"/>
      <c r="AX49" s="950"/>
      <c r="AY49" s="951"/>
      <c r="AZ49" s="950"/>
      <c r="BA49" s="952"/>
      <c r="BB49" s="967"/>
      <c r="BC49" s="968"/>
      <c r="BD49" s="955"/>
      <c r="BE49" s="955"/>
      <c r="BF49" s="955"/>
      <c r="BG49" s="955"/>
      <c r="BH49" s="955"/>
      <c r="BI49" s="969"/>
      <c r="BJ49" s="955"/>
      <c r="BK49" s="969"/>
      <c r="BL49" s="955"/>
      <c r="BM49" s="955"/>
      <c r="BN49" s="952"/>
      <c r="BO49" s="952"/>
      <c r="BP49" s="965"/>
      <c r="BQ49" s="961"/>
      <c r="BR49" s="960"/>
      <c r="BS49" s="961"/>
      <c r="BT49" s="962"/>
      <c r="BU49" s="962"/>
      <c r="BV49" s="963"/>
      <c r="BW49" s="963"/>
      <c r="BX49" s="963"/>
      <c r="BY49" s="963"/>
      <c r="BZ49" s="963"/>
      <c r="CA49" s="963"/>
      <c r="CB49" s="965"/>
      <c r="CC49" s="965"/>
    </row>
    <row r="50">
      <c r="A50" s="84"/>
      <c r="B50" s="84"/>
      <c r="C50" s="348"/>
      <c r="D50" s="348"/>
      <c r="E50" s="84"/>
      <c r="F50" s="84"/>
      <c r="G50" s="84"/>
      <c r="H50" s="84"/>
      <c r="I50" s="84"/>
      <c r="J50" s="947"/>
      <c r="K50" s="947"/>
      <c r="L50" s="947"/>
      <c r="M50" s="947"/>
      <c r="N50" s="947"/>
      <c r="O50" s="947"/>
      <c r="P50" s="947"/>
      <c r="Q50" s="947"/>
      <c r="R50" s="937"/>
      <c r="S50" s="937"/>
      <c r="T50" s="947"/>
      <c r="U50" s="947"/>
      <c r="V50" s="938"/>
      <c r="W50" s="947"/>
      <c r="X50" s="939"/>
      <c r="Y50" s="947"/>
      <c r="Z50" s="947"/>
      <c r="AA50" s="938"/>
      <c r="AB50" s="947"/>
      <c r="AC50" s="947"/>
      <c r="AD50" s="947"/>
      <c r="AE50" s="947"/>
      <c r="AF50" s="947"/>
      <c r="AG50" s="947"/>
      <c r="AH50" s="948"/>
      <c r="AI50" s="947"/>
      <c r="AJ50" s="947"/>
      <c r="AK50" s="947"/>
      <c r="AL50" s="947"/>
      <c r="AM50" s="947"/>
      <c r="AN50" s="947"/>
      <c r="AO50" s="947"/>
      <c r="AP50" s="938"/>
      <c r="AQ50" s="947"/>
      <c r="AR50" s="938"/>
      <c r="AS50" s="937"/>
      <c r="AT50" s="948"/>
      <c r="AU50" s="947"/>
      <c r="AV50" s="981"/>
      <c r="AW50" s="950"/>
      <c r="AX50" s="950"/>
      <c r="AY50" s="951"/>
      <c r="AZ50" s="950"/>
      <c r="BA50" s="952"/>
      <c r="BB50" s="967"/>
      <c r="BC50" s="968"/>
      <c r="BD50" s="955"/>
      <c r="BE50" s="955"/>
      <c r="BF50" s="955"/>
      <c r="BG50" s="955"/>
      <c r="BH50" s="955"/>
      <c r="BI50" s="969"/>
      <c r="BJ50" s="955"/>
      <c r="BK50" s="969"/>
      <c r="BL50" s="955"/>
      <c r="BM50" s="955"/>
      <c r="BN50" s="952"/>
      <c r="BO50" s="952"/>
      <c r="BP50" s="965"/>
      <c r="BQ50" s="961"/>
      <c r="BR50" s="960"/>
      <c r="BS50" s="961"/>
      <c r="BT50" s="962"/>
      <c r="BU50" s="962"/>
      <c r="BV50" s="963"/>
      <c r="BW50" s="963"/>
      <c r="BX50" s="963"/>
      <c r="BY50" s="963"/>
      <c r="BZ50" s="963"/>
      <c r="CA50" s="963"/>
      <c r="CB50" s="965"/>
      <c r="CC50" s="965"/>
    </row>
    <row r="51">
      <c r="A51" s="84"/>
      <c r="B51" s="84"/>
      <c r="C51" s="348"/>
      <c r="D51" s="348"/>
      <c r="E51" s="84"/>
      <c r="F51" s="84"/>
      <c r="G51" s="84"/>
      <c r="H51" s="84"/>
      <c r="I51" s="84"/>
      <c r="J51" s="947"/>
      <c r="K51" s="947"/>
      <c r="L51" s="947"/>
      <c r="M51" s="947"/>
      <c r="N51" s="947"/>
      <c r="O51" s="947"/>
      <c r="P51" s="947"/>
      <c r="Q51" s="947"/>
      <c r="R51" s="937"/>
      <c r="S51" s="937"/>
      <c r="T51" s="947"/>
      <c r="U51" s="947"/>
      <c r="V51" s="938"/>
      <c r="W51" s="947"/>
      <c r="X51" s="939"/>
      <c r="Y51" s="947"/>
      <c r="Z51" s="947"/>
      <c r="AA51" s="938"/>
      <c r="AB51" s="947"/>
      <c r="AC51" s="947"/>
      <c r="AD51" s="947"/>
      <c r="AE51" s="947"/>
      <c r="AF51" s="947"/>
      <c r="AG51" s="947"/>
      <c r="AH51" s="948"/>
      <c r="AI51" s="947"/>
      <c r="AJ51" s="947"/>
      <c r="AK51" s="947"/>
      <c r="AL51" s="947"/>
      <c r="AM51" s="947"/>
      <c r="AN51" s="947"/>
      <c r="AO51" s="947"/>
      <c r="AP51" s="938"/>
      <c r="AQ51" s="947"/>
      <c r="AR51" s="938"/>
      <c r="AS51" s="937"/>
      <c r="AT51" s="948"/>
      <c r="AU51" s="947"/>
      <c r="AV51" s="981"/>
      <c r="AW51" s="950"/>
      <c r="AX51" s="950"/>
      <c r="AY51" s="951"/>
      <c r="AZ51" s="950"/>
      <c r="BA51" s="952"/>
      <c r="BB51" s="967"/>
      <c r="BC51" s="968"/>
      <c r="BD51" s="955"/>
      <c r="BE51" s="955"/>
      <c r="BF51" s="955"/>
      <c r="BG51" s="955"/>
      <c r="BH51" s="955"/>
      <c r="BI51" s="969"/>
      <c r="BJ51" s="955"/>
      <c r="BK51" s="969"/>
      <c r="BL51" s="955"/>
      <c r="BM51" s="955"/>
      <c r="BN51" s="952"/>
      <c r="BO51" s="952"/>
      <c r="BP51" s="965"/>
      <c r="BQ51" s="961"/>
      <c r="BR51" s="960"/>
      <c r="BS51" s="961"/>
      <c r="BT51" s="962"/>
      <c r="BU51" s="962"/>
      <c r="BV51" s="963"/>
      <c r="BW51" s="963"/>
      <c r="BX51" s="963"/>
      <c r="BY51" s="963"/>
      <c r="BZ51" s="963"/>
      <c r="CA51" s="963"/>
      <c r="CB51" s="965"/>
      <c r="CC51" s="965"/>
    </row>
    <row r="52">
      <c r="A52" s="84"/>
      <c r="B52" s="84"/>
      <c r="C52" s="348"/>
      <c r="D52" s="348"/>
      <c r="E52" s="84"/>
      <c r="F52" s="84"/>
      <c r="G52" s="84"/>
      <c r="H52" s="84"/>
      <c r="I52" s="84"/>
      <c r="J52" s="947"/>
      <c r="K52" s="947"/>
      <c r="L52" s="947"/>
      <c r="M52" s="947"/>
      <c r="N52" s="947"/>
      <c r="O52" s="947"/>
      <c r="P52" s="947"/>
      <c r="Q52" s="947"/>
      <c r="R52" s="937"/>
      <c r="S52" s="937"/>
      <c r="T52" s="947"/>
      <c r="U52" s="947"/>
      <c r="V52" s="938"/>
      <c r="W52" s="947"/>
      <c r="X52" s="939"/>
      <c r="Y52" s="947"/>
      <c r="Z52" s="947"/>
      <c r="AA52" s="938"/>
      <c r="AB52" s="947"/>
      <c r="AC52" s="947"/>
      <c r="AD52" s="947"/>
      <c r="AE52" s="947"/>
      <c r="AF52" s="947"/>
      <c r="AG52" s="947"/>
      <c r="AH52" s="948"/>
      <c r="AI52" s="947"/>
      <c r="AJ52" s="947"/>
      <c r="AK52" s="947"/>
      <c r="AL52" s="947"/>
      <c r="AM52" s="947"/>
      <c r="AN52" s="947"/>
      <c r="AO52" s="947"/>
      <c r="AP52" s="938"/>
      <c r="AQ52" s="947"/>
      <c r="AR52" s="938"/>
      <c r="AS52" s="937"/>
      <c r="AT52" s="948"/>
      <c r="AU52" s="947"/>
      <c r="AV52" s="981"/>
      <c r="AW52" s="950"/>
      <c r="AX52" s="950"/>
      <c r="AY52" s="951"/>
      <c r="AZ52" s="950"/>
      <c r="BA52" s="952"/>
      <c r="BB52" s="967"/>
      <c r="BC52" s="968"/>
      <c r="BD52" s="955"/>
      <c r="BE52" s="955"/>
      <c r="BF52" s="955"/>
      <c r="BG52" s="955"/>
      <c r="BH52" s="955"/>
      <c r="BI52" s="969"/>
      <c r="BJ52" s="955"/>
      <c r="BK52" s="969"/>
      <c r="BL52" s="955"/>
      <c r="BM52" s="955"/>
      <c r="BN52" s="952"/>
      <c r="BO52" s="952"/>
      <c r="BP52" s="965"/>
      <c r="BQ52" s="961"/>
      <c r="BR52" s="960"/>
      <c r="BS52" s="961"/>
      <c r="BT52" s="962"/>
      <c r="BU52" s="962"/>
      <c r="BV52" s="963"/>
      <c r="BW52" s="963"/>
      <c r="BX52" s="963"/>
      <c r="BY52" s="963"/>
      <c r="BZ52" s="963"/>
      <c r="CA52" s="963"/>
      <c r="CB52" s="965"/>
      <c r="CC52" s="965"/>
    </row>
    <row r="53">
      <c r="A53" s="84"/>
      <c r="B53" s="84"/>
      <c r="C53" s="348"/>
      <c r="D53" s="348"/>
      <c r="E53" s="84"/>
      <c r="F53" s="84"/>
      <c r="G53" s="84"/>
      <c r="H53" s="84"/>
      <c r="I53" s="84"/>
      <c r="J53" s="947"/>
      <c r="K53" s="947"/>
      <c r="L53" s="947"/>
      <c r="M53" s="947"/>
      <c r="N53" s="947"/>
      <c r="O53" s="947"/>
      <c r="P53" s="947"/>
      <c r="Q53" s="947"/>
      <c r="R53" s="937"/>
      <c r="S53" s="937"/>
      <c r="T53" s="947"/>
      <c r="U53" s="947"/>
      <c r="V53" s="938"/>
      <c r="W53" s="947"/>
      <c r="X53" s="939"/>
      <c r="Y53" s="947"/>
      <c r="Z53" s="947"/>
      <c r="AA53" s="938"/>
      <c r="AB53" s="947"/>
      <c r="AC53" s="947"/>
      <c r="AD53" s="947"/>
      <c r="AE53" s="947"/>
      <c r="AF53" s="947"/>
      <c r="AG53" s="947"/>
      <c r="AH53" s="948"/>
      <c r="AI53" s="947"/>
      <c r="AJ53" s="947"/>
      <c r="AK53" s="947"/>
      <c r="AL53" s="947"/>
      <c r="AM53" s="947"/>
      <c r="AN53" s="947"/>
      <c r="AO53" s="947"/>
      <c r="AP53" s="938"/>
      <c r="AQ53" s="947"/>
      <c r="AR53" s="938"/>
      <c r="AS53" s="937"/>
      <c r="AT53" s="948"/>
      <c r="AU53" s="947"/>
      <c r="AV53" s="981"/>
      <c r="AW53" s="950"/>
      <c r="AX53" s="950"/>
      <c r="AY53" s="951"/>
      <c r="AZ53" s="950"/>
      <c r="BA53" s="952"/>
      <c r="BB53" s="967"/>
      <c r="BC53" s="968"/>
      <c r="BD53" s="955"/>
      <c r="BE53" s="955"/>
      <c r="BF53" s="955"/>
      <c r="BG53" s="955"/>
      <c r="BH53" s="955"/>
      <c r="BI53" s="969"/>
      <c r="BJ53" s="955"/>
      <c r="BK53" s="969"/>
      <c r="BL53" s="955"/>
      <c r="BM53" s="955"/>
      <c r="BN53" s="952"/>
      <c r="BO53" s="952"/>
      <c r="BP53" s="965"/>
      <c r="BQ53" s="961"/>
      <c r="BR53" s="960"/>
      <c r="BS53" s="961"/>
      <c r="BT53" s="962"/>
      <c r="BU53" s="962"/>
      <c r="BV53" s="963"/>
      <c r="BW53" s="963"/>
      <c r="BX53" s="963"/>
      <c r="BY53" s="963"/>
      <c r="BZ53" s="963"/>
      <c r="CA53" s="963"/>
      <c r="CB53" s="965"/>
      <c r="CC53" s="965"/>
    </row>
    <row r="54">
      <c r="A54" s="84"/>
      <c r="B54" s="84"/>
      <c r="C54" s="348"/>
      <c r="D54" s="348"/>
      <c r="E54" s="84"/>
      <c r="F54" s="84"/>
      <c r="G54" s="84"/>
      <c r="H54" s="84"/>
      <c r="I54" s="84"/>
      <c r="J54" s="947"/>
      <c r="K54" s="947"/>
      <c r="L54" s="947"/>
      <c r="M54" s="947"/>
      <c r="N54" s="947"/>
      <c r="O54" s="947"/>
      <c r="P54" s="947"/>
      <c r="Q54" s="947"/>
      <c r="R54" s="937"/>
      <c r="S54" s="937"/>
      <c r="T54" s="947"/>
      <c r="U54" s="947"/>
      <c r="V54" s="938"/>
      <c r="W54" s="947"/>
      <c r="X54" s="939"/>
      <c r="Y54" s="947"/>
      <c r="Z54" s="947"/>
      <c r="AA54" s="938"/>
      <c r="AB54" s="947"/>
      <c r="AC54" s="947"/>
      <c r="AD54" s="947"/>
      <c r="AE54" s="947"/>
      <c r="AF54" s="947"/>
      <c r="AG54" s="947"/>
      <c r="AH54" s="948"/>
      <c r="AI54" s="947"/>
      <c r="AJ54" s="947"/>
      <c r="AK54" s="947"/>
      <c r="AL54" s="947"/>
      <c r="AM54" s="947"/>
      <c r="AN54" s="947"/>
      <c r="AO54" s="947"/>
      <c r="AP54" s="938"/>
      <c r="AQ54" s="947"/>
      <c r="AR54" s="938"/>
      <c r="AS54" s="937"/>
      <c r="AT54" s="948"/>
      <c r="AU54" s="947"/>
      <c r="AV54" s="981"/>
      <c r="AW54" s="950"/>
      <c r="AX54" s="950"/>
      <c r="AY54" s="951"/>
      <c r="AZ54" s="950"/>
      <c r="BA54" s="952"/>
      <c r="BB54" s="967"/>
      <c r="BC54" s="968"/>
      <c r="BD54" s="955"/>
      <c r="BE54" s="955"/>
      <c r="BF54" s="955"/>
      <c r="BG54" s="955"/>
      <c r="BH54" s="955"/>
      <c r="BI54" s="969"/>
      <c r="BJ54" s="955"/>
      <c r="BK54" s="969"/>
      <c r="BL54" s="955"/>
      <c r="BM54" s="955"/>
      <c r="BN54" s="952"/>
      <c r="BO54" s="952"/>
      <c r="BP54" s="965"/>
      <c r="BQ54" s="961"/>
      <c r="BR54" s="960"/>
      <c r="BS54" s="961"/>
      <c r="BT54" s="962"/>
      <c r="BU54" s="962"/>
      <c r="BV54" s="963"/>
      <c r="BW54" s="963"/>
      <c r="BX54" s="963"/>
      <c r="BY54" s="963"/>
      <c r="BZ54" s="963"/>
      <c r="CA54" s="963"/>
      <c r="CB54" s="965"/>
      <c r="CC54" s="965"/>
    </row>
    <row r="55">
      <c r="A55" s="84"/>
      <c r="B55" s="84"/>
      <c r="C55" s="348"/>
      <c r="D55" s="348"/>
      <c r="E55" s="84"/>
      <c r="F55" s="84"/>
      <c r="G55" s="84"/>
      <c r="H55" s="84"/>
      <c r="I55" s="84"/>
      <c r="J55" s="947"/>
      <c r="K55" s="947"/>
      <c r="L55" s="947"/>
      <c r="M55" s="947"/>
      <c r="N55" s="947"/>
      <c r="O55" s="947"/>
      <c r="P55" s="947"/>
      <c r="Q55" s="947"/>
      <c r="R55" s="937"/>
      <c r="S55" s="937"/>
      <c r="T55" s="947"/>
      <c r="U55" s="947"/>
      <c r="V55" s="938"/>
      <c r="W55" s="947"/>
      <c r="X55" s="939"/>
      <c r="Y55" s="947"/>
      <c r="Z55" s="947"/>
      <c r="AA55" s="938"/>
      <c r="AB55" s="947"/>
      <c r="AC55" s="947"/>
      <c r="AD55" s="947"/>
      <c r="AE55" s="947"/>
      <c r="AF55" s="947"/>
      <c r="AG55" s="947"/>
      <c r="AH55" s="948"/>
      <c r="AI55" s="947"/>
      <c r="AJ55" s="947"/>
      <c r="AK55" s="947"/>
      <c r="AL55" s="947"/>
      <c r="AM55" s="947"/>
      <c r="AN55" s="947"/>
      <c r="AO55" s="947"/>
      <c r="AP55" s="938"/>
      <c r="AQ55" s="947"/>
      <c r="AR55" s="938"/>
      <c r="AS55" s="937"/>
      <c r="AT55" s="948"/>
      <c r="AU55" s="947"/>
      <c r="AV55" s="981"/>
      <c r="AW55" s="950"/>
      <c r="AX55" s="950"/>
      <c r="AY55" s="951"/>
      <c r="AZ55" s="950"/>
      <c r="BA55" s="952"/>
      <c r="BB55" s="967"/>
      <c r="BC55" s="968"/>
      <c r="BD55" s="955"/>
      <c r="BE55" s="955"/>
      <c r="BF55" s="955"/>
      <c r="BG55" s="955"/>
      <c r="BH55" s="955"/>
      <c r="BI55" s="969"/>
      <c r="BJ55" s="955"/>
      <c r="BK55" s="969"/>
      <c r="BL55" s="955"/>
      <c r="BM55" s="955"/>
      <c r="BN55" s="952"/>
      <c r="BO55" s="952"/>
      <c r="BP55" s="965"/>
      <c r="BQ55" s="961"/>
      <c r="BR55" s="960"/>
      <c r="BS55" s="961"/>
      <c r="BT55" s="962"/>
      <c r="BU55" s="962"/>
      <c r="BV55" s="963"/>
      <c r="BW55" s="963"/>
      <c r="BX55" s="963"/>
      <c r="BY55" s="963"/>
      <c r="BZ55" s="963"/>
      <c r="CA55" s="963"/>
      <c r="CB55" s="965"/>
      <c r="CC55" s="965"/>
    </row>
    <row r="56">
      <c r="A56" s="84"/>
      <c r="B56" s="84"/>
      <c r="C56" s="348"/>
      <c r="D56" s="348"/>
      <c r="E56" s="84"/>
      <c r="F56" s="84"/>
      <c r="G56" s="84"/>
      <c r="H56" s="84"/>
      <c r="I56" s="84"/>
      <c r="J56" s="947"/>
      <c r="K56" s="947"/>
      <c r="L56" s="947"/>
      <c r="M56" s="947"/>
      <c r="N56" s="947"/>
      <c r="O56" s="947"/>
      <c r="P56" s="947"/>
      <c r="Q56" s="947"/>
      <c r="R56" s="937"/>
      <c r="S56" s="937"/>
      <c r="T56" s="947"/>
      <c r="U56" s="947"/>
      <c r="V56" s="938"/>
      <c r="W56" s="947"/>
      <c r="X56" s="939"/>
      <c r="Y56" s="947"/>
      <c r="Z56" s="947"/>
      <c r="AA56" s="938"/>
      <c r="AB56" s="947"/>
      <c r="AC56" s="947"/>
      <c r="AD56" s="947"/>
      <c r="AE56" s="947"/>
      <c r="AF56" s="947"/>
      <c r="AG56" s="947"/>
      <c r="AH56" s="948"/>
      <c r="AI56" s="947"/>
      <c r="AJ56" s="947"/>
      <c r="AK56" s="947"/>
      <c r="AL56" s="947"/>
      <c r="AM56" s="947"/>
      <c r="AN56" s="947"/>
      <c r="AO56" s="947"/>
      <c r="AP56" s="938"/>
      <c r="AQ56" s="947"/>
      <c r="AR56" s="938"/>
      <c r="AS56" s="937"/>
      <c r="AT56" s="948"/>
      <c r="AU56" s="947"/>
      <c r="AV56" s="981"/>
      <c r="AW56" s="950"/>
      <c r="AX56" s="950"/>
      <c r="AY56" s="951"/>
      <c r="AZ56" s="950"/>
      <c r="BA56" s="952"/>
      <c r="BB56" s="967"/>
      <c r="BC56" s="968"/>
      <c r="BD56" s="955"/>
      <c r="BE56" s="955"/>
      <c r="BF56" s="955"/>
      <c r="BG56" s="955"/>
      <c r="BH56" s="955"/>
      <c r="BI56" s="969"/>
      <c r="BJ56" s="955"/>
      <c r="BK56" s="969"/>
      <c r="BL56" s="955"/>
      <c r="BM56" s="955"/>
      <c r="BN56" s="952"/>
      <c r="BO56" s="952"/>
      <c r="BP56" s="965"/>
      <c r="BQ56" s="961"/>
      <c r="BR56" s="960"/>
      <c r="BS56" s="961"/>
      <c r="BT56" s="962"/>
      <c r="BU56" s="962"/>
      <c r="BV56" s="963"/>
      <c r="BW56" s="963"/>
      <c r="BX56" s="963"/>
      <c r="BY56" s="963"/>
      <c r="BZ56" s="963"/>
      <c r="CA56" s="963"/>
      <c r="CB56" s="965"/>
      <c r="CC56" s="965"/>
    </row>
    <row r="57">
      <c r="A57" s="84"/>
      <c r="B57" s="84"/>
      <c r="C57" s="348"/>
      <c r="D57" s="348"/>
      <c r="E57" s="84"/>
      <c r="F57" s="84"/>
      <c r="G57" s="84"/>
      <c r="H57" s="84"/>
      <c r="I57" s="84"/>
      <c r="J57" s="947"/>
      <c r="K57" s="947"/>
      <c r="L57" s="947"/>
      <c r="M57" s="947"/>
      <c r="N57" s="947"/>
      <c r="O57" s="947"/>
      <c r="P57" s="947"/>
      <c r="Q57" s="947"/>
      <c r="R57" s="937"/>
      <c r="S57" s="937"/>
      <c r="T57" s="947"/>
      <c r="U57" s="947"/>
      <c r="V57" s="938"/>
      <c r="W57" s="947"/>
      <c r="X57" s="939"/>
      <c r="Y57" s="947"/>
      <c r="Z57" s="947"/>
      <c r="AA57" s="938"/>
      <c r="AB57" s="947"/>
      <c r="AC57" s="947"/>
      <c r="AD57" s="947"/>
      <c r="AE57" s="947"/>
      <c r="AF57" s="947"/>
      <c r="AG57" s="947"/>
      <c r="AH57" s="948"/>
      <c r="AI57" s="947"/>
      <c r="AJ57" s="947"/>
      <c r="AK57" s="947"/>
      <c r="AL57" s="947"/>
      <c r="AM57" s="947"/>
      <c r="AN57" s="947"/>
      <c r="AO57" s="947"/>
      <c r="AP57" s="938"/>
      <c r="AQ57" s="947"/>
      <c r="AR57" s="938"/>
      <c r="AS57" s="937"/>
      <c r="AT57" s="948"/>
      <c r="AU57" s="947"/>
      <c r="AV57" s="981"/>
      <c r="AW57" s="950"/>
      <c r="AX57" s="950"/>
      <c r="AY57" s="951"/>
      <c r="AZ57" s="950"/>
      <c r="BA57" s="952"/>
      <c r="BB57" s="967"/>
      <c r="BC57" s="968"/>
      <c r="BD57" s="955"/>
      <c r="BE57" s="955"/>
      <c r="BF57" s="955"/>
      <c r="BG57" s="955"/>
      <c r="BH57" s="955"/>
      <c r="BI57" s="969"/>
      <c r="BJ57" s="955"/>
      <c r="BK57" s="969"/>
      <c r="BL57" s="955"/>
      <c r="BM57" s="955"/>
      <c r="BN57" s="952"/>
      <c r="BO57" s="952"/>
      <c r="BP57" s="965"/>
      <c r="BQ57" s="961"/>
      <c r="BR57" s="960"/>
      <c r="BS57" s="961"/>
      <c r="BT57" s="962"/>
      <c r="BU57" s="962"/>
      <c r="BV57" s="963"/>
      <c r="BW57" s="963"/>
      <c r="BX57" s="963"/>
      <c r="BY57" s="963"/>
      <c r="BZ57" s="963"/>
      <c r="CA57" s="963"/>
      <c r="CB57" s="965"/>
      <c r="CC57" s="965"/>
    </row>
    <row r="58">
      <c r="A58" s="84"/>
      <c r="B58" s="84"/>
      <c r="C58" s="348"/>
      <c r="D58" s="348"/>
      <c r="E58" s="84"/>
      <c r="F58" s="84"/>
      <c r="G58" s="84"/>
      <c r="H58" s="84"/>
      <c r="I58" s="84"/>
      <c r="J58" s="947"/>
      <c r="K58" s="947"/>
      <c r="L58" s="947"/>
      <c r="M58" s="947"/>
      <c r="N58" s="947"/>
      <c r="O58" s="947"/>
      <c r="P58" s="947"/>
      <c r="Q58" s="947"/>
      <c r="R58" s="937"/>
      <c r="S58" s="937"/>
      <c r="T58" s="947"/>
      <c r="U58" s="947"/>
      <c r="V58" s="938"/>
      <c r="W58" s="947"/>
      <c r="X58" s="939"/>
      <c r="Y58" s="947"/>
      <c r="Z58" s="947"/>
      <c r="AA58" s="938"/>
      <c r="AB58" s="947"/>
      <c r="AC58" s="947"/>
      <c r="AD58" s="947"/>
      <c r="AE58" s="947"/>
      <c r="AF58" s="947"/>
      <c r="AG58" s="947"/>
      <c r="AH58" s="948"/>
      <c r="AI58" s="947"/>
      <c r="AJ58" s="947"/>
      <c r="AK58" s="947"/>
      <c r="AL58" s="947"/>
      <c r="AM58" s="947"/>
      <c r="AN58" s="947"/>
      <c r="AO58" s="947"/>
      <c r="AP58" s="938"/>
      <c r="AQ58" s="947"/>
      <c r="AR58" s="938"/>
      <c r="AS58" s="937"/>
      <c r="AT58" s="948"/>
      <c r="AU58" s="947"/>
      <c r="AV58" s="981"/>
      <c r="AW58" s="950"/>
      <c r="AX58" s="950"/>
      <c r="AY58" s="951"/>
      <c r="AZ58" s="950"/>
      <c r="BA58" s="952"/>
      <c r="BB58" s="967"/>
      <c r="BC58" s="968"/>
      <c r="BD58" s="955"/>
      <c r="BE58" s="955"/>
      <c r="BF58" s="955"/>
      <c r="BG58" s="955"/>
      <c r="BH58" s="955"/>
      <c r="BI58" s="969"/>
      <c r="BJ58" s="955"/>
      <c r="BK58" s="969"/>
      <c r="BL58" s="955"/>
      <c r="BM58" s="955"/>
      <c r="BN58" s="952"/>
      <c r="BO58" s="952"/>
      <c r="BP58" s="965"/>
      <c r="BQ58" s="961"/>
      <c r="BR58" s="960"/>
      <c r="BS58" s="961"/>
      <c r="BT58" s="962"/>
      <c r="BU58" s="962"/>
      <c r="BV58" s="963"/>
      <c r="BW58" s="963"/>
      <c r="BX58" s="963"/>
      <c r="BY58" s="963"/>
      <c r="BZ58" s="963"/>
      <c r="CA58" s="963"/>
      <c r="CB58" s="965"/>
      <c r="CC58" s="965"/>
    </row>
    <row r="59">
      <c r="A59" s="84"/>
      <c r="B59" s="84"/>
      <c r="C59" s="348"/>
      <c r="D59" s="348"/>
      <c r="E59" s="84"/>
      <c r="F59" s="84"/>
      <c r="G59" s="84"/>
      <c r="H59" s="84"/>
      <c r="I59" s="84"/>
      <c r="J59" s="947"/>
      <c r="K59" s="947"/>
      <c r="L59" s="947"/>
      <c r="M59" s="947"/>
      <c r="N59" s="947"/>
      <c r="O59" s="947"/>
      <c r="P59" s="947"/>
      <c r="Q59" s="947"/>
      <c r="R59" s="937"/>
      <c r="S59" s="937"/>
      <c r="T59" s="947"/>
      <c r="U59" s="947"/>
      <c r="V59" s="938"/>
      <c r="W59" s="947"/>
      <c r="X59" s="939"/>
      <c r="Y59" s="947"/>
      <c r="Z59" s="947"/>
      <c r="AA59" s="938"/>
      <c r="AB59" s="947"/>
      <c r="AC59" s="947"/>
      <c r="AD59" s="947"/>
      <c r="AE59" s="947"/>
      <c r="AF59" s="947"/>
      <c r="AG59" s="947"/>
      <c r="AH59" s="948"/>
      <c r="AI59" s="947"/>
      <c r="AJ59" s="947"/>
      <c r="AK59" s="947"/>
      <c r="AL59" s="947"/>
      <c r="AM59" s="947"/>
      <c r="AN59" s="947"/>
      <c r="AO59" s="947"/>
      <c r="AP59" s="938"/>
      <c r="AQ59" s="947"/>
      <c r="AR59" s="938"/>
      <c r="AS59" s="937"/>
      <c r="AT59" s="948"/>
      <c r="AU59" s="947"/>
      <c r="AV59" s="981"/>
      <c r="AW59" s="950"/>
      <c r="AX59" s="950"/>
      <c r="AY59" s="951"/>
      <c r="AZ59" s="950"/>
      <c r="BA59" s="952"/>
      <c r="BB59" s="967"/>
      <c r="BC59" s="968"/>
      <c r="BD59" s="955"/>
      <c r="BE59" s="955"/>
      <c r="BF59" s="955"/>
      <c r="BG59" s="955"/>
      <c r="BH59" s="955"/>
      <c r="BI59" s="969"/>
      <c r="BJ59" s="955"/>
      <c r="BK59" s="969"/>
      <c r="BL59" s="955"/>
      <c r="BM59" s="955"/>
      <c r="BN59" s="952"/>
      <c r="BO59" s="952"/>
      <c r="BP59" s="965"/>
      <c r="BQ59" s="961"/>
      <c r="BR59" s="960"/>
      <c r="BS59" s="961"/>
      <c r="BT59" s="962"/>
      <c r="BU59" s="962"/>
      <c r="BV59" s="963"/>
      <c r="BW59" s="963"/>
      <c r="BX59" s="963"/>
      <c r="BY59" s="963"/>
      <c r="BZ59" s="963"/>
      <c r="CA59" s="963"/>
      <c r="CB59" s="965"/>
      <c r="CC59" s="965"/>
    </row>
    <row r="60">
      <c r="A60" s="84"/>
      <c r="B60" s="84"/>
      <c r="C60" s="348"/>
      <c r="D60" s="348"/>
      <c r="E60" s="84"/>
      <c r="F60" s="84"/>
      <c r="G60" s="84"/>
      <c r="H60" s="84"/>
      <c r="I60" s="84"/>
      <c r="J60" s="947"/>
      <c r="K60" s="947"/>
      <c r="L60" s="947"/>
      <c r="M60" s="947"/>
      <c r="N60" s="947"/>
      <c r="O60" s="947"/>
      <c r="P60" s="947"/>
      <c r="Q60" s="947"/>
      <c r="R60" s="937"/>
      <c r="S60" s="937"/>
      <c r="T60" s="947"/>
      <c r="U60" s="947"/>
      <c r="V60" s="938"/>
      <c r="W60" s="947"/>
      <c r="X60" s="939"/>
      <c r="Y60" s="947"/>
      <c r="Z60" s="947"/>
      <c r="AA60" s="938"/>
      <c r="AB60" s="947"/>
      <c r="AC60" s="947"/>
      <c r="AD60" s="947"/>
      <c r="AE60" s="947"/>
      <c r="AF60" s="947"/>
      <c r="AG60" s="947"/>
      <c r="AH60" s="948"/>
      <c r="AI60" s="947"/>
      <c r="AJ60" s="947"/>
      <c r="AK60" s="947"/>
      <c r="AL60" s="947"/>
      <c r="AM60" s="947"/>
      <c r="AN60" s="947"/>
      <c r="AO60" s="947"/>
      <c r="AP60" s="938"/>
      <c r="AQ60" s="947"/>
      <c r="AR60" s="938"/>
      <c r="AS60" s="937"/>
      <c r="AT60" s="948"/>
      <c r="AU60" s="947"/>
      <c r="AV60" s="981"/>
      <c r="AW60" s="950"/>
      <c r="AX60" s="950"/>
      <c r="AY60" s="951"/>
      <c r="AZ60" s="950"/>
      <c r="BA60" s="952"/>
      <c r="BB60" s="967"/>
      <c r="BC60" s="968"/>
      <c r="BD60" s="955"/>
      <c r="BE60" s="955"/>
      <c r="BF60" s="955"/>
      <c r="BG60" s="955"/>
      <c r="BH60" s="955"/>
      <c r="BI60" s="969"/>
      <c r="BJ60" s="955"/>
      <c r="BK60" s="969"/>
      <c r="BL60" s="955"/>
      <c r="BM60" s="955"/>
      <c r="BN60" s="952"/>
      <c r="BO60" s="952"/>
      <c r="BP60" s="965"/>
      <c r="BQ60" s="961"/>
      <c r="BR60" s="960"/>
      <c r="BS60" s="961"/>
      <c r="BT60" s="962"/>
      <c r="BU60" s="962"/>
      <c r="BV60" s="963"/>
      <c r="BW60" s="963"/>
      <c r="BX60" s="963"/>
      <c r="BY60" s="963"/>
      <c r="BZ60" s="963"/>
      <c r="CA60" s="963"/>
      <c r="CB60" s="965"/>
      <c r="CC60" s="965"/>
    </row>
    <row r="61">
      <c r="A61" s="84"/>
      <c r="B61" s="84"/>
      <c r="C61" s="348"/>
      <c r="D61" s="348"/>
      <c r="E61" s="84"/>
      <c r="F61" s="84"/>
      <c r="G61" s="84"/>
      <c r="H61" s="84"/>
      <c r="I61" s="84"/>
      <c r="J61" s="947"/>
      <c r="K61" s="947"/>
      <c r="L61" s="947"/>
      <c r="M61" s="947"/>
      <c r="N61" s="947"/>
      <c r="O61" s="947"/>
      <c r="P61" s="947"/>
      <c r="Q61" s="947"/>
      <c r="R61" s="937"/>
      <c r="S61" s="937"/>
      <c r="T61" s="947"/>
      <c r="U61" s="947"/>
      <c r="V61" s="938"/>
      <c r="W61" s="947"/>
      <c r="X61" s="939"/>
      <c r="Y61" s="947"/>
      <c r="Z61" s="947"/>
      <c r="AA61" s="938"/>
      <c r="AB61" s="947"/>
      <c r="AC61" s="947"/>
      <c r="AD61" s="947"/>
      <c r="AE61" s="947"/>
      <c r="AF61" s="947"/>
      <c r="AG61" s="947"/>
      <c r="AH61" s="948"/>
      <c r="AI61" s="947"/>
      <c r="AJ61" s="947"/>
      <c r="AK61" s="947"/>
      <c r="AL61" s="947"/>
      <c r="AM61" s="947"/>
      <c r="AN61" s="947"/>
      <c r="AO61" s="947"/>
      <c r="AP61" s="938"/>
      <c r="AQ61" s="947"/>
      <c r="AR61" s="938"/>
      <c r="AS61" s="937"/>
      <c r="AT61" s="948"/>
      <c r="AU61" s="947"/>
      <c r="AV61" s="981"/>
      <c r="AW61" s="950"/>
      <c r="AX61" s="950"/>
      <c r="AY61" s="951"/>
      <c r="AZ61" s="950"/>
      <c r="BA61" s="952"/>
      <c r="BB61" s="967"/>
      <c r="BC61" s="968"/>
      <c r="BD61" s="955"/>
      <c r="BE61" s="955"/>
      <c r="BF61" s="955"/>
      <c r="BG61" s="955"/>
      <c r="BH61" s="955"/>
      <c r="BI61" s="969"/>
      <c r="BJ61" s="955"/>
      <c r="BK61" s="969"/>
      <c r="BL61" s="955"/>
      <c r="BM61" s="955"/>
      <c r="BN61" s="952"/>
      <c r="BO61" s="952"/>
      <c r="BP61" s="965"/>
      <c r="BQ61" s="961"/>
      <c r="BR61" s="960"/>
      <c r="BS61" s="961"/>
      <c r="BT61" s="962"/>
      <c r="BU61" s="962"/>
      <c r="BV61" s="963"/>
      <c r="BW61" s="963"/>
      <c r="BX61" s="963"/>
      <c r="BY61" s="963"/>
      <c r="BZ61" s="963"/>
      <c r="CA61" s="963"/>
      <c r="CB61" s="965"/>
      <c r="CC61" s="965"/>
    </row>
    <row r="62">
      <c r="A62" s="84"/>
      <c r="B62" s="84"/>
      <c r="C62" s="348"/>
      <c r="D62" s="348"/>
      <c r="E62" s="84"/>
      <c r="F62" s="84"/>
      <c r="G62" s="84"/>
      <c r="H62" s="84"/>
      <c r="I62" s="84"/>
      <c r="J62" s="947"/>
      <c r="K62" s="947"/>
      <c r="L62" s="947"/>
      <c r="M62" s="947"/>
      <c r="N62" s="947"/>
      <c r="O62" s="947"/>
      <c r="P62" s="947"/>
      <c r="Q62" s="947"/>
      <c r="R62" s="937"/>
      <c r="S62" s="937"/>
      <c r="T62" s="947"/>
      <c r="U62" s="947"/>
      <c r="V62" s="938"/>
      <c r="W62" s="947"/>
      <c r="X62" s="939"/>
      <c r="Y62" s="947"/>
      <c r="Z62" s="947"/>
      <c r="AA62" s="938"/>
      <c r="AB62" s="947"/>
      <c r="AC62" s="947"/>
      <c r="AD62" s="947"/>
      <c r="AE62" s="947"/>
      <c r="AF62" s="947"/>
      <c r="AG62" s="947"/>
      <c r="AH62" s="948"/>
      <c r="AI62" s="947"/>
      <c r="AJ62" s="947"/>
      <c r="AK62" s="947"/>
      <c r="AL62" s="947"/>
      <c r="AM62" s="947"/>
      <c r="AN62" s="947"/>
      <c r="AO62" s="947"/>
      <c r="AP62" s="938"/>
      <c r="AQ62" s="947"/>
      <c r="AR62" s="938"/>
      <c r="AS62" s="937"/>
      <c r="AT62" s="948"/>
      <c r="AU62" s="947"/>
      <c r="AV62" s="981"/>
      <c r="AW62" s="950"/>
      <c r="AX62" s="950"/>
      <c r="AY62" s="951"/>
      <c r="AZ62" s="950"/>
      <c r="BA62" s="952"/>
      <c r="BB62" s="967"/>
      <c r="BC62" s="968"/>
      <c r="BD62" s="955"/>
      <c r="BE62" s="955"/>
      <c r="BF62" s="955"/>
      <c r="BG62" s="955"/>
      <c r="BH62" s="955"/>
      <c r="BI62" s="969"/>
      <c r="BJ62" s="955"/>
      <c r="BK62" s="969"/>
      <c r="BL62" s="955"/>
      <c r="BM62" s="955"/>
      <c r="BN62" s="952"/>
      <c r="BO62" s="952"/>
      <c r="BP62" s="965"/>
      <c r="BQ62" s="961"/>
      <c r="BR62" s="960"/>
      <c r="BS62" s="961"/>
      <c r="BT62" s="962"/>
      <c r="BU62" s="962"/>
      <c r="BV62" s="963"/>
      <c r="BW62" s="963"/>
      <c r="BX62" s="963"/>
      <c r="BY62" s="963"/>
      <c r="BZ62" s="963"/>
      <c r="CA62" s="963"/>
      <c r="CB62" s="965"/>
      <c r="CC62" s="965"/>
    </row>
    <row r="63">
      <c r="A63" s="84"/>
      <c r="B63" s="84"/>
      <c r="C63" s="348"/>
      <c r="D63" s="348"/>
      <c r="E63" s="84"/>
      <c r="F63" s="84"/>
      <c r="G63" s="84"/>
      <c r="H63" s="84"/>
      <c r="I63" s="84"/>
      <c r="J63" s="947"/>
      <c r="K63" s="947"/>
      <c r="L63" s="947"/>
      <c r="M63" s="947"/>
      <c r="N63" s="947"/>
      <c r="O63" s="947"/>
      <c r="P63" s="947"/>
      <c r="Q63" s="947"/>
      <c r="R63" s="937"/>
      <c r="S63" s="937"/>
      <c r="T63" s="947"/>
      <c r="U63" s="947"/>
      <c r="V63" s="938"/>
      <c r="W63" s="947"/>
      <c r="X63" s="939"/>
      <c r="Y63" s="947"/>
      <c r="Z63" s="947"/>
      <c r="AA63" s="938"/>
      <c r="AB63" s="947"/>
      <c r="AC63" s="947"/>
      <c r="AD63" s="947"/>
      <c r="AE63" s="947"/>
      <c r="AF63" s="947"/>
      <c r="AG63" s="947"/>
      <c r="AH63" s="948"/>
      <c r="AI63" s="947"/>
      <c r="AJ63" s="947"/>
      <c r="AK63" s="947"/>
      <c r="AL63" s="947"/>
      <c r="AM63" s="947"/>
      <c r="AN63" s="947"/>
      <c r="AO63" s="947"/>
      <c r="AP63" s="938"/>
      <c r="AQ63" s="947"/>
      <c r="AR63" s="938"/>
      <c r="AS63" s="937"/>
      <c r="AT63" s="948"/>
      <c r="AU63" s="947"/>
      <c r="AV63" s="981"/>
      <c r="AW63" s="950"/>
      <c r="AX63" s="950"/>
      <c r="AY63" s="951"/>
      <c r="AZ63" s="950"/>
      <c r="BA63" s="952"/>
      <c r="BB63" s="967"/>
      <c r="BC63" s="968"/>
      <c r="BD63" s="955"/>
      <c r="BE63" s="955"/>
      <c r="BF63" s="955"/>
      <c r="BG63" s="955"/>
      <c r="BH63" s="955"/>
      <c r="BI63" s="969"/>
      <c r="BJ63" s="955"/>
      <c r="BK63" s="969"/>
      <c r="BL63" s="955"/>
      <c r="BM63" s="955"/>
      <c r="BN63" s="952"/>
      <c r="BO63" s="952"/>
      <c r="BP63" s="965"/>
      <c r="BQ63" s="961"/>
      <c r="BR63" s="960"/>
      <c r="BS63" s="961"/>
      <c r="BT63" s="962"/>
      <c r="BU63" s="962"/>
      <c r="BV63" s="963"/>
      <c r="BW63" s="963"/>
      <c r="BX63" s="963"/>
      <c r="BY63" s="963"/>
      <c r="BZ63" s="963"/>
      <c r="CA63" s="963"/>
      <c r="CB63" s="965"/>
      <c r="CC63" s="965"/>
    </row>
    <row r="64">
      <c r="A64" s="84"/>
      <c r="B64" s="84"/>
      <c r="C64" s="348"/>
      <c r="D64" s="348"/>
      <c r="E64" s="84"/>
      <c r="F64" s="84"/>
      <c r="G64" s="84"/>
      <c r="H64" s="84"/>
      <c r="I64" s="84"/>
      <c r="J64" s="947"/>
      <c r="K64" s="947"/>
      <c r="L64" s="947"/>
      <c r="M64" s="947"/>
      <c r="N64" s="947"/>
      <c r="O64" s="947"/>
      <c r="P64" s="947"/>
      <c r="Q64" s="947"/>
      <c r="R64" s="937"/>
      <c r="S64" s="937"/>
      <c r="T64" s="947"/>
      <c r="U64" s="947"/>
      <c r="V64" s="938"/>
      <c r="W64" s="947"/>
      <c r="X64" s="939"/>
      <c r="Y64" s="947"/>
      <c r="Z64" s="947"/>
      <c r="AA64" s="938"/>
      <c r="AB64" s="947"/>
      <c r="AC64" s="947"/>
      <c r="AD64" s="947"/>
      <c r="AE64" s="947"/>
      <c r="AF64" s="947"/>
      <c r="AG64" s="947"/>
      <c r="AH64" s="948"/>
      <c r="AI64" s="947"/>
      <c r="AJ64" s="947"/>
      <c r="AK64" s="947"/>
      <c r="AL64" s="947"/>
      <c r="AM64" s="947"/>
      <c r="AN64" s="947"/>
      <c r="AO64" s="947"/>
      <c r="AP64" s="938"/>
      <c r="AQ64" s="947"/>
      <c r="AR64" s="938"/>
      <c r="AS64" s="937"/>
      <c r="AT64" s="948"/>
      <c r="AU64" s="947"/>
      <c r="AV64" s="981"/>
      <c r="AW64" s="950"/>
      <c r="AX64" s="950"/>
      <c r="AY64" s="951"/>
      <c r="AZ64" s="950"/>
      <c r="BA64" s="952"/>
      <c r="BB64" s="967"/>
      <c r="BC64" s="968"/>
      <c r="BD64" s="955"/>
      <c r="BE64" s="955"/>
      <c r="BF64" s="955"/>
      <c r="BG64" s="955"/>
      <c r="BH64" s="955"/>
      <c r="BI64" s="969"/>
      <c r="BJ64" s="955"/>
      <c r="BK64" s="969"/>
      <c r="BL64" s="955"/>
      <c r="BM64" s="955"/>
      <c r="BN64" s="952"/>
      <c r="BO64" s="952"/>
      <c r="BP64" s="965"/>
      <c r="BQ64" s="961"/>
      <c r="BR64" s="960"/>
      <c r="BS64" s="961"/>
      <c r="BT64" s="962"/>
      <c r="BU64" s="962"/>
      <c r="BV64" s="963"/>
      <c r="BW64" s="963"/>
      <c r="BX64" s="963"/>
      <c r="BY64" s="963"/>
      <c r="BZ64" s="963"/>
      <c r="CA64" s="963"/>
      <c r="CB64" s="965"/>
      <c r="CC64" s="965"/>
    </row>
    <row r="65">
      <c r="A65" s="84"/>
      <c r="B65" s="84"/>
      <c r="C65" s="348"/>
      <c r="D65" s="348"/>
      <c r="E65" s="84"/>
      <c r="F65" s="84"/>
      <c r="G65" s="84"/>
      <c r="H65" s="84"/>
      <c r="I65" s="84"/>
      <c r="J65" s="947"/>
      <c r="K65" s="947"/>
      <c r="L65" s="947"/>
      <c r="M65" s="947"/>
      <c r="N65" s="947"/>
      <c r="O65" s="947"/>
      <c r="P65" s="947"/>
      <c r="Q65" s="947"/>
      <c r="R65" s="937"/>
      <c r="S65" s="937"/>
      <c r="T65" s="947"/>
      <c r="U65" s="947"/>
      <c r="V65" s="938"/>
      <c r="W65" s="947"/>
      <c r="X65" s="939"/>
      <c r="Y65" s="947"/>
      <c r="Z65" s="947"/>
      <c r="AA65" s="938"/>
      <c r="AB65" s="947"/>
      <c r="AC65" s="947"/>
      <c r="AD65" s="947"/>
      <c r="AE65" s="947"/>
      <c r="AF65" s="947"/>
      <c r="AG65" s="947"/>
      <c r="AH65" s="948"/>
      <c r="AI65" s="947"/>
      <c r="AJ65" s="947"/>
      <c r="AK65" s="947"/>
      <c r="AL65" s="947"/>
      <c r="AM65" s="947"/>
      <c r="AN65" s="947"/>
      <c r="AO65" s="947"/>
      <c r="AP65" s="938"/>
      <c r="AQ65" s="947"/>
      <c r="AR65" s="938"/>
      <c r="AS65" s="937"/>
      <c r="AT65" s="948"/>
      <c r="AU65" s="947"/>
      <c r="AV65" s="981"/>
      <c r="AW65" s="950"/>
      <c r="AX65" s="950"/>
      <c r="AY65" s="951"/>
      <c r="AZ65" s="950"/>
      <c r="BA65" s="952"/>
      <c r="BB65" s="967"/>
      <c r="BC65" s="968"/>
      <c r="BD65" s="955"/>
      <c r="BE65" s="955"/>
      <c r="BF65" s="955"/>
      <c r="BG65" s="955"/>
      <c r="BH65" s="955"/>
      <c r="BI65" s="969"/>
      <c r="BJ65" s="955"/>
      <c r="BK65" s="969"/>
      <c r="BL65" s="955"/>
      <c r="BM65" s="955"/>
      <c r="BN65" s="952"/>
      <c r="BO65" s="952"/>
      <c r="BP65" s="965"/>
      <c r="BQ65" s="961"/>
      <c r="BR65" s="960"/>
      <c r="BS65" s="961"/>
      <c r="BT65" s="962"/>
      <c r="BU65" s="962"/>
      <c r="BV65" s="963"/>
      <c r="BW65" s="963"/>
      <c r="BX65" s="963"/>
      <c r="BY65" s="963"/>
      <c r="BZ65" s="963"/>
      <c r="CA65" s="963"/>
      <c r="CB65" s="965"/>
      <c r="CC65" s="965"/>
    </row>
    <row r="66">
      <c r="A66" s="84"/>
      <c r="B66" s="84"/>
      <c r="C66" s="348"/>
      <c r="D66" s="348"/>
      <c r="E66" s="84"/>
      <c r="F66" s="84"/>
      <c r="G66" s="84"/>
      <c r="H66" s="84"/>
      <c r="I66" s="84"/>
      <c r="J66" s="947"/>
      <c r="K66" s="947"/>
      <c r="L66" s="947"/>
      <c r="M66" s="947"/>
      <c r="N66" s="947"/>
      <c r="O66" s="947"/>
      <c r="P66" s="947"/>
      <c r="Q66" s="947"/>
      <c r="R66" s="937"/>
      <c r="S66" s="937"/>
      <c r="T66" s="947"/>
      <c r="U66" s="947"/>
      <c r="V66" s="938"/>
      <c r="W66" s="947"/>
      <c r="X66" s="939"/>
      <c r="Y66" s="947"/>
      <c r="Z66" s="947"/>
      <c r="AA66" s="938"/>
      <c r="AB66" s="947"/>
      <c r="AC66" s="947"/>
      <c r="AD66" s="947"/>
      <c r="AE66" s="947"/>
      <c r="AF66" s="947"/>
      <c r="AG66" s="947"/>
      <c r="AH66" s="948"/>
      <c r="AI66" s="947"/>
      <c r="AJ66" s="947"/>
      <c r="AK66" s="947"/>
      <c r="AL66" s="947"/>
      <c r="AM66" s="947"/>
      <c r="AN66" s="947"/>
      <c r="AO66" s="947"/>
      <c r="AP66" s="938"/>
      <c r="AQ66" s="947"/>
      <c r="AR66" s="938"/>
      <c r="AS66" s="937"/>
      <c r="AT66" s="948"/>
      <c r="AU66" s="947"/>
      <c r="AV66" s="981"/>
      <c r="AW66" s="950"/>
      <c r="AX66" s="950"/>
      <c r="AY66" s="951"/>
      <c r="AZ66" s="950"/>
      <c r="BA66" s="952"/>
      <c r="BB66" s="967"/>
      <c r="BC66" s="968"/>
      <c r="BD66" s="955"/>
      <c r="BE66" s="955"/>
      <c r="BF66" s="955"/>
      <c r="BG66" s="955"/>
      <c r="BH66" s="955"/>
      <c r="BI66" s="969"/>
      <c r="BJ66" s="955"/>
      <c r="BK66" s="969"/>
      <c r="BL66" s="955"/>
      <c r="BM66" s="955"/>
      <c r="BN66" s="952"/>
      <c r="BO66" s="952"/>
      <c r="BP66" s="965"/>
      <c r="BQ66" s="961"/>
      <c r="BR66" s="960"/>
      <c r="BS66" s="961"/>
      <c r="BT66" s="962"/>
      <c r="BU66" s="962"/>
      <c r="BV66" s="963"/>
      <c r="BW66" s="963"/>
      <c r="BX66" s="963"/>
      <c r="BY66" s="963"/>
      <c r="BZ66" s="963"/>
      <c r="CA66" s="963"/>
      <c r="CB66" s="965"/>
      <c r="CC66" s="965"/>
    </row>
    <row r="67">
      <c r="A67" s="84"/>
      <c r="B67" s="84"/>
      <c r="C67" s="348"/>
      <c r="D67" s="348"/>
      <c r="E67" s="84"/>
      <c r="F67" s="84"/>
      <c r="G67" s="84"/>
      <c r="H67" s="84"/>
      <c r="I67" s="84"/>
      <c r="J67" s="947"/>
      <c r="K67" s="947"/>
      <c r="L67" s="947"/>
      <c r="M67" s="947"/>
      <c r="N67" s="947"/>
      <c r="O67" s="947"/>
      <c r="P67" s="947"/>
      <c r="Q67" s="947"/>
      <c r="R67" s="937"/>
      <c r="S67" s="937"/>
      <c r="T67" s="947"/>
      <c r="U67" s="947"/>
      <c r="V67" s="938"/>
      <c r="W67" s="947"/>
      <c r="X67" s="939"/>
      <c r="Y67" s="947"/>
      <c r="Z67" s="947"/>
      <c r="AA67" s="938"/>
      <c r="AB67" s="947"/>
      <c r="AC67" s="947"/>
      <c r="AD67" s="947"/>
      <c r="AE67" s="947"/>
      <c r="AF67" s="947"/>
      <c r="AG67" s="947"/>
      <c r="AH67" s="948"/>
      <c r="AI67" s="947"/>
      <c r="AJ67" s="947"/>
      <c r="AK67" s="947"/>
      <c r="AL67" s="947"/>
      <c r="AM67" s="947"/>
      <c r="AN67" s="947"/>
      <c r="AO67" s="947"/>
      <c r="AP67" s="938"/>
      <c r="AQ67" s="947"/>
      <c r="AR67" s="938"/>
      <c r="AS67" s="937"/>
      <c r="AT67" s="948"/>
      <c r="AU67" s="947"/>
      <c r="AV67" s="981"/>
      <c r="AW67" s="950"/>
      <c r="AX67" s="950"/>
      <c r="AY67" s="951"/>
      <c r="AZ67" s="950"/>
      <c r="BA67" s="952"/>
      <c r="BB67" s="967"/>
      <c r="BC67" s="968"/>
      <c r="BD67" s="955"/>
      <c r="BE67" s="955"/>
      <c r="BF67" s="955"/>
      <c r="BG67" s="955"/>
      <c r="BH67" s="955"/>
      <c r="BI67" s="969"/>
      <c r="BJ67" s="955"/>
      <c r="BK67" s="969"/>
      <c r="BL67" s="955"/>
      <c r="BM67" s="955"/>
      <c r="BN67" s="952"/>
      <c r="BO67" s="952"/>
      <c r="BP67" s="965"/>
      <c r="BQ67" s="961"/>
      <c r="BR67" s="960"/>
      <c r="BS67" s="961"/>
      <c r="BT67" s="962"/>
      <c r="BU67" s="962"/>
      <c r="BV67" s="963"/>
      <c r="BW67" s="963"/>
      <c r="BX67" s="963"/>
      <c r="BY67" s="963"/>
      <c r="BZ67" s="963"/>
      <c r="CA67" s="963"/>
      <c r="CB67" s="965"/>
      <c r="CC67" s="965"/>
    </row>
    <row r="68">
      <c r="A68" s="84"/>
      <c r="B68" s="84"/>
      <c r="C68" s="348"/>
      <c r="D68" s="348"/>
      <c r="E68" s="84"/>
      <c r="F68" s="84"/>
      <c r="G68" s="84"/>
      <c r="H68" s="84"/>
      <c r="I68" s="84"/>
      <c r="J68" s="947"/>
      <c r="K68" s="947"/>
      <c r="L68" s="947"/>
      <c r="M68" s="947"/>
      <c r="N68" s="947"/>
      <c r="O68" s="947"/>
      <c r="P68" s="947"/>
      <c r="Q68" s="947"/>
      <c r="R68" s="937"/>
      <c r="S68" s="937"/>
      <c r="T68" s="947"/>
      <c r="U68" s="947"/>
      <c r="V68" s="938"/>
      <c r="W68" s="947"/>
      <c r="X68" s="939"/>
      <c r="Y68" s="947"/>
      <c r="Z68" s="947"/>
      <c r="AA68" s="938"/>
      <c r="AB68" s="947"/>
      <c r="AC68" s="947"/>
      <c r="AD68" s="947"/>
      <c r="AE68" s="947"/>
      <c r="AF68" s="947"/>
      <c r="AG68" s="947"/>
      <c r="AH68" s="948"/>
      <c r="AI68" s="947"/>
      <c r="AJ68" s="947"/>
      <c r="AK68" s="947"/>
      <c r="AL68" s="947"/>
      <c r="AM68" s="947"/>
      <c r="AN68" s="947"/>
      <c r="AO68" s="947"/>
      <c r="AP68" s="938"/>
      <c r="AQ68" s="947"/>
      <c r="AR68" s="938"/>
      <c r="AS68" s="937"/>
      <c r="AT68" s="948"/>
      <c r="AU68" s="947"/>
      <c r="AV68" s="981"/>
      <c r="AW68" s="950"/>
      <c r="AX68" s="950"/>
      <c r="AY68" s="951"/>
      <c r="AZ68" s="950"/>
      <c r="BA68" s="952"/>
      <c r="BB68" s="967"/>
      <c r="BC68" s="968"/>
      <c r="BD68" s="955"/>
      <c r="BE68" s="955"/>
      <c r="BF68" s="955"/>
      <c r="BG68" s="955"/>
      <c r="BH68" s="955"/>
      <c r="BI68" s="969"/>
      <c r="BJ68" s="955"/>
      <c r="BK68" s="969"/>
      <c r="BL68" s="955"/>
      <c r="BM68" s="955"/>
      <c r="BN68" s="952"/>
      <c r="BO68" s="952"/>
      <c r="BP68" s="965"/>
      <c r="BQ68" s="961"/>
      <c r="BR68" s="960"/>
      <c r="BS68" s="961"/>
      <c r="BT68" s="962"/>
      <c r="BU68" s="962"/>
      <c r="BV68" s="963"/>
      <c r="BW68" s="963"/>
      <c r="BX68" s="963"/>
      <c r="BY68" s="963"/>
      <c r="BZ68" s="963"/>
      <c r="CA68" s="963"/>
      <c r="CB68" s="965"/>
      <c r="CC68" s="965"/>
    </row>
    <row r="69">
      <c r="A69" s="84"/>
      <c r="B69" s="84"/>
      <c r="C69" s="348"/>
      <c r="D69" s="348"/>
      <c r="E69" s="84"/>
      <c r="F69" s="84"/>
      <c r="G69" s="84"/>
      <c r="H69" s="84"/>
      <c r="I69" s="84"/>
      <c r="J69" s="947"/>
      <c r="K69" s="947"/>
      <c r="L69" s="947"/>
      <c r="M69" s="947"/>
      <c r="N69" s="947"/>
      <c r="O69" s="947"/>
      <c r="P69" s="947"/>
      <c r="Q69" s="947"/>
      <c r="R69" s="937"/>
      <c r="S69" s="937"/>
      <c r="T69" s="947"/>
      <c r="U69" s="947"/>
      <c r="V69" s="938"/>
      <c r="W69" s="947"/>
      <c r="X69" s="939"/>
      <c r="Y69" s="947"/>
      <c r="Z69" s="947"/>
      <c r="AA69" s="938"/>
      <c r="AB69" s="947"/>
      <c r="AC69" s="947"/>
      <c r="AD69" s="947"/>
      <c r="AE69" s="947"/>
      <c r="AF69" s="947"/>
      <c r="AG69" s="947"/>
      <c r="AH69" s="948"/>
      <c r="AI69" s="947"/>
      <c r="AJ69" s="947"/>
      <c r="AK69" s="947"/>
      <c r="AL69" s="947"/>
      <c r="AM69" s="947"/>
      <c r="AN69" s="947"/>
      <c r="AO69" s="947"/>
      <c r="AP69" s="938"/>
      <c r="AQ69" s="947"/>
      <c r="AR69" s="938"/>
      <c r="AS69" s="937"/>
      <c r="AT69" s="948"/>
      <c r="AU69" s="947"/>
      <c r="AV69" s="981"/>
      <c r="AW69" s="950"/>
      <c r="AX69" s="950"/>
      <c r="AY69" s="951"/>
      <c r="AZ69" s="950"/>
      <c r="BA69" s="952"/>
      <c r="BB69" s="967"/>
      <c r="BC69" s="968"/>
      <c r="BD69" s="955"/>
      <c r="BE69" s="955"/>
      <c r="BF69" s="955"/>
      <c r="BG69" s="955"/>
      <c r="BH69" s="955"/>
      <c r="BI69" s="969"/>
      <c r="BJ69" s="955"/>
      <c r="BK69" s="969"/>
      <c r="BL69" s="955"/>
      <c r="BM69" s="955"/>
      <c r="BN69" s="952"/>
      <c r="BO69" s="952"/>
      <c r="BP69" s="965"/>
      <c r="BQ69" s="961"/>
      <c r="BR69" s="960"/>
      <c r="BS69" s="961"/>
      <c r="BT69" s="962"/>
      <c r="BU69" s="962"/>
      <c r="BV69" s="963"/>
      <c r="BW69" s="963"/>
      <c r="BX69" s="963"/>
      <c r="BY69" s="963"/>
      <c r="BZ69" s="963"/>
      <c r="CA69" s="963"/>
      <c r="CB69" s="965"/>
      <c r="CC69" s="965"/>
    </row>
    <row r="70">
      <c r="A70" s="84"/>
      <c r="B70" s="84"/>
      <c r="C70" s="348"/>
      <c r="D70" s="348"/>
      <c r="E70" s="84"/>
      <c r="F70" s="84"/>
      <c r="G70" s="84"/>
      <c r="H70" s="84"/>
      <c r="I70" s="84"/>
      <c r="J70" s="947"/>
      <c r="K70" s="947"/>
      <c r="L70" s="947"/>
      <c r="M70" s="947"/>
      <c r="N70" s="947"/>
      <c r="O70" s="947"/>
      <c r="P70" s="947"/>
      <c r="Q70" s="947"/>
      <c r="R70" s="937"/>
      <c r="S70" s="937"/>
      <c r="T70" s="947"/>
      <c r="U70" s="947"/>
      <c r="V70" s="938"/>
      <c r="W70" s="947"/>
      <c r="X70" s="939"/>
      <c r="Y70" s="947"/>
      <c r="Z70" s="947"/>
      <c r="AA70" s="938"/>
      <c r="AB70" s="947"/>
      <c r="AC70" s="947"/>
      <c r="AD70" s="947"/>
      <c r="AE70" s="947"/>
      <c r="AF70" s="947"/>
      <c r="AG70" s="947"/>
      <c r="AH70" s="948"/>
      <c r="AI70" s="947"/>
      <c r="AJ70" s="947"/>
      <c r="AK70" s="947"/>
      <c r="AL70" s="947"/>
      <c r="AM70" s="947"/>
      <c r="AN70" s="947"/>
      <c r="AO70" s="947"/>
      <c r="AP70" s="938"/>
      <c r="AQ70" s="947"/>
      <c r="AR70" s="938"/>
      <c r="AS70" s="937"/>
      <c r="AT70" s="948"/>
      <c r="AU70" s="947"/>
      <c r="AV70" s="981"/>
      <c r="AW70" s="950"/>
      <c r="AX70" s="950"/>
      <c r="AY70" s="951"/>
      <c r="AZ70" s="950"/>
      <c r="BA70" s="952"/>
      <c r="BB70" s="967"/>
      <c r="BC70" s="968"/>
      <c r="BD70" s="955"/>
      <c r="BE70" s="955"/>
      <c r="BF70" s="955"/>
      <c r="BG70" s="955"/>
      <c r="BH70" s="955"/>
      <c r="BI70" s="969"/>
      <c r="BJ70" s="955"/>
      <c r="BK70" s="969"/>
      <c r="BL70" s="955"/>
      <c r="BM70" s="955"/>
      <c r="BN70" s="952"/>
      <c r="BO70" s="952"/>
      <c r="BP70" s="965"/>
      <c r="BQ70" s="961"/>
      <c r="BR70" s="960"/>
      <c r="BS70" s="961"/>
      <c r="BT70" s="962"/>
      <c r="BU70" s="962"/>
      <c r="BV70" s="963"/>
      <c r="BW70" s="963"/>
      <c r="BX70" s="963"/>
      <c r="BY70" s="963"/>
      <c r="BZ70" s="963"/>
      <c r="CA70" s="963"/>
      <c r="CB70" s="965"/>
      <c r="CC70" s="965"/>
    </row>
    <row r="71">
      <c r="A71" s="84"/>
      <c r="B71" s="84"/>
      <c r="C71" s="348"/>
      <c r="D71" s="348"/>
      <c r="E71" s="84"/>
      <c r="F71" s="84"/>
      <c r="G71" s="84"/>
      <c r="H71" s="84"/>
      <c r="I71" s="84"/>
      <c r="J71" s="947"/>
      <c r="K71" s="947"/>
      <c r="L71" s="947"/>
      <c r="M71" s="947"/>
      <c r="N71" s="947"/>
      <c r="O71" s="947"/>
      <c r="P71" s="947"/>
      <c r="Q71" s="947"/>
      <c r="R71" s="937"/>
      <c r="S71" s="937"/>
      <c r="T71" s="947"/>
      <c r="U71" s="947"/>
      <c r="V71" s="938"/>
      <c r="W71" s="947"/>
      <c r="X71" s="939"/>
      <c r="Y71" s="947"/>
      <c r="Z71" s="947"/>
      <c r="AA71" s="938"/>
      <c r="AB71" s="947"/>
      <c r="AC71" s="947"/>
      <c r="AD71" s="947"/>
      <c r="AE71" s="947"/>
      <c r="AF71" s="947"/>
      <c r="AG71" s="947"/>
      <c r="AH71" s="948"/>
      <c r="AI71" s="947"/>
      <c r="AJ71" s="947"/>
      <c r="AK71" s="947"/>
      <c r="AL71" s="947"/>
      <c r="AM71" s="947"/>
      <c r="AN71" s="947"/>
      <c r="AO71" s="947"/>
      <c r="AP71" s="938"/>
      <c r="AQ71" s="947"/>
      <c r="AR71" s="938"/>
      <c r="AS71" s="937"/>
      <c r="AT71" s="948"/>
      <c r="AU71" s="947"/>
      <c r="AV71" s="981"/>
      <c r="AW71" s="950"/>
      <c r="AX71" s="950"/>
      <c r="AY71" s="951"/>
      <c r="AZ71" s="950"/>
      <c r="BA71" s="952"/>
      <c r="BB71" s="967"/>
      <c r="BC71" s="968"/>
      <c r="BD71" s="955"/>
      <c r="BE71" s="955"/>
      <c r="BF71" s="955"/>
      <c r="BG71" s="955"/>
      <c r="BH71" s="955"/>
      <c r="BI71" s="969"/>
      <c r="BJ71" s="955"/>
      <c r="BK71" s="969"/>
      <c r="BL71" s="955"/>
      <c r="BM71" s="955"/>
      <c r="BN71" s="952"/>
      <c r="BO71" s="952"/>
      <c r="BP71" s="965"/>
      <c r="BQ71" s="961"/>
      <c r="BR71" s="960"/>
      <c r="BS71" s="961"/>
      <c r="BT71" s="962"/>
      <c r="BU71" s="962"/>
      <c r="BV71" s="963"/>
      <c r="BW71" s="963"/>
      <c r="BX71" s="963"/>
      <c r="BY71" s="963"/>
      <c r="BZ71" s="963"/>
      <c r="CA71" s="963"/>
      <c r="CB71" s="965"/>
      <c r="CC71" s="965"/>
    </row>
    <row r="72">
      <c r="A72" s="84"/>
      <c r="B72" s="84"/>
      <c r="C72" s="348"/>
      <c r="D72" s="348"/>
      <c r="E72" s="84"/>
      <c r="F72" s="84"/>
      <c r="G72" s="84"/>
      <c r="H72" s="84"/>
      <c r="I72" s="84"/>
      <c r="J72" s="947"/>
      <c r="K72" s="947"/>
      <c r="L72" s="947"/>
      <c r="M72" s="947"/>
      <c r="N72" s="947"/>
      <c r="O72" s="947"/>
      <c r="P72" s="947"/>
      <c r="Q72" s="947"/>
      <c r="R72" s="937"/>
      <c r="S72" s="937"/>
      <c r="T72" s="947"/>
      <c r="U72" s="947"/>
      <c r="V72" s="938"/>
      <c r="W72" s="947"/>
      <c r="X72" s="939"/>
      <c r="Y72" s="947"/>
      <c r="Z72" s="947"/>
      <c r="AA72" s="938"/>
      <c r="AB72" s="947"/>
      <c r="AC72" s="947"/>
      <c r="AD72" s="947"/>
      <c r="AE72" s="947"/>
      <c r="AF72" s="947"/>
      <c r="AG72" s="947"/>
      <c r="AH72" s="948"/>
      <c r="AI72" s="947"/>
      <c r="AJ72" s="947"/>
      <c r="AK72" s="947"/>
      <c r="AL72" s="947"/>
      <c r="AM72" s="947"/>
      <c r="AN72" s="947"/>
      <c r="AO72" s="947"/>
      <c r="AP72" s="938"/>
      <c r="AQ72" s="947"/>
      <c r="AR72" s="938"/>
      <c r="AS72" s="937"/>
      <c r="AT72" s="948"/>
      <c r="AU72" s="947"/>
      <c r="AV72" s="981"/>
      <c r="AW72" s="950"/>
      <c r="AX72" s="950"/>
      <c r="AY72" s="951"/>
      <c r="AZ72" s="950"/>
      <c r="BA72" s="952"/>
      <c r="BB72" s="967"/>
      <c r="BC72" s="968"/>
      <c r="BD72" s="955"/>
      <c r="BE72" s="955"/>
      <c r="BF72" s="955"/>
      <c r="BG72" s="955"/>
      <c r="BH72" s="955"/>
      <c r="BI72" s="969"/>
      <c r="BJ72" s="955"/>
      <c r="BK72" s="969"/>
      <c r="BL72" s="955"/>
      <c r="BM72" s="955"/>
      <c r="BN72" s="952"/>
      <c r="BO72" s="952"/>
      <c r="BP72" s="965"/>
      <c r="BQ72" s="961"/>
      <c r="BR72" s="960"/>
      <c r="BS72" s="961"/>
      <c r="BT72" s="962"/>
      <c r="BU72" s="962"/>
      <c r="BV72" s="963"/>
      <c r="BW72" s="963"/>
      <c r="BX72" s="963"/>
      <c r="BY72" s="963"/>
      <c r="BZ72" s="963"/>
      <c r="CA72" s="963"/>
      <c r="CB72" s="965"/>
      <c r="CC72" s="965"/>
    </row>
    <row r="73">
      <c r="A73" s="84"/>
      <c r="B73" s="84"/>
      <c r="C73" s="348"/>
      <c r="D73" s="348"/>
      <c r="E73" s="84"/>
      <c r="F73" s="84"/>
      <c r="G73" s="84"/>
      <c r="H73" s="84"/>
      <c r="I73" s="84"/>
      <c r="J73" s="947"/>
      <c r="K73" s="947"/>
      <c r="L73" s="947"/>
      <c r="M73" s="947"/>
      <c r="N73" s="947"/>
      <c r="O73" s="947"/>
      <c r="P73" s="947"/>
      <c r="Q73" s="947"/>
      <c r="R73" s="937"/>
      <c r="S73" s="937"/>
      <c r="T73" s="947"/>
      <c r="U73" s="947"/>
      <c r="V73" s="938"/>
      <c r="W73" s="947"/>
      <c r="X73" s="939"/>
      <c r="Y73" s="947"/>
      <c r="Z73" s="947"/>
      <c r="AA73" s="938"/>
      <c r="AB73" s="947"/>
      <c r="AC73" s="947"/>
      <c r="AD73" s="947"/>
      <c r="AE73" s="947"/>
      <c r="AF73" s="947"/>
      <c r="AG73" s="947"/>
      <c r="AH73" s="948"/>
      <c r="AI73" s="947"/>
      <c r="AJ73" s="947"/>
      <c r="AK73" s="947"/>
      <c r="AL73" s="947"/>
      <c r="AM73" s="947"/>
      <c r="AN73" s="947"/>
      <c r="AO73" s="947"/>
      <c r="AP73" s="938"/>
      <c r="AQ73" s="947"/>
      <c r="AR73" s="938"/>
      <c r="AS73" s="937"/>
      <c r="AT73" s="948"/>
      <c r="AU73" s="947"/>
      <c r="AV73" s="981"/>
      <c r="AW73" s="950"/>
      <c r="AX73" s="950"/>
      <c r="AY73" s="951"/>
      <c r="AZ73" s="950"/>
      <c r="BA73" s="952"/>
      <c r="BB73" s="967"/>
      <c r="BC73" s="968"/>
      <c r="BD73" s="955"/>
      <c r="BE73" s="955"/>
      <c r="BF73" s="955"/>
      <c r="BG73" s="955"/>
      <c r="BH73" s="955"/>
      <c r="BI73" s="969"/>
      <c r="BJ73" s="955"/>
      <c r="BK73" s="969"/>
      <c r="BL73" s="955"/>
      <c r="BM73" s="955"/>
      <c r="BN73" s="952"/>
      <c r="BO73" s="952"/>
      <c r="BP73" s="965"/>
      <c r="BQ73" s="961"/>
      <c r="BR73" s="960"/>
      <c r="BS73" s="961"/>
      <c r="BT73" s="962"/>
      <c r="BU73" s="962"/>
      <c r="BV73" s="963"/>
      <c r="BW73" s="963"/>
      <c r="BX73" s="963"/>
      <c r="BY73" s="963"/>
      <c r="BZ73" s="963"/>
      <c r="CA73" s="963"/>
      <c r="CB73" s="965"/>
      <c r="CC73" s="965"/>
    </row>
    <row r="74">
      <c r="A74" s="84"/>
      <c r="B74" s="84"/>
      <c r="C74" s="348"/>
      <c r="D74" s="348"/>
      <c r="E74" s="84"/>
      <c r="F74" s="84"/>
      <c r="G74" s="84"/>
      <c r="H74" s="84"/>
      <c r="I74" s="84"/>
      <c r="J74" s="947"/>
      <c r="K74" s="947"/>
      <c r="L74" s="947"/>
      <c r="M74" s="947"/>
      <c r="N74" s="947"/>
      <c r="O74" s="947"/>
      <c r="P74" s="947"/>
      <c r="Q74" s="947"/>
      <c r="R74" s="937"/>
      <c r="S74" s="937"/>
      <c r="T74" s="947"/>
      <c r="U74" s="947"/>
      <c r="V74" s="938"/>
      <c r="W74" s="947"/>
      <c r="X74" s="939"/>
      <c r="Y74" s="947"/>
      <c r="Z74" s="947"/>
      <c r="AA74" s="938"/>
      <c r="AB74" s="947"/>
      <c r="AC74" s="947"/>
      <c r="AD74" s="947"/>
      <c r="AE74" s="947"/>
      <c r="AF74" s="947"/>
      <c r="AG74" s="947"/>
      <c r="AH74" s="948"/>
      <c r="AI74" s="947"/>
      <c r="AJ74" s="947"/>
      <c r="AK74" s="947"/>
      <c r="AL74" s="947"/>
      <c r="AM74" s="947"/>
      <c r="AN74" s="947"/>
      <c r="AO74" s="947"/>
      <c r="AP74" s="938"/>
      <c r="AQ74" s="947"/>
      <c r="AR74" s="938"/>
      <c r="AS74" s="937"/>
      <c r="AT74" s="948"/>
      <c r="AU74" s="947"/>
      <c r="AV74" s="981"/>
      <c r="AW74" s="950"/>
      <c r="AX74" s="950"/>
      <c r="AY74" s="951"/>
      <c r="AZ74" s="950"/>
      <c r="BA74" s="952"/>
      <c r="BB74" s="967"/>
      <c r="BC74" s="968"/>
      <c r="BD74" s="955"/>
      <c r="BE74" s="955"/>
      <c r="BF74" s="955"/>
      <c r="BG74" s="955"/>
      <c r="BH74" s="955"/>
      <c r="BI74" s="969"/>
      <c r="BJ74" s="955"/>
      <c r="BK74" s="969"/>
      <c r="BL74" s="955"/>
      <c r="BM74" s="955"/>
      <c r="BN74" s="952"/>
      <c r="BO74" s="952"/>
      <c r="BP74" s="965"/>
      <c r="BQ74" s="961"/>
      <c r="BR74" s="960"/>
      <c r="BS74" s="961"/>
      <c r="BT74" s="962"/>
      <c r="BU74" s="962"/>
      <c r="BV74" s="963"/>
      <c r="BW74" s="963"/>
      <c r="BX74" s="963"/>
      <c r="BY74" s="963"/>
      <c r="BZ74" s="963"/>
      <c r="CA74" s="963"/>
      <c r="CB74" s="965"/>
      <c r="CC74" s="965"/>
    </row>
    <row r="75">
      <c r="A75" s="84"/>
      <c r="B75" s="84"/>
      <c r="C75" s="348"/>
      <c r="D75" s="348"/>
      <c r="E75" s="84"/>
      <c r="F75" s="84"/>
      <c r="G75" s="84"/>
      <c r="H75" s="84"/>
      <c r="I75" s="84"/>
      <c r="J75" s="947"/>
      <c r="K75" s="947"/>
      <c r="L75" s="947"/>
      <c r="M75" s="947"/>
      <c r="N75" s="947"/>
      <c r="O75" s="947"/>
      <c r="P75" s="947"/>
      <c r="Q75" s="947"/>
      <c r="R75" s="937"/>
      <c r="S75" s="937"/>
      <c r="T75" s="947"/>
      <c r="U75" s="947"/>
      <c r="V75" s="938"/>
      <c r="W75" s="947"/>
      <c r="X75" s="939"/>
      <c r="Y75" s="947"/>
      <c r="Z75" s="947"/>
      <c r="AA75" s="938"/>
      <c r="AB75" s="947"/>
      <c r="AC75" s="947"/>
      <c r="AD75" s="947"/>
      <c r="AE75" s="947"/>
      <c r="AF75" s="947"/>
      <c r="AG75" s="947"/>
      <c r="AH75" s="948"/>
      <c r="AI75" s="947"/>
      <c r="AJ75" s="947"/>
      <c r="AK75" s="947"/>
      <c r="AL75" s="947"/>
      <c r="AM75" s="947"/>
      <c r="AN75" s="947"/>
      <c r="AO75" s="947"/>
      <c r="AP75" s="938"/>
      <c r="AQ75" s="947"/>
      <c r="AR75" s="938"/>
      <c r="AS75" s="937"/>
      <c r="AT75" s="948"/>
      <c r="AU75" s="947"/>
      <c r="AV75" s="981"/>
      <c r="AW75" s="950"/>
      <c r="AX75" s="950"/>
      <c r="AY75" s="951"/>
      <c r="AZ75" s="950"/>
      <c r="BA75" s="952"/>
      <c r="BB75" s="967"/>
      <c r="BC75" s="968"/>
      <c r="BD75" s="955"/>
      <c r="BE75" s="955"/>
      <c r="BF75" s="955"/>
      <c r="BG75" s="955"/>
      <c r="BH75" s="955"/>
      <c r="BI75" s="969"/>
      <c r="BJ75" s="955"/>
      <c r="BK75" s="969"/>
      <c r="BL75" s="955"/>
      <c r="BM75" s="955"/>
      <c r="BN75" s="952"/>
      <c r="BO75" s="952"/>
      <c r="BP75" s="965"/>
      <c r="BQ75" s="961"/>
      <c r="BR75" s="960"/>
      <c r="BS75" s="961"/>
      <c r="BT75" s="962"/>
      <c r="BU75" s="962"/>
      <c r="BV75" s="963"/>
      <c r="BW75" s="963"/>
      <c r="BX75" s="963"/>
      <c r="BY75" s="963"/>
      <c r="BZ75" s="963"/>
      <c r="CA75" s="963"/>
      <c r="CB75" s="965"/>
      <c r="CC75" s="965"/>
    </row>
    <row r="76">
      <c r="A76" s="84"/>
      <c r="B76" s="84"/>
      <c r="C76" s="348"/>
      <c r="D76" s="348"/>
      <c r="E76" s="84"/>
      <c r="F76" s="84"/>
      <c r="G76" s="84"/>
      <c r="H76" s="84"/>
      <c r="I76" s="84"/>
      <c r="J76" s="947"/>
      <c r="K76" s="947"/>
      <c r="L76" s="947"/>
      <c r="M76" s="947"/>
      <c r="N76" s="947"/>
      <c r="O76" s="947"/>
      <c r="P76" s="947"/>
      <c r="Q76" s="947"/>
      <c r="R76" s="937"/>
      <c r="S76" s="937"/>
      <c r="T76" s="947"/>
      <c r="U76" s="947"/>
      <c r="V76" s="938"/>
      <c r="W76" s="947"/>
      <c r="X76" s="939"/>
      <c r="Y76" s="947"/>
      <c r="Z76" s="947"/>
      <c r="AA76" s="938"/>
      <c r="AB76" s="947"/>
      <c r="AC76" s="947"/>
      <c r="AD76" s="947"/>
      <c r="AE76" s="947"/>
      <c r="AF76" s="947"/>
      <c r="AG76" s="947"/>
      <c r="AH76" s="948"/>
      <c r="AI76" s="947"/>
      <c r="AJ76" s="947"/>
      <c r="AK76" s="947"/>
      <c r="AL76" s="947"/>
      <c r="AM76" s="947"/>
      <c r="AN76" s="947"/>
      <c r="AO76" s="947"/>
      <c r="AP76" s="938"/>
      <c r="AQ76" s="947"/>
      <c r="AR76" s="938"/>
      <c r="AS76" s="937"/>
      <c r="AT76" s="948"/>
      <c r="AU76" s="947"/>
      <c r="AV76" s="981"/>
      <c r="AW76" s="950"/>
      <c r="AX76" s="950"/>
      <c r="AY76" s="951"/>
      <c r="AZ76" s="950"/>
      <c r="BA76" s="952"/>
      <c r="BB76" s="967"/>
      <c r="BC76" s="968"/>
      <c r="BD76" s="955"/>
      <c r="BE76" s="955"/>
      <c r="BF76" s="955"/>
      <c r="BG76" s="955"/>
      <c r="BH76" s="955"/>
      <c r="BI76" s="969"/>
      <c r="BJ76" s="955"/>
      <c r="BK76" s="969"/>
      <c r="BL76" s="955"/>
      <c r="BM76" s="955"/>
      <c r="BN76" s="952"/>
      <c r="BO76" s="952"/>
      <c r="BP76" s="965"/>
      <c r="BQ76" s="961"/>
      <c r="BR76" s="960"/>
      <c r="BS76" s="961"/>
      <c r="BT76" s="962"/>
      <c r="BU76" s="962"/>
      <c r="BV76" s="963"/>
      <c r="BW76" s="963"/>
      <c r="BX76" s="963"/>
      <c r="BY76" s="963"/>
      <c r="BZ76" s="963"/>
      <c r="CA76" s="963"/>
      <c r="CB76" s="965"/>
      <c r="CC76" s="965"/>
    </row>
    <row r="77">
      <c r="A77" s="84"/>
      <c r="B77" s="84"/>
      <c r="C77" s="348"/>
      <c r="D77" s="348"/>
      <c r="E77" s="84"/>
      <c r="F77" s="84"/>
      <c r="G77" s="84"/>
      <c r="H77" s="84"/>
      <c r="I77" s="84"/>
      <c r="J77" s="947"/>
      <c r="K77" s="947"/>
      <c r="L77" s="947"/>
      <c r="M77" s="947"/>
      <c r="N77" s="947"/>
      <c r="O77" s="947"/>
      <c r="P77" s="947"/>
      <c r="Q77" s="947"/>
      <c r="R77" s="937"/>
      <c r="S77" s="937"/>
      <c r="T77" s="947"/>
      <c r="U77" s="947"/>
      <c r="V77" s="938"/>
      <c r="W77" s="947"/>
      <c r="X77" s="939"/>
      <c r="Y77" s="947"/>
      <c r="Z77" s="947"/>
      <c r="AA77" s="938"/>
      <c r="AB77" s="947"/>
      <c r="AC77" s="947"/>
      <c r="AD77" s="947"/>
      <c r="AE77" s="947"/>
      <c r="AF77" s="947"/>
      <c r="AG77" s="947"/>
      <c r="AH77" s="948"/>
      <c r="AI77" s="947"/>
      <c r="AJ77" s="947"/>
      <c r="AK77" s="947"/>
      <c r="AL77" s="947"/>
      <c r="AM77" s="947"/>
      <c r="AN77" s="947"/>
      <c r="AO77" s="947"/>
      <c r="AP77" s="938"/>
      <c r="AQ77" s="947"/>
      <c r="AR77" s="938"/>
      <c r="AS77" s="937"/>
      <c r="AT77" s="948"/>
      <c r="AU77" s="947"/>
      <c r="AV77" s="981"/>
      <c r="AW77" s="950"/>
      <c r="AX77" s="950"/>
      <c r="AY77" s="951"/>
      <c r="AZ77" s="950"/>
      <c r="BA77" s="952"/>
      <c r="BB77" s="967"/>
      <c r="BC77" s="968"/>
      <c r="BD77" s="955"/>
      <c r="BE77" s="955"/>
      <c r="BF77" s="955"/>
      <c r="BG77" s="955"/>
      <c r="BH77" s="955"/>
      <c r="BI77" s="969"/>
      <c r="BJ77" s="955"/>
      <c r="BK77" s="969"/>
      <c r="BL77" s="955"/>
      <c r="BM77" s="955"/>
      <c r="BN77" s="952"/>
      <c r="BO77" s="952"/>
      <c r="BP77" s="965"/>
      <c r="BQ77" s="961"/>
      <c r="BR77" s="960"/>
      <c r="BS77" s="961"/>
      <c r="BT77" s="962"/>
      <c r="BU77" s="962"/>
      <c r="BV77" s="963"/>
      <c r="BW77" s="963"/>
      <c r="BX77" s="963"/>
      <c r="BY77" s="963"/>
      <c r="BZ77" s="963"/>
      <c r="CA77" s="963"/>
      <c r="CB77" s="965"/>
      <c r="CC77" s="965"/>
    </row>
    <row r="78">
      <c r="A78" s="84"/>
      <c r="B78" s="84"/>
      <c r="C78" s="348"/>
      <c r="D78" s="348"/>
      <c r="E78" s="84"/>
      <c r="F78" s="84"/>
      <c r="G78" s="84"/>
      <c r="H78" s="84"/>
      <c r="I78" s="84"/>
      <c r="J78" s="947"/>
      <c r="K78" s="947"/>
      <c r="L78" s="947"/>
      <c r="M78" s="947"/>
      <c r="N78" s="947"/>
      <c r="O78" s="947"/>
      <c r="P78" s="947"/>
      <c r="Q78" s="947"/>
      <c r="R78" s="937"/>
      <c r="S78" s="937"/>
      <c r="T78" s="947"/>
      <c r="U78" s="947"/>
      <c r="V78" s="938"/>
      <c r="W78" s="947"/>
      <c r="X78" s="939"/>
      <c r="Y78" s="947"/>
      <c r="Z78" s="947"/>
      <c r="AA78" s="938"/>
      <c r="AB78" s="947"/>
      <c r="AC78" s="947"/>
      <c r="AD78" s="947"/>
      <c r="AE78" s="947"/>
      <c r="AF78" s="947"/>
      <c r="AG78" s="947"/>
      <c r="AH78" s="948"/>
      <c r="AI78" s="947"/>
      <c r="AJ78" s="947"/>
      <c r="AK78" s="947"/>
      <c r="AL78" s="947"/>
      <c r="AM78" s="947"/>
      <c r="AN78" s="947"/>
      <c r="AO78" s="947"/>
      <c r="AP78" s="938"/>
      <c r="AQ78" s="947"/>
      <c r="AR78" s="938"/>
      <c r="AS78" s="937"/>
      <c r="AT78" s="948"/>
      <c r="AU78" s="947"/>
      <c r="AV78" s="981"/>
      <c r="AW78" s="950"/>
      <c r="AX78" s="950"/>
      <c r="AY78" s="951"/>
      <c r="AZ78" s="950"/>
      <c r="BA78" s="952"/>
      <c r="BB78" s="967"/>
      <c r="BC78" s="968"/>
      <c r="BD78" s="955"/>
      <c r="BE78" s="955"/>
      <c r="BF78" s="955"/>
      <c r="BG78" s="955"/>
      <c r="BH78" s="955"/>
      <c r="BI78" s="969"/>
      <c r="BJ78" s="955"/>
      <c r="BK78" s="969"/>
      <c r="BL78" s="955"/>
      <c r="BM78" s="955"/>
      <c r="BN78" s="952"/>
      <c r="BO78" s="952"/>
      <c r="BP78" s="965"/>
      <c r="BQ78" s="961"/>
      <c r="BR78" s="960"/>
      <c r="BS78" s="961"/>
      <c r="BT78" s="962"/>
      <c r="BU78" s="962"/>
      <c r="BV78" s="963"/>
      <c r="BW78" s="963"/>
      <c r="BX78" s="963"/>
      <c r="BY78" s="963"/>
      <c r="BZ78" s="963"/>
      <c r="CA78" s="963"/>
      <c r="CB78" s="965"/>
      <c r="CC78" s="965"/>
    </row>
    <row r="79">
      <c r="A79" s="84"/>
      <c r="B79" s="84"/>
      <c r="C79" s="348"/>
      <c r="D79" s="348"/>
      <c r="E79" s="84"/>
      <c r="F79" s="84"/>
      <c r="G79" s="84"/>
      <c r="H79" s="84"/>
      <c r="I79" s="84"/>
      <c r="J79" s="947"/>
      <c r="K79" s="947"/>
      <c r="L79" s="947"/>
      <c r="M79" s="947"/>
      <c r="N79" s="947"/>
      <c r="O79" s="947"/>
      <c r="P79" s="947"/>
      <c r="Q79" s="947"/>
      <c r="R79" s="937"/>
      <c r="S79" s="937"/>
      <c r="T79" s="947"/>
      <c r="U79" s="947"/>
      <c r="V79" s="938"/>
      <c r="W79" s="947"/>
      <c r="X79" s="939"/>
      <c r="Y79" s="947"/>
      <c r="Z79" s="947"/>
      <c r="AA79" s="938"/>
      <c r="AB79" s="947"/>
      <c r="AC79" s="947"/>
      <c r="AD79" s="947"/>
      <c r="AE79" s="947"/>
      <c r="AF79" s="947"/>
      <c r="AG79" s="947"/>
      <c r="AH79" s="948"/>
      <c r="AI79" s="947"/>
      <c r="AJ79" s="947"/>
      <c r="AK79" s="947"/>
      <c r="AL79" s="947"/>
      <c r="AM79" s="947"/>
      <c r="AN79" s="947"/>
      <c r="AO79" s="947"/>
      <c r="AP79" s="938"/>
      <c r="AQ79" s="947"/>
      <c r="AR79" s="938"/>
      <c r="AS79" s="937"/>
      <c r="AT79" s="948"/>
      <c r="AU79" s="947"/>
      <c r="AV79" s="981"/>
      <c r="AW79" s="950"/>
      <c r="AX79" s="950"/>
      <c r="AY79" s="951"/>
      <c r="AZ79" s="950"/>
      <c r="BA79" s="952"/>
      <c r="BB79" s="967"/>
      <c r="BC79" s="968"/>
      <c r="BD79" s="955"/>
      <c r="BE79" s="955"/>
      <c r="BF79" s="955"/>
      <c r="BG79" s="955"/>
      <c r="BH79" s="955"/>
      <c r="BI79" s="969"/>
      <c r="BJ79" s="955"/>
      <c r="BK79" s="969"/>
      <c r="BL79" s="955"/>
      <c r="BM79" s="955"/>
      <c r="BN79" s="952"/>
      <c r="BO79" s="952"/>
      <c r="BP79" s="965"/>
      <c r="BQ79" s="961"/>
      <c r="BR79" s="960"/>
      <c r="BS79" s="961"/>
      <c r="BT79" s="962"/>
      <c r="BU79" s="962"/>
      <c r="BV79" s="963"/>
      <c r="BW79" s="963"/>
      <c r="BX79" s="963"/>
      <c r="BY79" s="963"/>
      <c r="BZ79" s="963"/>
      <c r="CA79" s="963"/>
      <c r="CB79" s="965"/>
      <c r="CC79" s="965"/>
    </row>
    <row r="80">
      <c r="A80" s="84"/>
      <c r="B80" s="84"/>
      <c r="C80" s="348"/>
      <c r="D80" s="348"/>
      <c r="E80" s="84"/>
      <c r="F80" s="84"/>
      <c r="G80" s="84"/>
      <c r="H80" s="84"/>
      <c r="I80" s="84"/>
      <c r="J80" s="947"/>
      <c r="K80" s="947"/>
      <c r="L80" s="947"/>
      <c r="M80" s="947"/>
      <c r="N80" s="947"/>
      <c r="O80" s="947"/>
      <c r="P80" s="947"/>
      <c r="Q80" s="947"/>
      <c r="R80" s="937"/>
      <c r="S80" s="937"/>
      <c r="T80" s="947"/>
      <c r="U80" s="947"/>
      <c r="V80" s="938"/>
      <c r="W80" s="947"/>
      <c r="X80" s="939"/>
      <c r="Y80" s="947"/>
      <c r="Z80" s="947"/>
      <c r="AA80" s="938"/>
      <c r="AB80" s="947"/>
      <c r="AC80" s="947"/>
      <c r="AD80" s="947"/>
      <c r="AE80" s="947"/>
      <c r="AF80" s="947"/>
      <c r="AG80" s="947"/>
      <c r="AH80" s="948"/>
      <c r="AI80" s="947"/>
      <c r="AJ80" s="947"/>
      <c r="AK80" s="947"/>
      <c r="AL80" s="947"/>
      <c r="AM80" s="947"/>
      <c r="AN80" s="947"/>
      <c r="AO80" s="947"/>
      <c r="AP80" s="938"/>
      <c r="AQ80" s="947"/>
      <c r="AR80" s="938"/>
      <c r="AS80" s="937"/>
      <c r="AT80" s="948"/>
      <c r="AU80" s="947"/>
      <c r="AV80" s="981"/>
      <c r="AW80" s="950"/>
      <c r="AX80" s="950"/>
      <c r="AY80" s="951"/>
      <c r="AZ80" s="950"/>
      <c r="BA80" s="952"/>
      <c r="BB80" s="967"/>
      <c r="BC80" s="968"/>
      <c r="BD80" s="955"/>
      <c r="BE80" s="955"/>
      <c r="BF80" s="955"/>
      <c r="BG80" s="955"/>
      <c r="BH80" s="955"/>
      <c r="BI80" s="969"/>
      <c r="BJ80" s="955"/>
      <c r="BK80" s="969"/>
      <c r="BL80" s="955"/>
      <c r="BM80" s="955"/>
      <c r="BN80" s="952"/>
      <c r="BO80" s="952"/>
      <c r="BP80" s="965"/>
      <c r="BQ80" s="961"/>
      <c r="BR80" s="960"/>
      <c r="BS80" s="961"/>
      <c r="BT80" s="962"/>
      <c r="BU80" s="962"/>
      <c r="BV80" s="963"/>
      <c r="BW80" s="963"/>
      <c r="BX80" s="963"/>
      <c r="BY80" s="963"/>
      <c r="BZ80" s="963"/>
      <c r="CA80" s="963"/>
      <c r="CB80" s="965"/>
      <c r="CC80" s="965"/>
    </row>
    <row r="81">
      <c r="A81" s="84"/>
      <c r="B81" s="84"/>
      <c r="C81" s="348"/>
      <c r="D81" s="348"/>
      <c r="E81" s="84"/>
      <c r="F81" s="84"/>
      <c r="G81" s="84"/>
      <c r="H81" s="84"/>
      <c r="I81" s="84"/>
      <c r="J81" s="947"/>
      <c r="K81" s="947"/>
      <c r="L81" s="947"/>
      <c r="M81" s="947"/>
      <c r="N81" s="947"/>
      <c r="O81" s="947"/>
      <c r="P81" s="947"/>
      <c r="Q81" s="947"/>
      <c r="R81" s="937"/>
      <c r="S81" s="937"/>
      <c r="T81" s="947"/>
      <c r="U81" s="947"/>
      <c r="V81" s="938"/>
      <c r="W81" s="947"/>
      <c r="X81" s="939"/>
      <c r="Y81" s="947"/>
      <c r="Z81" s="947"/>
      <c r="AA81" s="938"/>
      <c r="AB81" s="947"/>
      <c r="AC81" s="947"/>
      <c r="AD81" s="947"/>
      <c r="AE81" s="947"/>
      <c r="AF81" s="947"/>
      <c r="AG81" s="947"/>
      <c r="AH81" s="948"/>
      <c r="AI81" s="947"/>
      <c r="AJ81" s="947"/>
      <c r="AK81" s="947"/>
      <c r="AL81" s="947"/>
      <c r="AM81" s="947"/>
      <c r="AN81" s="947"/>
      <c r="AO81" s="947"/>
      <c r="AP81" s="938"/>
      <c r="AQ81" s="947"/>
      <c r="AR81" s="938"/>
      <c r="AS81" s="937"/>
      <c r="AT81" s="948"/>
      <c r="AU81" s="947"/>
      <c r="AV81" s="981"/>
      <c r="AW81" s="950"/>
      <c r="AX81" s="950"/>
      <c r="AY81" s="951"/>
      <c r="AZ81" s="950"/>
      <c r="BA81" s="952"/>
      <c r="BB81" s="967"/>
      <c r="BC81" s="968"/>
      <c r="BD81" s="955"/>
      <c r="BE81" s="955"/>
      <c r="BF81" s="955"/>
      <c r="BG81" s="955"/>
      <c r="BH81" s="955"/>
      <c r="BI81" s="969"/>
      <c r="BJ81" s="955"/>
      <c r="BK81" s="969"/>
      <c r="BL81" s="955"/>
      <c r="BM81" s="955"/>
      <c r="BN81" s="952"/>
      <c r="BO81" s="952"/>
      <c r="BP81" s="965"/>
      <c r="BQ81" s="961"/>
      <c r="BR81" s="960"/>
      <c r="BS81" s="961"/>
      <c r="BT81" s="962"/>
      <c r="BU81" s="962"/>
      <c r="BV81" s="963"/>
      <c r="BW81" s="963"/>
      <c r="BX81" s="963"/>
      <c r="BY81" s="963"/>
      <c r="BZ81" s="963"/>
      <c r="CA81" s="963"/>
      <c r="CB81" s="965"/>
      <c r="CC81" s="965"/>
    </row>
    <row r="82">
      <c r="A82" s="84"/>
      <c r="B82" s="84"/>
      <c r="C82" s="348"/>
      <c r="D82" s="348"/>
      <c r="E82" s="84"/>
      <c r="F82" s="84"/>
      <c r="G82" s="84"/>
      <c r="H82" s="84"/>
      <c r="I82" s="84"/>
      <c r="J82" s="947"/>
      <c r="K82" s="947"/>
      <c r="L82" s="947"/>
      <c r="M82" s="947"/>
      <c r="N82" s="947"/>
      <c r="O82" s="947"/>
      <c r="P82" s="947"/>
      <c r="Q82" s="947"/>
      <c r="R82" s="937"/>
      <c r="S82" s="937"/>
      <c r="T82" s="947"/>
      <c r="U82" s="947"/>
      <c r="V82" s="938"/>
      <c r="W82" s="947"/>
      <c r="X82" s="939"/>
      <c r="Y82" s="947"/>
      <c r="Z82" s="947"/>
      <c r="AA82" s="938"/>
      <c r="AB82" s="947"/>
      <c r="AC82" s="947"/>
      <c r="AD82" s="947"/>
      <c r="AE82" s="947"/>
      <c r="AF82" s="947"/>
      <c r="AG82" s="947"/>
      <c r="AH82" s="948"/>
      <c r="AI82" s="947"/>
      <c r="AJ82" s="947"/>
      <c r="AK82" s="947"/>
      <c r="AL82" s="947"/>
      <c r="AM82" s="947"/>
      <c r="AN82" s="947"/>
      <c r="AO82" s="947"/>
      <c r="AP82" s="938"/>
      <c r="AQ82" s="947"/>
      <c r="AR82" s="938"/>
      <c r="AS82" s="937"/>
      <c r="AT82" s="948"/>
      <c r="AU82" s="947"/>
      <c r="AV82" s="981"/>
      <c r="AW82" s="950"/>
      <c r="AX82" s="950"/>
      <c r="AY82" s="951"/>
      <c r="AZ82" s="950"/>
      <c r="BA82" s="952"/>
      <c r="BB82" s="967"/>
      <c r="BC82" s="968"/>
      <c r="BD82" s="955"/>
      <c r="BE82" s="955"/>
      <c r="BF82" s="955"/>
      <c r="BG82" s="955"/>
      <c r="BH82" s="955"/>
      <c r="BI82" s="969"/>
      <c r="BJ82" s="955"/>
      <c r="BK82" s="969"/>
      <c r="BL82" s="955"/>
      <c r="BM82" s="955"/>
      <c r="BN82" s="952"/>
      <c r="BO82" s="952"/>
      <c r="BP82" s="965"/>
      <c r="BQ82" s="961"/>
      <c r="BR82" s="960"/>
      <c r="BS82" s="961"/>
      <c r="BT82" s="962"/>
      <c r="BU82" s="962"/>
      <c r="BV82" s="963"/>
      <c r="BW82" s="963"/>
      <c r="BX82" s="963"/>
      <c r="BY82" s="963"/>
      <c r="BZ82" s="963"/>
      <c r="CA82" s="963"/>
      <c r="CB82" s="965"/>
      <c r="CC82" s="965"/>
    </row>
    <row r="83">
      <c r="A83" s="84"/>
      <c r="B83" s="84"/>
      <c r="C83" s="348"/>
      <c r="D83" s="348"/>
      <c r="E83" s="84"/>
      <c r="F83" s="84"/>
      <c r="G83" s="84"/>
      <c r="H83" s="84"/>
      <c r="I83" s="84"/>
      <c r="J83" s="947"/>
      <c r="K83" s="947"/>
      <c r="L83" s="947"/>
      <c r="M83" s="947"/>
      <c r="N83" s="947"/>
      <c r="O83" s="947"/>
      <c r="P83" s="947"/>
      <c r="Q83" s="947"/>
      <c r="R83" s="937"/>
      <c r="S83" s="937"/>
      <c r="T83" s="947"/>
      <c r="U83" s="947"/>
      <c r="V83" s="938"/>
      <c r="W83" s="947"/>
      <c r="X83" s="939"/>
      <c r="Y83" s="947"/>
      <c r="Z83" s="947"/>
      <c r="AA83" s="938"/>
      <c r="AB83" s="947"/>
      <c r="AC83" s="947"/>
      <c r="AD83" s="947"/>
      <c r="AE83" s="947"/>
      <c r="AF83" s="947"/>
      <c r="AG83" s="947"/>
      <c r="AH83" s="948"/>
      <c r="AI83" s="947"/>
      <c r="AJ83" s="947"/>
      <c r="AK83" s="947"/>
      <c r="AL83" s="947"/>
      <c r="AM83" s="947"/>
      <c r="AN83" s="947"/>
      <c r="AO83" s="947"/>
      <c r="AP83" s="938"/>
      <c r="AQ83" s="947"/>
      <c r="AR83" s="938"/>
      <c r="AS83" s="937"/>
      <c r="AT83" s="948"/>
      <c r="AU83" s="947"/>
      <c r="AV83" s="981"/>
      <c r="AW83" s="950"/>
      <c r="AX83" s="950"/>
      <c r="AY83" s="951"/>
      <c r="AZ83" s="950"/>
      <c r="BA83" s="952"/>
      <c r="BB83" s="967"/>
      <c r="BC83" s="968"/>
      <c r="BD83" s="955"/>
      <c r="BE83" s="955"/>
      <c r="BF83" s="955"/>
      <c r="BG83" s="955"/>
      <c r="BH83" s="955"/>
      <c r="BI83" s="969"/>
      <c r="BJ83" s="955"/>
      <c r="BK83" s="969"/>
      <c r="BL83" s="955"/>
      <c r="BM83" s="955"/>
      <c r="BN83" s="952"/>
      <c r="BO83" s="952"/>
      <c r="BP83" s="965"/>
      <c r="BQ83" s="961"/>
      <c r="BR83" s="960"/>
      <c r="BS83" s="961"/>
      <c r="BT83" s="962"/>
      <c r="BU83" s="962"/>
      <c r="BV83" s="963"/>
      <c r="BW83" s="963"/>
      <c r="BX83" s="963"/>
      <c r="BY83" s="963"/>
      <c r="BZ83" s="963"/>
      <c r="CA83" s="963"/>
      <c r="CB83" s="965"/>
      <c r="CC83" s="965"/>
    </row>
    <row r="84">
      <c r="A84" s="84"/>
      <c r="B84" s="84"/>
      <c r="C84" s="348"/>
      <c r="D84" s="348"/>
      <c r="E84" s="84"/>
      <c r="F84" s="84"/>
      <c r="G84" s="84"/>
      <c r="H84" s="84"/>
      <c r="I84" s="84"/>
      <c r="J84" s="947"/>
      <c r="K84" s="947"/>
      <c r="L84" s="947"/>
      <c r="M84" s="947"/>
      <c r="N84" s="947"/>
      <c r="O84" s="947"/>
      <c r="P84" s="947"/>
      <c r="Q84" s="947"/>
      <c r="R84" s="937"/>
      <c r="S84" s="937"/>
      <c r="T84" s="947"/>
      <c r="U84" s="947"/>
      <c r="V84" s="938"/>
      <c r="W84" s="947"/>
      <c r="X84" s="939"/>
      <c r="Y84" s="947"/>
      <c r="Z84" s="947"/>
      <c r="AA84" s="938"/>
      <c r="AB84" s="947"/>
      <c r="AC84" s="947"/>
      <c r="AD84" s="947"/>
      <c r="AE84" s="947"/>
      <c r="AF84" s="947"/>
      <c r="AG84" s="947"/>
      <c r="AH84" s="948"/>
      <c r="AI84" s="947"/>
      <c r="AJ84" s="947"/>
      <c r="AK84" s="947"/>
      <c r="AL84" s="947"/>
      <c r="AM84" s="947"/>
      <c r="AN84" s="947"/>
      <c r="AO84" s="947"/>
      <c r="AP84" s="938"/>
      <c r="AQ84" s="947"/>
      <c r="AR84" s="938"/>
      <c r="AS84" s="937"/>
      <c r="AT84" s="948"/>
      <c r="AU84" s="947"/>
      <c r="AV84" s="981"/>
      <c r="AW84" s="950"/>
      <c r="AX84" s="950"/>
      <c r="AY84" s="951"/>
      <c r="AZ84" s="950"/>
      <c r="BA84" s="952"/>
      <c r="BB84" s="967"/>
      <c r="BC84" s="968"/>
      <c r="BD84" s="955"/>
      <c r="BE84" s="955"/>
      <c r="BF84" s="955"/>
      <c r="BG84" s="955"/>
      <c r="BH84" s="955"/>
      <c r="BI84" s="969"/>
      <c r="BJ84" s="955"/>
      <c r="BK84" s="969"/>
      <c r="BL84" s="955"/>
      <c r="BM84" s="955"/>
      <c r="BN84" s="952"/>
      <c r="BO84" s="952"/>
      <c r="BP84" s="965"/>
      <c r="BQ84" s="961"/>
      <c r="BR84" s="960"/>
      <c r="BS84" s="961"/>
      <c r="BT84" s="962"/>
      <c r="BU84" s="962"/>
      <c r="BV84" s="963"/>
      <c r="BW84" s="963"/>
      <c r="BX84" s="963"/>
      <c r="BY84" s="963"/>
      <c r="BZ84" s="963"/>
      <c r="CA84" s="963"/>
      <c r="CB84" s="965"/>
      <c r="CC84" s="965"/>
    </row>
    <row r="85">
      <c r="A85" s="84"/>
      <c r="B85" s="84"/>
      <c r="C85" s="348"/>
      <c r="D85" s="348"/>
      <c r="E85" s="84"/>
      <c r="F85" s="84"/>
      <c r="G85" s="84"/>
      <c r="H85" s="84"/>
      <c r="I85" s="84"/>
      <c r="J85" s="947"/>
      <c r="K85" s="947"/>
      <c r="L85" s="947"/>
      <c r="M85" s="947"/>
      <c r="N85" s="947"/>
      <c r="O85" s="947"/>
      <c r="P85" s="947"/>
      <c r="Q85" s="947"/>
      <c r="R85" s="937"/>
      <c r="S85" s="937"/>
      <c r="T85" s="947"/>
      <c r="U85" s="947"/>
      <c r="V85" s="938"/>
      <c r="W85" s="947"/>
      <c r="X85" s="939"/>
      <c r="Y85" s="947"/>
      <c r="Z85" s="947"/>
      <c r="AA85" s="938"/>
      <c r="AB85" s="947"/>
      <c r="AC85" s="947"/>
      <c r="AD85" s="947"/>
      <c r="AE85" s="947"/>
      <c r="AF85" s="947"/>
      <c r="AG85" s="947"/>
      <c r="AH85" s="948"/>
      <c r="AI85" s="947"/>
      <c r="AJ85" s="947"/>
      <c r="AK85" s="947"/>
      <c r="AL85" s="947"/>
      <c r="AM85" s="947"/>
      <c r="AN85" s="947"/>
      <c r="AO85" s="947"/>
      <c r="AP85" s="938"/>
      <c r="AQ85" s="947"/>
      <c r="AR85" s="938"/>
      <c r="AS85" s="937"/>
      <c r="AT85" s="948"/>
      <c r="AU85" s="947"/>
      <c r="AV85" s="981"/>
      <c r="AW85" s="950"/>
      <c r="AX85" s="950"/>
      <c r="AY85" s="951"/>
      <c r="AZ85" s="950"/>
      <c r="BA85" s="952"/>
      <c r="BB85" s="967"/>
      <c r="BC85" s="968"/>
      <c r="BD85" s="955"/>
      <c r="BE85" s="955"/>
      <c r="BF85" s="955"/>
      <c r="BG85" s="955"/>
      <c r="BH85" s="955"/>
      <c r="BI85" s="969"/>
      <c r="BJ85" s="955"/>
      <c r="BK85" s="969"/>
      <c r="BL85" s="955"/>
      <c r="BM85" s="955"/>
      <c r="BN85" s="952"/>
      <c r="BO85" s="952"/>
      <c r="BP85" s="965"/>
      <c r="BQ85" s="961"/>
      <c r="BR85" s="960"/>
      <c r="BS85" s="961"/>
      <c r="BT85" s="962"/>
      <c r="BU85" s="962"/>
      <c r="BV85" s="963"/>
      <c r="BW85" s="963"/>
      <c r="BX85" s="963"/>
      <c r="BY85" s="963"/>
      <c r="BZ85" s="963"/>
      <c r="CA85" s="963"/>
      <c r="CB85" s="965"/>
      <c r="CC85" s="965"/>
    </row>
    <row r="86">
      <c r="A86" s="84"/>
      <c r="B86" s="84"/>
      <c r="C86" s="348"/>
      <c r="D86" s="348"/>
      <c r="E86" s="84"/>
      <c r="F86" s="84"/>
      <c r="G86" s="84"/>
      <c r="H86" s="84"/>
      <c r="I86" s="84"/>
      <c r="J86" s="947"/>
      <c r="K86" s="947"/>
      <c r="L86" s="947"/>
      <c r="M86" s="947"/>
      <c r="N86" s="947"/>
      <c r="O86" s="947"/>
      <c r="P86" s="947"/>
      <c r="Q86" s="947"/>
      <c r="R86" s="937"/>
      <c r="S86" s="937"/>
      <c r="T86" s="947"/>
      <c r="U86" s="947"/>
      <c r="V86" s="938"/>
      <c r="W86" s="947"/>
      <c r="X86" s="939"/>
      <c r="Y86" s="947"/>
      <c r="Z86" s="947"/>
      <c r="AA86" s="938"/>
      <c r="AB86" s="947"/>
      <c r="AC86" s="947"/>
      <c r="AD86" s="947"/>
      <c r="AE86" s="947"/>
      <c r="AF86" s="947"/>
      <c r="AG86" s="947"/>
      <c r="AH86" s="948"/>
      <c r="AI86" s="947"/>
      <c r="AJ86" s="947"/>
      <c r="AK86" s="947"/>
      <c r="AL86" s="947"/>
      <c r="AM86" s="947"/>
      <c r="AN86" s="947"/>
      <c r="AO86" s="947"/>
      <c r="AP86" s="938"/>
      <c r="AQ86" s="947"/>
      <c r="AR86" s="938"/>
      <c r="AS86" s="937"/>
      <c r="AT86" s="948"/>
      <c r="AU86" s="947"/>
      <c r="AV86" s="981"/>
      <c r="AW86" s="950"/>
      <c r="AX86" s="950"/>
      <c r="AY86" s="951"/>
      <c r="AZ86" s="950"/>
      <c r="BA86" s="952"/>
      <c r="BB86" s="967"/>
      <c r="BC86" s="968"/>
      <c r="BD86" s="955"/>
      <c r="BE86" s="955"/>
      <c r="BF86" s="955"/>
      <c r="BG86" s="955"/>
      <c r="BH86" s="955"/>
      <c r="BI86" s="969"/>
      <c r="BJ86" s="955"/>
      <c r="BK86" s="969"/>
      <c r="BL86" s="955"/>
      <c r="BM86" s="955"/>
      <c r="BN86" s="952"/>
      <c r="BO86" s="952"/>
      <c r="BP86" s="965"/>
      <c r="BQ86" s="961"/>
      <c r="BR86" s="960"/>
      <c r="BS86" s="961"/>
      <c r="BT86" s="962"/>
      <c r="BU86" s="962"/>
      <c r="BV86" s="963"/>
      <c r="BW86" s="963"/>
      <c r="BX86" s="963"/>
      <c r="BY86" s="963"/>
      <c r="BZ86" s="963"/>
      <c r="CA86" s="963"/>
      <c r="CB86" s="965"/>
      <c r="CC86" s="965"/>
    </row>
    <row r="87">
      <c r="A87" s="84"/>
      <c r="B87" s="84"/>
      <c r="C87" s="348"/>
      <c r="D87" s="348"/>
      <c r="E87" s="84"/>
      <c r="F87" s="84"/>
      <c r="G87" s="84"/>
      <c r="H87" s="84"/>
      <c r="I87" s="84"/>
      <c r="J87" s="947"/>
      <c r="K87" s="947"/>
      <c r="L87" s="947"/>
      <c r="M87" s="947"/>
      <c r="N87" s="947"/>
      <c r="O87" s="947"/>
      <c r="P87" s="947"/>
      <c r="Q87" s="947"/>
      <c r="R87" s="937"/>
      <c r="S87" s="937"/>
      <c r="T87" s="947"/>
      <c r="U87" s="947"/>
      <c r="V87" s="938"/>
      <c r="W87" s="947"/>
      <c r="X87" s="939"/>
      <c r="Y87" s="947"/>
      <c r="Z87" s="947"/>
      <c r="AA87" s="938"/>
      <c r="AB87" s="947"/>
      <c r="AC87" s="947"/>
      <c r="AD87" s="947"/>
      <c r="AE87" s="947"/>
      <c r="AF87" s="947"/>
      <c r="AG87" s="947"/>
      <c r="AH87" s="948"/>
      <c r="AI87" s="947"/>
      <c r="AJ87" s="947"/>
      <c r="AK87" s="947"/>
      <c r="AL87" s="947"/>
      <c r="AM87" s="947"/>
      <c r="AN87" s="947"/>
      <c r="AO87" s="947"/>
      <c r="AP87" s="938"/>
      <c r="AQ87" s="947"/>
      <c r="AR87" s="938"/>
      <c r="AS87" s="937"/>
      <c r="AT87" s="948"/>
      <c r="AU87" s="947"/>
      <c r="AV87" s="981"/>
      <c r="AW87" s="950"/>
      <c r="AX87" s="950"/>
      <c r="AY87" s="951"/>
      <c r="AZ87" s="950"/>
      <c r="BA87" s="952"/>
      <c r="BB87" s="967"/>
      <c r="BC87" s="968"/>
      <c r="BD87" s="955"/>
      <c r="BE87" s="955"/>
      <c r="BF87" s="955"/>
      <c r="BG87" s="955"/>
      <c r="BH87" s="955"/>
      <c r="BI87" s="969"/>
      <c r="BJ87" s="955"/>
      <c r="BK87" s="969"/>
      <c r="BL87" s="955"/>
      <c r="BM87" s="955"/>
      <c r="BN87" s="952"/>
      <c r="BO87" s="952"/>
      <c r="BP87" s="965"/>
      <c r="BQ87" s="961"/>
      <c r="BR87" s="960"/>
      <c r="BS87" s="961"/>
      <c r="BT87" s="962"/>
      <c r="BU87" s="962"/>
      <c r="BV87" s="963"/>
      <c r="BW87" s="963"/>
      <c r="BX87" s="963"/>
      <c r="BY87" s="963"/>
      <c r="BZ87" s="963"/>
      <c r="CA87" s="963"/>
      <c r="CB87" s="965"/>
      <c r="CC87" s="965"/>
    </row>
    <row r="88">
      <c r="A88" s="84"/>
      <c r="B88" s="84"/>
      <c r="C88" s="348"/>
      <c r="D88" s="348"/>
      <c r="E88" s="84"/>
      <c r="F88" s="84"/>
      <c r="G88" s="84"/>
      <c r="H88" s="84"/>
      <c r="I88" s="84"/>
      <c r="J88" s="947"/>
      <c r="K88" s="947"/>
      <c r="L88" s="947"/>
      <c r="M88" s="947"/>
      <c r="N88" s="947"/>
      <c r="O88" s="947"/>
      <c r="P88" s="947"/>
      <c r="Q88" s="947"/>
      <c r="R88" s="937"/>
      <c r="S88" s="937"/>
      <c r="T88" s="947"/>
      <c r="U88" s="947"/>
      <c r="V88" s="938"/>
      <c r="W88" s="947"/>
      <c r="X88" s="939"/>
      <c r="Y88" s="947"/>
      <c r="Z88" s="947"/>
      <c r="AA88" s="938"/>
      <c r="AB88" s="947"/>
      <c r="AC88" s="947"/>
      <c r="AD88" s="947"/>
      <c r="AE88" s="947"/>
      <c r="AF88" s="947"/>
      <c r="AG88" s="947"/>
      <c r="AH88" s="948"/>
      <c r="AI88" s="947"/>
      <c r="AJ88" s="947"/>
      <c r="AK88" s="947"/>
      <c r="AL88" s="947"/>
      <c r="AM88" s="947"/>
      <c r="AN88" s="947"/>
      <c r="AO88" s="947"/>
      <c r="AP88" s="938"/>
      <c r="AQ88" s="947"/>
      <c r="AR88" s="938"/>
      <c r="AS88" s="937"/>
      <c r="AT88" s="948"/>
      <c r="AU88" s="947"/>
      <c r="AV88" s="981"/>
      <c r="AW88" s="950"/>
      <c r="AX88" s="950"/>
      <c r="AY88" s="951"/>
      <c r="AZ88" s="950"/>
      <c r="BA88" s="952"/>
      <c r="BB88" s="967"/>
      <c r="BC88" s="968"/>
      <c r="BD88" s="955"/>
      <c r="BE88" s="955"/>
      <c r="BF88" s="955"/>
      <c r="BG88" s="955"/>
      <c r="BH88" s="955"/>
      <c r="BI88" s="969"/>
      <c r="BJ88" s="955"/>
      <c r="BK88" s="969"/>
      <c r="BL88" s="955"/>
      <c r="BM88" s="955"/>
      <c r="BN88" s="952"/>
      <c r="BO88" s="952"/>
      <c r="BP88" s="965"/>
      <c r="BQ88" s="961"/>
      <c r="BR88" s="960"/>
      <c r="BS88" s="961"/>
      <c r="BT88" s="962"/>
      <c r="BU88" s="962"/>
      <c r="BV88" s="963"/>
      <c r="BW88" s="963"/>
      <c r="BX88" s="963"/>
      <c r="BY88" s="963"/>
      <c r="BZ88" s="963"/>
      <c r="CA88" s="963"/>
      <c r="CB88" s="965"/>
      <c r="CC88" s="965"/>
    </row>
    <row r="89">
      <c r="A89" s="84"/>
      <c r="B89" s="84"/>
      <c r="C89" s="348"/>
      <c r="D89" s="348"/>
      <c r="E89" s="84"/>
      <c r="F89" s="84"/>
      <c r="G89" s="84"/>
      <c r="H89" s="84"/>
      <c r="I89" s="84"/>
      <c r="J89" s="947"/>
      <c r="K89" s="947"/>
      <c r="L89" s="947"/>
      <c r="M89" s="947"/>
      <c r="N89" s="947"/>
      <c r="O89" s="947"/>
      <c r="P89" s="947"/>
      <c r="Q89" s="947"/>
      <c r="R89" s="937"/>
      <c r="S89" s="937"/>
      <c r="T89" s="947"/>
      <c r="U89" s="947"/>
      <c r="V89" s="938"/>
      <c r="W89" s="947"/>
      <c r="X89" s="939"/>
      <c r="Y89" s="947"/>
      <c r="Z89" s="947"/>
      <c r="AA89" s="938"/>
      <c r="AB89" s="947"/>
      <c r="AC89" s="947"/>
      <c r="AD89" s="947"/>
      <c r="AE89" s="947"/>
      <c r="AF89" s="947"/>
      <c r="AG89" s="947"/>
      <c r="AH89" s="948"/>
      <c r="AI89" s="947"/>
      <c r="AJ89" s="947"/>
      <c r="AK89" s="947"/>
      <c r="AL89" s="947"/>
      <c r="AM89" s="947"/>
      <c r="AN89" s="947"/>
      <c r="AO89" s="947"/>
      <c r="AP89" s="938"/>
      <c r="AQ89" s="947"/>
      <c r="AR89" s="938"/>
      <c r="AS89" s="937"/>
      <c r="AT89" s="948"/>
      <c r="AU89" s="947"/>
      <c r="AV89" s="981"/>
      <c r="AW89" s="950"/>
      <c r="AX89" s="950"/>
      <c r="AY89" s="951"/>
      <c r="AZ89" s="950"/>
      <c r="BA89" s="952"/>
      <c r="BB89" s="967"/>
      <c r="BC89" s="968"/>
      <c r="BD89" s="955"/>
      <c r="BE89" s="955"/>
      <c r="BF89" s="955"/>
      <c r="BG89" s="955"/>
      <c r="BH89" s="955"/>
      <c r="BI89" s="969"/>
      <c r="BJ89" s="955"/>
      <c r="BK89" s="969"/>
      <c r="BL89" s="955"/>
      <c r="BM89" s="955"/>
      <c r="BN89" s="952"/>
      <c r="BO89" s="952"/>
      <c r="BP89" s="965"/>
      <c r="BQ89" s="961"/>
      <c r="BR89" s="960"/>
      <c r="BS89" s="961"/>
      <c r="BT89" s="962"/>
      <c r="BU89" s="962"/>
      <c r="BV89" s="963"/>
      <c r="BW89" s="963"/>
      <c r="BX89" s="963"/>
      <c r="BY89" s="963"/>
      <c r="BZ89" s="963"/>
      <c r="CA89" s="963"/>
      <c r="CB89" s="965"/>
      <c r="CC89" s="965"/>
    </row>
    <row r="90">
      <c r="A90" s="84"/>
      <c r="B90" s="84"/>
      <c r="C90" s="348"/>
      <c r="D90" s="348"/>
      <c r="E90" s="84"/>
      <c r="F90" s="84"/>
      <c r="G90" s="84"/>
      <c r="H90" s="84"/>
      <c r="I90" s="84"/>
      <c r="J90" s="947"/>
      <c r="K90" s="947"/>
      <c r="L90" s="947"/>
      <c r="M90" s="947"/>
      <c r="N90" s="947"/>
      <c r="O90" s="947"/>
      <c r="P90" s="947"/>
      <c r="Q90" s="947"/>
      <c r="R90" s="937"/>
      <c r="S90" s="937"/>
      <c r="T90" s="947"/>
      <c r="U90" s="947"/>
      <c r="V90" s="938"/>
      <c r="W90" s="947"/>
      <c r="X90" s="939"/>
      <c r="Y90" s="947"/>
      <c r="Z90" s="947"/>
      <c r="AA90" s="938"/>
      <c r="AB90" s="947"/>
      <c r="AC90" s="947"/>
      <c r="AD90" s="947"/>
      <c r="AE90" s="947"/>
      <c r="AF90" s="947"/>
      <c r="AG90" s="947"/>
      <c r="AH90" s="948"/>
      <c r="AI90" s="947"/>
      <c r="AJ90" s="947"/>
      <c r="AK90" s="947"/>
      <c r="AL90" s="947"/>
      <c r="AM90" s="947"/>
      <c r="AN90" s="947"/>
      <c r="AO90" s="947"/>
      <c r="AP90" s="938"/>
      <c r="AQ90" s="947"/>
      <c r="AR90" s="938"/>
      <c r="AS90" s="937"/>
      <c r="AT90" s="948"/>
      <c r="AU90" s="947"/>
      <c r="AV90" s="981"/>
      <c r="AW90" s="950"/>
      <c r="AX90" s="950"/>
      <c r="AY90" s="951"/>
      <c r="AZ90" s="950"/>
      <c r="BA90" s="952"/>
      <c r="BB90" s="967"/>
      <c r="BC90" s="968"/>
      <c r="BD90" s="955"/>
      <c r="BE90" s="955"/>
      <c r="BF90" s="955"/>
      <c r="BG90" s="955"/>
      <c r="BH90" s="955"/>
      <c r="BI90" s="969"/>
      <c r="BJ90" s="955"/>
      <c r="BK90" s="969"/>
      <c r="BL90" s="955"/>
      <c r="BM90" s="955"/>
      <c r="BN90" s="952"/>
      <c r="BO90" s="952"/>
      <c r="BP90" s="965"/>
      <c r="BQ90" s="961"/>
      <c r="BR90" s="960"/>
      <c r="BS90" s="961"/>
      <c r="BT90" s="962"/>
      <c r="BU90" s="962"/>
      <c r="BV90" s="963"/>
      <c r="BW90" s="963"/>
      <c r="BX90" s="963"/>
      <c r="BY90" s="963"/>
      <c r="BZ90" s="963"/>
      <c r="CA90" s="963"/>
      <c r="CB90" s="965"/>
      <c r="CC90" s="965"/>
    </row>
    <row r="91">
      <c r="A91" s="84"/>
      <c r="B91" s="84"/>
      <c r="C91" s="348"/>
      <c r="D91" s="348"/>
      <c r="E91" s="84"/>
      <c r="F91" s="84"/>
      <c r="G91" s="84"/>
      <c r="H91" s="84"/>
      <c r="I91" s="84"/>
      <c r="J91" s="947"/>
      <c r="K91" s="947"/>
      <c r="L91" s="947"/>
      <c r="M91" s="947"/>
      <c r="N91" s="947"/>
      <c r="O91" s="947"/>
      <c r="P91" s="947"/>
      <c r="Q91" s="947"/>
      <c r="R91" s="937"/>
      <c r="S91" s="937"/>
      <c r="T91" s="947"/>
      <c r="U91" s="947"/>
      <c r="V91" s="938"/>
      <c r="W91" s="947"/>
      <c r="X91" s="939"/>
      <c r="Y91" s="947"/>
      <c r="Z91" s="947"/>
      <c r="AA91" s="938"/>
      <c r="AB91" s="947"/>
      <c r="AC91" s="947"/>
      <c r="AD91" s="947"/>
      <c r="AE91" s="947"/>
      <c r="AF91" s="947"/>
      <c r="AG91" s="947"/>
      <c r="AH91" s="948"/>
      <c r="AI91" s="947"/>
      <c r="AJ91" s="947"/>
      <c r="AK91" s="947"/>
      <c r="AL91" s="947"/>
      <c r="AM91" s="947"/>
      <c r="AN91" s="947"/>
      <c r="AO91" s="947"/>
      <c r="AP91" s="938"/>
      <c r="AQ91" s="947"/>
      <c r="AR91" s="938"/>
      <c r="AS91" s="937"/>
      <c r="AT91" s="948"/>
      <c r="AU91" s="947"/>
      <c r="AV91" s="981"/>
      <c r="AW91" s="950"/>
      <c r="AX91" s="950"/>
      <c r="AY91" s="951"/>
      <c r="AZ91" s="950"/>
      <c r="BA91" s="952"/>
      <c r="BB91" s="967"/>
      <c r="BC91" s="968"/>
      <c r="BD91" s="955"/>
      <c r="BE91" s="955"/>
      <c r="BF91" s="955"/>
      <c r="BG91" s="955"/>
      <c r="BH91" s="955"/>
      <c r="BI91" s="969"/>
      <c r="BJ91" s="955"/>
      <c r="BK91" s="969"/>
      <c r="BL91" s="955"/>
      <c r="BM91" s="955"/>
      <c r="BN91" s="952"/>
      <c r="BO91" s="952"/>
      <c r="BP91" s="965"/>
      <c r="BQ91" s="961"/>
      <c r="BR91" s="960"/>
      <c r="BS91" s="961"/>
      <c r="BT91" s="962"/>
      <c r="BU91" s="962"/>
      <c r="BV91" s="963"/>
      <c r="BW91" s="963"/>
      <c r="BX91" s="963"/>
      <c r="BY91" s="963"/>
      <c r="BZ91" s="963"/>
      <c r="CA91" s="963"/>
      <c r="CB91" s="965"/>
      <c r="CC91" s="965"/>
    </row>
    <row r="92">
      <c r="A92" s="84"/>
      <c r="B92" s="84"/>
      <c r="C92" s="348"/>
      <c r="D92" s="348"/>
      <c r="E92" s="84"/>
      <c r="F92" s="84"/>
      <c r="G92" s="84"/>
      <c r="H92" s="84"/>
      <c r="I92" s="84"/>
      <c r="J92" s="947"/>
      <c r="K92" s="947"/>
      <c r="L92" s="947"/>
      <c r="M92" s="947"/>
      <c r="N92" s="947"/>
      <c r="O92" s="947"/>
      <c r="P92" s="947"/>
      <c r="Q92" s="947"/>
      <c r="R92" s="937"/>
      <c r="S92" s="937"/>
      <c r="T92" s="947"/>
      <c r="U92" s="947"/>
      <c r="V92" s="938"/>
      <c r="W92" s="947"/>
      <c r="X92" s="939"/>
      <c r="Y92" s="947"/>
      <c r="Z92" s="947"/>
      <c r="AA92" s="938"/>
      <c r="AB92" s="947"/>
      <c r="AC92" s="947"/>
      <c r="AD92" s="947"/>
      <c r="AE92" s="947"/>
      <c r="AF92" s="947"/>
      <c r="AG92" s="947"/>
      <c r="AH92" s="948"/>
      <c r="AI92" s="947"/>
      <c r="AJ92" s="947"/>
      <c r="AK92" s="947"/>
      <c r="AL92" s="947"/>
      <c r="AM92" s="947"/>
      <c r="AN92" s="947"/>
      <c r="AO92" s="947"/>
      <c r="AP92" s="947"/>
      <c r="AQ92" s="947"/>
      <c r="AR92" s="938"/>
      <c r="AS92" s="937"/>
      <c r="AT92" s="948"/>
      <c r="AU92" s="947"/>
      <c r="AV92" s="981"/>
      <c r="AW92" s="950"/>
      <c r="AX92" s="950"/>
      <c r="AY92" s="951"/>
      <c r="AZ92" s="950"/>
      <c r="BA92" s="952"/>
      <c r="BB92" s="967"/>
      <c r="BC92" s="968"/>
      <c r="BD92" s="955"/>
      <c r="BE92" s="955"/>
      <c r="BF92" s="955"/>
      <c r="BG92" s="955"/>
      <c r="BH92" s="955"/>
      <c r="BI92" s="969"/>
      <c r="BJ92" s="955"/>
      <c r="BK92" s="969"/>
      <c r="BL92" s="955"/>
      <c r="BM92" s="955"/>
      <c r="BN92" s="952"/>
      <c r="BO92" s="952"/>
      <c r="BP92" s="965"/>
      <c r="BQ92" s="961"/>
      <c r="BR92" s="960"/>
      <c r="BS92" s="961"/>
      <c r="BT92" s="962"/>
      <c r="BU92" s="962"/>
      <c r="BV92" s="963"/>
      <c r="BW92" s="963"/>
      <c r="BX92" s="963"/>
      <c r="BY92" s="963"/>
      <c r="BZ92" s="963"/>
      <c r="CA92" s="963"/>
      <c r="CB92" s="965"/>
      <c r="CC92" s="965"/>
    </row>
    <row r="93">
      <c r="A93" s="84"/>
      <c r="B93" s="84"/>
      <c r="C93" s="348"/>
      <c r="D93" s="348"/>
      <c r="E93" s="84"/>
      <c r="F93" s="84"/>
      <c r="G93" s="84"/>
      <c r="H93" s="84"/>
      <c r="I93" s="84"/>
      <c r="J93" s="947"/>
      <c r="K93" s="947"/>
      <c r="L93" s="947"/>
      <c r="M93" s="947"/>
      <c r="N93" s="947"/>
      <c r="O93" s="947"/>
      <c r="P93" s="947"/>
      <c r="Q93" s="947"/>
      <c r="R93" s="937"/>
      <c r="S93" s="937"/>
      <c r="T93" s="947"/>
      <c r="U93" s="947"/>
      <c r="V93" s="938"/>
      <c r="W93" s="947"/>
      <c r="X93" s="939"/>
      <c r="Y93" s="947"/>
      <c r="Z93" s="947"/>
      <c r="AA93" s="938"/>
      <c r="AB93" s="947"/>
      <c r="AC93" s="947"/>
      <c r="AD93" s="947"/>
      <c r="AE93" s="947"/>
      <c r="AF93" s="947"/>
      <c r="AG93" s="947"/>
      <c r="AH93" s="948"/>
      <c r="AI93" s="947"/>
      <c r="AJ93" s="947"/>
      <c r="AK93" s="947"/>
      <c r="AL93" s="947"/>
      <c r="AM93" s="947"/>
      <c r="AN93" s="947"/>
      <c r="AO93" s="947"/>
      <c r="AP93" s="947"/>
      <c r="AQ93" s="947"/>
      <c r="AR93" s="938"/>
      <c r="AS93" s="937"/>
      <c r="AT93" s="948"/>
      <c r="AU93" s="947"/>
      <c r="AV93" s="981"/>
      <c r="AW93" s="950"/>
      <c r="AX93" s="950"/>
      <c r="AY93" s="951"/>
      <c r="AZ93" s="950"/>
      <c r="BA93" s="952"/>
      <c r="BB93" s="967"/>
      <c r="BC93" s="968"/>
      <c r="BD93" s="955"/>
      <c r="BE93" s="955"/>
      <c r="BF93" s="955"/>
      <c r="BG93" s="955"/>
      <c r="BH93" s="955"/>
      <c r="BI93" s="969"/>
      <c r="BJ93" s="955"/>
      <c r="BK93" s="969"/>
      <c r="BL93" s="955"/>
      <c r="BM93" s="955"/>
      <c r="BN93" s="952"/>
      <c r="BO93" s="952"/>
      <c r="BP93" s="965"/>
      <c r="BQ93" s="961"/>
      <c r="BR93" s="960"/>
      <c r="BS93" s="961"/>
      <c r="BT93" s="962"/>
      <c r="BU93" s="962"/>
      <c r="BV93" s="963"/>
      <c r="BW93" s="963"/>
      <c r="BX93" s="963"/>
      <c r="BY93" s="963"/>
      <c r="BZ93" s="963"/>
      <c r="CA93" s="963"/>
      <c r="CB93" s="965"/>
      <c r="CC93" s="965"/>
    </row>
    <row r="94">
      <c r="A94" s="84"/>
      <c r="B94" s="84"/>
      <c r="C94" s="348"/>
      <c r="D94" s="348"/>
      <c r="E94" s="84"/>
      <c r="F94" s="84"/>
      <c r="G94" s="84"/>
      <c r="H94" s="84"/>
      <c r="I94" s="84"/>
      <c r="J94" s="947"/>
      <c r="K94" s="947"/>
      <c r="L94" s="947"/>
      <c r="M94" s="947"/>
      <c r="N94" s="947"/>
      <c r="O94" s="947"/>
      <c r="P94" s="947"/>
      <c r="Q94" s="947"/>
      <c r="R94" s="937"/>
      <c r="S94" s="937"/>
      <c r="T94" s="947"/>
      <c r="U94" s="947"/>
      <c r="V94" s="938"/>
      <c r="W94" s="947"/>
      <c r="X94" s="939"/>
      <c r="Y94" s="947"/>
      <c r="Z94" s="947"/>
      <c r="AA94" s="938"/>
      <c r="AB94" s="947"/>
      <c r="AC94" s="947"/>
      <c r="AD94" s="947"/>
      <c r="AE94" s="947"/>
      <c r="AF94" s="947"/>
      <c r="AG94" s="947"/>
      <c r="AH94" s="948"/>
      <c r="AI94" s="947"/>
      <c r="AJ94" s="947"/>
      <c r="AK94" s="947"/>
      <c r="AL94" s="947"/>
      <c r="AM94" s="947"/>
      <c r="AN94" s="947"/>
      <c r="AO94" s="947"/>
      <c r="AP94" s="947"/>
      <c r="AQ94" s="947"/>
      <c r="AR94" s="938"/>
      <c r="AS94" s="937"/>
      <c r="AT94" s="948"/>
      <c r="AU94" s="947"/>
      <c r="AV94" s="981"/>
      <c r="AW94" s="950"/>
      <c r="AX94" s="950"/>
      <c r="AY94" s="951"/>
      <c r="AZ94" s="950"/>
      <c r="BA94" s="952"/>
      <c r="BB94" s="967"/>
      <c r="BC94" s="968"/>
      <c r="BD94" s="955"/>
      <c r="BE94" s="955"/>
      <c r="BF94" s="955"/>
      <c r="BG94" s="955"/>
      <c r="BH94" s="955"/>
      <c r="BI94" s="969"/>
      <c r="BJ94" s="955"/>
      <c r="BK94" s="969"/>
      <c r="BL94" s="955"/>
      <c r="BM94" s="955"/>
      <c r="BN94" s="952"/>
      <c r="BO94" s="952"/>
      <c r="BP94" s="965"/>
      <c r="BQ94" s="961"/>
      <c r="BR94" s="960"/>
      <c r="BS94" s="961"/>
      <c r="BT94" s="962"/>
      <c r="BU94" s="962"/>
      <c r="BV94" s="963"/>
      <c r="BW94" s="963"/>
      <c r="BX94" s="963"/>
      <c r="BY94" s="963"/>
      <c r="BZ94" s="963"/>
      <c r="CA94" s="963"/>
      <c r="CB94" s="965"/>
      <c r="CC94" s="965"/>
    </row>
    <row r="95">
      <c r="A95" s="84"/>
      <c r="B95" s="84"/>
      <c r="C95" s="348"/>
      <c r="D95" s="348"/>
      <c r="E95" s="84"/>
      <c r="F95" s="84"/>
      <c r="G95" s="84"/>
      <c r="H95" s="84"/>
      <c r="I95" s="84"/>
      <c r="J95" s="947"/>
      <c r="K95" s="947"/>
      <c r="L95" s="947"/>
      <c r="M95" s="947"/>
      <c r="N95" s="947"/>
      <c r="O95" s="947"/>
      <c r="P95" s="947"/>
      <c r="Q95" s="947"/>
      <c r="R95" s="937"/>
      <c r="S95" s="937"/>
      <c r="T95" s="947"/>
      <c r="U95" s="947"/>
      <c r="V95" s="938"/>
      <c r="W95" s="947"/>
      <c r="X95" s="939"/>
      <c r="Y95" s="947"/>
      <c r="Z95" s="947"/>
      <c r="AA95" s="938"/>
      <c r="AB95" s="947"/>
      <c r="AC95" s="947"/>
      <c r="AD95" s="947"/>
      <c r="AE95" s="947"/>
      <c r="AF95" s="947"/>
      <c r="AG95" s="947"/>
      <c r="AH95" s="948"/>
      <c r="AI95" s="947"/>
      <c r="AJ95" s="947"/>
      <c r="AK95" s="947"/>
      <c r="AL95" s="947"/>
      <c r="AM95" s="947"/>
      <c r="AN95" s="947"/>
      <c r="AO95" s="947"/>
      <c r="AP95" s="947"/>
      <c r="AQ95" s="947"/>
      <c r="AR95" s="938"/>
      <c r="AS95" s="937"/>
      <c r="AT95" s="948"/>
      <c r="AU95" s="947"/>
      <c r="AV95" s="981"/>
      <c r="AW95" s="950"/>
      <c r="AX95" s="950"/>
      <c r="AY95" s="951"/>
      <c r="AZ95" s="950"/>
      <c r="BA95" s="952"/>
      <c r="BB95" s="967"/>
      <c r="BC95" s="968"/>
      <c r="BD95" s="955"/>
      <c r="BE95" s="955"/>
      <c r="BF95" s="955"/>
      <c r="BG95" s="955"/>
      <c r="BH95" s="955"/>
      <c r="BI95" s="969"/>
      <c r="BJ95" s="955"/>
      <c r="BK95" s="969"/>
      <c r="BL95" s="955"/>
      <c r="BM95" s="955"/>
      <c r="BN95" s="952"/>
      <c r="BO95" s="952"/>
      <c r="BP95" s="965"/>
      <c r="BQ95" s="961"/>
      <c r="BR95" s="960"/>
      <c r="BS95" s="961"/>
      <c r="BT95" s="962"/>
      <c r="BU95" s="962"/>
      <c r="BV95" s="963"/>
      <c r="BW95" s="963"/>
      <c r="BX95" s="963"/>
      <c r="BY95" s="963"/>
      <c r="BZ95" s="963"/>
      <c r="CA95" s="963"/>
      <c r="CB95" s="965"/>
      <c r="CC95" s="965"/>
    </row>
    <row r="96">
      <c r="A96" s="84"/>
      <c r="B96" s="84"/>
      <c r="C96" s="348"/>
      <c r="D96" s="348"/>
      <c r="E96" s="84"/>
      <c r="F96" s="84"/>
      <c r="G96" s="84"/>
      <c r="H96" s="84"/>
      <c r="I96" s="84"/>
      <c r="J96" s="947"/>
      <c r="K96" s="947"/>
      <c r="L96" s="947"/>
      <c r="M96" s="947"/>
      <c r="N96" s="947"/>
      <c r="O96" s="947"/>
      <c r="P96" s="947"/>
      <c r="Q96" s="947"/>
      <c r="R96" s="937"/>
      <c r="S96" s="937"/>
      <c r="T96" s="947"/>
      <c r="U96" s="947"/>
      <c r="V96" s="938"/>
      <c r="W96" s="947"/>
      <c r="X96" s="939"/>
      <c r="Y96" s="947"/>
      <c r="Z96" s="947"/>
      <c r="AA96" s="938"/>
      <c r="AB96" s="947"/>
      <c r="AC96" s="947"/>
      <c r="AD96" s="947"/>
      <c r="AE96" s="947"/>
      <c r="AF96" s="947"/>
      <c r="AG96" s="947"/>
      <c r="AH96" s="948"/>
      <c r="AI96" s="947"/>
      <c r="AJ96" s="947"/>
      <c r="AK96" s="947"/>
      <c r="AL96" s="947"/>
      <c r="AM96" s="947"/>
      <c r="AN96" s="947"/>
      <c r="AO96" s="947"/>
      <c r="AP96" s="947"/>
      <c r="AQ96" s="947"/>
      <c r="AR96" s="938"/>
      <c r="AS96" s="937"/>
      <c r="AT96" s="948"/>
      <c r="AU96" s="947"/>
      <c r="AV96" s="981"/>
      <c r="AW96" s="950"/>
      <c r="AX96" s="950"/>
      <c r="AY96" s="951"/>
      <c r="AZ96" s="950"/>
      <c r="BA96" s="952"/>
      <c r="BB96" s="967"/>
      <c r="BC96" s="968"/>
      <c r="BD96" s="955"/>
      <c r="BE96" s="955"/>
      <c r="BF96" s="955"/>
      <c r="BG96" s="955"/>
      <c r="BH96" s="955"/>
      <c r="BI96" s="969"/>
      <c r="BJ96" s="955"/>
      <c r="BK96" s="969"/>
      <c r="BL96" s="955"/>
      <c r="BM96" s="955"/>
      <c r="BN96" s="952"/>
      <c r="BO96" s="952"/>
      <c r="BP96" s="965"/>
      <c r="BQ96" s="961"/>
      <c r="BR96" s="960"/>
      <c r="BS96" s="961"/>
      <c r="BT96" s="962"/>
      <c r="BU96" s="962"/>
      <c r="BV96" s="963"/>
      <c r="BW96" s="963"/>
      <c r="BX96" s="963"/>
      <c r="BY96" s="963"/>
      <c r="BZ96" s="963"/>
      <c r="CA96" s="963"/>
      <c r="CB96" s="965"/>
      <c r="CC96" s="965"/>
    </row>
    <row r="97">
      <c r="A97" s="84"/>
      <c r="B97" s="84"/>
      <c r="C97" s="348"/>
      <c r="D97" s="348"/>
      <c r="E97" s="84"/>
      <c r="F97" s="84"/>
      <c r="G97" s="84"/>
      <c r="H97" s="84"/>
      <c r="I97" s="84"/>
      <c r="J97" s="947"/>
      <c r="K97" s="947"/>
      <c r="L97" s="947"/>
      <c r="M97" s="947"/>
      <c r="N97" s="947"/>
      <c r="O97" s="947"/>
      <c r="P97" s="947"/>
      <c r="Q97" s="947"/>
      <c r="R97" s="937"/>
      <c r="S97" s="937"/>
      <c r="T97" s="947"/>
      <c r="U97" s="947"/>
      <c r="V97" s="938"/>
      <c r="W97" s="947"/>
      <c r="X97" s="939"/>
      <c r="Y97" s="947"/>
      <c r="Z97" s="947"/>
      <c r="AA97" s="938"/>
      <c r="AB97" s="947"/>
      <c r="AC97" s="947"/>
      <c r="AD97" s="947"/>
      <c r="AE97" s="947"/>
      <c r="AF97" s="947"/>
      <c r="AG97" s="947"/>
      <c r="AH97" s="948"/>
      <c r="AI97" s="947"/>
      <c r="AJ97" s="947"/>
      <c r="AK97" s="947"/>
      <c r="AL97" s="947"/>
      <c r="AM97" s="947"/>
      <c r="AN97" s="947"/>
      <c r="AO97" s="947"/>
      <c r="AP97" s="947"/>
      <c r="AQ97" s="947"/>
      <c r="AR97" s="938"/>
      <c r="AS97" s="937"/>
      <c r="AT97" s="948"/>
      <c r="AU97" s="947"/>
      <c r="AV97" s="981"/>
      <c r="AW97" s="950"/>
      <c r="AX97" s="950"/>
      <c r="AY97" s="951"/>
      <c r="AZ97" s="950"/>
      <c r="BA97" s="952"/>
      <c r="BB97" s="967"/>
      <c r="BC97" s="968"/>
      <c r="BD97" s="955"/>
      <c r="BE97" s="955"/>
      <c r="BF97" s="955"/>
      <c r="BG97" s="955"/>
      <c r="BH97" s="955"/>
      <c r="BI97" s="969"/>
      <c r="BJ97" s="955"/>
      <c r="BK97" s="969"/>
      <c r="BL97" s="955"/>
      <c r="BM97" s="955"/>
      <c r="BN97" s="952"/>
      <c r="BO97" s="952"/>
      <c r="BP97" s="965"/>
      <c r="BQ97" s="961"/>
      <c r="BR97" s="960"/>
      <c r="BS97" s="961"/>
      <c r="BT97" s="962"/>
      <c r="BU97" s="962"/>
      <c r="BV97" s="963"/>
      <c r="BW97" s="963"/>
      <c r="BX97" s="963"/>
      <c r="BY97" s="963"/>
      <c r="BZ97" s="963"/>
      <c r="CA97" s="963"/>
      <c r="CB97" s="965"/>
      <c r="CC97" s="965"/>
    </row>
    <row r="98">
      <c r="A98" s="84"/>
      <c r="B98" s="84"/>
      <c r="C98" s="348"/>
      <c r="D98" s="348"/>
      <c r="E98" s="84"/>
      <c r="F98" s="84"/>
      <c r="G98" s="84"/>
      <c r="H98" s="84"/>
      <c r="I98" s="84"/>
      <c r="J98" s="947"/>
      <c r="K98" s="947"/>
      <c r="L98" s="947"/>
      <c r="M98" s="947"/>
      <c r="N98" s="947"/>
      <c r="O98" s="947"/>
      <c r="P98" s="947"/>
      <c r="Q98" s="947"/>
      <c r="R98" s="937"/>
      <c r="S98" s="937"/>
      <c r="T98" s="947"/>
      <c r="U98" s="947"/>
      <c r="V98" s="938"/>
      <c r="W98" s="947"/>
      <c r="X98" s="939"/>
      <c r="Y98" s="947"/>
      <c r="Z98" s="947"/>
      <c r="AA98" s="938"/>
      <c r="AB98" s="947"/>
      <c r="AC98" s="947"/>
      <c r="AD98" s="947"/>
      <c r="AE98" s="947"/>
      <c r="AF98" s="947"/>
      <c r="AG98" s="947"/>
      <c r="AH98" s="948"/>
      <c r="AI98" s="947"/>
      <c r="AJ98" s="947"/>
      <c r="AK98" s="947"/>
      <c r="AL98" s="947"/>
      <c r="AM98" s="947"/>
      <c r="AN98" s="947"/>
      <c r="AO98" s="947"/>
      <c r="AP98" s="947"/>
      <c r="AQ98" s="947"/>
      <c r="AR98" s="938"/>
      <c r="AS98" s="937"/>
      <c r="AT98" s="948"/>
      <c r="AU98" s="947"/>
      <c r="AV98" s="981"/>
      <c r="AW98" s="950"/>
      <c r="AX98" s="950"/>
      <c r="AY98" s="951"/>
      <c r="AZ98" s="950"/>
      <c r="BA98" s="952"/>
      <c r="BB98" s="967"/>
      <c r="BC98" s="968"/>
      <c r="BD98" s="955"/>
      <c r="BE98" s="955"/>
      <c r="BF98" s="955"/>
      <c r="BG98" s="955"/>
      <c r="BH98" s="955"/>
      <c r="BI98" s="969"/>
      <c r="BJ98" s="955"/>
      <c r="BK98" s="969"/>
      <c r="BL98" s="955"/>
      <c r="BM98" s="955"/>
      <c r="BN98" s="952"/>
      <c r="BO98" s="952"/>
      <c r="BP98" s="965"/>
      <c r="BQ98" s="961"/>
      <c r="BR98" s="960"/>
      <c r="BS98" s="961"/>
      <c r="BT98" s="962"/>
      <c r="BU98" s="962"/>
      <c r="BV98" s="963"/>
      <c r="BW98" s="963"/>
      <c r="BX98" s="963"/>
      <c r="BY98" s="963"/>
      <c r="BZ98" s="963"/>
      <c r="CA98" s="963"/>
      <c r="CB98" s="965"/>
      <c r="CC98" s="965"/>
    </row>
    <row r="99">
      <c r="A99" s="84"/>
      <c r="B99" s="84"/>
      <c r="C99" s="348"/>
      <c r="D99" s="348"/>
      <c r="E99" s="84"/>
      <c r="F99" s="84"/>
      <c r="G99" s="84"/>
      <c r="H99" s="84"/>
      <c r="I99" s="84"/>
      <c r="J99" s="947"/>
      <c r="K99" s="947"/>
      <c r="L99" s="947"/>
      <c r="M99" s="947"/>
      <c r="N99" s="947"/>
      <c r="O99" s="947"/>
      <c r="P99" s="947"/>
      <c r="Q99" s="947"/>
      <c r="R99" s="937"/>
      <c r="S99" s="937"/>
      <c r="T99" s="947"/>
      <c r="U99" s="947"/>
      <c r="V99" s="938"/>
      <c r="W99" s="947"/>
      <c r="X99" s="939"/>
      <c r="Y99" s="947"/>
      <c r="Z99" s="947"/>
      <c r="AA99" s="938"/>
      <c r="AB99" s="947"/>
      <c r="AC99" s="947"/>
      <c r="AD99" s="947"/>
      <c r="AE99" s="947"/>
      <c r="AF99" s="947"/>
      <c r="AG99" s="947"/>
      <c r="AH99" s="948"/>
      <c r="AI99" s="947"/>
      <c r="AJ99" s="947"/>
      <c r="AK99" s="947"/>
      <c r="AL99" s="947"/>
      <c r="AM99" s="947"/>
      <c r="AN99" s="947"/>
      <c r="AO99" s="947"/>
      <c r="AP99" s="947"/>
      <c r="AQ99" s="947"/>
      <c r="AR99" s="938"/>
      <c r="AS99" s="937"/>
      <c r="AT99" s="948"/>
      <c r="AU99" s="947"/>
      <c r="AV99" s="981"/>
      <c r="AW99" s="950"/>
      <c r="AX99" s="950"/>
      <c r="AY99" s="951"/>
      <c r="AZ99" s="950"/>
      <c r="BA99" s="952"/>
      <c r="BB99" s="967"/>
      <c r="BC99" s="968"/>
      <c r="BD99" s="955"/>
      <c r="BE99" s="955"/>
      <c r="BF99" s="955"/>
      <c r="BG99" s="955"/>
      <c r="BH99" s="955"/>
      <c r="BI99" s="969"/>
      <c r="BJ99" s="955"/>
      <c r="BK99" s="969"/>
      <c r="BL99" s="955"/>
      <c r="BM99" s="955"/>
      <c r="BN99" s="952"/>
      <c r="BO99" s="952"/>
      <c r="BP99" s="965"/>
      <c r="BQ99" s="961"/>
      <c r="BR99" s="960"/>
      <c r="BS99" s="961"/>
      <c r="BT99" s="962"/>
      <c r="BU99" s="962"/>
      <c r="BV99" s="963"/>
      <c r="BW99" s="963"/>
      <c r="BX99" s="963"/>
      <c r="BY99" s="963"/>
      <c r="BZ99" s="963"/>
      <c r="CA99" s="963"/>
      <c r="CB99" s="965"/>
      <c r="CC99" s="965"/>
    </row>
    <row r="100">
      <c r="A100" s="84"/>
      <c r="B100" s="84"/>
      <c r="C100" s="348"/>
      <c r="D100" s="348"/>
      <c r="E100" s="84"/>
      <c r="F100" s="84"/>
      <c r="G100" s="84"/>
      <c r="H100" s="84"/>
      <c r="I100" s="84"/>
      <c r="J100" s="947"/>
      <c r="K100" s="947"/>
      <c r="L100" s="947"/>
      <c r="M100" s="947"/>
      <c r="N100" s="947"/>
      <c r="O100" s="947"/>
      <c r="P100" s="947"/>
      <c r="Q100" s="947"/>
      <c r="R100" s="937"/>
      <c r="S100" s="937"/>
      <c r="T100" s="947"/>
      <c r="U100" s="947"/>
      <c r="V100" s="938"/>
      <c r="W100" s="947"/>
      <c r="X100" s="939"/>
      <c r="Y100" s="947"/>
      <c r="Z100" s="947"/>
      <c r="AA100" s="938"/>
      <c r="AB100" s="947"/>
      <c r="AC100" s="947"/>
      <c r="AD100" s="947"/>
      <c r="AE100" s="947"/>
      <c r="AF100" s="947"/>
      <c r="AG100" s="947"/>
      <c r="AH100" s="948"/>
      <c r="AI100" s="947"/>
      <c r="AJ100" s="947"/>
      <c r="AK100" s="947"/>
      <c r="AL100" s="947"/>
      <c r="AM100" s="947"/>
      <c r="AN100" s="947"/>
      <c r="AO100" s="947"/>
      <c r="AP100" s="947"/>
      <c r="AQ100" s="947"/>
      <c r="AR100" s="938"/>
      <c r="AS100" s="937"/>
      <c r="AT100" s="948"/>
      <c r="AU100" s="947"/>
      <c r="AV100" s="981"/>
      <c r="AW100" s="950"/>
      <c r="AX100" s="950"/>
      <c r="AY100" s="951"/>
      <c r="AZ100" s="950"/>
      <c r="BA100" s="952"/>
      <c r="BB100" s="967"/>
      <c r="BC100" s="968"/>
      <c r="BD100" s="955"/>
      <c r="BE100" s="955"/>
      <c r="BF100" s="955"/>
      <c r="BG100" s="955"/>
      <c r="BH100" s="955"/>
      <c r="BI100" s="969"/>
      <c r="BJ100" s="955"/>
      <c r="BK100" s="969"/>
      <c r="BL100" s="955"/>
      <c r="BM100" s="955"/>
      <c r="BN100" s="952"/>
      <c r="BO100" s="952"/>
      <c r="BP100" s="965"/>
      <c r="BQ100" s="961"/>
      <c r="BR100" s="960"/>
      <c r="BS100" s="961"/>
      <c r="BT100" s="962"/>
      <c r="BU100" s="962"/>
      <c r="BV100" s="963"/>
      <c r="BW100" s="963"/>
      <c r="BX100" s="963"/>
      <c r="BY100" s="963"/>
      <c r="BZ100" s="963"/>
      <c r="CA100" s="963"/>
      <c r="CB100" s="965"/>
      <c r="CC100" s="965"/>
    </row>
    <row r="101">
      <c r="A101" s="84"/>
      <c r="B101" s="84"/>
      <c r="C101" s="348"/>
      <c r="D101" s="348"/>
      <c r="E101" s="84"/>
      <c r="F101" s="84"/>
      <c r="G101" s="84"/>
      <c r="H101" s="84"/>
      <c r="I101" s="84"/>
      <c r="J101" s="947"/>
      <c r="K101" s="947"/>
      <c r="L101" s="947"/>
      <c r="M101" s="947"/>
      <c r="N101" s="947"/>
      <c r="O101" s="947"/>
      <c r="P101" s="947"/>
      <c r="Q101" s="947"/>
      <c r="R101" s="937"/>
      <c r="S101" s="937"/>
      <c r="T101" s="947"/>
      <c r="U101" s="947"/>
      <c r="V101" s="938"/>
      <c r="W101" s="947"/>
      <c r="X101" s="939"/>
      <c r="Y101" s="947"/>
      <c r="Z101" s="947"/>
      <c r="AA101" s="938"/>
      <c r="AB101" s="947"/>
      <c r="AC101" s="947"/>
      <c r="AD101" s="947"/>
      <c r="AE101" s="947"/>
      <c r="AF101" s="947"/>
      <c r="AG101" s="947"/>
      <c r="AH101" s="948"/>
      <c r="AI101" s="947"/>
      <c r="AJ101" s="947"/>
      <c r="AK101" s="947"/>
      <c r="AL101" s="947"/>
      <c r="AM101" s="947"/>
      <c r="AN101" s="947"/>
      <c r="AO101" s="947"/>
      <c r="AP101" s="947"/>
      <c r="AQ101" s="947"/>
      <c r="AR101" s="938"/>
      <c r="AS101" s="937"/>
      <c r="AT101" s="948"/>
      <c r="AU101" s="947"/>
      <c r="AV101" s="981"/>
      <c r="AW101" s="950"/>
      <c r="AX101" s="950"/>
      <c r="AY101" s="951"/>
      <c r="AZ101" s="950"/>
      <c r="BA101" s="952"/>
      <c r="BB101" s="967"/>
      <c r="BC101" s="968"/>
      <c r="BD101" s="955"/>
      <c r="BE101" s="955"/>
      <c r="BF101" s="955"/>
      <c r="BG101" s="955"/>
      <c r="BH101" s="955"/>
      <c r="BI101" s="969"/>
      <c r="BJ101" s="955"/>
      <c r="BK101" s="969"/>
      <c r="BL101" s="955"/>
      <c r="BM101" s="955"/>
      <c r="BN101" s="952"/>
      <c r="BO101" s="952"/>
      <c r="BP101" s="965"/>
      <c r="BQ101" s="961"/>
      <c r="BR101" s="960"/>
      <c r="BS101" s="961"/>
      <c r="BT101" s="962"/>
      <c r="BU101" s="962"/>
      <c r="BV101" s="963"/>
      <c r="BW101" s="963"/>
      <c r="BX101" s="963"/>
      <c r="BY101" s="963"/>
      <c r="BZ101" s="963"/>
      <c r="CA101" s="963"/>
      <c r="CB101" s="965"/>
      <c r="CC101" s="965"/>
    </row>
    <row r="102">
      <c r="A102" s="84"/>
      <c r="B102" s="84"/>
      <c r="C102" s="348"/>
      <c r="D102" s="348"/>
      <c r="E102" s="84"/>
      <c r="F102" s="84"/>
      <c r="G102" s="84"/>
      <c r="H102" s="84"/>
      <c r="I102" s="84"/>
      <c r="J102" s="947"/>
      <c r="K102" s="947"/>
      <c r="L102" s="947"/>
      <c r="M102" s="947"/>
      <c r="N102" s="947"/>
      <c r="O102" s="947"/>
      <c r="P102" s="947"/>
      <c r="Q102" s="947"/>
      <c r="R102" s="937"/>
      <c r="S102" s="937"/>
      <c r="T102" s="947"/>
      <c r="U102" s="947"/>
      <c r="V102" s="938"/>
      <c r="W102" s="947"/>
      <c r="X102" s="939"/>
      <c r="Y102" s="947"/>
      <c r="Z102" s="947"/>
      <c r="AA102" s="938"/>
      <c r="AB102" s="947"/>
      <c r="AC102" s="947"/>
      <c r="AD102" s="947"/>
      <c r="AE102" s="947"/>
      <c r="AF102" s="947"/>
      <c r="AG102" s="947"/>
      <c r="AH102" s="948"/>
      <c r="AI102" s="947"/>
      <c r="AJ102" s="947"/>
      <c r="AK102" s="947"/>
      <c r="AL102" s="947"/>
      <c r="AM102" s="947"/>
      <c r="AN102" s="947"/>
      <c r="AO102" s="947"/>
      <c r="AP102" s="947"/>
      <c r="AQ102" s="947"/>
      <c r="AR102" s="938"/>
      <c r="AS102" s="937"/>
      <c r="AT102" s="948"/>
      <c r="AU102" s="947"/>
      <c r="AV102" s="981"/>
      <c r="AW102" s="950"/>
      <c r="AX102" s="950"/>
      <c r="AY102" s="951"/>
      <c r="AZ102" s="950"/>
      <c r="BA102" s="952"/>
      <c r="BB102" s="967"/>
      <c r="BC102" s="968"/>
      <c r="BD102" s="955"/>
      <c r="BE102" s="955"/>
      <c r="BF102" s="955"/>
      <c r="BG102" s="955"/>
      <c r="BH102" s="955"/>
      <c r="BI102" s="969"/>
      <c r="BJ102" s="955"/>
      <c r="BK102" s="969"/>
      <c r="BL102" s="955"/>
      <c r="BM102" s="955"/>
      <c r="BN102" s="952"/>
      <c r="BO102" s="952"/>
      <c r="BP102" s="965"/>
      <c r="BQ102" s="961"/>
      <c r="BR102" s="960"/>
      <c r="BS102" s="961"/>
      <c r="BT102" s="962"/>
      <c r="BU102" s="962"/>
      <c r="BV102" s="963"/>
      <c r="BW102" s="963"/>
      <c r="BX102" s="963"/>
      <c r="BY102" s="963"/>
      <c r="BZ102" s="963"/>
      <c r="CA102" s="963"/>
      <c r="CB102" s="965"/>
      <c r="CC102" s="965"/>
    </row>
    <row r="103">
      <c r="A103" s="84"/>
      <c r="B103" s="84"/>
      <c r="C103" s="348"/>
      <c r="D103" s="348"/>
      <c r="E103" s="84"/>
      <c r="F103" s="84"/>
      <c r="G103" s="84"/>
      <c r="H103" s="84"/>
      <c r="I103" s="84"/>
      <c r="J103" s="947"/>
      <c r="K103" s="947"/>
      <c r="L103" s="947"/>
      <c r="M103" s="947"/>
      <c r="N103" s="947"/>
      <c r="O103" s="947"/>
      <c r="P103" s="947"/>
      <c r="Q103" s="947"/>
      <c r="R103" s="937"/>
      <c r="S103" s="937"/>
      <c r="T103" s="947"/>
      <c r="U103" s="947"/>
      <c r="V103" s="938"/>
      <c r="W103" s="947"/>
      <c r="X103" s="939"/>
      <c r="Y103" s="947"/>
      <c r="Z103" s="947"/>
      <c r="AA103" s="938"/>
      <c r="AB103" s="947"/>
      <c r="AC103" s="947"/>
      <c r="AD103" s="947"/>
      <c r="AE103" s="947"/>
      <c r="AF103" s="947"/>
      <c r="AG103" s="947"/>
      <c r="AH103" s="948"/>
      <c r="AI103" s="947"/>
      <c r="AJ103" s="947"/>
      <c r="AK103" s="947"/>
      <c r="AL103" s="947"/>
      <c r="AM103" s="947"/>
      <c r="AN103" s="947"/>
      <c r="AO103" s="947"/>
      <c r="AP103" s="947"/>
      <c r="AQ103" s="947"/>
      <c r="AR103" s="938"/>
      <c r="AS103" s="937"/>
      <c r="AT103" s="948"/>
      <c r="AU103" s="947"/>
      <c r="AV103" s="981"/>
      <c r="AW103" s="950"/>
      <c r="AX103" s="950"/>
      <c r="AY103" s="951"/>
      <c r="AZ103" s="950"/>
      <c r="BA103" s="952"/>
      <c r="BB103" s="967"/>
      <c r="BC103" s="968"/>
      <c r="BD103" s="955"/>
      <c r="BE103" s="955"/>
      <c r="BF103" s="955"/>
      <c r="BG103" s="955"/>
      <c r="BH103" s="955"/>
      <c r="BI103" s="969"/>
      <c r="BJ103" s="955"/>
      <c r="BK103" s="969"/>
      <c r="BL103" s="955"/>
      <c r="BM103" s="955"/>
      <c r="BN103" s="952"/>
      <c r="BO103" s="952"/>
      <c r="BP103" s="965"/>
      <c r="BQ103" s="961"/>
      <c r="BR103" s="960"/>
      <c r="BS103" s="961"/>
      <c r="BT103" s="962"/>
      <c r="BU103" s="962"/>
      <c r="BV103" s="963"/>
      <c r="BW103" s="963"/>
      <c r="BX103" s="963"/>
      <c r="BY103" s="963"/>
      <c r="BZ103" s="963"/>
      <c r="CA103" s="963"/>
      <c r="CB103" s="965"/>
      <c r="CC103" s="965"/>
    </row>
    <row r="104">
      <c r="A104" s="84"/>
      <c r="B104" s="84"/>
      <c r="C104" s="348"/>
      <c r="D104" s="348"/>
      <c r="E104" s="84"/>
      <c r="F104" s="84"/>
      <c r="G104" s="84"/>
      <c r="H104" s="84"/>
      <c r="I104" s="84"/>
      <c r="J104" s="947"/>
      <c r="K104" s="947"/>
      <c r="L104" s="947"/>
      <c r="M104" s="947"/>
      <c r="N104" s="947"/>
      <c r="O104" s="947"/>
      <c r="P104" s="947"/>
      <c r="Q104" s="947"/>
      <c r="R104" s="937"/>
      <c r="S104" s="937"/>
      <c r="T104" s="947"/>
      <c r="U104" s="947"/>
      <c r="V104" s="938"/>
      <c r="W104" s="947"/>
      <c r="X104" s="939"/>
      <c r="Y104" s="947"/>
      <c r="Z104" s="947"/>
      <c r="AA104" s="938"/>
      <c r="AB104" s="947"/>
      <c r="AC104" s="947"/>
      <c r="AD104" s="947"/>
      <c r="AE104" s="947"/>
      <c r="AF104" s="947"/>
      <c r="AG104" s="947"/>
      <c r="AH104" s="948"/>
      <c r="AI104" s="947"/>
      <c r="AJ104" s="947"/>
      <c r="AK104" s="947"/>
      <c r="AL104" s="947"/>
      <c r="AM104" s="947"/>
      <c r="AN104" s="947"/>
      <c r="AO104" s="947"/>
      <c r="AP104" s="947"/>
      <c r="AQ104" s="947"/>
      <c r="AR104" s="938"/>
      <c r="AS104" s="937"/>
      <c r="AT104" s="948"/>
      <c r="AU104" s="947"/>
      <c r="AV104" s="981"/>
      <c r="AW104" s="950"/>
      <c r="AX104" s="950"/>
      <c r="AY104" s="951"/>
      <c r="AZ104" s="950"/>
      <c r="BA104" s="952"/>
      <c r="BB104" s="967"/>
      <c r="BC104" s="968"/>
      <c r="BD104" s="955"/>
      <c r="BE104" s="955"/>
      <c r="BF104" s="955"/>
      <c r="BG104" s="955"/>
      <c r="BH104" s="955"/>
      <c r="BI104" s="969"/>
      <c r="BJ104" s="955"/>
      <c r="BK104" s="969"/>
      <c r="BL104" s="955"/>
      <c r="BM104" s="955"/>
      <c r="BN104" s="952"/>
      <c r="BO104" s="952"/>
      <c r="BP104" s="965"/>
      <c r="BQ104" s="961"/>
      <c r="BR104" s="960"/>
      <c r="BS104" s="961"/>
      <c r="BT104" s="962"/>
      <c r="BU104" s="962"/>
      <c r="BV104" s="963"/>
      <c r="BW104" s="963"/>
      <c r="BX104" s="963"/>
      <c r="BY104" s="963"/>
      <c r="BZ104" s="963"/>
      <c r="CA104" s="963"/>
      <c r="CB104" s="965"/>
      <c r="CC104" s="965"/>
    </row>
    <row r="105">
      <c r="A105" s="84"/>
      <c r="B105" s="84"/>
      <c r="C105" s="348"/>
      <c r="D105" s="348"/>
      <c r="E105" s="84"/>
      <c r="F105" s="84"/>
      <c r="G105" s="84"/>
      <c r="H105" s="84"/>
      <c r="I105" s="84"/>
      <c r="J105" s="947"/>
      <c r="K105" s="947"/>
      <c r="L105" s="947"/>
      <c r="M105" s="947"/>
      <c r="N105" s="947"/>
      <c r="O105" s="947"/>
      <c r="P105" s="947"/>
      <c r="Q105" s="947"/>
      <c r="R105" s="937"/>
      <c r="S105" s="937"/>
      <c r="T105" s="947"/>
      <c r="U105" s="947"/>
      <c r="V105" s="938"/>
      <c r="W105" s="947"/>
      <c r="X105" s="939"/>
      <c r="Y105" s="947"/>
      <c r="Z105" s="947"/>
      <c r="AA105" s="938"/>
      <c r="AB105" s="947"/>
      <c r="AC105" s="947"/>
      <c r="AD105" s="947"/>
      <c r="AE105" s="947"/>
      <c r="AF105" s="947"/>
      <c r="AG105" s="947"/>
      <c r="AH105" s="948"/>
      <c r="AI105" s="947"/>
      <c r="AJ105" s="947"/>
      <c r="AK105" s="947"/>
      <c r="AL105" s="947"/>
      <c r="AM105" s="947"/>
      <c r="AN105" s="947"/>
      <c r="AO105" s="947"/>
      <c r="AP105" s="947"/>
      <c r="AQ105" s="947"/>
      <c r="AR105" s="938"/>
      <c r="AS105" s="937"/>
      <c r="AT105" s="948"/>
      <c r="AU105" s="947"/>
      <c r="AV105" s="981"/>
      <c r="AW105" s="950"/>
      <c r="AX105" s="950"/>
      <c r="AY105" s="951"/>
      <c r="AZ105" s="950"/>
      <c r="BA105" s="952"/>
      <c r="BB105" s="967"/>
      <c r="BC105" s="968"/>
      <c r="BD105" s="955"/>
      <c r="BE105" s="955"/>
      <c r="BF105" s="955"/>
      <c r="BG105" s="955"/>
      <c r="BH105" s="955"/>
      <c r="BI105" s="969"/>
      <c r="BJ105" s="955"/>
      <c r="BK105" s="969"/>
      <c r="BL105" s="955"/>
      <c r="BM105" s="955"/>
      <c r="BN105" s="952"/>
      <c r="BO105" s="952"/>
      <c r="BP105" s="965"/>
      <c r="BQ105" s="961"/>
      <c r="BR105" s="960"/>
      <c r="BS105" s="961"/>
      <c r="BT105" s="962"/>
      <c r="BU105" s="962"/>
      <c r="BV105" s="963"/>
      <c r="BW105" s="963"/>
      <c r="BX105" s="963"/>
      <c r="BY105" s="963"/>
      <c r="BZ105" s="963"/>
      <c r="CA105" s="963"/>
      <c r="CB105" s="965"/>
      <c r="CC105" s="965"/>
    </row>
    <row r="106">
      <c r="A106" s="84"/>
      <c r="B106" s="84"/>
      <c r="C106" s="348"/>
      <c r="D106" s="348"/>
      <c r="E106" s="84"/>
      <c r="F106" s="84"/>
      <c r="G106" s="84"/>
      <c r="H106" s="84"/>
      <c r="I106" s="84"/>
      <c r="J106" s="947"/>
      <c r="K106" s="947"/>
      <c r="L106" s="947"/>
      <c r="M106" s="947"/>
      <c r="N106" s="947"/>
      <c r="O106" s="947"/>
      <c r="P106" s="947"/>
      <c r="Q106" s="947"/>
      <c r="R106" s="937"/>
      <c r="S106" s="937"/>
      <c r="T106" s="947"/>
      <c r="U106" s="947"/>
      <c r="V106" s="938"/>
      <c r="W106" s="947"/>
      <c r="X106" s="939"/>
      <c r="Y106" s="947"/>
      <c r="Z106" s="947"/>
      <c r="AA106" s="938"/>
      <c r="AB106" s="947"/>
      <c r="AC106" s="947"/>
      <c r="AD106" s="947"/>
      <c r="AE106" s="947"/>
      <c r="AF106" s="947"/>
      <c r="AG106" s="947"/>
      <c r="AH106" s="948"/>
      <c r="AI106" s="947"/>
      <c r="AJ106" s="947"/>
      <c r="AK106" s="947"/>
      <c r="AL106" s="947"/>
      <c r="AM106" s="947"/>
      <c r="AN106" s="947"/>
      <c r="AO106" s="947"/>
      <c r="AP106" s="947"/>
      <c r="AQ106" s="947"/>
      <c r="AR106" s="938"/>
      <c r="AS106" s="937"/>
      <c r="AT106" s="948"/>
      <c r="AU106" s="947"/>
      <c r="AV106" s="981"/>
      <c r="AW106" s="950"/>
      <c r="AX106" s="950"/>
      <c r="AY106" s="951"/>
      <c r="AZ106" s="950"/>
      <c r="BA106" s="952"/>
      <c r="BB106" s="967"/>
      <c r="BC106" s="968"/>
      <c r="BD106" s="955"/>
      <c r="BE106" s="955"/>
      <c r="BF106" s="955"/>
      <c r="BG106" s="955"/>
      <c r="BH106" s="955"/>
      <c r="BI106" s="969"/>
      <c r="BJ106" s="955"/>
      <c r="BK106" s="969"/>
      <c r="BL106" s="955"/>
      <c r="BM106" s="955"/>
      <c r="BN106" s="952"/>
      <c r="BO106" s="952"/>
      <c r="BP106" s="965"/>
      <c r="BQ106" s="961"/>
      <c r="BR106" s="960"/>
      <c r="BS106" s="961"/>
      <c r="BT106" s="962"/>
      <c r="BU106" s="962"/>
      <c r="BV106" s="963"/>
      <c r="BW106" s="963"/>
      <c r="BX106" s="963"/>
      <c r="BY106" s="963"/>
      <c r="BZ106" s="963"/>
      <c r="CA106" s="963"/>
      <c r="CB106" s="965"/>
      <c r="CC106" s="965"/>
    </row>
    <row r="107">
      <c r="A107" s="84"/>
      <c r="B107" s="84"/>
      <c r="C107" s="348"/>
      <c r="D107" s="348"/>
      <c r="E107" s="84"/>
      <c r="F107" s="84"/>
      <c r="G107" s="84"/>
      <c r="H107" s="84"/>
      <c r="I107" s="84"/>
      <c r="J107" s="947"/>
      <c r="K107" s="947"/>
      <c r="L107" s="947"/>
      <c r="M107" s="947"/>
      <c r="N107" s="947"/>
      <c r="O107" s="947"/>
      <c r="P107" s="947"/>
      <c r="Q107" s="947"/>
      <c r="R107" s="937"/>
      <c r="S107" s="937"/>
      <c r="T107" s="947"/>
      <c r="U107" s="947"/>
      <c r="V107" s="938"/>
      <c r="W107" s="947"/>
      <c r="X107" s="939"/>
      <c r="Y107" s="947"/>
      <c r="Z107" s="947"/>
      <c r="AA107" s="938"/>
      <c r="AB107" s="947"/>
      <c r="AC107" s="947"/>
      <c r="AD107" s="947"/>
      <c r="AE107" s="947"/>
      <c r="AF107" s="947"/>
      <c r="AG107" s="947"/>
      <c r="AH107" s="948"/>
      <c r="AI107" s="947"/>
      <c r="AJ107" s="947"/>
      <c r="AK107" s="947"/>
      <c r="AL107" s="947"/>
      <c r="AM107" s="947"/>
      <c r="AN107" s="947"/>
      <c r="AO107" s="947"/>
      <c r="AP107" s="947"/>
      <c r="AQ107" s="947"/>
      <c r="AR107" s="938"/>
      <c r="AS107" s="937"/>
      <c r="AT107" s="948"/>
      <c r="AU107" s="947"/>
      <c r="AV107" s="981"/>
      <c r="AW107" s="950"/>
      <c r="AX107" s="950"/>
      <c r="AY107" s="951"/>
      <c r="AZ107" s="950"/>
      <c r="BA107" s="952"/>
      <c r="BB107" s="967"/>
      <c r="BC107" s="968"/>
      <c r="BD107" s="955"/>
      <c r="BE107" s="955"/>
      <c r="BF107" s="955"/>
      <c r="BG107" s="955"/>
      <c r="BH107" s="955"/>
      <c r="BI107" s="969"/>
      <c r="BJ107" s="955"/>
      <c r="BK107" s="969"/>
      <c r="BL107" s="955"/>
      <c r="BM107" s="955"/>
      <c r="BN107" s="952"/>
      <c r="BO107" s="952"/>
      <c r="BP107" s="965"/>
      <c r="BQ107" s="961"/>
      <c r="BR107" s="960"/>
      <c r="BS107" s="961"/>
      <c r="BT107" s="962"/>
      <c r="BU107" s="962"/>
      <c r="BV107" s="963"/>
      <c r="BW107" s="963"/>
      <c r="BX107" s="963"/>
      <c r="BY107" s="963"/>
      <c r="BZ107" s="963"/>
      <c r="CA107" s="963"/>
      <c r="CB107" s="965"/>
      <c r="CC107" s="965"/>
    </row>
    <row r="108">
      <c r="A108" s="84"/>
      <c r="B108" s="84"/>
      <c r="C108" s="348"/>
      <c r="D108" s="348"/>
      <c r="E108" s="84"/>
      <c r="F108" s="84"/>
      <c r="G108" s="84"/>
      <c r="H108" s="84"/>
      <c r="I108" s="84"/>
      <c r="J108" s="947"/>
      <c r="K108" s="947"/>
      <c r="L108" s="947"/>
      <c r="M108" s="947"/>
      <c r="N108" s="947"/>
      <c r="O108" s="947"/>
      <c r="P108" s="947"/>
      <c r="Q108" s="947"/>
      <c r="R108" s="937"/>
      <c r="S108" s="937"/>
      <c r="T108" s="947"/>
      <c r="U108" s="947"/>
      <c r="V108" s="938"/>
      <c r="W108" s="947"/>
      <c r="X108" s="939"/>
      <c r="Y108" s="947"/>
      <c r="Z108" s="947"/>
      <c r="AA108" s="938"/>
      <c r="AB108" s="947"/>
      <c r="AC108" s="947"/>
      <c r="AD108" s="947"/>
      <c r="AE108" s="947"/>
      <c r="AF108" s="947"/>
      <c r="AG108" s="947"/>
      <c r="AH108" s="948"/>
      <c r="AI108" s="947"/>
      <c r="AJ108" s="947"/>
      <c r="AK108" s="947"/>
      <c r="AL108" s="947"/>
      <c r="AM108" s="947"/>
      <c r="AN108" s="947"/>
      <c r="AO108" s="947"/>
      <c r="AP108" s="947"/>
      <c r="AQ108" s="947"/>
      <c r="AR108" s="938"/>
      <c r="AS108" s="937"/>
      <c r="AT108" s="948"/>
      <c r="AU108" s="947"/>
      <c r="AV108" s="981"/>
      <c r="AW108" s="950"/>
      <c r="AX108" s="950"/>
      <c r="AY108" s="951"/>
      <c r="AZ108" s="950"/>
      <c r="BA108" s="952"/>
      <c r="BB108" s="967"/>
      <c r="BC108" s="968"/>
      <c r="BD108" s="955"/>
      <c r="BE108" s="955"/>
      <c r="BF108" s="955"/>
      <c r="BG108" s="955"/>
      <c r="BH108" s="955"/>
      <c r="BI108" s="969"/>
      <c r="BJ108" s="955"/>
      <c r="BK108" s="969"/>
      <c r="BL108" s="955"/>
      <c r="BM108" s="955"/>
      <c r="BN108" s="952"/>
      <c r="BO108" s="952"/>
      <c r="BP108" s="965"/>
      <c r="BQ108" s="961"/>
      <c r="BR108" s="960"/>
      <c r="BS108" s="961"/>
      <c r="BT108" s="962"/>
      <c r="BU108" s="962"/>
      <c r="BV108" s="963"/>
      <c r="BW108" s="963"/>
      <c r="BX108" s="963"/>
      <c r="BY108" s="963"/>
      <c r="BZ108" s="963"/>
      <c r="CA108" s="963"/>
      <c r="CB108" s="965"/>
      <c r="CC108" s="965"/>
    </row>
    <row r="109">
      <c r="A109" s="84"/>
      <c r="B109" s="84"/>
      <c r="C109" s="348"/>
      <c r="D109" s="348"/>
      <c r="E109" s="84"/>
      <c r="F109" s="84"/>
      <c r="G109" s="84"/>
      <c r="H109" s="84"/>
      <c r="I109" s="84"/>
      <c r="J109" s="947"/>
      <c r="K109" s="947"/>
      <c r="L109" s="947"/>
      <c r="M109" s="947"/>
      <c r="N109" s="947"/>
      <c r="O109" s="947"/>
      <c r="P109" s="947"/>
      <c r="Q109" s="947"/>
      <c r="R109" s="937"/>
      <c r="S109" s="937"/>
      <c r="T109" s="947"/>
      <c r="U109" s="947"/>
      <c r="V109" s="938"/>
      <c r="W109" s="947"/>
      <c r="X109" s="939"/>
      <c r="Y109" s="947"/>
      <c r="Z109" s="947"/>
      <c r="AA109" s="938"/>
      <c r="AB109" s="947"/>
      <c r="AC109" s="947"/>
      <c r="AD109" s="947"/>
      <c r="AE109" s="947"/>
      <c r="AF109" s="947"/>
      <c r="AG109" s="947"/>
      <c r="AH109" s="948"/>
      <c r="AI109" s="947"/>
      <c r="AJ109" s="947"/>
      <c r="AK109" s="947"/>
      <c r="AL109" s="947"/>
      <c r="AM109" s="947"/>
      <c r="AN109" s="947"/>
      <c r="AO109" s="947"/>
      <c r="AP109" s="947"/>
      <c r="AQ109" s="947"/>
      <c r="AR109" s="938"/>
      <c r="AS109" s="937"/>
      <c r="AT109" s="948"/>
      <c r="AU109" s="947"/>
      <c r="AV109" s="981"/>
      <c r="AW109" s="950"/>
      <c r="AX109" s="950"/>
      <c r="AY109" s="951"/>
      <c r="AZ109" s="950"/>
      <c r="BA109" s="952"/>
      <c r="BB109" s="967"/>
      <c r="BC109" s="968"/>
      <c r="BD109" s="955"/>
      <c r="BE109" s="955"/>
      <c r="BF109" s="955"/>
      <c r="BG109" s="955"/>
      <c r="BH109" s="955"/>
      <c r="BI109" s="969"/>
      <c r="BJ109" s="955"/>
      <c r="BK109" s="969"/>
      <c r="BL109" s="955"/>
      <c r="BM109" s="955"/>
      <c r="BN109" s="952"/>
      <c r="BO109" s="952"/>
      <c r="BP109" s="965"/>
      <c r="BQ109" s="961"/>
      <c r="BR109" s="960"/>
      <c r="BS109" s="961"/>
      <c r="BT109" s="962"/>
      <c r="BU109" s="962"/>
      <c r="BV109" s="963"/>
      <c r="BW109" s="963"/>
      <c r="BX109" s="963"/>
      <c r="BY109" s="963"/>
      <c r="BZ109" s="963"/>
      <c r="CA109" s="963"/>
      <c r="CB109" s="965"/>
      <c r="CC109" s="965"/>
    </row>
    <row r="110">
      <c r="A110" s="84"/>
      <c r="B110" s="84"/>
      <c r="C110" s="348"/>
      <c r="D110" s="348"/>
      <c r="E110" s="84"/>
      <c r="F110" s="84"/>
      <c r="G110" s="84"/>
      <c r="H110" s="84"/>
      <c r="I110" s="84"/>
      <c r="J110" s="947"/>
      <c r="K110" s="947"/>
      <c r="L110" s="947"/>
      <c r="M110" s="947"/>
      <c r="N110" s="947"/>
      <c r="O110" s="947"/>
      <c r="P110" s="947"/>
      <c r="Q110" s="947"/>
      <c r="R110" s="937"/>
      <c r="S110" s="937"/>
      <c r="T110" s="947"/>
      <c r="U110" s="947"/>
      <c r="V110" s="938"/>
      <c r="W110" s="947"/>
      <c r="X110" s="939"/>
      <c r="Y110" s="947"/>
      <c r="Z110" s="947"/>
      <c r="AA110" s="938"/>
      <c r="AB110" s="947"/>
      <c r="AC110" s="947"/>
      <c r="AD110" s="947"/>
      <c r="AE110" s="947"/>
      <c r="AF110" s="947"/>
      <c r="AG110" s="947"/>
      <c r="AH110" s="948"/>
      <c r="AI110" s="947"/>
      <c r="AJ110" s="947"/>
      <c r="AK110" s="947"/>
      <c r="AL110" s="947"/>
      <c r="AM110" s="947"/>
      <c r="AN110" s="947"/>
      <c r="AO110" s="947"/>
      <c r="AP110" s="947"/>
      <c r="AQ110" s="947"/>
      <c r="AR110" s="938"/>
      <c r="AS110" s="937"/>
      <c r="AT110" s="948"/>
      <c r="AU110" s="947"/>
      <c r="AV110" s="981"/>
      <c r="AW110" s="950"/>
      <c r="AX110" s="950"/>
      <c r="AY110" s="951"/>
      <c r="AZ110" s="950"/>
      <c r="BA110" s="952"/>
      <c r="BB110" s="990"/>
      <c r="BC110" s="991"/>
      <c r="BD110" s="952"/>
      <c r="BE110" s="952"/>
      <c r="BF110" s="952"/>
      <c r="BG110" s="952"/>
      <c r="BH110" s="952"/>
      <c r="BI110" s="992"/>
      <c r="BJ110" s="952"/>
      <c r="BK110" s="992"/>
      <c r="BL110" s="952"/>
      <c r="BM110" s="952"/>
      <c r="BN110" s="952"/>
      <c r="BO110" s="952"/>
      <c r="BP110" s="965"/>
      <c r="BQ110" s="961"/>
      <c r="BR110" s="960"/>
      <c r="BS110" s="961"/>
      <c r="BT110" s="962"/>
      <c r="BU110" s="962"/>
      <c r="BV110" s="963"/>
      <c r="BW110" s="963"/>
      <c r="BX110" s="963"/>
      <c r="BY110" s="963"/>
      <c r="BZ110" s="963"/>
      <c r="CA110" s="963"/>
      <c r="CB110" s="965"/>
      <c r="CC110" s="965"/>
    </row>
    <row r="111">
      <c r="A111" s="84"/>
      <c r="B111" s="84"/>
      <c r="C111" s="348"/>
      <c r="D111" s="348"/>
      <c r="E111" s="84"/>
      <c r="F111" s="84"/>
      <c r="G111" s="84"/>
      <c r="H111" s="84"/>
      <c r="I111" s="84"/>
      <c r="J111" s="947"/>
      <c r="K111" s="947"/>
      <c r="L111" s="947"/>
      <c r="M111" s="947"/>
      <c r="N111" s="947"/>
      <c r="O111" s="947"/>
      <c r="P111" s="947"/>
      <c r="Q111" s="947"/>
      <c r="R111" s="937"/>
      <c r="S111" s="937"/>
      <c r="T111" s="947"/>
      <c r="U111" s="947"/>
      <c r="V111" s="938"/>
      <c r="W111" s="947"/>
      <c r="X111" s="939"/>
      <c r="Y111" s="947"/>
      <c r="Z111" s="947"/>
      <c r="AA111" s="938"/>
      <c r="AB111" s="947"/>
      <c r="AC111" s="947"/>
      <c r="AD111" s="947"/>
      <c r="AE111" s="947"/>
      <c r="AF111" s="947"/>
      <c r="AG111" s="947"/>
      <c r="AH111" s="948"/>
      <c r="AI111" s="947"/>
      <c r="AJ111" s="947"/>
      <c r="AK111" s="947"/>
      <c r="AL111" s="947"/>
      <c r="AM111" s="947"/>
      <c r="AN111" s="947"/>
      <c r="AO111" s="947"/>
      <c r="AP111" s="947"/>
      <c r="AQ111" s="947"/>
      <c r="AR111" s="938"/>
      <c r="AS111" s="937"/>
      <c r="AT111" s="948"/>
      <c r="AU111" s="947"/>
      <c r="AV111" s="981"/>
      <c r="AW111" s="950"/>
      <c r="AX111" s="950"/>
      <c r="AY111" s="951"/>
      <c r="AZ111" s="950"/>
      <c r="BA111" s="952"/>
      <c r="BB111" s="990"/>
      <c r="BC111" s="991"/>
      <c r="BD111" s="952"/>
      <c r="BE111" s="952"/>
      <c r="BF111" s="952"/>
      <c r="BG111" s="952"/>
      <c r="BH111" s="952"/>
      <c r="BI111" s="992"/>
      <c r="BJ111" s="952"/>
      <c r="BK111" s="992"/>
      <c r="BL111" s="952"/>
      <c r="BM111" s="952"/>
      <c r="BN111" s="952"/>
      <c r="BO111" s="952"/>
      <c r="BP111" s="965"/>
      <c r="BQ111" s="993"/>
      <c r="BR111" s="994"/>
      <c r="BS111" s="993"/>
      <c r="BT111" s="995"/>
      <c r="BU111" s="995"/>
      <c r="BV111" s="996"/>
      <c r="BW111" s="996"/>
      <c r="BX111" s="996"/>
      <c r="BY111" s="996"/>
      <c r="BZ111" s="996"/>
      <c r="CA111" s="996"/>
      <c r="CB111" s="965"/>
      <c r="CC111" s="965"/>
    </row>
    <row r="112">
      <c r="A112" s="84"/>
      <c r="B112" s="84"/>
      <c r="C112" s="348"/>
      <c r="D112" s="348"/>
      <c r="E112" s="84"/>
      <c r="F112" s="84"/>
      <c r="G112" s="84"/>
      <c r="H112" s="84"/>
      <c r="I112" s="84"/>
      <c r="J112" s="947"/>
      <c r="K112" s="947"/>
      <c r="L112" s="947"/>
      <c r="M112" s="947"/>
      <c r="N112" s="947"/>
      <c r="O112" s="947"/>
      <c r="P112" s="947"/>
      <c r="Q112" s="947"/>
      <c r="R112" s="937"/>
      <c r="S112" s="937"/>
      <c r="T112" s="947"/>
      <c r="U112" s="947"/>
      <c r="V112" s="938"/>
      <c r="W112" s="947"/>
      <c r="X112" s="939"/>
      <c r="Y112" s="947"/>
      <c r="Z112" s="947"/>
      <c r="AA112" s="938"/>
      <c r="AB112" s="947"/>
      <c r="AC112" s="947"/>
      <c r="AD112" s="947"/>
      <c r="AE112" s="947"/>
      <c r="AF112" s="947"/>
      <c r="AG112" s="947"/>
      <c r="AH112" s="948"/>
      <c r="AI112" s="947"/>
      <c r="AJ112" s="947"/>
      <c r="AK112" s="947"/>
      <c r="AL112" s="947"/>
      <c r="AM112" s="947"/>
      <c r="AN112" s="947"/>
      <c r="AO112" s="947"/>
      <c r="AP112" s="947"/>
      <c r="AQ112" s="947"/>
      <c r="AR112" s="938"/>
      <c r="AS112" s="937"/>
      <c r="AT112" s="948"/>
      <c r="AU112" s="947"/>
      <c r="AV112" s="981"/>
      <c r="AW112" s="950"/>
      <c r="AX112" s="950"/>
      <c r="AY112" s="951"/>
      <c r="AZ112" s="950"/>
      <c r="BA112" s="952"/>
      <c r="BB112" s="990"/>
      <c r="BC112" s="991"/>
      <c r="BD112" s="952"/>
      <c r="BE112" s="952"/>
      <c r="BF112" s="952"/>
      <c r="BG112" s="952"/>
      <c r="BH112" s="952"/>
      <c r="BI112" s="992"/>
      <c r="BJ112" s="952"/>
      <c r="BK112" s="992"/>
      <c r="BL112" s="952"/>
      <c r="BM112" s="952"/>
      <c r="BN112" s="952"/>
      <c r="BO112" s="952"/>
      <c r="BP112" s="965"/>
      <c r="BQ112" s="993"/>
      <c r="BR112" s="994"/>
      <c r="BS112" s="993"/>
      <c r="BT112" s="995"/>
      <c r="BU112" s="995"/>
      <c r="BV112" s="996"/>
      <c r="BW112" s="996"/>
      <c r="BX112" s="996"/>
      <c r="BY112" s="996"/>
      <c r="BZ112" s="996"/>
      <c r="CA112" s="996"/>
      <c r="CB112" s="965"/>
      <c r="CC112" s="965"/>
    </row>
    <row r="113">
      <c r="A113" s="84"/>
      <c r="B113" s="84"/>
      <c r="C113" s="348"/>
      <c r="D113" s="348"/>
      <c r="E113" s="84"/>
      <c r="F113" s="84"/>
      <c r="G113" s="84"/>
      <c r="H113" s="84"/>
      <c r="I113" s="84"/>
      <c r="J113" s="947"/>
      <c r="K113" s="947"/>
      <c r="L113" s="947"/>
      <c r="M113" s="947"/>
      <c r="N113" s="947"/>
      <c r="O113" s="947"/>
      <c r="P113" s="947"/>
      <c r="Q113" s="947"/>
      <c r="R113" s="937"/>
      <c r="S113" s="937"/>
      <c r="T113" s="947"/>
      <c r="U113" s="947"/>
      <c r="V113" s="938"/>
      <c r="W113" s="947"/>
      <c r="X113" s="939"/>
      <c r="Y113" s="947"/>
      <c r="Z113" s="947"/>
      <c r="AA113" s="938"/>
      <c r="AB113" s="947"/>
      <c r="AC113" s="947"/>
      <c r="AD113" s="947"/>
      <c r="AE113" s="947"/>
      <c r="AF113" s="947"/>
      <c r="AG113" s="947"/>
      <c r="AH113" s="948"/>
      <c r="AI113" s="947"/>
      <c r="AJ113" s="947"/>
      <c r="AK113" s="947"/>
      <c r="AL113" s="947"/>
      <c r="AM113" s="947"/>
      <c r="AN113" s="947"/>
      <c r="AO113" s="947"/>
      <c r="AP113" s="947"/>
      <c r="AQ113" s="947"/>
      <c r="AR113" s="938"/>
      <c r="AS113" s="937"/>
      <c r="AT113" s="948"/>
      <c r="AU113" s="947"/>
      <c r="AV113" s="981"/>
      <c r="AW113" s="950"/>
      <c r="AX113" s="950"/>
      <c r="AY113" s="951"/>
      <c r="AZ113" s="950"/>
      <c r="BA113" s="952"/>
      <c r="BB113" s="990"/>
      <c r="BC113" s="991"/>
      <c r="BD113" s="952"/>
      <c r="BE113" s="952"/>
      <c r="BF113" s="952"/>
      <c r="BG113" s="952"/>
      <c r="BH113" s="952"/>
      <c r="BI113" s="992"/>
      <c r="BJ113" s="952"/>
      <c r="BK113" s="992"/>
      <c r="BL113" s="952"/>
      <c r="BM113" s="952"/>
      <c r="BN113" s="952"/>
      <c r="BO113" s="952"/>
      <c r="BP113" s="965"/>
      <c r="BQ113" s="993"/>
      <c r="BR113" s="994"/>
      <c r="BS113" s="993"/>
      <c r="BT113" s="995"/>
      <c r="BU113" s="995"/>
      <c r="BV113" s="996"/>
      <c r="BW113" s="996"/>
      <c r="BX113" s="996"/>
      <c r="BY113" s="996"/>
      <c r="BZ113" s="996"/>
      <c r="CA113" s="996"/>
      <c r="CB113" s="965"/>
      <c r="CC113" s="965"/>
    </row>
    <row r="114">
      <c r="A114" s="84"/>
      <c r="B114" s="84"/>
      <c r="C114" s="348"/>
      <c r="D114" s="348"/>
      <c r="E114" s="84"/>
      <c r="F114" s="84"/>
      <c r="G114" s="84"/>
      <c r="H114" s="84"/>
      <c r="I114" s="84"/>
      <c r="J114" s="947"/>
      <c r="K114" s="947"/>
      <c r="L114" s="947"/>
      <c r="M114" s="947"/>
      <c r="N114" s="947"/>
      <c r="O114" s="947"/>
      <c r="P114" s="947"/>
      <c r="Q114" s="947"/>
      <c r="R114" s="937"/>
      <c r="S114" s="937"/>
      <c r="T114" s="947"/>
      <c r="U114" s="947"/>
      <c r="V114" s="938"/>
      <c r="W114" s="947"/>
      <c r="X114" s="939"/>
      <c r="Y114" s="947"/>
      <c r="Z114" s="947"/>
      <c r="AA114" s="938"/>
      <c r="AB114" s="947"/>
      <c r="AC114" s="947"/>
      <c r="AD114" s="947"/>
      <c r="AE114" s="947"/>
      <c r="AF114" s="947"/>
      <c r="AG114" s="947"/>
      <c r="AH114" s="948"/>
      <c r="AI114" s="947"/>
      <c r="AJ114" s="947"/>
      <c r="AK114" s="947"/>
      <c r="AL114" s="947"/>
      <c r="AM114" s="947"/>
      <c r="AN114" s="947"/>
      <c r="AO114" s="947"/>
      <c r="AP114" s="947"/>
      <c r="AQ114" s="947"/>
      <c r="AR114" s="938"/>
      <c r="AS114" s="937"/>
      <c r="AT114" s="948"/>
      <c r="AU114" s="947"/>
      <c r="AV114" s="981"/>
      <c r="AW114" s="950"/>
      <c r="AX114" s="950"/>
      <c r="AY114" s="951"/>
      <c r="AZ114" s="950"/>
      <c r="BA114" s="952"/>
      <c r="BB114" s="990"/>
      <c r="BC114" s="991"/>
      <c r="BD114" s="952"/>
      <c r="BE114" s="952"/>
      <c r="BF114" s="952"/>
      <c r="BG114" s="952"/>
      <c r="BH114" s="952"/>
      <c r="BI114" s="992"/>
      <c r="BJ114" s="952"/>
      <c r="BK114" s="992"/>
      <c r="BL114" s="952"/>
      <c r="BM114" s="952"/>
      <c r="BN114" s="952"/>
      <c r="BO114" s="952"/>
      <c r="BP114" s="965"/>
      <c r="BQ114" s="993"/>
      <c r="BR114" s="994"/>
      <c r="BS114" s="993"/>
      <c r="BT114" s="995"/>
      <c r="BU114" s="995"/>
      <c r="BV114" s="996"/>
      <c r="BW114" s="996"/>
      <c r="BX114" s="996"/>
      <c r="BY114" s="996"/>
      <c r="BZ114" s="996"/>
      <c r="CA114" s="996"/>
      <c r="CB114" s="965"/>
      <c r="CC114" s="965"/>
    </row>
    <row r="115">
      <c r="A115" s="84"/>
      <c r="B115" s="84"/>
      <c r="C115" s="348"/>
      <c r="D115" s="348"/>
      <c r="E115" s="84"/>
      <c r="F115" s="84"/>
      <c r="G115" s="84"/>
      <c r="H115" s="84"/>
      <c r="I115" s="84"/>
      <c r="J115" s="947"/>
      <c r="K115" s="947"/>
      <c r="L115" s="947"/>
      <c r="M115" s="947"/>
      <c r="N115" s="947"/>
      <c r="O115" s="947"/>
      <c r="P115" s="947"/>
      <c r="Q115" s="947"/>
      <c r="R115" s="937"/>
      <c r="S115" s="937"/>
      <c r="T115" s="947"/>
      <c r="U115" s="947"/>
      <c r="V115" s="938"/>
      <c r="W115" s="947"/>
      <c r="X115" s="939"/>
      <c r="Y115" s="947"/>
      <c r="Z115" s="947"/>
      <c r="AA115" s="938"/>
      <c r="AB115" s="947"/>
      <c r="AC115" s="947"/>
      <c r="AD115" s="947"/>
      <c r="AE115" s="947"/>
      <c r="AF115" s="947"/>
      <c r="AG115" s="947"/>
      <c r="AH115" s="948"/>
      <c r="AI115" s="947"/>
      <c r="AJ115" s="947"/>
      <c r="AK115" s="947"/>
      <c r="AL115" s="947"/>
      <c r="AM115" s="947"/>
      <c r="AN115" s="947"/>
      <c r="AO115" s="947"/>
      <c r="AP115" s="947"/>
      <c r="AQ115" s="947"/>
      <c r="AR115" s="938"/>
      <c r="AS115" s="937"/>
      <c r="AT115" s="948"/>
      <c r="AU115" s="947"/>
      <c r="AV115" s="981"/>
      <c r="AW115" s="950"/>
      <c r="AX115" s="950"/>
      <c r="AY115" s="951"/>
      <c r="AZ115" s="950"/>
      <c r="BA115" s="952"/>
      <c r="BB115" s="990"/>
      <c r="BC115" s="991"/>
      <c r="BD115" s="952"/>
      <c r="BE115" s="952"/>
      <c r="BF115" s="952"/>
      <c r="BG115" s="952"/>
      <c r="BH115" s="952"/>
      <c r="BI115" s="992"/>
      <c r="BJ115" s="952"/>
      <c r="BK115" s="992"/>
      <c r="BL115" s="952"/>
      <c r="BM115" s="952"/>
      <c r="BN115" s="952"/>
      <c r="BO115" s="952"/>
      <c r="BP115" s="965"/>
      <c r="BQ115" s="993"/>
      <c r="BR115" s="994"/>
      <c r="BS115" s="993"/>
      <c r="BT115" s="995"/>
      <c r="BU115" s="995"/>
      <c r="BV115" s="996"/>
      <c r="BW115" s="996"/>
      <c r="BX115" s="996"/>
      <c r="BY115" s="996"/>
      <c r="BZ115" s="996"/>
      <c r="CA115" s="996"/>
      <c r="CB115" s="965"/>
      <c r="CC115" s="965"/>
    </row>
    <row r="116">
      <c r="A116" s="84"/>
      <c r="B116" s="84"/>
      <c r="C116" s="348"/>
      <c r="D116" s="348"/>
      <c r="E116" s="84"/>
      <c r="F116" s="84"/>
      <c r="G116" s="84"/>
      <c r="H116" s="84"/>
      <c r="I116" s="84"/>
      <c r="J116" s="947"/>
      <c r="K116" s="947"/>
      <c r="L116" s="947"/>
      <c r="M116" s="947"/>
      <c r="N116" s="947"/>
      <c r="O116" s="947"/>
      <c r="P116" s="947"/>
      <c r="Q116" s="947"/>
      <c r="R116" s="937"/>
      <c r="S116" s="937"/>
      <c r="T116" s="947"/>
      <c r="U116" s="947"/>
      <c r="V116" s="938"/>
      <c r="W116" s="947"/>
      <c r="X116" s="939"/>
      <c r="Y116" s="947"/>
      <c r="Z116" s="947"/>
      <c r="AA116" s="938"/>
      <c r="AB116" s="947"/>
      <c r="AC116" s="947"/>
      <c r="AD116" s="947"/>
      <c r="AE116" s="947"/>
      <c r="AF116" s="947"/>
      <c r="AG116" s="947"/>
      <c r="AH116" s="948"/>
      <c r="AI116" s="947"/>
      <c r="AJ116" s="947"/>
      <c r="AK116" s="947"/>
      <c r="AL116" s="947"/>
      <c r="AM116" s="947"/>
      <c r="AN116" s="947"/>
      <c r="AO116" s="947"/>
      <c r="AP116" s="947"/>
      <c r="AQ116" s="947"/>
      <c r="AR116" s="938"/>
      <c r="AS116" s="937"/>
      <c r="AT116" s="948"/>
      <c r="AU116" s="947"/>
      <c r="AV116" s="981"/>
      <c r="AW116" s="950"/>
      <c r="AX116" s="950"/>
      <c r="AY116" s="951"/>
      <c r="AZ116" s="950"/>
      <c r="BA116" s="952"/>
      <c r="BB116" s="990"/>
      <c r="BC116" s="991"/>
      <c r="BD116" s="952"/>
      <c r="BE116" s="952"/>
      <c r="BF116" s="952"/>
      <c r="BG116" s="952"/>
      <c r="BH116" s="952"/>
      <c r="BI116" s="992"/>
      <c r="BJ116" s="952"/>
      <c r="BK116" s="992"/>
      <c r="BL116" s="952"/>
      <c r="BM116" s="952"/>
      <c r="BN116" s="952"/>
      <c r="BO116" s="952"/>
      <c r="BP116" s="965"/>
      <c r="BQ116" s="993"/>
      <c r="BR116" s="994"/>
      <c r="BS116" s="993"/>
      <c r="BT116" s="995"/>
      <c r="BU116" s="995"/>
      <c r="BV116" s="996"/>
      <c r="BW116" s="996"/>
      <c r="BX116" s="996"/>
      <c r="BY116" s="996"/>
      <c r="BZ116" s="996"/>
      <c r="CA116" s="996"/>
      <c r="CB116" s="965"/>
      <c r="CC116" s="965"/>
    </row>
    <row r="117">
      <c r="A117" s="84"/>
      <c r="B117" s="84"/>
      <c r="C117" s="348"/>
      <c r="D117" s="348"/>
      <c r="E117" s="84"/>
      <c r="F117" s="84"/>
      <c r="G117" s="84"/>
      <c r="H117" s="84"/>
      <c r="I117" s="84"/>
      <c r="J117" s="947"/>
      <c r="K117" s="947"/>
      <c r="L117" s="947"/>
      <c r="M117" s="947"/>
      <c r="N117" s="947"/>
      <c r="O117" s="947"/>
      <c r="P117" s="947"/>
      <c r="Q117" s="947"/>
      <c r="R117" s="937"/>
      <c r="S117" s="937"/>
      <c r="T117" s="947"/>
      <c r="U117" s="947"/>
      <c r="V117" s="938"/>
      <c r="W117" s="947"/>
      <c r="X117" s="939"/>
      <c r="Y117" s="947"/>
      <c r="Z117" s="947"/>
      <c r="AA117" s="938"/>
      <c r="AB117" s="947"/>
      <c r="AC117" s="947"/>
      <c r="AD117" s="947"/>
      <c r="AE117" s="947"/>
      <c r="AF117" s="947"/>
      <c r="AG117" s="947"/>
      <c r="AH117" s="948"/>
      <c r="AI117" s="947"/>
      <c r="AJ117" s="947"/>
      <c r="AK117" s="947"/>
      <c r="AL117" s="947"/>
      <c r="AM117" s="947"/>
      <c r="AN117" s="947"/>
      <c r="AO117" s="947"/>
      <c r="AP117" s="947"/>
      <c r="AQ117" s="947"/>
      <c r="AR117" s="938"/>
      <c r="AS117" s="937"/>
      <c r="AT117" s="948"/>
      <c r="AU117" s="947"/>
      <c r="AV117" s="981"/>
      <c r="AW117" s="950"/>
      <c r="AX117" s="950"/>
      <c r="AY117" s="951"/>
      <c r="AZ117" s="950"/>
      <c r="BA117" s="952"/>
      <c r="BB117" s="990"/>
      <c r="BC117" s="991"/>
      <c r="BD117" s="952"/>
      <c r="BE117" s="952"/>
      <c r="BF117" s="952"/>
      <c r="BG117" s="952"/>
      <c r="BH117" s="952"/>
      <c r="BI117" s="992"/>
      <c r="BJ117" s="952"/>
      <c r="BK117" s="992"/>
      <c r="BL117" s="952"/>
      <c r="BM117" s="952"/>
      <c r="BN117" s="952"/>
      <c r="BO117" s="952"/>
      <c r="BP117" s="965"/>
      <c r="BQ117" s="993"/>
      <c r="BR117" s="994"/>
      <c r="BS117" s="993"/>
      <c r="BT117" s="995"/>
      <c r="BU117" s="995"/>
      <c r="BV117" s="996"/>
      <c r="BW117" s="996"/>
      <c r="BX117" s="996"/>
      <c r="BY117" s="996"/>
      <c r="BZ117" s="996"/>
      <c r="CA117" s="996"/>
      <c r="CB117" s="965"/>
      <c r="CC117" s="965"/>
    </row>
    <row r="118">
      <c r="A118" s="84"/>
      <c r="B118" s="84"/>
      <c r="C118" s="348"/>
      <c r="D118" s="348"/>
      <c r="E118" s="84"/>
      <c r="F118" s="84"/>
      <c r="G118" s="84"/>
      <c r="H118" s="84"/>
      <c r="I118" s="84"/>
      <c r="J118" s="947"/>
      <c r="K118" s="947"/>
      <c r="L118" s="947"/>
      <c r="M118" s="947"/>
      <c r="N118" s="947"/>
      <c r="O118" s="947"/>
      <c r="P118" s="947"/>
      <c r="Q118" s="947"/>
      <c r="R118" s="937"/>
      <c r="S118" s="937"/>
      <c r="T118" s="947"/>
      <c r="U118" s="947"/>
      <c r="V118" s="938"/>
      <c r="W118" s="947"/>
      <c r="X118" s="939"/>
      <c r="Y118" s="947"/>
      <c r="Z118" s="947"/>
      <c r="AA118" s="938"/>
      <c r="AB118" s="947"/>
      <c r="AC118" s="947"/>
      <c r="AD118" s="947"/>
      <c r="AE118" s="947"/>
      <c r="AF118" s="947"/>
      <c r="AG118" s="947"/>
      <c r="AH118" s="948"/>
      <c r="AI118" s="947"/>
      <c r="AJ118" s="947"/>
      <c r="AK118" s="947"/>
      <c r="AL118" s="947"/>
      <c r="AM118" s="947"/>
      <c r="AN118" s="947"/>
      <c r="AO118" s="947"/>
      <c r="AP118" s="947"/>
      <c r="AQ118" s="947"/>
      <c r="AR118" s="938"/>
      <c r="AS118" s="937"/>
      <c r="AT118" s="948"/>
      <c r="AU118" s="947"/>
      <c r="AV118" s="981"/>
      <c r="AW118" s="950"/>
      <c r="AX118" s="950"/>
      <c r="AY118" s="951"/>
      <c r="AZ118" s="950"/>
      <c r="BA118" s="952"/>
      <c r="BB118" s="990"/>
      <c r="BC118" s="991"/>
      <c r="BD118" s="952"/>
      <c r="BE118" s="952"/>
      <c r="BF118" s="952"/>
      <c r="BG118" s="952"/>
      <c r="BH118" s="952"/>
      <c r="BI118" s="992"/>
      <c r="BJ118" s="952"/>
      <c r="BK118" s="992"/>
      <c r="BL118" s="952"/>
      <c r="BM118" s="952"/>
      <c r="BN118" s="952"/>
      <c r="BO118" s="952"/>
      <c r="BP118" s="965"/>
      <c r="BQ118" s="993"/>
      <c r="BR118" s="994"/>
      <c r="BS118" s="993"/>
      <c r="BT118" s="995"/>
      <c r="BU118" s="995"/>
      <c r="BV118" s="996"/>
      <c r="BW118" s="996"/>
      <c r="BX118" s="996"/>
      <c r="BY118" s="996"/>
      <c r="BZ118" s="996"/>
      <c r="CA118" s="996"/>
      <c r="CB118" s="965"/>
      <c r="CC118" s="965"/>
    </row>
    <row r="119">
      <c r="A119" s="84"/>
      <c r="B119" s="84"/>
      <c r="C119" s="348"/>
      <c r="D119" s="348"/>
      <c r="E119" s="84"/>
      <c r="F119" s="84"/>
      <c r="G119" s="84"/>
      <c r="H119" s="84"/>
      <c r="I119" s="84"/>
      <c r="J119" s="947"/>
      <c r="K119" s="947"/>
      <c r="L119" s="947"/>
      <c r="M119" s="947"/>
      <c r="N119" s="947"/>
      <c r="O119" s="947"/>
      <c r="P119" s="947"/>
      <c r="Q119" s="947"/>
      <c r="R119" s="937"/>
      <c r="S119" s="937"/>
      <c r="T119" s="947"/>
      <c r="U119" s="947"/>
      <c r="V119" s="938"/>
      <c r="W119" s="947"/>
      <c r="X119" s="939"/>
      <c r="Y119" s="947"/>
      <c r="Z119" s="947"/>
      <c r="AA119" s="938"/>
      <c r="AB119" s="947"/>
      <c r="AC119" s="947"/>
      <c r="AD119" s="947"/>
      <c r="AE119" s="947"/>
      <c r="AF119" s="947"/>
      <c r="AG119" s="947"/>
      <c r="AH119" s="948"/>
      <c r="AI119" s="947"/>
      <c r="AJ119" s="947"/>
      <c r="AK119" s="947"/>
      <c r="AL119" s="947"/>
      <c r="AM119" s="947"/>
      <c r="AN119" s="947"/>
      <c r="AO119" s="947"/>
      <c r="AP119" s="947"/>
      <c r="AQ119" s="947"/>
      <c r="AR119" s="938"/>
      <c r="AS119" s="937"/>
      <c r="AT119" s="948"/>
      <c r="AU119" s="947"/>
      <c r="AV119" s="981"/>
      <c r="AW119" s="950"/>
      <c r="AX119" s="950"/>
      <c r="AY119" s="951"/>
      <c r="AZ119" s="950"/>
      <c r="BA119" s="952"/>
      <c r="BB119" s="990"/>
      <c r="BC119" s="991"/>
      <c r="BD119" s="952"/>
      <c r="BE119" s="952"/>
      <c r="BF119" s="952"/>
      <c r="BG119" s="952"/>
      <c r="BH119" s="952"/>
      <c r="BI119" s="992"/>
      <c r="BJ119" s="952"/>
      <c r="BK119" s="992"/>
      <c r="BL119" s="952"/>
      <c r="BM119" s="952"/>
      <c r="BN119" s="952"/>
      <c r="BO119" s="952"/>
      <c r="BP119" s="965"/>
      <c r="BQ119" s="993"/>
      <c r="BR119" s="994"/>
      <c r="BS119" s="993"/>
      <c r="BT119" s="995"/>
      <c r="BU119" s="995"/>
      <c r="BV119" s="996"/>
      <c r="BW119" s="996"/>
      <c r="BX119" s="996"/>
      <c r="BY119" s="996"/>
      <c r="BZ119" s="996"/>
      <c r="CA119" s="996"/>
      <c r="CB119" s="965"/>
      <c r="CC119" s="965"/>
    </row>
    <row r="120">
      <c r="A120" s="84"/>
      <c r="B120" s="84"/>
      <c r="C120" s="348"/>
      <c r="D120" s="348"/>
      <c r="E120" s="84"/>
      <c r="F120" s="84"/>
      <c r="G120" s="84"/>
      <c r="H120" s="84"/>
      <c r="I120" s="84"/>
      <c r="J120" s="947"/>
      <c r="K120" s="947"/>
      <c r="L120" s="947"/>
      <c r="M120" s="947"/>
      <c r="N120" s="947"/>
      <c r="O120" s="947"/>
      <c r="P120" s="947"/>
      <c r="Q120" s="947"/>
      <c r="R120" s="937"/>
      <c r="S120" s="937"/>
      <c r="T120" s="947"/>
      <c r="U120" s="947"/>
      <c r="V120" s="938"/>
      <c r="W120" s="947"/>
      <c r="X120" s="939"/>
      <c r="Y120" s="947"/>
      <c r="Z120" s="947"/>
      <c r="AA120" s="938"/>
      <c r="AB120" s="947"/>
      <c r="AC120" s="947"/>
      <c r="AD120" s="947"/>
      <c r="AE120" s="947"/>
      <c r="AF120" s="947"/>
      <c r="AG120" s="947"/>
      <c r="AH120" s="948"/>
      <c r="AI120" s="947"/>
      <c r="AJ120" s="947"/>
      <c r="AK120" s="947"/>
      <c r="AL120" s="947"/>
      <c r="AM120" s="947"/>
      <c r="AN120" s="947"/>
      <c r="AO120" s="947"/>
      <c r="AP120" s="947"/>
      <c r="AQ120" s="947"/>
      <c r="AR120" s="938"/>
      <c r="AS120" s="937"/>
      <c r="AT120" s="948"/>
      <c r="AU120" s="947"/>
      <c r="AV120" s="981"/>
      <c r="AW120" s="950"/>
      <c r="AX120" s="950"/>
      <c r="AY120" s="951"/>
      <c r="AZ120" s="950"/>
      <c r="BA120" s="952"/>
      <c r="BB120" s="990"/>
      <c r="BC120" s="991"/>
      <c r="BD120" s="952"/>
      <c r="BE120" s="952"/>
      <c r="BF120" s="952"/>
      <c r="BG120" s="952"/>
      <c r="BH120" s="952"/>
      <c r="BI120" s="992"/>
      <c r="BJ120" s="952"/>
      <c r="BK120" s="992"/>
      <c r="BL120" s="952"/>
      <c r="BM120" s="952"/>
      <c r="BN120" s="952"/>
      <c r="BO120" s="952"/>
      <c r="BP120" s="965"/>
      <c r="BQ120" s="993"/>
      <c r="BR120" s="994"/>
      <c r="BS120" s="993"/>
      <c r="BT120" s="995"/>
      <c r="BU120" s="995"/>
      <c r="BV120" s="996"/>
      <c r="BW120" s="996"/>
      <c r="BX120" s="996"/>
      <c r="BY120" s="996"/>
      <c r="BZ120" s="996"/>
      <c r="CA120" s="996"/>
      <c r="CB120" s="965"/>
      <c r="CC120" s="965"/>
    </row>
    <row r="121">
      <c r="A121" s="84"/>
      <c r="B121" s="84"/>
      <c r="C121" s="348"/>
      <c r="D121" s="348"/>
      <c r="E121" s="84"/>
      <c r="F121" s="84"/>
      <c r="G121" s="84"/>
      <c r="H121" s="84"/>
      <c r="I121" s="84"/>
      <c r="J121" s="947"/>
      <c r="K121" s="947"/>
      <c r="L121" s="947"/>
      <c r="M121" s="947"/>
      <c r="N121" s="947"/>
      <c r="O121" s="947"/>
      <c r="P121" s="947"/>
      <c r="Q121" s="947"/>
      <c r="R121" s="937"/>
      <c r="S121" s="937"/>
      <c r="T121" s="947"/>
      <c r="U121" s="947"/>
      <c r="V121" s="938"/>
      <c r="W121" s="947"/>
      <c r="X121" s="939"/>
      <c r="Y121" s="947"/>
      <c r="Z121" s="947"/>
      <c r="AA121" s="938"/>
      <c r="AB121" s="947"/>
      <c r="AC121" s="947"/>
      <c r="AD121" s="947"/>
      <c r="AE121" s="947"/>
      <c r="AF121" s="947"/>
      <c r="AG121" s="947"/>
      <c r="AH121" s="948"/>
      <c r="AI121" s="947"/>
      <c r="AJ121" s="947"/>
      <c r="AK121" s="947"/>
      <c r="AL121" s="947"/>
      <c r="AM121" s="947"/>
      <c r="AN121" s="947"/>
      <c r="AO121" s="947"/>
      <c r="AP121" s="947"/>
      <c r="AQ121" s="947"/>
      <c r="AR121" s="938"/>
      <c r="AS121" s="937"/>
      <c r="AT121" s="948"/>
      <c r="AU121" s="947"/>
      <c r="AV121" s="981"/>
      <c r="AW121" s="950"/>
      <c r="AX121" s="950"/>
      <c r="AY121" s="951"/>
      <c r="AZ121" s="950"/>
      <c r="BA121" s="952"/>
      <c r="BB121" s="990"/>
      <c r="BC121" s="991"/>
      <c r="BD121" s="952"/>
      <c r="BE121" s="952"/>
      <c r="BF121" s="952"/>
      <c r="BG121" s="952"/>
      <c r="BH121" s="952"/>
      <c r="BI121" s="992"/>
      <c r="BJ121" s="952"/>
      <c r="BK121" s="992"/>
      <c r="BL121" s="952"/>
      <c r="BM121" s="952"/>
      <c r="BN121" s="952"/>
      <c r="BO121" s="952"/>
      <c r="BP121" s="965"/>
      <c r="BQ121" s="993"/>
      <c r="BR121" s="994"/>
      <c r="BS121" s="993"/>
      <c r="BT121" s="995"/>
      <c r="BU121" s="995"/>
      <c r="BV121" s="996"/>
      <c r="BW121" s="996"/>
      <c r="BX121" s="996"/>
      <c r="BY121" s="996"/>
      <c r="BZ121" s="996"/>
      <c r="CA121" s="996"/>
      <c r="CB121" s="965"/>
      <c r="CC121" s="965"/>
    </row>
    <row r="122">
      <c r="A122" s="84"/>
      <c r="B122" s="84"/>
      <c r="C122" s="348"/>
      <c r="D122" s="348"/>
      <c r="E122" s="84"/>
      <c r="F122" s="84"/>
      <c r="G122" s="84"/>
      <c r="H122" s="84"/>
      <c r="I122" s="84"/>
      <c r="J122" s="947"/>
      <c r="K122" s="947"/>
      <c r="L122" s="947"/>
      <c r="M122" s="947"/>
      <c r="N122" s="947"/>
      <c r="O122" s="947"/>
      <c r="P122" s="947"/>
      <c r="Q122" s="947"/>
      <c r="R122" s="937"/>
      <c r="S122" s="937"/>
      <c r="T122" s="947"/>
      <c r="U122" s="947"/>
      <c r="V122" s="938"/>
      <c r="W122" s="947"/>
      <c r="X122" s="939"/>
      <c r="Y122" s="947"/>
      <c r="Z122" s="947"/>
      <c r="AA122" s="938"/>
      <c r="AB122" s="947"/>
      <c r="AC122" s="947"/>
      <c r="AD122" s="947"/>
      <c r="AE122" s="947"/>
      <c r="AF122" s="947"/>
      <c r="AG122" s="947"/>
      <c r="AH122" s="948"/>
      <c r="AI122" s="947"/>
      <c r="AJ122" s="947"/>
      <c r="AK122" s="947"/>
      <c r="AL122" s="947"/>
      <c r="AM122" s="947"/>
      <c r="AN122" s="947"/>
      <c r="AO122" s="947"/>
      <c r="AP122" s="947"/>
      <c r="AQ122" s="947"/>
      <c r="AR122" s="938"/>
      <c r="AS122" s="937"/>
      <c r="AT122" s="948"/>
      <c r="AU122" s="947"/>
      <c r="AV122" s="981"/>
      <c r="AW122" s="950"/>
      <c r="AX122" s="950"/>
      <c r="AY122" s="951"/>
      <c r="AZ122" s="950"/>
      <c r="BA122" s="952"/>
      <c r="BB122" s="990"/>
      <c r="BC122" s="991"/>
      <c r="BD122" s="952"/>
      <c r="BE122" s="952"/>
      <c r="BF122" s="952"/>
      <c r="BG122" s="952"/>
      <c r="BH122" s="952"/>
      <c r="BI122" s="992"/>
      <c r="BJ122" s="952"/>
      <c r="BK122" s="992"/>
      <c r="BL122" s="952"/>
      <c r="BM122" s="952"/>
      <c r="BN122" s="952"/>
      <c r="BO122" s="952"/>
      <c r="BP122" s="965"/>
      <c r="BQ122" s="993"/>
      <c r="BR122" s="994"/>
      <c r="BS122" s="993"/>
      <c r="BT122" s="995"/>
      <c r="BU122" s="995"/>
      <c r="BV122" s="996"/>
      <c r="BW122" s="996"/>
      <c r="BX122" s="996"/>
      <c r="BY122" s="996"/>
      <c r="BZ122" s="996"/>
      <c r="CA122" s="996"/>
      <c r="CB122" s="965"/>
      <c r="CC122" s="965"/>
    </row>
    <row r="123">
      <c r="A123" s="84"/>
      <c r="B123" s="84"/>
      <c r="C123" s="348"/>
      <c r="D123" s="348"/>
      <c r="E123" s="84"/>
      <c r="F123" s="84"/>
      <c r="G123" s="84"/>
      <c r="H123" s="84"/>
      <c r="I123" s="84"/>
      <c r="J123" s="947"/>
      <c r="K123" s="947"/>
      <c r="L123" s="947"/>
      <c r="M123" s="947"/>
      <c r="N123" s="947"/>
      <c r="O123" s="947"/>
      <c r="P123" s="947"/>
      <c r="Q123" s="947"/>
      <c r="R123" s="937"/>
      <c r="S123" s="937"/>
      <c r="T123" s="947"/>
      <c r="U123" s="947"/>
      <c r="V123" s="938"/>
      <c r="W123" s="947"/>
      <c r="X123" s="939"/>
      <c r="Y123" s="947"/>
      <c r="Z123" s="947"/>
      <c r="AA123" s="938"/>
      <c r="AB123" s="947"/>
      <c r="AC123" s="947"/>
      <c r="AD123" s="947"/>
      <c r="AE123" s="947"/>
      <c r="AF123" s="947"/>
      <c r="AG123" s="947"/>
      <c r="AH123" s="948"/>
      <c r="AI123" s="947"/>
      <c r="AJ123" s="947"/>
      <c r="AK123" s="947"/>
      <c r="AL123" s="947"/>
      <c r="AM123" s="947"/>
      <c r="AN123" s="947"/>
      <c r="AO123" s="947"/>
      <c r="AP123" s="947"/>
      <c r="AQ123" s="947"/>
      <c r="AR123" s="938"/>
      <c r="AS123" s="937"/>
      <c r="AT123" s="948"/>
      <c r="AU123" s="947"/>
      <c r="AV123" s="981"/>
      <c r="AW123" s="950"/>
      <c r="AX123" s="950"/>
      <c r="AY123" s="951"/>
      <c r="AZ123" s="950"/>
      <c r="BA123" s="952"/>
      <c r="BB123" s="990"/>
      <c r="BC123" s="991"/>
      <c r="BD123" s="952"/>
      <c r="BE123" s="952"/>
      <c r="BF123" s="952"/>
      <c r="BG123" s="952"/>
      <c r="BH123" s="952"/>
      <c r="BI123" s="992"/>
      <c r="BJ123" s="952"/>
      <c r="BK123" s="992"/>
      <c r="BL123" s="952"/>
      <c r="BM123" s="952"/>
      <c r="BN123" s="952"/>
      <c r="BO123" s="952"/>
      <c r="BP123" s="965"/>
      <c r="BQ123" s="993"/>
      <c r="BR123" s="994"/>
      <c r="BS123" s="993"/>
      <c r="BT123" s="995"/>
      <c r="BU123" s="995"/>
      <c r="BV123" s="996"/>
      <c r="BW123" s="996"/>
      <c r="BX123" s="996"/>
      <c r="BY123" s="996"/>
      <c r="BZ123" s="996"/>
      <c r="CA123" s="996"/>
      <c r="CB123" s="965"/>
      <c r="CC123" s="965"/>
    </row>
    <row r="124">
      <c r="A124" s="84"/>
      <c r="B124" s="84"/>
      <c r="C124" s="348"/>
      <c r="D124" s="348"/>
      <c r="E124" s="84"/>
      <c r="F124" s="84"/>
      <c r="G124" s="84"/>
      <c r="H124" s="84"/>
      <c r="I124" s="84"/>
      <c r="J124" s="947"/>
      <c r="K124" s="947"/>
      <c r="L124" s="947"/>
      <c r="M124" s="947"/>
      <c r="N124" s="947"/>
      <c r="O124" s="947"/>
      <c r="P124" s="947"/>
      <c r="Q124" s="947"/>
      <c r="R124" s="937"/>
      <c r="S124" s="937"/>
      <c r="T124" s="947"/>
      <c r="U124" s="947"/>
      <c r="V124" s="938"/>
      <c r="W124" s="947"/>
      <c r="X124" s="939"/>
      <c r="Y124" s="947"/>
      <c r="Z124" s="947"/>
      <c r="AA124" s="938"/>
      <c r="AB124" s="947"/>
      <c r="AC124" s="947"/>
      <c r="AD124" s="947"/>
      <c r="AE124" s="947"/>
      <c r="AF124" s="947"/>
      <c r="AG124" s="947"/>
      <c r="AH124" s="948"/>
      <c r="AI124" s="947"/>
      <c r="AJ124" s="947"/>
      <c r="AK124" s="947"/>
      <c r="AL124" s="947"/>
      <c r="AM124" s="947"/>
      <c r="AN124" s="947"/>
      <c r="AO124" s="947"/>
      <c r="AP124" s="947"/>
      <c r="AQ124" s="947"/>
      <c r="AR124" s="938"/>
      <c r="AS124" s="937"/>
      <c r="AT124" s="948"/>
      <c r="AU124" s="947"/>
      <c r="AV124" s="981"/>
      <c r="AW124" s="950"/>
      <c r="AX124" s="950"/>
      <c r="AY124" s="951"/>
      <c r="AZ124" s="950"/>
      <c r="BA124" s="952"/>
      <c r="BB124" s="990"/>
      <c r="BC124" s="991"/>
      <c r="BD124" s="952"/>
      <c r="BE124" s="952"/>
      <c r="BF124" s="952"/>
      <c r="BG124" s="952"/>
      <c r="BH124" s="952"/>
      <c r="BI124" s="992"/>
      <c r="BJ124" s="952"/>
      <c r="BK124" s="992"/>
      <c r="BL124" s="952"/>
      <c r="BM124" s="952"/>
      <c r="BN124" s="952"/>
      <c r="BO124" s="952"/>
      <c r="BP124" s="965"/>
      <c r="BQ124" s="993"/>
      <c r="BR124" s="994"/>
      <c r="BS124" s="993"/>
      <c r="BT124" s="995"/>
      <c r="BU124" s="995"/>
      <c r="BV124" s="996"/>
      <c r="BW124" s="996"/>
      <c r="BX124" s="996"/>
      <c r="BY124" s="996"/>
      <c r="BZ124" s="996"/>
      <c r="CA124" s="996"/>
      <c r="CB124" s="965"/>
      <c r="CC124" s="965"/>
    </row>
    <row r="125">
      <c r="A125" s="84"/>
      <c r="B125" s="84"/>
      <c r="C125" s="348"/>
      <c r="D125" s="348"/>
      <c r="E125" s="84"/>
      <c r="F125" s="84"/>
      <c r="G125" s="84"/>
      <c r="H125" s="84"/>
      <c r="I125" s="84"/>
      <c r="J125" s="947"/>
      <c r="K125" s="947"/>
      <c r="L125" s="947"/>
      <c r="M125" s="947"/>
      <c r="N125" s="947"/>
      <c r="O125" s="947"/>
      <c r="P125" s="947"/>
      <c r="Q125" s="947"/>
      <c r="R125" s="937"/>
      <c r="S125" s="937"/>
      <c r="T125" s="947"/>
      <c r="U125" s="947"/>
      <c r="V125" s="938"/>
      <c r="W125" s="947"/>
      <c r="X125" s="939"/>
      <c r="Y125" s="947"/>
      <c r="Z125" s="947"/>
      <c r="AA125" s="938"/>
      <c r="AB125" s="947"/>
      <c r="AC125" s="947"/>
      <c r="AD125" s="947"/>
      <c r="AE125" s="947"/>
      <c r="AF125" s="947"/>
      <c r="AG125" s="947"/>
      <c r="AH125" s="948"/>
      <c r="AI125" s="947"/>
      <c r="AJ125" s="947"/>
      <c r="AK125" s="947"/>
      <c r="AL125" s="947"/>
      <c r="AM125" s="947"/>
      <c r="AN125" s="947"/>
      <c r="AO125" s="947"/>
      <c r="AP125" s="947"/>
      <c r="AQ125" s="947"/>
      <c r="AR125" s="938"/>
      <c r="AS125" s="937"/>
      <c r="AT125" s="948"/>
      <c r="AU125" s="947"/>
      <c r="AV125" s="981"/>
      <c r="AW125" s="950"/>
      <c r="AX125" s="950"/>
      <c r="AY125" s="951"/>
      <c r="AZ125" s="950"/>
      <c r="BA125" s="952"/>
      <c r="BB125" s="990"/>
      <c r="BC125" s="991"/>
      <c r="BD125" s="952"/>
      <c r="BE125" s="952"/>
      <c r="BF125" s="952"/>
      <c r="BG125" s="952"/>
      <c r="BH125" s="952"/>
      <c r="BI125" s="992"/>
      <c r="BJ125" s="952"/>
      <c r="BK125" s="992"/>
      <c r="BL125" s="952"/>
      <c r="BM125" s="952"/>
      <c r="BN125" s="952"/>
      <c r="BO125" s="952"/>
      <c r="BP125" s="965"/>
      <c r="BQ125" s="993"/>
      <c r="BR125" s="994"/>
      <c r="BS125" s="993"/>
      <c r="BT125" s="995"/>
      <c r="BU125" s="995"/>
      <c r="BV125" s="996"/>
      <c r="BW125" s="996"/>
      <c r="BX125" s="996"/>
      <c r="BY125" s="996"/>
      <c r="BZ125" s="996"/>
      <c r="CA125" s="996"/>
      <c r="CB125" s="965"/>
      <c r="CC125" s="965"/>
    </row>
    <row r="126">
      <c r="A126" s="84"/>
      <c r="B126" s="84"/>
      <c r="C126" s="348"/>
      <c r="D126" s="348"/>
      <c r="E126" s="84"/>
      <c r="F126" s="84"/>
      <c r="G126" s="84"/>
      <c r="H126" s="84"/>
      <c r="I126" s="84"/>
      <c r="J126" s="947"/>
      <c r="K126" s="947"/>
      <c r="L126" s="947"/>
      <c r="M126" s="947"/>
      <c r="N126" s="947"/>
      <c r="O126" s="947"/>
      <c r="P126" s="947"/>
      <c r="Q126" s="947"/>
      <c r="R126" s="937"/>
      <c r="S126" s="937"/>
      <c r="T126" s="947"/>
      <c r="U126" s="947"/>
      <c r="V126" s="938"/>
      <c r="W126" s="947"/>
      <c r="X126" s="939"/>
      <c r="Y126" s="947"/>
      <c r="Z126" s="947"/>
      <c r="AA126" s="938"/>
      <c r="AB126" s="947"/>
      <c r="AC126" s="947"/>
      <c r="AD126" s="947"/>
      <c r="AE126" s="947"/>
      <c r="AF126" s="947"/>
      <c r="AG126" s="947"/>
      <c r="AH126" s="948"/>
      <c r="AI126" s="947"/>
      <c r="AJ126" s="947"/>
      <c r="AK126" s="947"/>
      <c r="AL126" s="947"/>
      <c r="AM126" s="947"/>
      <c r="AN126" s="947"/>
      <c r="AO126" s="947"/>
      <c r="AP126" s="947"/>
      <c r="AQ126" s="947"/>
      <c r="AR126" s="938"/>
      <c r="AS126" s="937"/>
      <c r="AT126" s="948"/>
      <c r="AU126" s="947"/>
      <c r="AV126" s="981"/>
      <c r="AW126" s="950"/>
      <c r="AX126" s="950"/>
      <c r="AY126" s="951"/>
      <c r="AZ126" s="950"/>
      <c r="BA126" s="952"/>
      <c r="BB126" s="990"/>
      <c r="BC126" s="991"/>
      <c r="BD126" s="952"/>
      <c r="BE126" s="952"/>
      <c r="BF126" s="952"/>
      <c r="BG126" s="952"/>
      <c r="BH126" s="952"/>
      <c r="BI126" s="992"/>
      <c r="BJ126" s="952"/>
      <c r="BK126" s="992"/>
      <c r="BL126" s="952"/>
      <c r="BM126" s="952"/>
      <c r="BN126" s="952"/>
      <c r="BO126" s="952"/>
      <c r="BP126" s="965"/>
      <c r="BQ126" s="993"/>
      <c r="BR126" s="994"/>
      <c r="BS126" s="993"/>
      <c r="BT126" s="995"/>
      <c r="BU126" s="995"/>
      <c r="BV126" s="996"/>
      <c r="BW126" s="996"/>
      <c r="BX126" s="996"/>
      <c r="BY126" s="996"/>
      <c r="BZ126" s="996"/>
      <c r="CA126" s="996"/>
      <c r="CB126" s="965"/>
      <c r="CC126" s="965"/>
    </row>
    <row r="127">
      <c r="A127" s="84"/>
      <c r="B127" s="84"/>
      <c r="C127" s="348"/>
      <c r="D127" s="348"/>
      <c r="E127" s="84"/>
      <c r="F127" s="84"/>
      <c r="G127" s="84"/>
      <c r="H127" s="84"/>
      <c r="I127" s="84"/>
      <c r="J127" s="947"/>
      <c r="K127" s="947"/>
      <c r="L127" s="947"/>
      <c r="M127" s="947"/>
      <c r="N127" s="947"/>
      <c r="O127" s="947"/>
      <c r="P127" s="947"/>
      <c r="Q127" s="947"/>
      <c r="R127" s="937"/>
      <c r="S127" s="937"/>
      <c r="T127" s="947"/>
      <c r="U127" s="947"/>
      <c r="V127" s="938"/>
      <c r="W127" s="947"/>
      <c r="X127" s="939"/>
      <c r="Y127" s="947"/>
      <c r="Z127" s="947"/>
      <c r="AA127" s="938"/>
      <c r="AB127" s="947"/>
      <c r="AC127" s="947"/>
      <c r="AD127" s="947"/>
      <c r="AE127" s="947"/>
      <c r="AF127" s="947"/>
      <c r="AG127" s="947"/>
      <c r="AH127" s="948"/>
      <c r="AI127" s="947"/>
      <c r="AJ127" s="947"/>
      <c r="AK127" s="947"/>
      <c r="AL127" s="947"/>
      <c r="AM127" s="947"/>
      <c r="AN127" s="947"/>
      <c r="AO127" s="947"/>
      <c r="AP127" s="947"/>
      <c r="AQ127" s="947"/>
      <c r="AR127" s="938"/>
      <c r="AS127" s="937"/>
      <c r="AT127" s="948"/>
      <c r="AU127" s="947"/>
      <c r="AV127" s="981"/>
      <c r="AW127" s="950"/>
      <c r="AX127" s="950"/>
      <c r="AY127" s="951"/>
      <c r="AZ127" s="950"/>
      <c r="BA127" s="952"/>
      <c r="BB127" s="990"/>
      <c r="BC127" s="991"/>
      <c r="BD127" s="952"/>
      <c r="BE127" s="952"/>
      <c r="BF127" s="952"/>
      <c r="BG127" s="952"/>
      <c r="BH127" s="952"/>
      <c r="BI127" s="992"/>
      <c r="BJ127" s="952"/>
      <c r="BK127" s="992"/>
      <c r="BL127" s="952"/>
      <c r="BM127" s="952"/>
      <c r="BN127" s="952"/>
      <c r="BO127" s="952"/>
      <c r="BP127" s="965"/>
      <c r="BQ127" s="993"/>
      <c r="BR127" s="994"/>
      <c r="BS127" s="993"/>
      <c r="BT127" s="995"/>
      <c r="BU127" s="995"/>
      <c r="BV127" s="996"/>
      <c r="BW127" s="996"/>
      <c r="BX127" s="996"/>
      <c r="BY127" s="996"/>
      <c r="BZ127" s="996"/>
      <c r="CA127" s="996"/>
      <c r="CB127" s="965"/>
      <c r="CC127" s="965"/>
    </row>
    <row r="128">
      <c r="A128" s="84"/>
      <c r="B128" s="84"/>
      <c r="C128" s="348"/>
      <c r="D128" s="348"/>
      <c r="E128" s="84"/>
      <c r="F128" s="84"/>
      <c r="G128" s="84"/>
      <c r="H128" s="84"/>
      <c r="I128" s="84"/>
      <c r="J128" s="947"/>
      <c r="K128" s="947"/>
      <c r="L128" s="947"/>
      <c r="M128" s="947"/>
      <c r="N128" s="947"/>
      <c r="O128" s="947"/>
      <c r="P128" s="947"/>
      <c r="Q128" s="947"/>
      <c r="R128" s="937"/>
      <c r="S128" s="937"/>
      <c r="T128" s="947"/>
      <c r="U128" s="947"/>
      <c r="V128" s="938"/>
      <c r="W128" s="947"/>
      <c r="X128" s="939"/>
      <c r="Y128" s="947"/>
      <c r="Z128" s="947"/>
      <c r="AA128" s="938"/>
      <c r="AB128" s="947"/>
      <c r="AC128" s="947"/>
      <c r="AD128" s="947"/>
      <c r="AE128" s="947"/>
      <c r="AF128" s="947"/>
      <c r="AG128" s="947"/>
      <c r="AH128" s="948"/>
      <c r="AI128" s="947"/>
      <c r="AJ128" s="947"/>
      <c r="AK128" s="947"/>
      <c r="AL128" s="947"/>
      <c r="AM128" s="947"/>
      <c r="AN128" s="947"/>
      <c r="AO128" s="947"/>
      <c r="AP128" s="947"/>
      <c r="AQ128" s="947"/>
      <c r="AR128" s="938"/>
      <c r="AS128" s="937"/>
      <c r="AT128" s="948"/>
      <c r="AU128" s="947"/>
      <c r="AV128" s="981"/>
      <c r="AW128" s="950"/>
      <c r="AX128" s="950"/>
      <c r="AY128" s="951"/>
      <c r="AZ128" s="950"/>
      <c r="BA128" s="952"/>
      <c r="BB128" s="990"/>
      <c r="BC128" s="991"/>
      <c r="BD128" s="952"/>
      <c r="BE128" s="952"/>
      <c r="BF128" s="952"/>
      <c r="BG128" s="952"/>
      <c r="BH128" s="952"/>
      <c r="BI128" s="992"/>
      <c r="BJ128" s="952"/>
      <c r="BK128" s="992"/>
      <c r="BL128" s="952"/>
      <c r="BM128" s="952"/>
      <c r="BN128" s="952"/>
      <c r="BO128" s="952"/>
      <c r="BP128" s="965"/>
      <c r="BQ128" s="993"/>
      <c r="BR128" s="994"/>
      <c r="BS128" s="993"/>
      <c r="BT128" s="995"/>
      <c r="BU128" s="995"/>
      <c r="BV128" s="996"/>
      <c r="BW128" s="996"/>
      <c r="BX128" s="996"/>
      <c r="BY128" s="996"/>
      <c r="BZ128" s="996"/>
      <c r="CA128" s="996"/>
      <c r="CB128" s="965"/>
      <c r="CC128" s="965"/>
    </row>
    <row r="129">
      <c r="A129" s="84"/>
      <c r="B129" s="84"/>
      <c r="C129" s="348"/>
      <c r="D129" s="348"/>
      <c r="E129" s="84"/>
      <c r="F129" s="84"/>
      <c r="G129" s="84"/>
      <c r="H129" s="84"/>
      <c r="I129" s="84"/>
      <c r="J129" s="947"/>
      <c r="K129" s="947"/>
      <c r="L129" s="947"/>
      <c r="M129" s="947"/>
      <c r="N129" s="947"/>
      <c r="O129" s="947"/>
      <c r="P129" s="947"/>
      <c r="Q129" s="947"/>
      <c r="R129" s="937"/>
      <c r="S129" s="937"/>
      <c r="T129" s="947"/>
      <c r="U129" s="947"/>
      <c r="V129" s="938"/>
      <c r="W129" s="947"/>
      <c r="X129" s="939"/>
      <c r="Y129" s="947"/>
      <c r="Z129" s="947"/>
      <c r="AA129" s="938"/>
      <c r="AB129" s="947"/>
      <c r="AC129" s="947"/>
      <c r="AD129" s="947"/>
      <c r="AE129" s="947"/>
      <c r="AF129" s="947"/>
      <c r="AG129" s="947"/>
      <c r="AH129" s="948"/>
      <c r="AI129" s="947"/>
      <c r="AJ129" s="947"/>
      <c r="AK129" s="947"/>
      <c r="AL129" s="947"/>
      <c r="AM129" s="947"/>
      <c r="AN129" s="947"/>
      <c r="AO129" s="947"/>
      <c r="AP129" s="947"/>
      <c r="AQ129" s="947"/>
      <c r="AR129" s="938"/>
      <c r="AS129" s="937"/>
      <c r="AT129" s="948"/>
      <c r="AU129" s="947"/>
      <c r="AV129" s="981"/>
      <c r="AW129" s="950"/>
      <c r="AX129" s="950"/>
      <c r="AY129" s="951"/>
      <c r="AZ129" s="950"/>
      <c r="BA129" s="952"/>
      <c r="BB129" s="990"/>
      <c r="BC129" s="991"/>
      <c r="BD129" s="952"/>
      <c r="BE129" s="952"/>
      <c r="BF129" s="952"/>
      <c r="BG129" s="952"/>
      <c r="BH129" s="952"/>
      <c r="BI129" s="992"/>
      <c r="BJ129" s="952"/>
      <c r="BK129" s="992"/>
      <c r="BL129" s="952"/>
      <c r="BM129" s="952"/>
      <c r="BN129" s="952"/>
      <c r="BO129" s="952"/>
      <c r="BP129" s="965"/>
      <c r="BQ129" s="993"/>
      <c r="BR129" s="994"/>
      <c r="BS129" s="993"/>
      <c r="BT129" s="995"/>
      <c r="BU129" s="995"/>
      <c r="BV129" s="996"/>
      <c r="BW129" s="996"/>
      <c r="BX129" s="996"/>
      <c r="BY129" s="996"/>
      <c r="BZ129" s="996"/>
      <c r="CA129" s="996"/>
      <c r="CB129" s="965"/>
      <c r="CC129" s="965"/>
    </row>
    <row r="130">
      <c r="A130" s="84"/>
      <c r="B130" s="84"/>
      <c r="C130" s="348"/>
      <c r="D130" s="348"/>
      <c r="E130" s="84"/>
      <c r="F130" s="84"/>
      <c r="G130" s="84"/>
      <c r="H130" s="84"/>
      <c r="I130" s="84"/>
      <c r="J130" s="947"/>
      <c r="K130" s="947"/>
      <c r="L130" s="947"/>
      <c r="M130" s="947"/>
      <c r="N130" s="947"/>
      <c r="O130" s="947"/>
      <c r="P130" s="947"/>
      <c r="Q130" s="947"/>
      <c r="R130" s="937"/>
      <c r="S130" s="937"/>
      <c r="T130" s="947"/>
      <c r="U130" s="947"/>
      <c r="V130" s="938"/>
      <c r="W130" s="947"/>
      <c r="X130" s="939"/>
      <c r="Y130" s="947"/>
      <c r="Z130" s="947"/>
      <c r="AA130" s="938"/>
      <c r="AB130" s="947"/>
      <c r="AC130" s="947"/>
      <c r="AD130" s="947"/>
      <c r="AE130" s="947"/>
      <c r="AF130" s="947"/>
      <c r="AG130" s="947"/>
      <c r="AH130" s="948"/>
      <c r="AI130" s="947"/>
      <c r="AJ130" s="947"/>
      <c r="AK130" s="947"/>
      <c r="AL130" s="947"/>
      <c r="AM130" s="947"/>
      <c r="AN130" s="947"/>
      <c r="AO130" s="947"/>
      <c r="AP130" s="947"/>
      <c r="AQ130" s="947"/>
      <c r="AR130" s="938"/>
      <c r="AS130" s="937"/>
      <c r="AT130" s="948"/>
      <c r="AU130" s="947"/>
      <c r="AV130" s="981"/>
      <c r="AW130" s="950"/>
      <c r="AX130" s="950"/>
      <c r="AY130" s="951"/>
      <c r="AZ130" s="950"/>
      <c r="BA130" s="952"/>
      <c r="BB130" s="990"/>
      <c r="BC130" s="991"/>
      <c r="BD130" s="952"/>
      <c r="BE130" s="952"/>
      <c r="BF130" s="952"/>
      <c r="BG130" s="952"/>
      <c r="BH130" s="952"/>
      <c r="BI130" s="992"/>
      <c r="BJ130" s="952"/>
      <c r="BK130" s="992"/>
      <c r="BL130" s="952"/>
      <c r="BM130" s="952"/>
      <c r="BN130" s="952"/>
      <c r="BO130" s="952"/>
      <c r="BP130" s="965"/>
      <c r="BQ130" s="993"/>
      <c r="BR130" s="994"/>
      <c r="BS130" s="993"/>
      <c r="BT130" s="995"/>
      <c r="BU130" s="995"/>
      <c r="BV130" s="996"/>
      <c r="BW130" s="996"/>
      <c r="BX130" s="996"/>
      <c r="BY130" s="996"/>
      <c r="BZ130" s="996"/>
      <c r="CA130" s="996"/>
      <c r="CB130" s="965"/>
      <c r="CC130" s="965"/>
    </row>
    <row r="131">
      <c r="A131" s="84"/>
      <c r="B131" s="84"/>
      <c r="C131" s="348"/>
      <c r="D131" s="348"/>
      <c r="E131" s="84"/>
      <c r="F131" s="84"/>
      <c r="G131" s="84"/>
      <c r="H131" s="84"/>
      <c r="I131" s="84"/>
      <c r="J131" s="947"/>
      <c r="K131" s="947"/>
      <c r="L131" s="947"/>
      <c r="M131" s="947"/>
      <c r="N131" s="947"/>
      <c r="O131" s="947"/>
      <c r="P131" s="947"/>
      <c r="Q131" s="947"/>
      <c r="R131" s="937"/>
      <c r="S131" s="937"/>
      <c r="T131" s="947"/>
      <c r="U131" s="947"/>
      <c r="V131" s="938"/>
      <c r="W131" s="947"/>
      <c r="X131" s="939"/>
      <c r="Y131" s="947"/>
      <c r="Z131" s="947"/>
      <c r="AA131" s="938"/>
      <c r="AB131" s="947"/>
      <c r="AC131" s="947"/>
      <c r="AD131" s="947"/>
      <c r="AE131" s="947"/>
      <c r="AF131" s="947"/>
      <c r="AG131" s="947"/>
      <c r="AH131" s="948"/>
      <c r="AI131" s="947"/>
      <c r="AJ131" s="947"/>
      <c r="AK131" s="947"/>
      <c r="AL131" s="947"/>
      <c r="AM131" s="947"/>
      <c r="AN131" s="947"/>
      <c r="AO131" s="947"/>
      <c r="AP131" s="947"/>
      <c r="AQ131" s="947"/>
      <c r="AR131" s="938"/>
      <c r="AS131" s="937"/>
      <c r="AT131" s="948"/>
      <c r="AU131" s="947"/>
      <c r="AV131" s="981"/>
      <c r="AW131" s="950"/>
      <c r="AX131" s="950"/>
      <c r="AY131" s="951"/>
      <c r="AZ131" s="950"/>
      <c r="BA131" s="952"/>
      <c r="BB131" s="990"/>
      <c r="BC131" s="991"/>
      <c r="BD131" s="952"/>
      <c r="BE131" s="952"/>
      <c r="BF131" s="952"/>
      <c r="BG131" s="952"/>
      <c r="BH131" s="952"/>
      <c r="BI131" s="992"/>
      <c r="BJ131" s="952"/>
      <c r="BK131" s="992"/>
      <c r="BL131" s="952"/>
      <c r="BM131" s="952"/>
      <c r="BN131" s="952"/>
      <c r="BO131" s="952"/>
      <c r="BP131" s="965"/>
      <c r="BQ131" s="993"/>
      <c r="BR131" s="994"/>
      <c r="BS131" s="993"/>
      <c r="BT131" s="995"/>
      <c r="BU131" s="995"/>
      <c r="BV131" s="996"/>
      <c r="BW131" s="996"/>
      <c r="BX131" s="996"/>
      <c r="BY131" s="996"/>
      <c r="BZ131" s="996"/>
      <c r="CA131" s="996"/>
      <c r="CB131" s="965"/>
      <c r="CC131" s="965"/>
    </row>
    <row r="132">
      <c r="A132" s="84"/>
      <c r="B132" s="84"/>
      <c r="C132" s="348"/>
      <c r="D132" s="348"/>
      <c r="E132" s="84"/>
      <c r="F132" s="84"/>
      <c r="G132" s="84"/>
      <c r="H132" s="84"/>
      <c r="I132" s="84"/>
      <c r="J132" s="947"/>
      <c r="K132" s="947"/>
      <c r="L132" s="947"/>
      <c r="M132" s="947"/>
      <c r="N132" s="947"/>
      <c r="O132" s="947"/>
      <c r="P132" s="947"/>
      <c r="Q132" s="947"/>
      <c r="R132" s="937"/>
      <c r="S132" s="937"/>
      <c r="T132" s="947"/>
      <c r="U132" s="947"/>
      <c r="V132" s="938"/>
      <c r="W132" s="947"/>
      <c r="X132" s="939"/>
      <c r="Y132" s="947"/>
      <c r="Z132" s="947"/>
      <c r="AA132" s="938"/>
      <c r="AB132" s="947"/>
      <c r="AC132" s="947"/>
      <c r="AD132" s="947"/>
      <c r="AE132" s="947"/>
      <c r="AF132" s="947"/>
      <c r="AG132" s="947"/>
      <c r="AH132" s="948"/>
      <c r="AI132" s="947"/>
      <c r="AJ132" s="947"/>
      <c r="AK132" s="947"/>
      <c r="AL132" s="947"/>
      <c r="AM132" s="947"/>
      <c r="AN132" s="947"/>
      <c r="AO132" s="947"/>
      <c r="AP132" s="947"/>
      <c r="AQ132" s="947"/>
      <c r="AR132" s="938"/>
      <c r="AS132" s="937"/>
      <c r="AT132" s="948"/>
      <c r="AU132" s="947"/>
      <c r="AV132" s="981"/>
      <c r="AW132" s="950"/>
      <c r="AX132" s="950"/>
      <c r="AY132" s="951"/>
      <c r="AZ132" s="950"/>
      <c r="BA132" s="952"/>
      <c r="BB132" s="990"/>
      <c r="BC132" s="991"/>
      <c r="BD132" s="952"/>
      <c r="BE132" s="952"/>
      <c r="BF132" s="952"/>
      <c r="BG132" s="952"/>
      <c r="BH132" s="952"/>
      <c r="BI132" s="992"/>
      <c r="BJ132" s="952"/>
      <c r="BK132" s="992"/>
      <c r="BL132" s="952"/>
      <c r="BM132" s="952"/>
      <c r="BN132" s="952"/>
      <c r="BO132" s="952"/>
      <c r="BP132" s="965"/>
      <c r="BQ132" s="993"/>
      <c r="BR132" s="994"/>
      <c r="BS132" s="993"/>
      <c r="BT132" s="995"/>
      <c r="BU132" s="995"/>
      <c r="BV132" s="996"/>
      <c r="BW132" s="996"/>
      <c r="BX132" s="996"/>
      <c r="BY132" s="996"/>
      <c r="BZ132" s="996"/>
      <c r="CA132" s="996"/>
      <c r="CB132" s="965"/>
      <c r="CC132" s="965"/>
    </row>
    <row r="133">
      <c r="A133" s="84"/>
      <c r="B133" s="84"/>
      <c r="C133" s="348"/>
      <c r="D133" s="348"/>
      <c r="E133" s="84"/>
      <c r="F133" s="84"/>
      <c r="G133" s="84"/>
      <c r="H133" s="84"/>
      <c r="I133" s="84"/>
      <c r="J133" s="947"/>
      <c r="K133" s="947"/>
      <c r="L133" s="947"/>
      <c r="M133" s="947"/>
      <c r="N133" s="947"/>
      <c r="O133" s="947"/>
      <c r="P133" s="947"/>
      <c r="Q133" s="947"/>
      <c r="R133" s="937"/>
      <c r="S133" s="937"/>
      <c r="T133" s="947"/>
      <c r="U133" s="947"/>
      <c r="V133" s="938"/>
      <c r="W133" s="947"/>
      <c r="X133" s="939"/>
      <c r="Y133" s="947"/>
      <c r="Z133" s="947"/>
      <c r="AA133" s="938"/>
      <c r="AB133" s="947"/>
      <c r="AC133" s="947"/>
      <c r="AD133" s="947"/>
      <c r="AE133" s="947"/>
      <c r="AF133" s="947"/>
      <c r="AG133" s="947"/>
      <c r="AH133" s="948"/>
      <c r="AI133" s="947"/>
      <c r="AJ133" s="947"/>
      <c r="AK133" s="947"/>
      <c r="AL133" s="947"/>
      <c r="AM133" s="947"/>
      <c r="AN133" s="947"/>
      <c r="AO133" s="947"/>
      <c r="AP133" s="947"/>
      <c r="AQ133" s="947"/>
      <c r="AR133" s="938"/>
      <c r="AS133" s="937"/>
      <c r="AT133" s="948"/>
      <c r="AU133" s="947"/>
      <c r="AV133" s="981"/>
      <c r="AW133" s="950"/>
      <c r="AX133" s="950"/>
      <c r="AY133" s="951"/>
      <c r="AZ133" s="950"/>
      <c r="BA133" s="952"/>
      <c r="BB133" s="990"/>
      <c r="BC133" s="991"/>
      <c r="BD133" s="952"/>
      <c r="BE133" s="952"/>
      <c r="BF133" s="952"/>
      <c r="BG133" s="952"/>
      <c r="BH133" s="952"/>
      <c r="BI133" s="992"/>
      <c r="BJ133" s="952"/>
      <c r="BK133" s="992"/>
      <c r="BL133" s="952"/>
      <c r="BM133" s="952"/>
      <c r="BN133" s="952"/>
      <c r="BO133" s="952"/>
      <c r="BP133" s="965"/>
      <c r="BQ133" s="993"/>
      <c r="BR133" s="994"/>
      <c r="BS133" s="993"/>
      <c r="BT133" s="995"/>
      <c r="BU133" s="995"/>
      <c r="BV133" s="996"/>
      <c r="BW133" s="996"/>
      <c r="BX133" s="996"/>
      <c r="BY133" s="996"/>
      <c r="BZ133" s="996"/>
      <c r="CA133" s="996"/>
      <c r="CB133" s="965"/>
      <c r="CC133" s="965"/>
    </row>
    <row r="134">
      <c r="A134" s="84"/>
      <c r="B134" s="84"/>
      <c r="C134" s="348"/>
      <c r="D134" s="348"/>
      <c r="E134" s="84"/>
      <c r="F134" s="84"/>
      <c r="G134" s="84"/>
      <c r="H134" s="84"/>
      <c r="I134" s="84"/>
      <c r="J134" s="947"/>
      <c r="K134" s="947"/>
      <c r="L134" s="947"/>
      <c r="M134" s="947"/>
      <c r="N134" s="947"/>
      <c r="O134" s="947"/>
      <c r="P134" s="947"/>
      <c r="Q134" s="947"/>
      <c r="R134" s="937"/>
      <c r="S134" s="937"/>
      <c r="T134" s="947"/>
      <c r="U134" s="947"/>
      <c r="V134" s="938"/>
      <c r="W134" s="947"/>
      <c r="X134" s="939"/>
      <c r="Y134" s="947"/>
      <c r="Z134" s="947"/>
      <c r="AA134" s="938"/>
      <c r="AB134" s="947"/>
      <c r="AC134" s="947"/>
      <c r="AD134" s="947"/>
      <c r="AE134" s="947"/>
      <c r="AF134" s="947"/>
      <c r="AG134" s="947"/>
      <c r="AH134" s="948"/>
      <c r="AI134" s="947"/>
      <c r="AJ134" s="947"/>
      <c r="AK134" s="947"/>
      <c r="AL134" s="947"/>
      <c r="AM134" s="947"/>
      <c r="AN134" s="947"/>
      <c r="AO134" s="947"/>
      <c r="AP134" s="947"/>
      <c r="AQ134" s="947"/>
      <c r="AR134" s="938"/>
      <c r="AS134" s="937"/>
      <c r="AT134" s="948"/>
      <c r="AU134" s="947"/>
      <c r="AV134" s="981"/>
      <c r="AW134" s="950"/>
      <c r="AX134" s="950"/>
      <c r="AY134" s="951"/>
      <c r="AZ134" s="950"/>
      <c r="BA134" s="952"/>
      <c r="BB134" s="990"/>
      <c r="BC134" s="991"/>
      <c r="BD134" s="952"/>
      <c r="BE134" s="952"/>
      <c r="BF134" s="952"/>
      <c r="BG134" s="952"/>
      <c r="BH134" s="952"/>
      <c r="BI134" s="992"/>
      <c r="BJ134" s="952"/>
      <c r="BK134" s="992"/>
      <c r="BL134" s="952"/>
      <c r="BM134" s="952"/>
      <c r="BN134" s="952"/>
      <c r="BO134" s="952"/>
      <c r="BP134" s="965"/>
      <c r="BQ134" s="993"/>
      <c r="BR134" s="994"/>
      <c r="BS134" s="993"/>
      <c r="BT134" s="995"/>
      <c r="BU134" s="995"/>
      <c r="BV134" s="996"/>
      <c r="BW134" s="996"/>
      <c r="BX134" s="996"/>
      <c r="BY134" s="996"/>
      <c r="BZ134" s="996"/>
      <c r="CA134" s="996"/>
      <c r="CB134" s="965"/>
      <c r="CC134" s="965"/>
    </row>
    <row r="135">
      <c r="A135" s="84"/>
      <c r="B135" s="84"/>
      <c r="C135" s="348"/>
      <c r="D135" s="348"/>
      <c r="E135" s="84"/>
      <c r="F135" s="84"/>
      <c r="G135" s="84"/>
      <c r="H135" s="84"/>
      <c r="I135" s="84"/>
      <c r="J135" s="947"/>
      <c r="K135" s="947"/>
      <c r="L135" s="947"/>
      <c r="M135" s="947"/>
      <c r="N135" s="947"/>
      <c r="O135" s="947"/>
      <c r="P135" s="947"/>
      <c r="Q135" s="947"/>
      <c r="R135" s="937"/>
      <c r="S135" s="937"/>
      <c r="T135" s="947"/>
      <c r="U135" s="947"/>
      <c r="V135" s="938"/>
      <c r="W135" s="947"/>
      <c r="X135" s="939"/>
      <c r="Y135" s="947"/>
      <c r="Z135" s="947"/>
      <c r="AA135" s="938"/>
      <c r="AB135" s="947"/>
      <c r="AC135" s="947"/>
      <c r="AD135" s="947"/>
      <c r="AE135" s="947"/>
      <c r="AF135" s="947"/>
      <c r="AG135" s="947"/>
      <c r="AH135" s="948"/>
      <c r="AI135" s="947"/>
      <c r="AJ135" s="947"/>
      <c r="AK135" s="947"/>
      <c r="AL135" s="947"/>
      <c r="AM135" s="947"/>
      <c r="AN135" s="947"/>
      <c r="AO135" s="947"/>
      <c r="AP135" s="947"/>
      <c r="AQ135" s="947"/>
      <c r="AR135" s="938"/>
      <c r="AS135" s="937"/>
      <c r="AT135" s="948"/>
      <c r="AU135" s="947"/>
      <c r="AV135" s="981"/>
      <c r="AW135" s="950"/>
      <c r="AX135" s="950"/>
      <c r="AY135" s="951"/>
      <c r="AZ135" s="950"/>
      <c r="BA135" s="952"/>
      <c r="BB135" s="990"/>
      <c r="BC135" s="991"/>
      <c r="BD135" s="952"/>
      <c r="BE135" s="952"/>
      <c r="BF135" s="952"/>
      <c r="BG135" s="952"/>
      <c r="BH135" s="952"/>
      <c r="BI135" s="992"/>
      <c r="BJ135" s="952"/>
      <c r="BK135" s="992"/>
      <c r="BL135" s="952"/>
      <c r="BM135" s="952"/>
      <c r="BN135" s="952"/>
      <c r="BO135" s="952"/>
      <c r="BP135" s="965"/>
      <c r="BQ135" s="993"/>
      <c r="BR135" s="994"/>
      <c r="BS135" s="993"/>
      <c r="BT135" s="995"/>
      <c r="BU135" s="995"/>
      <c r="BV135" s="996"/>
      <c r="BW135" s="996"/>
      <c r="BX135" s="996"/>
      <c r="BY135" s="996"/>
      <c r="BZ135" s="996"/>
      <c r="CA135" s="996"/>
      <c r="CB135" s="965"/>
      <c r="CC135" s="965"/>
    </row>
    <row r="136">
      <c r="A136" s="84"/>
      <c r="B136" s="84"/>
      <c r="C136" s="348"/>
      <c r="D136" s="348"/>
      <c r="E136" s="84"/>
      <c r="F136" s="84"/>
      <c r="G136" s="84"/>
      <c r="H136" s="84"/>
      <c r="I136" s="84"/>
      <c r="J136" s="947"/>
      <c r="K136" s="947"/>
      <c r="L136" s="947"/>
      <c r="M136" s="947"/>
      <c r="N136" s="947"/>
      <c r="O136" s="947"/>
      <c r="P136" s="947"/>
      <c r="Q136" s="947"/>
      <c r="R136" s="937"/>
      <c r="S136" s="937"/>
      <c r="T136" s="947"/>
      <c r="U136" s="947"/>
      <c r="V136" s="938"/>
      <c r="W136" s="947"/>
      <c r="X136" s="939"/>
      <c r="Y136" s="947"/>
      <c r="Z136" s="947"/>
      <c r="AA136" s="938"/>
      <c r="AB136" s="947"/>
      <c r="AC136" s="947"/>
      <c r="AD136" s="947"/>
      <c r="AE136" s="947"/>
      <c r="AF136" s="947"/>
      <c r="AG136" s="947"/>
      <c r="AH136" s="948"/>
      <c r="AI136" s="947"/>
      <c r="AJ136" s="947"/>
      <c r="AK136" s="947"/>
      <c r="AL136" s="947"/>
      <c r="AM136" s="947"/>
      <c r="AN136" s="947"/>
      <c r="AO136" s="947"/>
      <c r="AP136" s="947"/>
      <c r="AQ136" s="947"/>
      <c r="AR136" s="938"/>
      <c r="AS136" s="937"/>
      <c r="AT136" s="948"/>
      <c r="AU136" s="947"/>
      <c r="AV136" s="981"/>
      <c r="AW136" s="950"/>
      <c r="AX136" s="950"/>
      <c r="AY136" s="951"/>
      <c r="AZ136" s="950"/>
      <c r="BA136" s="952"/>
      <c r="BB136" s="990"/>
      <c r="BC136" s="991"/>
      <c r="BD136" s="952"/>
      <c r="BE136" s="952"/>
      <c r="BF136" s="952"/>
      <c r="BG136" s="952"/>
      <c r="BH136" s="952"/>
      <c r="BI136" s="992"/>
      <c r="BJ136" s="952"/>
      <c r="BK136" s="992"/>
      <c r="BL136" s="952"/>
      <c r="BM136" s="952"/>
      <c r="BN136" s="952"/>
      <c r="BO136" s="952"/>
      <c r="BP136" s="965"/>
      <c r="BQ136" s="993"/>
      <c r="BR136" s="994"/>
      <c r="BS136" s="993"/>
      <c r="BT136" s="995"/>
      <c r="BU136" s="995"/>
      <c r="BV136" s="996"/>
      <c r="BW136" s="996"/>
      <c r="BX136" s="996"/>
      <c r="BY136" s="996"/>
      <c r="BZ136" s="996"/>
      <c r="CA136" s="996"/>
      <c r="CB136" s="965"/>
      <c r="CC136" s="965"/>
    </row>
    <row r="137">
      <c r="A137" s="84"/>
      <c r="B137" s="84"/>
      <c r="C137" s="348"/>
      <c r="D137" s="348"/>
      <c r="E137" s="84"/>
      <c r="F137" s="84"/>
      <c r="G137" s="84"/>
      <c r="H137" s="84"/>
      <c r="I137" s="84"/>
      <c r="J137" s="947"/>
      <c r="K137" s="947"/>
      <c r="L137" s="947"/>
      <c r="M137" s="947"/>
      <c r="N137" s="947"/>
      <c r="O137" s="947"/>
      <c r="P137" s="947"/>
      <c r="Q137" s="947"/>
      <c r="R137" s="937"/>
      <c r="S137" s="937"/>
      <c r="T137" s="947"/>
      <c r="U137" s="947"/>
      <c r="V137" s="938"/>
      <c r="W137" s="947"/>
      <c r="X137" s="939"/>
      <c r="Y137" s="947"/>
      <c r="Z137" s="947"/>
      <c r="AA137" s="938"/>
      <c r="AB137" s="947"/>
      <c r="AC137" s="947"/>
      <c r="AD137" s="947"/>
      <c r="AE137" s="947"/>
      <c r="AF137" s="947"/>
      <c r="AG137" s="947"/>
      <c r="AH137" s="948"/>
      <c r="AI137" s="947"/>
      <c r="AJ137" s="947"/>
      <c r="AK137" s="947"/>
      <c r="AL137" s="947"/>
      <c r="AM137" s="947"/>
      <c r="AN137" s="947"/>
      <c r="AO137" s="947"/>
      <c r="AP137" s="947"/>
      <c r="AQ137" s="947"/>
      <c r="AR137" s="938"/>
      <c r="AS137" s="937"/>
      <c r="AT137" s="948"/>
      <c r="AU137" s="947"/>
      <c r="AV137" s="981"/>
      <c r="AW137" s="950"/>
      <c r="AX137" s="950"/>
      <c r="AY137" s="951"/>
      <c r="AZ137" s="950"/>
      <c r="BA137" s="952"/>
      <c r="BB137" s="990"/>
      <c r="BC137" s="991"/>
      <c r="BD137" s="952"/>
      <c r="BE137" s="952"/>
      <c r="BF137" s="952"/>
      <c r="BG137" s="952"/>
      <c r="BH137" s="952"/>
      <c r="BI137" s="992"/>
      <c r="BJ137" s="952"/>
      <c r="BK137" s="992"/>
      <c r="BL137" s="952"/>
      <c r="BM137" s="952"/>
      <c r="BN137" s="952"/>
      <c r="BO137" s="952"/>
      <c r="BP137" s="965"/>
      <c r="BQ137" s="993"/>
      <c r="BR137" s="994"/>
      <c r="BS137" s="993"/>
      <c r="BT137" s="995"/>
      <c r="BU137" s="995"/>
      <c r="BV137" s="996"/>
      <c r="BW137" s="996"/>
      <c r="BX137" s="996"/>
      <c r="BY137" s="996"/>
      <c r="BZ137" s="996"/>
      <c r="CA137" s="996"/>
      <c r="CB137" s="965"/>
      <c r="CC137" s="965"/>
    </row>
    <row r="138">
      <c r="A138" s="84"/>
      <c r="B138" s="84"/>
      <c r="C138" s="348"/>
      <c r="D138" s="348"/>
      <c r="E138" s="84"/>
      <c r="F138" s="84"/>
      <c r="G138" s="84"/>
      <c r="H138" s="84"/>
      <c r="I138" s="84"/>
      <c r="J138" s="947"/>
      <c r="K138" s="947"/>
      <c r="L138" s="947"/>
      <c r="M138" s="947"/>
      <c r="N138" s="947"/>
      <c r="O138" s="947"/>
      <c r="P138" s="947"/>
      <c r="Q138" s="947"/>
      <c r="R138" s="937"/>
      <c r="S138" s="937"/>
      <c r="T138" s="947"/>
      <c r="U138" s="947"/>
      <c r="V138" s="938"/>
      <c r="W138" s="947"/>
      <c r="X138" s="939"/>
      <c r="Y138" s="947"/>
      <c r="Z138" s="947"/>
      <c r="AA138" s="938"/>
      <c r="AB138" s="947"/>
      <c r="AC138" s="947"/>
      <c r="AD138" s="947"/>
      <c r="AE138" s="947"/>
      <c r="AF138" s="947"/>
      <c r="AG138" s="947"/>
      <c r="AH138" s="948"/>
      <c r="AI138" s="947"/>
      <c r="AJ138" s="947"/>
      <c r="AK138" s="947"/>
      <c r="AL138" s="947"/>
      <c r="AM138" s="947"/>
      <c r="AN138" s="947"/>
      <c r="AO138" s="947"/>
      <c r="AP138" s="947"/>
      <c r="AQ138" s="947"/>
      <c r="AR138" s="938"/>
      <c r="AS138" s="937"/>
      <c r="AT138" s="948"/>
      <c r="AU138" s="947"/>
      <c r="AV138" s="981"/>
      <c r="AW138" s="950"/>
      <c r="AX138" s="950"/>
      <c r="AY138" s="951"/>
      <c r="AZ138" s="950"/>
      <c r="BA138" s="952"/>
      <c r="BB138" s="990"/>
      <c r="BC138" s="991"/>
      <c r="BD138" s="952"/>
      <c r="BE138" s="952"/>
      <c r="BF138" s="952"/>
      <c r="BG138" s="952"/>
      <c r="BH138" s="952"/>
      <c r="BI138" s="992"/>
      <c r="BJ138" s="952"/>
      <c r="BK138" s="992"/>
      <c r="BL138" s="952"/>
      <c r="BM138" s="952"/>
      <c r="BN138" s="952"/>
      <c r="BO138" s="952"/>
      <c r="BP138" s="965"/>
      <c r="BQ138" s="993"/>
      <c r="BR138" s="994"/>
      <c r="BS138" s="993"/>
      <c r="BT138" s="995"/>
      <c r="BU138" s="995"/>
      <c r="BV138" s="996"/>
      <c r="BW138" s="996"/>
      <c r="BX138" s="996"/>
      <c r="BY138" s="996"/>
      <c r="BZ138" s="996"/>
      <c r="CA138" s="996"/>
      <c r="CB138" s="965"/>
      <c r="CC138" s="965"/>
    </row>
    <row r="139">
      <c r="A139" s="84"/>
      <c r="B139" s="84"/>
      <c r="C139" s="348"/>
      <c r="D139" s="348"/>
      <c r="E139" s="84"/>
      <c r="F139" s="84"/>
      <c r="G139" s="84"/>
      <c r="H139" s="84"/>
      <c r="I139" s="84"/>
      <c r="J139" s="947"/>
      <c r="K139" s="947"/>
      <c r="L139" s="947"/>
      <c r="M139" s="947"/>
      <c r="N139" s="947"/>
      <c r="O139" s="947"/>
      <c r="P139" s="947"/>
      <c r="Q139" s="947"/>
      <c r="R139" s="937"/>
      <c r="S139" s="937"/>
      <c r="T139" s="947"/>
      <c r="U139" s="947"/>
      <c r="V139" s="938"/>
      <c r="W139" s="947"/>
      <c r="X139" s="939"/>
      <c r="Y139" s="947"/>
      <c r="Z139" s="947"/>
      <c r="AA139" s="938"/>
      <c r="AB139" s="947"/>
      <c r="AC139" s="947"/>
      <c r="AD139" s="947"/>
      <c r="AE139" s="947"/>
      <c r="AF139" s="947"/>
      <c r="AG139" s="947"/>
      <c r="AH139" s="948"/>
      <c r="AI139" s="947"/>
      <c r="AJ139" s="947"/>
      <c r="AK139" s="947"/>
      <c r="AL139" s="947"/>
      <c r="AM139" s="947"/>
      <c r="AN139" s="947"/>
      <c r="AO139" s="947"/>
      <c r="AP139" s="947"/>
      <c r="AQ139" s="947"/>
      <c r="AR139" s="938"/>
      <c r="AS139" s="937"/>
      <c r="AT139" s="948"/>
      <c r="AU139" s="947"/>
      <c r="AV139" s="981"/>
      <c r="AW139" s="950"/>
      <c r="AX139" s="950"/>
      <c r="AY139" s="951"/>
      <c r="AZ139" s="950"/>
      <c r="BA139" s="952"/>
      <c r="BB139" s="990"/>
      <c r="BC139" s="991"/>
      <c r="BD139" s="952"/>
      <c r="BE139" s="952"/>
      <c r="BF139" s="952"/>
      <c r="BG139" s="952"/>
      <c r="BH139" s="952"/>
      <c r="BI139" s="992"/>
      <c r="BJ139" s="952"/>
      <c r="BK139" s="992"/>
      <c r="BL139" s="952"/>
      <c r="BM139" s="952"/>
      <c r="BN139" s="952"/>
      <c r="BO139" s="952"/>
      <c r="BP139" s="965"/>
      <c r="BQ139" s="993"/>
      <c r="BR139" s="994"/>
      <c r="BS139" s="993"/>
      <c r="BT139" s="995"/>
      <c r="BU139" s="995"/>
      <c r="BV139" s="996"/>
      <c r="BW139" s="996"/>
      <c r="BX139" s="996"/>
      <c r="BY139" s="996"/>
      <c r="BZ139" s="996"/>
      <c r="CA139" s="996"/>
      <c r="CB139" s="965"/>
      <c r="CC139" s="965"/>
    </row>
    <row r="140">
      <c r="A140" s="84"/>
      <c r="B140" s="84"/>
      <c r="C140" s="348"/>
      <c r="D140" s="348"/>
      <c r="E140" s="84"/>
      <c r="F140" s="84"/>
      <c r="G140" s="84"/>
      <c r="H140" s="84"/>
      <c r="I140" s="84"/>
      <c r="J140" s="947"/>
      <c r="K140" s="947"/>
      <c r="L140" s="947"/>
      <c r="M140" s="947"/>
      <c r="N140" s="947"/>
      <c r="O140" s="947"/>
      <c r="P140" s="947"/>
      <c r="Q140" s="947"/>
      <c r="R140" s="937"/>
      <c r="S140" s="937"/>
      <c r="T140" s="947"/>
      <c r="U140" s="947"/>
      <c r="V140" s="938"/>
      <c r="W140" s="947"/>
      <c r="X140" s="939"/>
      <c r="Y140" s="947"/>
      <c r="Z140" s="947"/>
      <c r="AA140" s="938"/>
      <c r="AB140" s="947"/>
      <c r="AC140" s="947"/>
      <c r="AD140" s="947"/>
      <c r="AE140" s="947"/>
      <c r="AF140" s="947"/>
      <c r="AG140" s="947"/>
      <c r="AH140" s="948"/>
      <c r="AI140" s="947"/>
      <c r="AJ140" s="947"/>
      <c r="AK140" s="947"/>
      <c r="AL140" s="947"/>
      <c r="AM140" s="947"/>
      <c r="AN140" s="947"/>
      <c r="AO140" s="947"/>
      <c r="AP140" s="947"/>
      <c r="AQ140" s="947"/>
      <c r="AR140" s="938"/>
      <c r="AS140" s="937"/>
      <c r="AT140" s="948"/>
      <c r="AU140" s="947"/>
      <c r="AV140" s="981"/>
      <c r="AW140" s="950"/>
      <c r="AX140" s="950"/>
      <c r="AY140" s="951"/>
      <c r="AZ140" s="950"/>
      <c r="BA140" s="952"/>
      <c r="BB140" s="990"/>
      <c r="BC140" s="991"/>
      <c r="BD140" s="952"/>
      <c r="BE140" s="952"/>
      <c r="BF140" s="952"/>
      <c r="BG140" s="952"/>
      <c r="BH140" s="952"/>
      <c r="BI140" s="992"/>
      <c r="BJ140" s="952"/>
      <c r="BK140" s="992"/>
      <c r="BL140" s="952"/>
      <c r="BM140" s="952"/>
      <c r="BN140" s="952"/>
      <c r="BO140" s="952"/>
      <c r="BP140" s="965"/>
      <c r="BQ140" s="993"/>
      <c r="BR140" s="994"/>
      <c r="BS140" s="993"/>
      <c r="BT140" s="995"/>
      <c r="BU140" s="995"/>
      <c r="BV140" s="996"/>
      <c r="BW140" s="996"/>
      <c r="BX140" s="996"/>
      <c r="BY140" s="996"/>
      <c r="BZ140" s="996"/>
      <c r="CA140" s="996"/>
      <c r="CB140" s="965"/>
      <c r="CC140" s="965"/>
    </row>
    <row r="141">
      <c r="A141" s="84"/>
      <c r="B141" s="84"/>
      <c r="C141" s="348"/>
      <c r="D141" s="348"/>
      <c r="E141" s="84"/>
      <c r="F141" s="84"/>
      <c r="G141" s="84"/>
      <c r="H141" s="84"/>
      <c r="I141" s="84"/>
      <c r="J141" s="947"/>
      <c r="K141" s="947"/>
      <c r="L141" s="947"/>
      <c r="M141" s="947"/>
      <c r="N141" s="947"/>
      <c r="O141" s="947"/>
      <c r="P141" s="947"/>
      <c r="Q141" s="947"/>
      <c r="R141" s="937"/>
      <c r="S141" s="937"/>
      <c r="T141" s="947"/>
      <c r="U141" s="947"/>
      <c r="V141" s="938"/>
      <c r="W141" s="947"/>
      <c r="X141" s="939"/>
      <c r="Y141" s="947"/>
      <c r="Z141" s="947"/>
      <c r="AA141" s="938"/>
      <c r="AB141" s="947"/>
      <c r="AC141" s="947"/>
      <c r="AD141" s="947"/>
      <c r="AE141" s="947"/>
      <c r="AF141" s="947"/>
      <c r="AG141" s="947"/>
      <c r="AH141" s="948"/>
      <c r="AI141" s="947"/>
      <c r="AJ141" s="947"/>
      <c r="AK141" s="947"/>
      <c r="AL141" s="947"/>
      <c r="AM141" s="947"/>
      <c r="AN141" s="947"/>
      <c r="AO141" s="947"/>
      <c r="AP141" s="947"/>
      <c r="AQ141" s="947"/>
      <c r="AR141" s="938"/>
      <c r="AS141" s="937"/>
      <c r="AT141" s="948"/>
      <c r="AU141" s="947"/>
      <c r="AV141" s="981"/>
      <c r="AW141" s="950"/>
      <c r="AX141" s="950"/>
      <c r="AY141" s="951"/>
      <c r="AZ141" s="950"/>
      <c r="BA141" s="952"/>
      <c r="BB141" s="990"/>
      <c r="BC141" s="991"/>
      <c r="BD141" s="952"/>
      <c r="BE141" s="952"/>
      <c r="BF141" s="952"/>
      <c r="BG141" s="952"/>
      <c r="BH141" s="952"/>
      <c r="BI141" s="992"/>
      <c r="BJ141" s="952"/>
      <c r="BK141" s="992"/>
      <c r="BL141" s="952"/>
      <c r="BM141" s="952"/>
      <c r="BN141" s="952"/>
      <c r="BO141" s="952"/>
      <c r="BP141" s="965"/>
      <c r="BQ141" s="993"/>
      <c r="BR141" s="994"/>
      <c r="BS141" s="993"/>
      <c r="BT141" s="995"/>
      <c r="BU141" s="995"/>
      <c r="BV141" s="996"/>
      <c r="BW141" s="996"/>
      <c r="BX141" s="996"/>
      <c r="BY141" s="996"/>
      <c r="BZ141" s="996"/>
      <c r="CA141" s="996"/>
      <c r="CB141" s="965"/>
      <c r="CC141" s="965"/>
    </row>
    <row r="142">
      <c r="A142" s="84"/>
      <c r="B142" s="84"/>
      <c r="C142" s="348"/>
      <c r="D142" s="348"/>
      <c r="E142" s="84"/>
      <c r="F142" s="84"/>
      <c r="G142" s="84"/>
      <c r="H142" s="84"/>
      <c r="I142" s="84"/>
      <c r="J142" s="947"/>
      <c r="K142" s="947"/>
      <c r="L142" s="947"/>
      <c r="M142" s="947"/>
      <c r="N142" s="947"/>
      <c r="O142" s="947"/>
      <c r="P142" s="947"/>
      <c r="Q142" s="947"/>
      <c r="R142" s="937"/>
      <c r="S142" s="937"/>
      <c r="T142" s="947"/>
      <c r="U142" s="947"/>
      <c r="V142" s="938"/>
      <c r="W142" s="947"/>
      <c r="X142" s="939"/>
      <c r="Y142" s="947"/>
      <c r="Z142" s="947"/>
      <c r="AA142" s="938"/>
      <c r="AB142" s="947"/>
      <c r="AC142" s="947"/>
      <c r="AD142" s="947"/>
      <c r="AE142" s="947"/>
      <c r="AF142" s="947"/>
      <c r="AG142" s="947"/>
      <c r="AH142" s="948"/>
      <c r="AI142" s="947"/>
      <c r="AJ142" s="947"/>
      <c r="AK142" s="947"/>
      <c r="AL142" s="947"/>
      <c r="AM142" s="947"/>
      <c r="AN142" s="947"/>
      <c r="AO142" s="947"/>
      <c r="AP142" s="947"/>
      <c r="AQ142" s="947"/>
      <c r="AR142" s="938"/>
      <c r="AS142" s="937"/>
      <c r="AT142" s="948"/>
      <c r="AU142" s="947"/>
      <c r="AV142" s="981"/>
      <c r="AW142" s="950"/>
      <c r="AX142" s="950"/>
      <c r="AY142" s="951"/>
      <c r="AZ142" s="950"/>
      <c r="BA142" s="952"/>
      <c r="BB142" s="990"/>
      <c r="BC142" s="991"/>
      <c r="BD142" s="952"/>
      <c r="BE142" s="952"/>
      <c r="BF142" s="952"/>
      <c r="BG142" s="952"/>
      <c r="BH142" s="952"/>
      <c r="BI142" s="992"/>
      <c r="BJ142" s="952"/>
      <c r="BK142" s="992"/>
      <c r="BL142" s="952"/>
      <c r="BM142" s="952"/>
      <c r="BN142" s="952"/>
      <c r="BO142" s="952"/>
      <c r="BP142" s="965"/>
      <c r="BQ142" s="993"/>
      <c r="BR142" s="994"/>
      <c r="BS142" s="993"/>
      <c r="BT142" s="995"/>
      <c r="BU142" s="995"/>
      <c r="BV142" s="996"/>
      <c r="BW142" s="996"/>
      <c r="BX142" s="996"/>
      <c r="BY142" s="996"/>
      <c r="BZ142" s="996"/>
      <c r="CA142" s="996"/>
      <c r="CB142" s="965"/>
      <c r="CC142" s="965"/>
    </row>
    <row r="143">
      <c r="A143" s="84"/>
      <c r="B143" s="84"/>
      <c r="C143" s="348"/>
      <c r="D143" s="348"/>
      <c r="E143" s="84"/>
      <c r="F143" s="84"/>
      <c r="G143" s="84"/>
      <c r="H143" s="84"/>
      <c r="I143" s="84"/>
      <c r="J143" s="947"/>
      <c r="K143" s="947"/>
      <c r="L143" s="947"/>
      <c r="M143" s="947"/>
      <c r="N143" s="947"/>
      <c r="O143" s="947"/>
      <c r="P143" s="947"/>
      <c r="Q143" s="947"/>
      <c r="R143" s="937"/>
      <c r="S143" s="937"/>
      <c r="T143" s="947"/>
      <c r="U143" s="947"/>
      <c r="V143" s="938"/>
      <c r="W143" s="947"/>
      <c r="X143" s="939"/>
      <c r="Y143" s="947"/>
      <c r="Z143" s="947"/>
      <c r="AA143" s="938"/>
      <c r="AB143" s="947"/>
      <c r="AC143" s="947"/>
      <c r="AD143" s="947"/>
      <c r="AE143" s="947"/>
      <c r="AF143" s="947"/>
      <c r="AG143" s="947"/>
      <c r="AH143" s="948"/>
      <c r="AI143" s="947"/>
      <c r="AJ143" s="947"/>
      <c r="AK143" s="947"/>
      <c r="AL143" s="947"/>
      <c r="AM143" s="947"/>
      <c r="AN143" s="947"/>
      <c r="AO143" s="947"/>
      <c r="AP143" s="947"/>
      <c r="AQ143" s="947"/>
      <c r="AR143" s="938"/>
      <c r="AS143" s="937"/>
      <c r="AT143" s="948"/>
      <c r="AU143" s="947"/>
      <c r="AV143" s="981"/>
      <c r="AW143" s="950"/>
      <c r="AX143" s="950"/>
      <c r="AY143" s="951"/>
      <c r="AZ143" s="950"/>
      <c r="BA143" s="952"/>
      <c r="BB143" s="990"/>
      <c r="BC143" s="991"/>
      <c r="BD143" s="952"/>
      <c r="BE143" s="952"/>
      <c r="BF143" s="952"/>
      <c r="BG143" s="952"/>
      <c r="BH143" s="952"/>
      <c r="BI143" s="992"/>
      <c r="BJ143" s="952"/>
      <c r="BK143" s="992"/>
      <c r="BL143" s="952"/>
      <c r="BM143" s="952"/>
      <c r="BN143" s="952"/>
      <c r="BO143" s="952"/>
      <c r="BP143" s="965"/>
      <c r="BQ143" s="993"/>
      <c r="BR143" s="994"/>
      <c r="BS143" s="993"/>
      <c r="BT143" s="995"/>
      <c r="BU143" s="995"/>
      <c r="BV143" s="996"/>
      <c r="BW143" s="996"/>
      <c r="BX143" s="996"/>
      <c r="BY143" s="996"/>
      <c r="BZ143" s="996"/>
      <c r="CA143" s="996"/>
      <c r="CB143" s="965"/>
      <c r="CC143" s="965"/>
    </row>
    <row r="144">
      <c r="A144" s="84"/>
      <c r="B144" s="84"/>
      <c r="C144" s="348"/>
      <c r="D144" s="348"/>
      <c r="E144" s="84"/>
      <c r="F144" s="84"/>
      <c r="G144" s="84"/>
      <c r="H144" s="84"/>
      <c r="I144" s="84"/>
      <c r="J144" s="947"/>
      <c r="K144" s="947"/>
      <c r="L144" s="947"/>
      <c r="M144" s="947"/>
      <c r="N144" s="947"/>
      <c r="O144" s="947"/>
      <c r="P144" s="947"/>
      <c r="Q144" s="947"/>
      <c r="R144" s="937"/>
      <c r="S144" s="937"/>
      <c r="T144" s="947"/>
      <c r="U144" s="947"/>
      <c r="V144" s="938"/>
      <c r="W144" s="947"/>
      <c r="X144" s="939"/>
      <c r="Y144" s="947"/>
      <c r="Z144" s="947"/>
      <c r="AA144" s="938"/>
      <c r="AB144" s="947"/>
      <c r="AC144" s="947"/>
      <c r="AD144" s="947"/>
      <c r="AE144" s="947"/>
      <c r="AF144" s="947"/>
      <c r="AG144" s="947"/>
      <c r="AH144" s="948"/>
      <c r="AI144" s="947"/>
      <c r="AJ144" s="947"/>
      <c r="AK144" s="947"/>
      <c r="AL144" s="947"/>
      <c r="AM144" s="947"/>
      <c r="AN144" s="947"/>
      <c r="AO144" s="947"/>
      <c r="AP144" s="947"/>
      <c r="AQ144" s="947"/>
      <c r="AR144" s="938"/>
      <c r="AS144" s="937"/>
      <c r="AT144" s="948"/>
      <c r="AU144" s="947"/>
      <c r="AV144" s="981"/>
      <c r="AW144" s="950"/>
      <c r="AX144" s="950"/>
      <c r="AY144" s="951"/>
      <c r="AZ144" s="950"/>
      <c r="BA144" s="952"/>
      <c r="BB144" s="990"/>
      <c r="BC144" s="991"/>
      <c r="BD144" s="952"/>
      <c r="BE144" s="952"/>
      <c r="BF144" s="952"/>
      <c r="BG144" s="952"/>
      <c r="BH144" s="952"/>
      <c r="BI144" s="992"/>
      <c r="BJ144" s="952"/>
      <c r="BK144" s="992"/>
      <c r="BL144" s="952"/>
      <c r="BM144" s="952"/>
      <c r="BN144" s="952"/>
      <c r="BO144" s="952"/>
      <c r="BP144" s="965"/>
      <c r="BQ144" s="993"/>
      <c r="BR144" s="994"/>
      <c r="BS144" s="993"/>
      <c r="BT144" s="995"/>
      <c r="BU144" s="995"/>
      <c r="BV144" s="996"/>
      <c r="BW144" s="996"/>
      <c r="BX144" s="996"/>
      <c r="BY144" s="996"/>
      <c r="BZ144" s="996"/>
      <c r="CA144" s="996"/>
      <c r="CB144" s="965"/>
      <c r="CC144" s="965"/>
    </row>
    <row r="145">
      <c r="A145" s="84"/>
      <c r="B145" s="84"/>
      <c r="C145" s="348"/>
      <c r="D145" s="348"/>
      <c r="E145" s="84"/>
      <c r="F145" s="84"/>
      <c r="G145" s="84"/>
      <c r="H145" s="84"/>
      <c r="I145" s="84"/>
      <c r="J145" s="947"/>
      <c r="K145" s="947"/>
      <c r="L145" s="947"/>
      <c r="M145" s="947"/>
      <c r="N145" s="947"/>
      <c r="O145" s="947"/>
      <c r="P145" s="947"/>
      <c r="Q145" s="947"/>
      <c r="R145" s="937"/>
      <c r="S145" s="937"/>
      <c r="T145" s="947"/>
      <c r="U145" s="947"/>
      <c r="V145" s="938"/>
      <c r="W145" s="947"/>
      <c r="X145" s="939"/>
      <c r="Y145" s="947"/>
      <c r="Z145" s="947"/>
      <c r="AA145" s="938"/>
      <c r="AB145" s="947"/>
      <c r="AC145" s="947"/>
      <c r="AD145" s="947"/>
      <c r="AE145" s="947"/>
      <c r="AF145" s="947"/>
      <c r="AG145" s="947"/>
      <c r="AH145" s="948"/>
      <c r="AI145" s="947"/>
      <c r="AJ145" s="947"/>
      <c r="AK145" s="947"/>
      <c r="AL145" s="947"/>
      <c r="AM145" s="947"/>
      <c r="AN145" s="947"/>
      <c r="AO145" s="947"/>
      <c r="AP145" s="947"/>
      <c r="AQ145" s="947"/>
      <c r="AR145" s="938"/>
      <c r="AS145" s="937"/>
      <c r="AT145" s="948"/>
      <c r="AU145" s="947"/>
      <c r="AV145" s="981"/>
      <c r="AW145" s="950"/>
      <c r="AX145" s="950"/>
      <c r="AY145" s="951"/>
      <c r="AZ145" s="950"/>
      <c r="BA145" s="952"/>
      <c r="BB145" s="990"/>
      <c r="BC145" s="991"/>
      <c r="BD145" s="952"/>
      <c r="BE145" s="952"/>
      <c r="BF145" s="952"/>
      <c r="BG145" s="952"/>
      <c r="BH145" s="952"/>
      <c r="BI145" s="992"/>
      <c r="BJ145" s="952"/>
      <c r="BK145" s="992"/>
      <c r="BL145" s="952"/>
      <c r="BM145" s="952"/>
      <c r="BN145" s="952"/>
      <c r="BO145" s="952"/>
      <c r="BP145" s="965"/>
      <c r="BQ145" s="993"/>
      <c r="BR145" s="994"/>
      <c r="BS145" s="993"/>
      <c r="BT145" s="995"/>
      <c r="BU145" s="995"/>
      <c r="BV145" s="996"/>
      <c r="BW145" s="996"/>
      <c r="BX145" s="996"/>
      <c r="BY145" s="996"/>
      <c r="BZ145" s="996"/>
      <c r="CA145" s="996"/>
      <c r="CB145" s="965"/>
      <c r="CC145" s="965"/>
    </row>
    <row r="146">
      <c r="A146" s="84"/>
      <c r="B146" s="84"/>
      <c r="C146" s="348"/>
      <c r="D146" s="348"/>
      <c r="E146" s="84"/>
      <c r="F146" s="84"/>
      <c r="G146" s="84"/>
      <c r="H146" s="84"/>
      <c r="I146" s="84"/>
      <c r="J146" s="947"/>
      <c r="K146" s="947"/>
      <c r="L146" s="947"/>
      <c r="M146" s="947"/>
      <c r="N146" s="947"/>
      <c r="O146" s="947"/>
      <c r="P146" s="947"/>
      <c r="Q146" s="947"/>
      <c r="R146" s="937"/>
      <c r="S146" s="937"/>
      <c r="T146" s="947"/>
      <c r="U146" s="947"/>
      <c r="V146" s="938"/>
      <c r="W146" s="947"/>
      <c r="X146" s="939"/>
      <c r="Y146" s="947"/>
      <c r="Z146" s="947"/>
      <c r="AA146" s="938"/>
      <c r="AB146" s="947"/>
      <c r="AC146" s="947"/>
      <c r="AD146" s="947"/>
      <c r="AE146" s="947"/>
      <c r="AF146" s="947"/>
      <c r="AG146" s="947"/>
      <c r="AH146" s="948"/>
      <c r="AI146" s="947"/>
      <c r="AJ146" s="947"/>
      <c r="AK146" s="947"/>
      <c r="AL146" s="947"/>
      <c r="AM146" s="947"/>
      <c r="AN146" s="947"/>
      <c r="AO146" s="947"/>
      <c r="AP146" s="947"/>
      <c r="AQ146" s="947"/>
      <c r="AR146" s="938"/>
      <c r="AS146" s="937"/>
      <c r="AT146" s="948"/>
      <c r="AU146" s="947"/>
      <c r="AV146" s="981"/>
      <c r="AW146" s="950"/>
      <c r="AX146" s="950"/>
      <c r="AY146" s="951"/>
      <c r="AZ146" s="950"/>
      <c r="BA146" s="952"/>
      <c r="BB146" s="990"/>
      <c r="BC146" s="991"/>
      <c r="BD146" s="952"/>
      <c r="BE146" s="952"/>
      <c r="BF146" s="952"/>
      <c r="BG146" s="952"/>
      <c r="BH146" s="952"/>
      <c r="BI146" s="992"/>
      <c r="BJ146" s="952"/>
      <c r="BK146" s="992"/>
      <c r="BL146" s="952"/>
      <c r="BM146" s="952"/>
      <c r="BN146" s="952"/>
      <c r="BO146" s="952"/>
      <c r="BP146" s="965"/>
      <c r="BQ146" s="993"/>
      <c r="BR146" s="994"/>
      <c r="BS146" s="993"/>
      <c r="BT146" s="995"/>
      <c r="BU146" s="995"/>
      <c r="BV146" s="996"/>
      <c r="BW146" s="996"/>
      <c r="BX146" s="996"/>
      <c r="BY146" s="996"/>
      <c r="BZ146" s="996"/>
      <c r="CA146" s="996"/>
      <c r="CB146" s="965"/>
      <c r="CC146" s="965"/>
    </row>
    <row r="147">
      <c r="A147" s="84"/>
      <c r="B147" s="84"/>
      <c r="C147" s="348"/>
      <c r="D147" s="348"/>
      <c r="E147" s="84"/>
      <c r="F147" s="84"/>
      <c r="G147" s="84"/>
      <c r="H147" s="84"/>
      <c r="I147" s="84"/>
      <c r="J147" s="947"/>
      <c r="K147" s="947"/>
      <c r="L147" s="947"/>
      <c r="M147" s="947"/>
      <c r="N147" s="947"/>
      <c r="O147" s="947"/>
      <c r="P147" s="947"/>
      <c r="Q147" s="947"/>
      <c r="R147" s="937"/>
      <c r="S147" s="937"/>
      <c r="T147" s="947"/>
      <c r="U147" s="947"/>
      <c r="V147" s="938"/>
      <c r="W147" s="947"/>
      <c r="X147" s="939"/>
      <c r="Y147" s="947"/>
      <c r="Z147" s="947"/>
      <c r="AA147" s="938"/>
      <c r="AB147" s="947"/>
      <c r="AC147" s="947"/>
      <c r="AD147" s="947"/>
      <c r="AE147" s="947"/>
      <c r="AF147" s="947"/>
      <c r="AG147" s="947"/>
      <c r="AH147" s="948"/>
      <c r="AI147" s="947"/>
      <c r="AJ147" s="947"/>
      <c r="AK147" s="947"/>
      <c r="AL147" s="947"/>
      <c r="AM147" s="947"/>
      <c r="AN147" s="947"/>
      <c r="AO147" s="947"/>
      <c r="AP147" s="947"/>
      <c r="AQ147" s="947"/>
      <c r="AR147" s="938"/>
      <c r="AS147" s="937"/>
      <c r="AT147" s="948"/>
      <c r="AU147" s="947"/>
      <c r="AV147" s="981"/>
      <c r="AW147" s="950"/>
      <c r="AX147" s="950"/>
      <c r="AY147" s="951"/>
      <c r="AZ147" s="950"/>
      <c r="BA147" s="952"/>
      <c r="BB147" s="990"/>
      <c r="BC147" s="991"/>
      <c r="BD147" s="952"/>
      <c r="BE147" s="952"/>
      <c r="BF147" s="952"/>
      <c r="BG147" s="952"/>
      <c r="BH147" s="952"/>
      <c r="BI147" s="992"/>
      <c r="BJ147" s="952"/>
      <c r="BK147" s="992"/>
      <c r="BL147" s="952"/>
      <c r="BM147" s="952"/>
      <c r="BN147" s="952"/>
      <c r="BO147" s="952"/>
      <c r="BP147" s="965"/>
      <c r="BQ147" s="993"/>
      <c r="BR147" s="994"/>
      <c r="BS147" s="993"/>
      <c r="BT147" s="995"/>
      <c r="BU147" s="995"/>
      <c r="BV147" s="996"/>
      <c r="BW147" s="996"/>
      <c r="BX147" s="996"/>
      <c r="BY147" s="996"/>
      <c r="BZ147" s="996"/>
      <c r="CA147" s="996"/>
      <c r="CB147" s="965"/>
      <c r="CC147" s="965"/>
    </row>
    <row r="148">
      <c r="A148" s="84"/>
      <c r="B148" s="84"/>
      <c r="C148" s="348"/>
      <c r="D148" s="348"/>
      <c r="E148" s="84"/>
      <c r="F148" s="84"/>
      <c r="G148" s="84"/>
      <c r="H148" s="84"/>
      <c r="I148" s="84"/>
      <c r="J148" s="947"/>
      <c r="K148" s="947"/>
      <c r="L148" s="947"/>
      <c r="M148" s="947"/>
      <c r="N148" s="947"/>
      <c r="O148" s="947"/>
      <c r="P148" s="947"/>
      <c r="Q148" s="947"/>
      <c r="R148" s="937"/>
      <c r="S148" s="937"/>
      <c r="T148" s="947"/>
      <c r="U148" s="947"/>
      <c r="V148" s="938"/>
      <c r="W148" s="947"/>
      <c r="X148" s="939"/>
      <c r="Y148" s="947"/>
      <c r="Z148" s="947"/>
      <c r="AA148" s="938"/>
      <c r="AB148" s="947"/>
      <c r="AC148" s="947"/>
      <c r="AD148" s="947"/>
      <c r="AE148" s="947"/>
      <c r="AF148" s="947"/>
      <c r="AG148" s="947"/>
      <c r="AH148" s="948"/>
      <c r="AI148" s="947"/>
      <c r="AJ148" s="947"/>
      <c r="AK148" s="947"/>
      <c r="AL148" s="947"/>
      <c r="AM148" s="947"/>
      <c r="AN148" s="947"/>
      <c r="AO148" s="947"/>
      <c r="AP148" s="947"/>
      <c r="AQ148" s="947"/>
      <c r="AR148" s="938"/>
      <c r="AS148" s="937"/>
      <c r="AT148" s="948"/>
      <c r="AU148" s="947"/>
      <c r="AV148" s="981"/>
      <c r="AW148" s="950"/>
      <c r="AX148" s="950"/>
      <c r="AY148" s="951"/>
      <c r="AZ148" s="950"/>
      <c r="BA148" s="952"/>
      <c r="BB148" s="990"/>
      <c r="BC148" s="991"/>
      <c r="BD148" s="952"/>
      <c r="BE148" s="952"/>
      <c r="BF148" s="952"/>
      <c r="BG148" s="952"/>
      <c r="BH148" s="952"/>
      <c r="BI148" s="992"/>
      <c r="BJ148" s="952"/>
      <c r="BK148" s="992"/>
      <c r="BL148" s="952"/>
      <c r="BM148" s="952"/>
      <c r="BN148" s="952"/>
      <c r="BO148" s="952"/>
      <c r="BP148" s="965"/>
      <c r="BQ148" s="993"/>
      <c r="BR148" s="994"/>
      <c r="BS148" s="993"/>
      <c r="BT148" s="995"/>
      <c r="BU148" s="995"/>
      <c r="BV148" s="996"/>
      <c r="BW148" s="996"/>
      <c r="BX148" s="996"/>
      <c r="BY148" s="996"/>
      <c r="BZ148" s="996"/>
      <c r="CA148" s="996"/>
      <c r="CB148" s="965"/>
      <c r="CC148" s="965"/>
    </row>
    <row r="149">
      <c r="A149" s="84"/>
      <c r="B149" s="84"/>
      <c r="C149" s="348"/>
      <c r="D149" s="348"/>
      <c r="E149" s="84"/>
      <c r="F149" s="84"/>
      <c r="G149" s="84"/>
      <c r="H149" s="84"/>
      <c r="I149" s="84"/>
      <c r="J149" s="947"/>
      <c r="K149" s="947"/>
      <c r="L149" s="947"/>
      <c r="M149" s="947"/>
      <c r="N149" s="947"/>
      <c r="O149" s="947"/>
      <c r="P149" s="947"/>
      <c r="Q149" s="947"/>
      <c r="R149" s="937"/>
      <c r="S149" s="937"/>
      <c r="T149" s="947"/>
      <c r="U149" s="947"/>
      <c r="V149" s="938"/>
      <c r="W149" s="947"/>
      <c r="X149" s="939"/>
      <c r="Y149" s="947"/>
      <c r="Z149" s="947"/>
      <c r="AA149" s="938"/>
      <c r="AB149" s="947"/>
      <c r="AC149" s="947"/>
      <c r="AD149" s="947"/>
      <c r="AE149" s="947"/>
      <c r="AF149" s="947"/>
      <c r="AG149" s="947"/>
      <c r="AH149" s="948"/>
      <c r="AI149" s="947"/>
      <c r="AJ149" s="947"/>
      <c r="AK149" s="947"/>
      <c r="AL149" s="947"/>
      <c r="AM149" s="947"/>
      <c r="AN149" s="947"/>
      <c r="AO149" s="947"/>
      <c r="AP149" s="947"/>
      <c r="AQ149" s="947"/>
      <c r="AR149" s="938"/>
      <c r="AS149" s="937"/>
      <c r="AT149" s="948"/>
      <c r="AU149" s="947"/>
      <c r="AV149" s="981"/>
      <c r="AW149" s="950"/>
      <c r="AX149" s="950"/>
      <c r="AY149" s="951"/>
      <c r="AZ149" s="950"/>
      <c r="BA149" s="952"/>
      <c r="BB149" s="990"/>
      <c r="BC149" s="991"/>
      <c r="BD149" s="952"/>
      <c r="BE149" s="952"/>
      <c r="BF149" s="952"/>
      <c r="BG149" s="952"/>
      <c r="BH149" s="952"/>
      <c r="BI149" s="992"/>
      <c r="BJ149" s="952"/>
      <c r="BK149" s="992"/>
      <c r="BL149" s="952"/>
      <c r="BM149" s="952"/>
      <c r="BN149" s="952"/>
      <c r="BO149" s="952"/>
      <c r="BP149" s="965"/>
      <c r="BQ149" s="993"/>
      <c r="BR149" s="994"/>
      <c r="BS149" s="993"/>
      <c r="BT149" s="995"/>
      <c r="BU149" s="995"/>
      <c r="BV149" s="996"/>
      <c r="BW149" s="996"/>
      <c r="BX149" s="996"/>
      <c r="BY149" s="996"/>
      <c r="BZ149" s="996"/>
      <c r="CA149" s="996"/>
      <c r="CB149" s="965"/>
      <c r="CC149" s="965"/>
    </row>
    <row r="150">
      <c r="A150" s="84"/>
      <c r="B150" s="84"/>
      <c r="C150" s="348"/>
      <c r="D150" s="348"/>
      <c r="E150" s="84"/>
      <c r="F150" s="84"/>
      <c r="G150" s="84"/>
      <c r="H150" s="84"/>
      <c r="I150" s="84"/>
      <c r="J150" s="947"/>
      <c r="K150" s="947"/>
      <c r="L150" s="947"/>
      <c r="M150" s="947"/>
      <c r="N150" s="947"/>
      <c r="O150" s="947"/>
      <c r="P150" s="947"/>
      <c r="Q150" s="947"/>
      <c r="R150" s="937"/>
      <c r="S150" s="937"/>
      <c r="T150" s="947"/>
      <c r="U150" s="947"/>
      <c r="V150" s="938"/>
      <c r="W150" s="947"/>
      <c r="X150" s="939"/>
      <c r="Y150" s="947"/>
      <c r="Z150" s="947"/>
      <c r="AA150" s="938"/>
      <c r="AB150" s="947"/>
      <c r="AC150" s="947"/>
      <c r="AD150" s="947"/>
      <c r="AE150" s="947"/>
      <c r="AF150" s="947"/>
      <c r="AG150" s="947"/>
      <c r="AH150" s="948"/>
      <c r="AI150" s="947"/>
      <c r="AJ150" s="947"/>
      <c r="AK150" s="947"/>
      <c r="AL150" s="947"/>
      <c r="AM150" s="947"/>
      <c r="AN150" s="947"/>
      <c r="AO150" s="947"/>
      <c r="AP150" s="947"/>
      <c r="AQ150" s="947"/>
      <c r="AR150" s="938"/>
      <c r="AS150" s="937"/>
      <c r="AT150" s="948"/>
      <c r="AU150" s="947"/>
      <c r="AV150" s="981"/>
      <c r="AW150" s="950"/>
      <c r="AX150" s="950"/>
      <c r="AY150" s="951"/>
      <c r="AZ150" s="950"/>
      <c r="BA150" s="952"/>
      <c r="BB150" s="990"/>
      <c r="BC150" s="991"/>
      <c r="BD150" s="952"/>
      <c r="BE150" s="952"/>
      <c r="BF150" s="952"/>
      <c r="BG150" s="952"/>
      <c r="BH150" s="952"/>
      <c r="BI150" s="992"/>
      <c r="BJ150" s="952"/>
      <c r="BK150" s="992"/>
      <c r="BL150" s="952"/>
      <c r="BM150" s="952"/>
      <c r="BN150" s="952"/>
      <c r="BO150" s="952"/>
      <c r="BP150" s="965"/>
      <c r="BQ150" s="993"/>
      <c r="BR150" s="994"/>
      <c r="BS150" s="993"/>
      <c r="BT150" s="995"/>
      <c r="BU150" s="995"/>
      <c r="BV150" s="996"/>
      <c r="BW150" s="996"/>
      <c r="BX150" s="996"/>
      <c r="BY150" s="996"/>
      <c r="BZ150" s="996"/>
      <c r="CA150" s="996"/>
      <c r="CB150" s="965"/>
      <c r="CC150" s="965"/>
    </row>
    <row r="151">
      <c r="A151" s="84"/>
      <c r="B151" s="84"/>
      <c r="C151" s="348"/>
      <c r="D151" s="348"/>
      <c r="E151" s="84"/>
      <c r="F151" s="84"/>
      <c r="G151" s="84"/>
      <c r="H151" s="84"/>
      <c r="I151" s="84"/>
      <c r="J151" s="947"/>
      <c r="K151" s="947"/>
      <c r="L151" s="947"/>
      <c r="M151" s="947"/>
      <c r="N151" s="947"/>
      <c r="O151" s="947"/>
      <c r="P151" s="947"/>
      <c r="Q151" s="947"/>
      <c r="R151" s="937"/>
      <c r="S151" s="937"/>
      <c r="T151" s="947"/>
      <c r="U151" s="947"/>
      <c r="V151" s="938"/>
      <c r="W151" s="947"/>
      <c r="X151" s="939"/>
      <c r="Y151" s="947"/>
      <c r="Z151" s="947"/>
      <c r="AA151" s="938"/>
      <c r="AB151" s="947"/>
      <c r="AC151" s="947"/>
      <c r="AD151" s="947"/>
      <c r="AE151" s="947"/>
      <c r="AF151" s="947"/>
      <c r="AG151" s="947"/>
      <c r="AH151" s="948"/>
      <c r="AI151" s="947"/>
      <c r="AJ151" s="947"/>
      <c r="AK151" s="947"/>
      <c r="AL151" s="947"/>
      <c r="AM151" s="947"/>
      <c r="AN151" s="947"/>
      <c r="AO151" s="947"/>
      <c r="AP151" s="947"/>
      <c r="AQ151" s="947"/>
      <c r="AR151" s="938"/>
      <c r="AS151" s="937"/>
      <c r="AT151" s="948"/>
      <c r="AU151" s="947"/>
      <c r="AV151" s="981"/>
      <c r="AW151" s="950"/>
      <c r="AX151" s="950"/>
      <c r="AY151" s="951"/>
      <c r="AZ151" s="950"/>
      <c r="BA151" s="952"/>
      <c r="BB151" s="990"/>
      <c r="BC151" s="991"/>
      <c r="BD151" s="952"/>
      <c r="BE151" s="952"/>
      <c r="BF151" s="952"/>
      <c r="BG151" s="952"/>
      <c r="BH151" s="952"/>
      <c r="BI151" s="992"/>
      <c r="BJ151" s="952"/>
      <c r="BK151" s="992"/>
      <c r="BL151" s="952"/>
      <c r="BM151" s="952"/>
      <c r="BN151" s="952"/>
      <c r="BO151" s="952"/>
      <c r="BP151" s="965"/>
      <c r="BQ151" s="993"/>
      <c r="BR151" s="994"/>
      <c r="BS151" s="993"/>
      <c r="BT151" s="995"/>
      <c r="BU151" s="995"/>
      <c r="BV151" s="996"/>
      <c r="BW151" s="996"/>
      <c r="BX151" s="996"/>
      <c r="BY151" s="996"/>
      <c r="BZ151" s="996"/>
      <c r="CA151" s="996"/>
      <c r="CB151" s="965"/>
      <c r="CC151" s="965"/>
    </row>
    <row r="152">
      <c r="A152" s="84"/>
      <c r="B152" s="84"/>
      <c r="C152" s="348"/>
      <c r="D152" s="348"/>
      <c r="E152" s="84"/>
      <c r="F152" s="84"/>
      <c r="G152" s="84"/>
      <c r="H152" s="84"/>
      <c r="I152" s="84"/>
      <c r="J152" s="947"/>
      <c r="K152" s="947"/>
      <c r="L152" s="947"/>
      <c r="M152" s="947"/>
      <c r="N152" s="947"/>
      <c r="O152" s="947"/>
      <c r="P152" s="947"/>
      <c r="Q152" s="947"/>
      <c r="R152" s="937"/>
      <c r="S152" s="937"/>
      <c r="T152" s="947"/>
      <c r="U152" s="947"/>
      <c r="V152" s="938"/>
      <c r="W152" s="947"/>
      <c r="X152" s="939"/>
      <c r="Y152" s="947"/>
      <c r="Z152" s="947"/>
      <c r="AA152" s="938"/>
      <c r="AB152" s="947"/>
      <c r="AC152" s="947"/>
      <c r="AD152" s="947"/>
      <c r="AE152" s="947"/>
      <c r="AF152" s="947"/>
      <c r="AG152" s="947"/>
      <c r="AH152" s="948"/>
      <c r="AI152" s="947"/>
      <c r="AJ152" s="947"/>
      <c r="AK152" s="947"/>
      <c r="AL152" s="947"/>
      <c r="AM152" s="947"/>
      <c r="AN152" s="947"/>
      <c r="AO152" s="947"/>
      <c r="AP152" s="947"/>
      <c r="AQ152" s="947"/>
      <c r="AR152" s="938"/>
      <c r="AS152" s="937"/>
      <c r="AT152" s="948"/>
      <c r="AU152" s="947"/>
      <c r="AV152" s="981"/>
      <c r="AW152" s="950"/>
      <c r="AX152" s="950"/>
      <c r="AY152" s="951"/>
      <c r="AZ152" s="950"/>
      <c r="BA152" s="952"/>
      <c r="BB152" s="990"/>
      <c r="BC152" s="991"/>
      <c r="BD152" s="952"/>
      <c r="BE152" s="952"/>
      <c r="BF152" s="952"/>
      <c r="BG152" s="952"/>
      <c r="BH152" s="952"/>
      <c r="BI152" s="992"/>
      <c r="BJ152" s="952"/>
      <c r="BK152" s="992"/>
      <c r="BL152" s="952"/>
      <c r="BM152" s="952"/>
      <c r="BN152" s="952"/>
      <c r="BO152" s="952"/>
      <c r="BP152" s="965"/>
      <c r="BQ152" s="993"/>
      <c r="BR152" s="994"/>
      <c r="BS152" s="993"/>
      <c r="BT152" s="995"/>
      <c r="BU152" s="995"/>
      <c r="BV152" s="996"/>
      <c r="BW152" s="996"/>
      <c r="BX152" s="996"/>
      <c r="BY152" s="996"/>
      <c r="BZ152" s="996"/>
      <c r="CA152" s="996"/>
      <c r="CB152" s="965"/>
      <c r="CC152" s="965"/>
    </row>
    <row r="153">
      <c r="A153" s="84"/>
      <c r="B153" s="84"/>
      <c r="C153" s="348"/>
      <c r="D153" s="348"/>
      <c r="E153" s="84"/>
      <c r="F153" s="84"/>
      <c r="G153" s="84"/>
      <c r="H153" s="84"/>
      <c r="I153" s="84"/>
      <c r="J153" s="947"/>
      <c r="K153" s="947"/>
      <c r="L153" s="947"/>
      <c r="M153" s="947"/>
      <c r="N153" s="947"/>
      <c r="O153" s="947"/>
      <c r="P153" s="947"/>
      <c r="Q153" s="947"/>
      <c r="R153" s="937"/>
      <c r="S153" s="937"/>
      <c r="T153" s="947"/>
      <c r="U153" s="947"/>
      <c r="V153" s="938"/>
      <c r="W153" s="947"/>
      <c r="X153" s="939"/>
      <c r="Y153" s="947"/>
      <c r="Z153" s="947"/>
      <c r="AA153" s="938"/>
      <c r="AB153" s="947"/>
      <c r="AC153" s="947"/>
      <c r="AD153" s="947"/>
      <c r="AE153" s="947"/>
      <c r="AF153" s="947"/>
      <c r="AG153" s="947"/>
      <c r="AH153" s="948"/>
      <c r="AI153" s="947"/>
      <c r="AJ153" s="947"/>
      <c r="AK153" s="947"/>
      <c r="AL153" s="947"/>
      <c r="AM153" s="947"/>
      <c r="AN153" s="947"/>
      <c r="AO153" s="947"/>
      <c r="AP153" s="947"/>
      <c r="AQ153" s="947"/>
      <c r="AR153" s="938"/>
      <c r="AS153" s="937"/>
      <c r="AT153" s="948"/>
      <c r="AU153" s="947"/>
      <c r="AV153" s="981"/>
      <c r="AW153" s="950"/>
      <c r="AX153" s="950"/>
      <c r="AY153" s="951"/>
      <c r="AZ153" s="950"/>
      <c r="BA153" s="952"/>
      <c r="BB153" s="990"/>
      <c r="BC153" s="991"/>
      <c r="BD153" s="952"/>
      <c r="BE153" s="952"/>
      <c r="BF153" s="952"/>
      <c r="BG153" s="952"/>
      <c r="BH153" s="952"/>
      <c r="BI153" s="992"/>
      <c r="BJ153" s="952"/>
      <c r="BK153" s="992"/>
      <c r="BL153" s="952"/>
      <c r="BM153" s="952"/>
      <c r="BN153" s="952"/>
      <c r="BO153" s="952"/>
      <c r="BP153" s="965"/>
      <c r="BQ153" s="993"/>
      <c r="BR153" s="994"/>
      <c r="BS153" s="993"/>
      <c r="BT153" s="995"/>
      <c r="BU153" s="995"/>
      <c r="BV153" s="996"/>
      <c r="BW153" s="996"/>
      <c r="BX153" s="996"/>
      <c r="BY153" s="996"/>
      <c r="BZ153" s="996"/>
      <c r="CA153" s="996"/>
      <c r="CB153" s="965"/>
      <c r="CC153" s="965"/>
    </row>
    <row r="154">
      <c r="A154" s="84"/>
      <c r="B154" s="84"/>
      <c r="C154" s="348"/>
      <c r="D154" s="348"/>
      <c r="E154" s="84"/>
      <c r="F154" s="84"/>
      <c r="G154" s="84"/>
      <c r="H154" s="84"/>
      <c r="I154" s="84"/>
      <c r="J154" s="947"/>
      <c r="K154" s="947"/>
      <c r="L154" s="947"/>
      <c r="M154" s="947"/>
      <c r="N154" s="947"/>
      <c r="O154" s="947"/>
      <c r="P154" s="947"/>
      <c r="Q154" s="947"/>
      <c r="R154" s="937"/>
      <c r="S154" s="937"/>
      <c r="T154" s="947"/>
      <c r="U154" s="947"/>
      <c r="V154" s="938"/>
      <c r="W154" s="947"/>
      <c r="X154" s="939"/>
      <c r="Y154" s="947"/>
      <c r="Z154" s="947"/>
      <c r="AA154" s="938"/>
      <c r="AB154" s="947"/>
      <c r="AC154" s="947"/>
      <c r="AD154" s="947"/>
      <c r="AE154" s="947"/>
      <c r="AF154" s="947"/>
      <c r="AG154" s="947"/>
      <c r="AH154" s="948"/>
      <c r="AI154" s="947"/>
      <c r="AJ154" s="947"/>
      <c r="AK154" s="947"/>
      <c r="AL154" s="947"/>
      <c r="AM154" s="947"/>
      <c r="AN154" s="947"/>
      <c r="AO154" s="947"/>
      <c r="AP154" s="947"/>
      <c r="AQ154" s="947"/>
      <c r="AR154" s="938"/>
      <c r="AS154" s="937"/>
      <c r="AT154" s="948"/>
      <c r="AU154" s="947"/>
      <c r="AV154" s="981"/>
      <c r="AW154" s="950"/>
      <c r="AX154" s="950"/>
      <c r="AY154" s="951"/>
      <c r="AZ154" s="950"/>
      <c r="BA154" s="952"/>
      <c r="BB154" s="990"/>
      <c r="BC154" s="991"/>
      <c r="BD154" s="952"/>
      <c r="BE154" s="952"/>
      <c r="BF154" s="952"/>
      <c r="BG154" s="952"/>
      <c r="BH154" s="952"/>
      <c r="BI154" s="992"/>
      <c r="BJ154" s="952"/>
      <c r="BK154" s="992"/>
      <c r="BL154" s="952"/>
      <c r="BM154" s="952"/>
      <c r="BN154" s="952"/>
      <c r="BO154" s="952"/>
      <c r="BP154" s="965"/>
      <c r="BQ154" s="993"/>
      <c r="BR154" s="994"/>
      <c r="BS154" s="993"/>
      <c r="BT154" s="995"/>
      <c r="BU154" s="995"/>
      <c r="BV154" s="996"/>
      <c r="BW154" s="996"/>
      <c r="BX154" s="996"/>
      <c r="BY154" s="996"/>
      <c r="BZ154" s="996"/>
      <c r="CA154" s="996"/>
      <c r="CB154" s="965"/>
      <c r="CC154" s="965"/>
    </row>
    <row r="155">
      <c r="A155" s="84"/>
      <c r="B155" s="84"/>
      <c r="C155" s="348"/>
      <c r="D155" s="348"/>
      <c r="E155" s="84"/>
      <c r="F155" s="84"/>
      <c r="G155" s="84"/>
      <c r="H155" s="84"/>
      <c r="I155" s="84"/>
      <c r="J155" s="947"/>
      <c r="K155" s="947"/>
      <c r="L155" s="947"/>
      <c r="M155" s="947"/>
      <c r="N155" s="947"/>
      <c r="O155" s="947"/>
      <c r="P155" s="947"/>
      <c r="Q155" s="947"/>
      <c r="R155" s="937"/>
      <c r="S155" s="937"/>
      <c r="T155" s="947"/>
      <c r="U155" s="947"/>
      <c r="V155" s="938"/>
      <c r="W155" s="947"/>
      <c r="X155" s="939"/>
      <c r="Y155" s="947"/>
      <c r="Z155" s="947"/>
      <c r="AA155" s="938"/>
      <c r="AB155" s="947"/>
      <c r="AC155" s="947"/>
      <c r="AD155" s="947"/>
      <c r="AE155" s="947"/>
      <c r="AF155" s="947"/>
      <c r="AG155" s="947"/>
      <c r="AH155" s="948"/>
      <c r="AI155" s="947"/>
      <c r="AJ155" s="947"/>
      <c r="AK155" s="947"/>
      <c r="AL155" s="947"/>
      <c r="AM155" s="947"/>
      <c r="AN155" s="947"/>
      <c r="AO155" s="947"/>
      <c r="AP155" s="947"/>
      <c r="AQ155" s="947"/>
      <c r="AR155" s="938"/>
      <c r="AS155" s="937"/>
      <c r="AT155" s="948"/>
      <c r="AU155" s="947"/>
      <c r="AV155" s="981"/>
      <c r="AW155" s="950"/>
      <c r="AX155" s="950"/>
      <c r="AY155" s="951"/>
      <c r="AZ155" s="950"/>
      <c r="BA155" s="952"/>
      <c r="BB155" s="990"/>
      <c r="BC155" s="991"/>
      <c r="BD155" s="952"/>
      <c r="BE155" s="952"/>
      <c r="BF155" s="952"/>
      <c r="BG155" s="952"/>
      <c r="BH155" s="952"/>
      <c r="BI155" s="992"/>
      <c r="BJ155" s="952"/>
      <c r="BK155" s="992"/>
      <c r="BL155" s="952"/>
      <c r="BM155" s="952"/>
      <c r="BN155" s="952"/>
      <c r="BO155" s="952"/>
      <c r="BP155" s="965"/>
      <c r="BQ155" s="993"/>
      <c r="BR155" s="994"/>
      <c r="BS155" s="993"/>
      <c r="BT155" s="995"/>
      <c r="BU155" s="995"/>
      <c r="BV155" s="996"/>
      <c r="BW155" s="996"/>
      <c r="BX155" s="996"/>
      <c r="BY155" s="996"/>
      <c r="BZ155" s="996"/>
      <c r="CA155" s="996"/>
      <c r="CB155" s="965"/>
      <c r="CC155" s="965"/>
    </row>
    <row r="156">
      <c r="A156" s="84"/>
      <c r="B156" s="84"/>
      <c r="C156" s="348"/>
      <c r="D156" s="348"/>
      <c r="E156" s="84"/>
      <c r="F156" s="84"/>
      <c r="G156" s="84"/>
      <c r="H156" s="84"/>
      <c r="I156" s="84"/>
      <c r="J156" s="947"/>
      <c r="K156" s="947"/>
      <c r="L156" s="947"/>
      <c r="M156" s="947"/>
      <c r="N156" s="947"/>
      <c r="O156" s="947"/>
      <c r="P156" s="947"/>
      <c r="Q156" s="947"/>
      <c r="R156" s="937"/>
      <c r="S156" s="937"/>
      <c r="T156" s="947"/>
      <c r="U156" s="947"/>
      <c r="V156" s="938"/>
      <c r="W156" s="947"/>
      <c r="X156" s="939"/>
      <c r="Y156" s="947"/>
      <c r="Z156" s="947"/>
      <c r="AA156" s="938"/>
      <c r="AB156" s="947"/>
      <c r="AC156" s="947"/>
      <c r="AD156" s="947"/>
      <c r="AE156" s="947"/>
      <c r="AF156" s="947"/>
      <c r="AG156" s="947"/>
      <c r="AH156" s="948"/>
      <c r="AI156" s="947"/>
      <c r="AJ156" s="947"/>
      <c r="AK156" s="947"/>
      <c r="AL156" s="947"/>
      <c r="AM156" s="947"/>
      <c r="AN156" s="947"/>
      <c r="AO156" s="947"/>
      <c r="AP156" s="947"/>
      <c r="AQ156" s="947"/>
      <c r="AR156" s="938"/>
      <c r="AS156" s="937"/>
      <c r="AT156" s="948"/>
      <c r="AU156" s="947"/>
      <c r="AV156" s="981"/>
      <c r="AW156" s="950"/>
      <c r="AX156" s="950"/>
      <c r="AY156" s="951"/>
      <c r="AZ156" s="950"/>
      <c r="BA156" s="952"/>
      <c r="BB156" s="990"/>
      <c r="BC156" s="991"/>
      <c r="BD156" s="952"/>
      <c r="BE156" s="952"/>
      <c r="BF156" s="952"/>
      <c r="BG156" s="952"/>
      <c r="BH156" s="952"/>
      <c r="BI156" s="992"/>
      <c r="BJ156" s="952"/>
      <c r="BK156" s="992"/>
      <c r="BL156" s="952"/>
      <c r="BM156" s="952"/>
      <c r="BN156" s="952"/>
      <c r="BO156" s="952"/>
      <c r="BP156" s="965"/>
      <c r="BQ156" s="993"/>
      <c r="BR156" s="994"/>
      <c r="BS156" s="993"/>
      <c r="BT156" s="995"/>
      <c r="BU156" s="995"/>
      <c r="BV156" s="996"/>
      <c r="BW156" s="996"/>
      <c r="BX156" s="996"/>
      <c r="BY156" s="996"/>
      <c r="BZ156" s="996"/>
      <c r="CA156" s="996"/>
      <c r="CB156" s="965"/>
      <c r="CC156" s="965"/>
    </row>
    <row r="157">
      <c r="A157" s="84"/>
      <c r="B157" s="84"/>
      <c r="C157" s="348"/>
      <c r="D157" s="348"/>
      <c r="E157" s="84"/>
      <c r="F157" s="84"/>
      <c r="G157" s="84"/>
      <c r="H157" s="84"/>
      <c r="I157" s="84"/>
      <c r="J157" s="947"/>
      <c r="K157" s="947"/>
      <c r="L157" s="947"/>
      <c r="M157" s="947"/>
      <c r="N157" s="947"/>
      <c r="O157" s="947"/>
      <c r="P157" s="947"/>
      <c r="Q157" s="947"/>
      <c r="R157" s="937"/>
      <c r="S157" s="937"/>
      <c r="T157" s="947"/>
      <c r="U157" s="947"/>
      <c r="V157" s="938"/>
      <c r="W157" s="947"/>
      <c r="X157" s="939"/>
      <c r="Y157" s="947"/>
      <c r="Z157" s="947"/>
      <c r="AA157" s="938"/>
      <c r="AB157" s="947"/>
      <c r="AC157" s="947"/>
      <c r="AD157" s="947"/>
      <c r="AE157" s="947"/>
      <c r="AF157" s="947"/>
      <c r="AG157" s="947"/>
      <c r="AH157" s="948"/>
      <c r="AI157" s="947"/>
      <c r="AJ157" s="947"/>
      <c r="AK157" s="947"/>
      <c r="AL157" s="947"/>
      <c r="AM157" s="947"/>
      <c r="AN157" s="947"/>
      <c r="AO157" s="947"/>
      <c r="AP157" s="947"/>
      <c r="AQ157" s="947"/>
      <c r="AR157" s="938"/>
      <c r="AS157" s="937"/>
      <c r="AT157" s="948"/>
      <c r="AU157" s="947"/>
      <c r="AV157" s="981"/>
      <c r="AW157" s="950"/>
      <c r="AX157" s="950"/>
      <c r="AY157" s="951"/>
      <c r="AZ157" s="950"/>
      <c r="BA157" s="952"/>
      <c r="BB157" s="990"/>
      <c r="BC157" s="991"/>
      <c r="BD157" s="952"/>
      <c r="BE157" s="952"/>
      <c r="BF157" s="952"/>
      <c r="BG157" s="952"/>
      <c r="BH157" s="952"/>
      <c r="BI157" s="992"/>
      <c r="BJ157" s="952"/>
      <c r="BK157" s="992"/>
      <c r="BL157" s="952"/>
      <c r="BM157" s="952"/>
      <c r="BN157" s="952"/>
      <c r="BO157" s="952"/>
      <c r="BP157" s="965"/>
      <c r="BQ157" s="993"/>
      <c r="BR157" s="994"/>
      <c r="BS157" s="993"/>
      <c r="BT157" s="995"/>
      <c r="BU157" s="995"/>
      <c r="BV157" s="996"/>
      <c r="BW157" s="996"/>
      <c r="BX157" s="996"/>
      <c r="BY157" s="996"/>
      <c r="BZ157" s="996"/>
      <c r="CA157" s="996"/>
      <c r="CB157" s="965"/>
      <c r="CC157" s="965"/>
    </row>
    <row r="158">
      <c r="A158" s="84"/>
      <c r="B158" s="84"/>
      <c r="C158" s="348"/>
      <c r="D158" s="348"/>
      <c r="E158" s="84"/>
      <c r="F158" s="84"/>
      <c r="G158" s="84"/>
      <c r="H158" s="84"/>
      <c r="I158" s="84"/>
      <c r="J158" s="947"/>
      <c r="K158" s="947"/>
      <c r="L158" s="947"/>
      <c r="M158" s="947"/>
      <c r="N158" s="947"/>
      <c r="O158" s="947"/>
      <c r="P158" s="947"/>
      <c r="Q158" s="947"/>
      <c r="R158" s="937"/>
      <c r="S158" s="937"/>
      <c r="T158" s="947"/>
      <c r="U158" s="947"/>
      <c r="V158" s="938"/>
      <c r="W158" s="947"/>
      <c r="X158" s="939"/>
      <c r="Y158" s="947"/>
      <c r="Z158" s="947"/>
      <c r="AA158" s="938"/>
      <c r="AB158" s="947"/>
      <c r="AC158" s="947"/>
      <c r="AD158" s="947"/>
      <c r="AE158" s="947"/>
      <c r="AF158" s="947"/>
      <c r="AG158" s="947"/>
      <c r="AH158" s="948"/>
      <c r="AI158" s="947"/>
      <c r="AJ158" s="947"/>
      <c r="AK158" s="947"/>
      <c r="AL158" s="947"/>
      <c r="AM158" s="947"/>
      <c r="AN158" s="947"/>
      <c r="AO158" s="947"/>
      <c r="AP158" s="947"/>
      <c r="AQ158" s="947"/>
      <c r="AR158" s="938"/>
      <c r="AS158" s="937"/>
      <c r="AT158" s="948"/>
      <c r="AU158" s="947"/>
      <c r="AV158" s="981"/>
      <c r="AW158" s="950"/>
      <c r="AX158" s="950"/>
      <c r="AY158" s="951"/>
      <c r="AZ158" s="950"/>
      <c r="BA158" s="952"/>
      <c r="BB158" s="990"/>
      <c r="BC158" s="991"/>
      <c r="BD158" s="952"/>
      <c r="BE158" s="952"/>
      <c r="BF158" s="952"/>
      <c r="BG158" s="952"/>
      <c r="BH158" s="952"/>
      <c r="BI158" s="992"/>
      <c r="BJ158" s="952"/>
      <c r="BK158" s="992"/>
      <c r="BL158" s="952"/>
      <c r="BM158" s="952"/>
      <c r="BN158" s="952"/>
      <c r="BO158" s="952"/>
      <c r="BP158" s="965"/>
      <c r="BQ158" s="993"/>
      <c r="BR158" s="994"/>
      <c r="BS158" s="993"/>
      <c r="BT158" s="995"/>
      <c r="BU158" s="995"/>
      <c r="BV158" s="996"/>
      <c r="BW158" s="996"/>
      <c r="BX158" s="996"/>
      <c r="BY158" s="996"/>
      <c r="BZ158" s="996"/>
      <c r="CA158" s="996"/>
      <c r="CB158" s="965"/>
      <c r="CC158" s="965"/>
    </row>
    <row r="159">
      <c r="A159" s="84"/>
      <c r="B159" s="84"/>
      <c r="C159" s="348"/>
      <c r="D159" s="348"/>
      <c r="E159" s="84"/>
      <c r="F159" s="84"/>
      <c r="G159" s="84"/>
      <c r="H159" s="84"/>
      <c r="I159" s="84"/>
      <c r="J159" s="947"/>
      <c r="K159" s="947"/>
      <c r="L159" s="947"/>
      <c r="M159" s="947"/>
      <c r="N159" s="947"/>
      <c r="O159" s="947"/>
      <c r="P159" s="947"/>
      <c r="Q159" s="947"/>
      <c r="R159" s="937"/>
      <c r="S159" s="937"/>
      <c r="T159" s="947"/>
      <c r="U159" s="947"/>
      <c r="V159" s="938"/>
      <c r="W159" s="947"/>
      <c r="X159" s="939"/>
      <c r="Y159" s="947"/>
      <c r="Z159" s="947"/>
      <c r="AA159" s="938"/>
      <c r="AB159" s="947"/>
      <c r="AC159" s="947"/>
      <c r="AD159" s="947"/>
      <c r="AE159" s="947"/>
      <c r="AF159" s="947"/>
      <c r="AG159" s="947"/>
      <c r="AH159" s="948"/>
      <c r="AI159" s="947"/>
      <c r="AJ159" s="947"/>
      <c r="AK159" s="947"/>
      <c r="AL159" s="947"/>
      <c r="AM159" s="947"/>
      <c r="AN159" s="947"/>
      <c r="AO159" s="947"/>
      <c r="AP159" s="947"/>
      <c r="AQ159" s="947"/>
      <c r="AR159" s="938"/>
      <c r="AS159" s="937"/>
      <c r="AT159" s="948"/>
      <c r="AU159" s="947"/>
      <c r="AV159" s="981"/>
      <c r="AW159" s="950"/>
      <c r="AX159" s="950"/>
      <c r="AY159" s="951"/>
      <c r="AZ159" s="950"/>
      <c r="BA159" s="952"/>
      <c r="BB159" s="990"/>
      <c r="BC159" s="991"/>
      <c r="BD159" s="952"/>
      <c r="BE159" s="952"/>
      <c r="BF159" s="952"/>
      <c r="BG159" s="952"/>
      <c r="BH159" s="952"/>
      <c r="BI159" s="992"/>
      <c r="BJ159" s="952"/>
      <c r="BK159" s="992"/>
      <c r="BL159" s="952"/>
      <c r="BM159" s="952"/>
      <c r="BN159" s="952"/>
      <c r="BO159" s="952"/>
      <c r="BP159" s="965"/>
      <c r="BQ159" s="993"/>
      <c r="BR159" s="994"/>
      <c r="BS159" s="993"/>
      <c r="BT159" s="995"/>
      <c r="BU159" s="995"/>
      <c r="BV159" s="996"/>
      <c r="BW159" s="996"/>
      <c r="BX159" s="996"/>
      <c r="BY159" s="996"/>
      <c r="BZ159" s="996"/>
      <c r="CA159" s="996"/>
      <c r="CB159" s="965"/>
      <c r="CC159" s="965"/>
    </row>
    <row r="160">
      <c r="A160" s="84"/>
      <c r="B160" s="84"/>
      <c r="C160" s="348"/>
      <c r="D160" s="348"/>
      <c r="E160" s="84"/>
      <c r="F160" s="84"/>
      <c r="G160" s="84"/>
      <c r="H160" s="84"/>
      <c r="I160" s="84"/>
      <c r="J160" s="947"/>
      <c r="K160" s="947"/>
      <c r="L160" s="947"/>
      <c r="M160" s="947"/>
      <c r="N160" s="947"/>
      <c r="O160" s="947"/>
      <c r="P160" s="947"/>
      <c r="Q160" s="947"/>
      <c r="R160" s="937"/>
      <c r="S160" s="937"/>
      <c r="T160" s="947"/>
      <c r="U160" s="947"/>
      <c r="V160" s="938"/>
      <c r="W160" s="947"/>
      <c r="X160" s="939"/>
      <c r="Y160" s="947"/>
      <c r="Z160" s="947"/>
      <c r="AA160" s="938"/>
      <c r="AB160" s="947"/>
      <c r="AC160" s="947"/>
      <c r="AD160" s="947"/>
      <c r="AE160" s="947"/>
      <c r="AF160" s="947"/>
      <c r="AG160" s="947"/>
      <c r="AH160" s="948"/>
      <c r="AI160" s="947"/>
      <c r="AJ160" s="947"/>
      <c r="AK160" s="947"/>
      <c r="AL160" s="947"/>
      <c r="AM160" s="947"/>
      <c r="AN160" s="947"/>
      <c r="AO160" s="947"/>
      <c r="AP160" s="947"/>
      <c r="AQ160" s="947"/>
      <c r="AR160" s="938"/>
      <c r="AS160" s="937"/>
      <c r="AT160" s="948"/>
      <c r="AU160" s="947"/>
      <c r="AV160" s="981"/>
      <c r="AW160" s="950"/>
      <c r="AX160" s="950"/>
      <c r="AY160" s="951"/>
      <c r="AZ160" s="950"/>
      <c r="BA160" s="952"/>
      <c r="BB160" s="990"/>
      <c r="BC160" s="991"/>
      <c r="BD160" s="952"/>
      <c r="BE160" s="952"/>
      <c r="BF160" s="952"/>
      <c r="BG160" s="952"/>
      <c r="BH160" s="952"/>
      <c r="BI160" s="992"/>
      <c r="BJ160" s="952"/>
      <c r="BK160" s="992"/>
      <c r="BL160" s="952"/>
      <c r="BM160" s="952"/>
      <c r="BN160" s="952"/>
      <c r="BO160" s="952"/>
      <c r="BP160" s="965"/>
      <c r="BQ160" s="993"/>
      <c r="BR160" s="994"/>
      <c r="BS160" s="993"/>
      <c r="BT160" s="995"/>
      <c r="BU160" s="995"/>
      <c r="BV160" s="996"/>
      <c r="BW160" s="996"/>
      <c r="BX160" s="996"/>
      <c r="BY160" s="996"/>
      <c r="BZ160" s="996"/>
      <c r="CA160" s="996"/>
      <c r="CB160" s="965"/>
      <c r="CC160" s="965"/>
    </row>
    <row r="161">
      <c r="A161" s="84"/>
      <c r="B161" s="84"/>
      <c r="C161" s="348"/>
      <c r="D161" s="348"/>
      <c r="E161" s="84"/>
      <c r="F161" s="84"/>
      <c r="G161" s="84"/>
      <c r="H161" s="84"/>
      <c r="I161" s="84"/>
      <c r="J161" s="947"/>
      <c r="K161" s="947"/>
      <c r="L161" s="947"/>
      <c r="M161" s="947"/>
      <c r="N161" s="947"/>
      <c r="O161" s="947"/>
      <c r="P161" s="947"/>
      <c r="Q161" s="947"/>
      <c r="R161" s="937"/>
      <c r="S161" s="937"/>
      <c r="T161" s="947"/>
      <c r="U161" s="947"/>
      <c r="V161" s="938"/>
      <c r="W161" s="947"/>
      <c r="X161" s="939"/>
      <c r="Y161" s="947"/>
      <c r="Z161" s="947"/>
      <c r="AA161" s="938"/>
      <c r="AB161" s="947"/>
      <c r="AC161" s="947"/>
      <c r="AD161" s="947"/>
      <c r="AE161" s="947"/>
      <c r="AF161" s="947"/>
      <c r="AG161" s="947"/>
      <c r="AH161" s="948"/>
      <c r="AI161" s="947"/>
      <c r="AJ161" s="947"/>
      <c r="AK161" s="947"/>
      <c r="AL161" s="947"/>
      <c r="AM161" s="947"/>
      <c r="AN161" s="947"/>
      <c r="AO161" s="947"/>
      <c r="AP161" s="947"/>
      <c r="AQ161" s="947"/>
      <c r="AR161" s="938"/>
      <c r="AS161" s="937"/>
      <c r="AT161" s="948"/>
      <c r="AU161" s="947"/>
      <c r="AV161" s="981"/>
      <c r="AW161" s="950"/>
      <c r="AX161" s="950"/>
      <c r="AY161" s="951"/>
      <c r="AZ161" s="950"/>
      <c r="BA161" s="952"/>
      <c r="BB161" s="990"/>
      <c r="BC161" s="991"/>
      <c r="BD161" s="952"/>
      <c r="BE161" s="952"/>
      <c r="BF161" s="952"/>
      <c r="BG161" s="952"/>
      <c r="BH161" s="952"/>
      <c r="BI161" s="992"/>
      <c r="BJ161" s="952"/>
      <c r="BK161" s="992"/>
      <c r="BL161" s="952"/>
      <c r="BM161" s="952"/>
      <c r="BN161" s="952"/>
      <c r="BO161" s="952"/>
      <c r="BP161" s="965"/>
      <c r="BQ161" s="993"/>
      <c r="BR161" s="994"/>
      <c r="BS161" s="993"/>
      <c r="BT161" s="995"/>
      <c r="BU161" s="995"/>
      <c r="BV161" s="996"/>
      <c r="BW161" s="996"/>
      <c r="BX161" s="996"/>
      <c r="BY161" s="996"/>
      <c r="BZ161" s="996"/>
      <c r="CA161" s="996"/>
      <c r="CB161" s="965"/>
      <c r="CC161" s="965"/>
    </row>
    <row r="162">
      <c r="A162" s="84"/>
      <c r="B162" s="84"/>
      <c r="C162" s="348"/>
      <c r="D162" s="348"/>
      <c r="E162" s="84"/>
      <c r="F162" s="84"/>
      <c r="G162" s="84"/>
      <c r="H162" s="84"/>
      <c r="I162" s="84"/>
      <c r="J162" s="947"/>
      <c r="K162" s="947"/>
      <c r="L162" s="947"/>
      <c r="M162" s="947"/>
      <c r="N162" s="947"/>
      <c r="O162" s="947"/>
      <c r="P162" s="947"/>
      <c r="Q162" s="947"/>
      <c r="R162" s="937"/>
      <c r="S162" s="937"/>
      <c r="T162" s="947"/>
      <c r="U162" s="947"/>
      <c r="V162" s="938"/>
      <c r="W162" s="947"/>
      <c r="X162" s="939"/>
      <c r="Y162" s="947"/>
      <c r="Z162" s="947"/>
      <c r="AA162" s="938"/>
      <c r="AB162" s="947"/>
      <c r="AC162" s="947"/>
      <c r="AD162" s="947"/>
      <c r="AE162" s="947"/>
      <c r="AF162" s="947"/>
      <c r="AG162" s="947"/>
      <c r="AH162" s="948"/>
      <c r="AI162" s="947"/>
      <c r="AJ162" s="947"/>
      <c r="AK162" s="947"/>
      <c r="AL162" s="947"/>
      <c r="AM162" s="947"/>
      <c r="AN162" s="947"/>
      <c r="AO162" s="947"/>
      <c r="AP162" s="947"/>
      <c r="AQ162" s="947"/>
      <c r="AR162" s="938"/>
      <c r="AS162" s="937"/>
      <c r="AT162" s="948"/>
      <c r="AU162" s="947"/>
      <c r="AV162" s="981"/>
      <c r="AW162" s="950"/>
      <c r="AX162" s="950"/>
      <c r="AY162" s="951"/>
      <c r="AZ162" s="950"/>
      <c r="BA162" s="952"/>
      <c r="BB162" s="990"/>
      <c r="BC162" s="991"/>
      <c r="BD162" s="952"/>
      <c r="BE162" s="952"/>
      <c r="BF162" s="952"/>
      <c r="BG162" s="952"/>
      <c r="BH162" s="952"/>
      <c r="BI162" s="992"/>
      <c r="BJ162" s="952"/>
      <c r="BK162" s="992"/>
      <c r="BL162" s="952"/>
      <c r="BM162" s="952"/>
      <c r="BN162" s="952"/>
      <c r="BO162" s="952"/>
      <c r="BP162" s="965"/>
      <c r="BQ162" s="993"/>
      <c r="BR162" s="994"/>
      <c r="BS162" s="993"/>
      <c r="BT162" s="995"/>
      <c r="BU162" s="995"/>
      <c r="BV162" s="996"/>
      <c r="BW162" s="996"/>
      <c r="BX162" s="996"/>
      <c r="BY162" s="996"/>
      <c r="BZ162" s="996"/>
      <c r="CA162" s="996"/>
      <c r="CB162" s="965"/>
      <c r="CC162" s="965"/>
    </row>
    <row r="163">
      <c r="A163" s="84"/>
      <c r="B163" s="84"/>
      <c r="C163" s="348"/>
      <c r="D163" s="348"/>
      <c r="E163" s="84"/>
      <c r="F163" s="84"/>
      <c r="G163" s="84"/>
      <c r="H163" s="84"/>
      <c r="I163" s="84"/>
      <c r="J163" s="947"/>
      <c r="K163" s="947"/>
      <c r="L163" s="947"/>
      <c r="M163" s="947"/>
      <c r="N163" s="947"/>
      <c r="O163" s="947"/>
      <c r="P163" s="947"/>
      <c r="Q163" s="947"/>
      <c r="R163" s="937"/>
      <c r="S163" s="937"/>
      <c r="T163" s="947"/>
      <c r="U163" s="947"/>
      <c r="V163" s="938"/>
      <c r="W163" s="947"/>
      <c r="X163" s="939"/>
      <c r="Y163" s="947"/>
      <c r="Z163" s="947"/>
      <c r="AA163" s="938"/>
      <c r="AB163" s="947"/>
      <c r="AC163" s="947"/>
      <c r="AD163" s="947"/>
      <c r="AE163" s="947"/>
      <c r="AF163" s="947"/>
      <c r="AG163" s="947"/>
      <c r="AH163" s="948"/>
      <c r="AI163" s="947"/>
      <c r="AJ163" s="947"/>
      <c r="AK163" s="947"/>
      <c r="AL163" s="947"/>
      <c r="AM163" s="947"/>
      <c r="AN163" s="947"/>
      <c r="AO163" s="947"/>
      <c r="AP163" s="947"/>
      <c r="AQ163" s="947"/>
      <c r="AR163" s="938"/>
      <c r="AS163" s="937"/>
      <c r="AT163" s="948"/>
      <c r="AU163" s="947"/>
      <c r="AV163" s="981"/>
      <c r="AW163" s="950"/>
      <c r="AX163" s="950"/>
      <c r="AY163" s="951"/>
      <c r="AZ163" s="950"/>
      <c r="BA163" s="952"/>
      <c r="BB163" s="990"/>
      <c r="BC163" s="991"/>
      <c r="BD163" s="952"/>
      <c r="BE163" s="952"/>
      <c r="BF163" s="952"/>
      <c r="BG163" s="952"/>
      <c r="BH163" s="952"/>
      <c r="BI163" s="992"/>
      <c r="BJ163" s="952"/>
      <c r="BK163" s="992"/>
      <c r="BL163" s="952"/>
      <c r="BM163" s="952"/>
      <c r="BN163" s="952"/>
      <c r="BO163" s="952"/>
      <c r="BP163" s="965"/>
      <c r="BQ163" s="993"/>
      <c r="BR163" s="994"/>
      <c r="BS163" s="993"/>
      <c r="BT163" s="995"/>
      <c r="BU163" s="995"/>
      <c r="BV163" s="996"/>
      <c r="BW163" s="996"/>
      <c r="BX163" s="996"/>
      <c r="BY163" s="996"/>
      <c r="BZ163" s="996"/>
      <c r="CA163" s="996"/>
      <c r="CB163" s="965"/>
      <c r="CC163" s="965"/>
    </row>
    <row r="164">
      <c r="A164" s="84"/>
      <c r="B164" s="84"/>
      <c r="C164" s="348"/>
      <c r="D164" s="348"/>
      <c r="E164" s="84"/>
      <c r="F164" s="84"/>
      <c r="G164" s="84"/>
      <c r="H164" s="84"/>
      <c r="I164" s="84"/>
      <c r="J164" s="947"/>
      <c r="K164" s="947"/>
      <c r="L164" s="947"/>
      <c r="M164" s="947"/>
      <c r="N164" s="947"/>
      <c r="O164" s="947"/>
      <c r="P164" s="947"/>
      <c r="Q164" s="947"/>
      <c r="R164" s="937"/>
      <c r="S164" s="937"/>
      <c r="T164" s="947"/>
      <c r="U164" s="947"/>
      <c r="V164" s="938"/>
      <c r="W164" s="947"/>
      <c r="X164" s="939"/>
      <c r="Y164" s="947"/>
      <c r="Z164" s="947"/>
      <c r="AA164" s="938"/>
      <c r="AB164" s="947"/>
      <c r="AC164" s="947"/>
      <c r="AD164" s="947"/>
      <c r="AE164" s="947"/>
      <c r="AF164" s="947"/>
      <c r="AG164" s="947"/>
      <c r="AH164" s="948"/>
      <c r="AI164" s="947"/>
      <c r="AJ164" s="947"/>
      <c r="AK164" s="947"/>
      <c r="AL164" s="947"/>
      <c r="AM164" s="947"/>
      <c r="AN164" s="947"/>
      <c r="AO164" s="947"/>
      <c r="AP164" s="947"/>
      <c r="AQ164" s="947"/>
      <c r="AR164" s="938"/>
      <c r="AS164" s="937"/>
      <c r="AT164" s="948"/>
      <c r="AU164" s="947"/>
      <c r="AV164" s="981"/>
      <c r="AW164" s="950"/>
      <c r="AX164" s="950"/>
      <c r="AY164" s="951"/>
      <c r="AZ164" s="950"/>
      <c r="BA164" s="952"/>
      <c r="BB164" s="990"/>
      <c r="BC164" s="991"/>
      <c r="BD164" s="952"/>
      <c r="BE164" s="952"/>
      <c r="BF164" s="952"/>
      <c r="BG164" s="952"/>
      <c r="BH164" s="952"/>
      <c r="BI164" s="992"/>
      <c r="BJ164" s="952"/>
      <c r="BK164" s="992"/>
      <c r="BL164" s="952"/>
      <c r="BM164" s="952"/>
      <c r="BN164" s="952"/>
      <c r="BO164" s="952"/>
      <c r="BP164" s="965"/>
      <c r="BQ164" s="993"/>
      <c r="BR164" s="994"/>
      <c r="BS164" s="993"/>
      <c r="BT164" s="995"/>
      <c r="BU164" s="995"/>
      <c r="BV164" s="996"/>
      <c r="BW164" s="996"/>
      <c r="BX164" s="996"/>
      <c r="BY164" s="996"/>
      <c r="BZ164" s="996"/>
      <c r="CA164" s="996"/>
      <c r="CB164" s="965"/>
      <c r="CC164" s="965"/>
    </row>
    <row r="165">
      <c r="A165" s="84"/>
      <c r="B165" s="84"/>
      <c r="C165" s="348"/>
      <c r="D165" s="348"/>
      <c r="E165" s="84"/>
      <c r="F165" s="84"/>
      <c r="G165" s="84"/>
      <c r="H165" s="84"/>
      <c r="I165" s="84"/>
      <c r="J165" s="947"/>
      <c r="K165" s="947"/>
      <c r="L165" s="947"/>
      <c r="M165" s="947"/>
      <c r="N165" s="947"/>
      <c r="O165" s="947"/>
      <c r="P165" s="947"/>
      <c r="Q165" s="947"/>
      <c r="R165" s="937"/>
      <c r="S165" s="937"/>
      <c r="T165" s="947"/>
      <c r="U165" s="947"/>
      <c r="V165" s="938"/>
      <c r="W165" s="947"/>
      <c r="X165" s="939"/>
      <c r="Y165" s="947"/>
      <c r="Z165" s="947"/>
      <c r="AA165" s="938"/>
      <c r="AB165" s="947"/>
      <c r="AC165" s="947"/>
      <c r="AD165" s="947"/>
      <c r="AE165" s="947"/>
      <c r="AF165" s="947"/>
      <c r="AG165" s="947"/>
      <c r="AH165" s="948"/>
      <c r="AI165" s="947"/>
      <c r="AJ165" s="947"/>
      <c r="AK165" s="947"/>
      <c r="AL165" s="947"/>
      <c r="AM165" s="947"/>
      <c r="AN165" s="947"/>
      <c r="AO165" s="947"/>
      <c r="AP165" s="947"/>
      <c r="AQ165" s="947"/>
      <c r="AR165" s="938"/>
      <c r="AS165" s="937"/>
      <c r="AT165" s="948"/>
      <c r="AU165" s="947"/>
      <c r="AV165" s="981"/>
      <c r="AW165" s="950"/>
      <c r="AX165" s="950"/>
      <c r="AY165" s="951"/>
      <c r="AZ165" s="950"/>
      <c r="BA165" s="952"/>
      <c r="BB165" s="990"/>
      <c r="BC165" s="991"/>
      <c r="BD165" s="952"/>
      <c r="BE165" s="952"/>
      <c r="BF165" s="952"/>
      <c r="BG165" s="952"/>
      <c r="BH165" s="952"/>
      <c r="BI165" s="992"/>
      <c r="BJ165" s="952"/>
      <c r="BK165" s="992"/>
      <c r="BL165" s="952"/>
      <c r="BM165" s="952"/>
      <c r="BN165" s="952"/>
      <c r="BO165" s="952"/>
      <c r="BP165" s="965"/>
      <c r="BQ165" s="993"/>
      <c r="BR165" s="994"/>
      <c r="BS165" s="993"/>
      <c r="BT165" s="995"/>
      <c r="BU165" s="995"/>
      <c r="BV165" s="996"/>
      <c r="BW165" s="996"/>
      <c r="BX165" s="996"/>
      <c r="BY165" s="996"/>
      <c r="BZ165" s="996"/>
      <c r="CA165" s="996"/>
      <c r="CB165" s="965"/>
      <c r="CC165" s="965"/>
    </row>
    <row r="166">
      <c r="A166" s="84"/>
      <c r="B166" s="84"/>
      <c r="C166" s="348"/>
      <c r="D166" s="348"/>
      <c r="E166" s="84"/>
      <c r="F166" s="84"/>
      <c r="G166" s="84"/>
      <c r="H166" s="84"/>
      <c r="I166" s="84"/>
      <c r="J166" s="947"/>
      <c r="K166" s="947"/>
      <c r="L166" s="947"/>
      <c r="M166" s="947"/>
      <c r="N166" s="947"/>
      <c r="O166" s="947"/>
      <c r="P166" s="947"/>
      <c r="Q166" s="947"/>
      <c r="R166" s="937"/>
      <c r="S166" s="937"/>
      <c r="T166" s="947"/>
      <c r="U166" s="947"/>
      <c r="V166" s="938"/>
      <c r="W166" s="947"/>
      <c r="X166" s="939"/>
      <c r="Y166" s="947"/>
      <c r="Z166" s="947"/>
      <c r="AA166" s="938"/>
      <c r="AB166" s="947"/>
      <c r="AC166" s="947"/>
      <c r="AD166" s="947"/>
      <c r="AE166" s="947"/>
      <c r="AF166" s="947"/>
      <c r="AG166" s="947"/>
      <c r="AH166" s="948"/>
      <c r="AI166" s="947"/>
      <c r="AJ166" s="947"/>
      <c r="AK166" s="947"/>
      <c r="AL166" s="947"/>
      <c r="AM166" s="947"/>
      <c r="AN166" s="947"/>
      <c r="AO166" s="947"/>
      <c r="AP166" s="947"/>
      <c r="AQ166" s="947"/>
      <c r="AR166" s="938"/>
      <c r="AS166" s="937"/>
      <c r="AT166" s="948"/>
      <c r="AU166" s="947"/>
      <c r="AV166" s="981"/>
      <c r="AW166" s="950"/>
      <c r="AX166" s="950"/>
      <c r="AY166" s="951"/>
      <c r="AZ166" s="950"/>
      <c r="BA166" s="952"/>
      <c r="BB166" s="990"/>
      <c r="BC166" s="991"/>
      <c r="BD166" s="952"/>
      <c r="BE166" s="952"/>
      <c r="BF166" s="952"/>
      <c r="BG166" s="952"/>
      <c r="BH166" s="952"/>
      <c r="BI166" s="992"/>
      <c r="BJ166" s="952"/>
      <c r="BK166" s="992"/>
      <c r="BL166" s="952"/>
      <c r="BM166" s="952"/>
      <c r="BN166" s="952"/>
      <c r="BO166" s="952"/>
      <c r="BP166" s="965"/>
      <c r="BQ166" s="993"/>
      <c r="BR166" s="994"/>
      <c r="BS166" s="993"/>
      <c r="BT166" s="995"/>
      <c r="BU166" s="995"/>
      <c r="BV166" s="996"/>
      <c r="BW166" s="996"/>
      <c r="BX166" s="996"/>
      <c r="BY166" s="996"/>
      <c r="BZ166" s="996"/>
      <c r="CA166" s="996"/>
      <c r="CB166" s="965"/>
      <c r="CC166" s="965"/>
    </row>
    <row r="167">
      <c r="A167" s="84"/>
      <c r="B167" s="84"/>
      <c r="C167" s="348"/>
      <c r="D167" s="348"/>
      <c r="E167" s="84"/>
      <c r="F167" s="84"/>
      <c r="G167" s="84"/>
      <c r="H167" s="84"/>
      <c r="I167" s="84"/>
      <c r="J167" s="947"/>
      <c r="K167" s="947"/>
      <c r="L167" s="947"/>
      <c r="M167" s="947"/>
      <c r="N167" s="947"/>
      <c r="O167" s="947"/>
      <c r="P167" s="947"/>
      <c r="Q167" s="947"/>
      <c r="R167" s="937"/>
      <c r="S167" s="937"/>
      <c r="T167" s="947"/>
      <c r="U167" s="947"/>
      <c r="V167" s="938"/>
      <c r="W167" s="947"/>
      <c r="X167" s="939"/>
      <c r="Y167" s="947"/>
      <c r="Z167" s="947"/>
      <c r="AA167" s="938"/>
      <c r="AB167" s="947"/>
      <c r="AC167" s="947"/>
      <c r="AD167" s="947"/>
      <c r="AE167" s="947"/>
      <c r="AF167" s="947"/>
      <c r="AG167" s="947"/>
      <c r="AH167" s="948"/>
      <c r="AI167" s="947"/>
      <c r="AJ167" s="947"/>
      <c r="AK167" s="947"/>
      <c r="AL167" s="947"/>
      <c r="AM167" s="947"/>
      <c r="AN167" s="947"/>
      <c r="AO167" s="947"/>
      <c r="AP167" s="947"/>
      <c r="AQ167" s="947"/>
      <c r="AR167" s="938"/>
      <c r="AS167" s="937"/>
      <c r="AT167" s="948"/>
      <c r="AU167" s="947"/>
      <c r="AV167" s="981"/>
      <c r="AW167" s="950"/>
      <c r="AX167" s="950"/>
      <c r="AY167" s="951"/>
      <c r="AZ167" s="950"/>
      <c r="BA167" s="952"/>
      <c r="BB167" s="990"/>
      <c r="BC167" s="991"/>
      <c r="BD167" s="952"/>
      <c r="BE167" s="952"/>
      <c r="BF167" s="952"/>
      <c r="BG167" s="952"/>
      <c r="BH167" s="952"/>
      <c r="BI167" s="992"/>
      <c r="BJ167" s="952"/>
      <c r="BK167" s="992"/>
      <c r="BL167" s="952"/>
      <c r="BM167" s="952"/>
      <c r="BN167" s="952"/>
      <c r="BO167" s="952"/>
      <c r="BP167" s="965"/>
      <c r="BQ167" s="993"/>
      <c r="BR167" s="994"/>
      <c r="BS167" s="993"/>
      <c r="BT167" s="995"/>
      <c r="BU167" s="995"/>
      <c r="BV167" s="996"/>
      <c r="BW167" s="996"/>
      <c r="BX167" s="996"/>
      <c r="BY167" s="996"/>
      <c r="BZ167" s="996"/>
      <c r="CA167" s="996"/>
      <c r="CB167" s="965"/>
      <c r="CC167" s="965"/>
    </row>
    <row r="168">
      <c r="A168" s="84"/>
      <c r="B168" s="84"/>
      <c r="C168" s="348"/>
      <c r="D168" s="348"/>
      <c r="E168" s="84"/>
      <c r="F168" s="84"/>
      <c r="G168" s="84"/>
      <c r="H168" s="84"/>
      <c r="I168" s="84"/>
      <c r="J168" s="947"/>
      <c r="K168" s="947"/>
      <c r="L168" s="947"/>
      <c r="M168" s="947"/>
      <c r="N168" s="947"/>
      <c r="O168" s="947"/>
      <c r="P168" s="947"/>
      <c r="Q168" s="947"/>
      <c r="R168" s="937"/>
      <c r="S168" s="937"/>
      <c r="T168" s="947"/>
      <c r="U168" s="947"/>
      <c r="V168" s="938"/>
      <c r="W168" s="947"/>
      <c r="X168" s="939"/>
      <c r="Y168" s="947"/>
      <c r="Z168" s="947"/>
      <c r="AA168" s="938"/>
      <c r="AB168" s="947"/>
      <c r="AC168" s="947"/>
      <c r="AD168" s="947"/>
      <c r="AE168" s="947"/>
      <c r="AF168" s="947"/>
      <c r="AG168" s="947"/>
      <c r="AH168" s="948"/>
      <c r="AI168" s="947"/>
      <c r="AJ168" s="947"/>
      <c r="AK168" s="947"/>
      <c r="AL168" s="947"/>
      <c r="AM168" s="947"/>
      <c r="AN168" s="947"/>
      <c r="AO168" s="947"/>
      <c r="AP168" s="947"/>
      <c r="AQ168" s="947"/>
      <c r="AR168" s="938"/>
      <c r="AS168" s="937"/>
      <c r="AT168" s="948"/>
      <c r="AU168" s="947"/>
      <c r="AV168" s="981"/>
      <c r="AW168" s="950"/>
      <c r="AX168" s="950"/>
      <c r="AY168" s="951"/>
      <c r="AZ168" s="950"/>
      <c r="BA168" s="952"/>
      <c r="BB168" s="990"/>
      <c r="BC168" s="991"/>
      <c r="BD168" s="952"/>
      <c r="BE168" s="952"/>
      <c r="BF168" s="952"/>
      <c r="BG168" s="952"/>
      <c r="BH168" s="952"/>
      <c r="BI168" s="992"/>
      <c r="BJ168" s="952"/>
      <c r="BK168" s="992"/>
      <c r="BL168" s="952"/>
      <c r="BM168" s="952"/>
      <c r="BN168" s="952"/>
      <c r="BO168" s="952"/>
      <c r="BP168" s="965"/>
      <c r="BQ168" s="993"/>
      <c r="BR168" s="994"/>
      <c r="BS168" s="993"/>
      <c r="BT168" s="995"/>
      <c r="BU168" s="995"/>
      <c r="BV168" s="996"/>
      <c r="BW168" s="996"/>
      <c r="BX168" s="996"/>
      <c r="BY168" s="996"/>
      <c r="BZ168" s="996"/>
      <c r="CA168" s="996"/>
      <c r="CB168" s="965"/>
      <c r="CC168" s="965"/>
    </row>
    <row r="169">
      <c r="A169" s="84"/>
      <c r="B169" s="84"/>
      <c r="C169" s="348"/>
      <c r="D169" s="348"/>
      <c r="E169" s="84"/>
      <c r="F169" s="84"/>
      <c r="G169" s="84"/>
      <c r="H169" s="84"/>
      <c r="I169" s="84"/>
      <c r="J169" s="947"/>
      <c r="K169" s="947"/>
      <c r="L169" s="947"/>
      <c r="M169" s="947"/>
      <c r="N169" s="947"/>
      <c r="O169" s="947"/>
      <c r="P169" s="947"/>
      <c r="Q169" s="947"/>
      <c r="R169" s="937"/>
      <c r="S169" s="937"/>
      <c r="T169" s="947"/>
      <c r="U169" s="947"/>
      <c r="V169" s="938"/>
      <c r="W169" s="947"/>
      <c r="X169" s="939"/>
      <c r="Y169" s="947"/>
      <c r="Z169" s="947"/>
      <c r="AA169" s="938"/>
      <c r="AB169" s="947"/>
      <c r="AC169" s="947"/>
      <c r="AD169" s="947"/>
      <c r="AE169" s="947"/>
      <c r="AF169" s="947"/>
      <c r="AG169" s="947"/>
      <c r="AH169" s="948"/>
      <c r="AI169" s="947"/>
      <c r="AJ169" s="947"/>
      <c r="AK169" s="947"/>
      <c r="AL169" s="947"/>
      <c r="AM169" s="947"/>
      <c r="AN169" s="947"/>
      <c r="AO169" s="947"/>
      <c r="AP169" s="947"/>
      <c r="AQ169" s="947"/>
      <c r="AR169" s="938"/>
      <c r="AS169" s="937"/>
      <c r="AT169" s="948"/>
      <c r="AU169" s="947"/>
      <c r="AV169" s="981"/>
      <c r="AW169" s="950"/>
      <c r="AX169" s="950"/>
      <c r="AY169" s="951"/>
      <c r="AZ169" s="950"/>
      <c r="BA169" s="952"/>
      <c r="BB169" s="990"/>
      <c r="BC169" s="991"/>
      <c r="BD169" s="952"/>
      <c r="BE169" s="952"/>
      <c r="BF169" s="952"/>
      <c r="BG169" s="952"/>
      <c r="BH169" s="952"/>
      <c r="BI169" s="992"/>
      <c r="BJ169" s="952"/>
      <c r="BK169" s="992"/>
      <c r="BL169" s="952"/>
      <c r="BM169" s="952"/>
      <c r="BN169" s="952"/>
      <c r="BO169" s="952"/>
      <c r="BP169" s="965"/>
      <c r="BQ169" s="993"/>
      <c r="BR169" s="994"/>
      <c r="BS169" s="993"/>
      <c r="BT169" s="995"/>
      <c r="BU169" s="995"/>
      <c r="BV169" s="996"/>
      <c r="BW169" s="996"/>
      <c r="BX169" s="996"/>
      <c r="BY169" s="996"/>
      <c r="BZ169" s="996"/>
      <c r="CA169" s="996"/>
      <c r="CB169" s="965"/>
      <c r="CC169" s="965"/>
    </row>
    <row r="170">
      <c r="A170" s="84"/>
      <c r="B170" s="84"/>
      <c r="C170" s="348"/>
      <c r="D170" s="348"/>
      <c r="E170" s="84"/>
      <c r="F170" s="84"/>
      <c r="G170" s="84"/>
      <c r="H170" s="84"/>
      <c r="I170" s="84"/>
      <c r="J170" s="947"/>
      <c r="K170" s="947"/>
      <c r="L170" s="947"/>
      <c r="M170" s="947"/>
      <c r="N170" s="947"/>
      <c r="O170" s="947"/>
      <c r="P170" s="947"/>
      <c r="Q170" s="947"/>
      <c r="R170" s="937"/>
      <c r="S170" s="937"/>
      <c r="T170" s="947"/>
      <c r="U170" s="947"/>
      <c r="V170" s="938"/>
      <c r="W170" s="947"/>
      <c r="X170" s="939"/>
      <c r="Y170" s="947"/>
      <c r="Z170" s="947"/>
      <c r="AA170" s="938"/>
      <c r="AB170" s="947"/>
      <c r="AC170" s="947"/>
      <c r="AD170" s="947"/>
      <c r="AE170" s="947"/>
      <c r="AF170" s="947"/>
      <c r="AG170" s="947"/>
      <c r="AH170" s="948"/>
      <c r="AI170" s="947"/>
      <c r="AJ170" s="947"/>
      <c r="AK170" s="947"/>
      <c r="AL170" s="947"/>
      <c r="AM170" s="947"/>
      <c r="AN170" s="947"/>
      <c r="AO170" s="947"/>
      <c r="AP170" s="947"/>
      <c r="AQ170" s="947"/>
      <c r="AR170" s="938"/>
      <c r="AS170" s="937"/>
      <c r="AT170" s="948"/>
      <c r="AU170" s="947"/>
      <c r="AV170" s="981"/>
      <c r="AW170" s="950"/>
      <c r="AX170" s="950"/>
      <c r="AY170" s="951"/>
      <c r="AZ170" s="950"/>
      <c r="BA170" s="952"/>
      <c r="BB170" s="990"/>
      <c r="BC170" s="991"/>
      <c r="BD170" s="952"/>
      <c r="BE170" s="952"/>
      <c r="BF170" s="952"/>
      <c r="BG170" s="952"/>
      <c r="BH170" s="952"/>
      <c r="BI170" s="992"/>
      <c r="BJ170" s="952"/>
      <c r="BK170" s="992"/>
      <c r="BL170" s="952"/>
      <c r="BM170" s="952"/>
      <c r="BN170" s="952"/>
      <c r="BO170" s="952"/>
      <c r="BP170" s="965"/>
      <c r="BQ170" s="993"/>
      <c r="BR170" s="994"/>
      <c r="BS170" s="993"/>
      <c r="BT170" s="995"/>
      <c r="BU170" s="995"/>
      <c r="BV170" s="996"/>
      <c r="BW170" s="996"/>
      <c r="BX170" s="996"/>
      <c r="BY170" s="996"/>
      <c r="BZ170" s="996"/>
      <c r="CA170" s="996"/>
      <c r="CB170" s="965"/>
      <c r="CC170" s="965"/>
    </row>
    <row r="171">
      <c r="A171" s="84"/>
      <c r="B171" s="84"/>
      <c r="C171" s="348"/>
      <c r="D171" s="348"/>
      <c r="E171" s="84"/>
      <c r="F171" s="84"/>
      <c r="G171" s="84"/>
      <c r="H171" s="84"/>
      <c r="I171" s="84"/>
      <c r="J171" s="947"/>
      <c r="K171" s="947"/>
      <c r="L171" s="947"/>
      <c r="M171" s="947"/>
      <c r="N171" s="947"/>
      <c r="O171" s="947"/>
      <c r="P171" s="947"/>
      <c r="Q171" s="947"/>
      <c r="R171" s="937"/>
      <c r="S171" s="937"/>
      <c r="T171" s="947"/>
      <c r="U171" s="947"/>
      <c r="V171" s="938"/>
      <c r="W171" s="947"/>
      <c r="X171" s="939"/>
      <c r="Y171" s="947"/>
      <c r="Z171" s="947"/>
      <c r="AA171" s="938"/>
      <c r="AB171" s="947"/>
      <c r="AC171" s="947"/>
      <c r="AD171" s="947"/>
      <c r="AE171" s="947"/>
      <c r="AF171" s="947"/>
      <c r="AG171" s="947"/>
      <c r="AH171" s="948"/>
      <c r="AI171" s="947"/>
      <c r="AJ171" s="947"/>
      <c r="AK171" s="947"/>
      <c r="AL171" s="947"/>
      <c r="AM171" s="947"/>
      <c r="AN171" s="947"/>
      <c r="AO171" s="947"/>
      <c r="AP171" s="947"/>
      <c r="AQ171" s="947"/>
      <c r="AR171" s="938"/>
      <c r="AS171" s="937"/>
      <c r="AT171" s="948"/>
      <c r="AU171" s="947"/>
      <c r="AV171" s="981"/>
      <c r="AW171" s="950"/>
      <c r="AX171" s="950"/>
      <c r="AY171" s="951"/>
      <c r="AZ171" s="950"/>
      <c r="BA171" s="952"/>
      <c r="BB171" s="990"/>
      <c r="BC171" s="991"/>
      <c r="BD171" s="952"/>
      <c r="BE171" s="952"/>
      <c r="BF171" s="952"/>
      <c r="BG171" s="952"/>
      <c r="BH171" s="952"/>
      <c r="BI171" s="992"/>
      <c r="BJ171" s="952"/>
      <c r="BK171" s="992"/>
      <c r="BL171" s="952"/>
      <c r="BM171" s="952"/>
      <c r="BN171" s="952"/>
      <c r="BO171" s="952"/>
      <c r="BP171" s="965"/>
      <c r="BQ171" s="993"/>
      <c r="BR171" s="994"/>
      <c r="BS171" s="993"/>
      <c r="BT171" s="995"/>
      <c r="BU171" s="995"/>
      <c r="BV171" s="996"/>
      <c r="BW171" s="996"/>
      <c r="BX171" s="996"/>
      <c r="BY171" s="996"/>
      <c r="BZ171" s="996"/>
      <c r="CA171" s="996"/>
      <c r="CB171" s="965"/>
      <c r="CC171" s="965"/>
    </row>
    <row r="172">
      <c r="A172" s="84"/>
      <c r="B172" s="84"/>
      <c r="C172" s="348"/>
      <c r="D172" s="348"/>
      <c r="E172" s="84"/>
      <c r="F172" s="84"/>
      <c r="G172" s="84"/>
      <c r="H172" s="84"/>
      <c r="I172" s="84"/>
      <c r="J172" s="947"/>
      <c r="K172" s="947"/>
      <c r="L172" s="947"/>
      <c r="M172" s="947"/>
      <c r="N172" s="947"/>
      <c r="O172" s="947"/>
      <c r="P172" s="947"/>
      <c r="Q172" s="947"/>
      <c r="R172" s="937"/>
      <c r="S172" s="937"/>
      <c r="T172" s="947"/>
      <c r="U172" s="947"/>
      <c r="V172" s="938"/>
      <c r="W172" s="947"/>
      <c r="X172" s="939"/>
      <c r="Y172" s="947"/>
      <c r="Z172" s="947"/>
      <c r="AA172" s="938"/>
      <c r="AB172" s="947"/>
      <c r="AC172" s="947"/>
      <c r="AD172" s="947"/>
      <c r="AE172" s="947"/>
      <c r="AF172" s="947"/>
      <c r="AG172" s="947"/>
      <c r="AH172" s="948"/>
      <c r="AI172" s="947"/>
      <c r="AJ172" s="947"/>
      <c r="AK172" s="947"/>
      <c r="AL172" s="947"/>
      <c r="AM172" s="947"/>
      <c r="AN172" s="947"/>
      <c r="AO172" s="947"/>
      <c r="AP172" s="947"/>
      <c r="AQ172" s="947"/>
      <c r="AR172" s="938"/>
      <c r="AS172" s="937"/>
      <c r="AT172" s="948"/>
      <c r="AU172" s="947"/>
      <c r="AV172" s="981"/>
      <c r="AW172" s="950"/>
      <c r="AX172" s="950"/>
      <c r="AY172" s="951"/>
      <c r="AZ172" s="950"/>
      <c r="BA172" s="952"/>
      <c r="BB172" s="990"/>
      <c r="BC172" s="991"/>
      <c r="BD172" s="952"/>
      <c r="BE172" s="952"/>
      <c r="BF172" s="952"/>
      <c r="BG172" s="952"/>
      <c r="BH172" s="952"/>
      <c r="BI172" s="992"/>
      <c r="BJ172" s="952"/>
      <c r="BK172" s="992"/>
      <c r="BL172" s="952"/>
      <c r="BM172" s="952"/>
      <c r="BN172" s="952"/>
      <c r="BO172" s="952"/>
      <c r="BP172" s="965"/>
      <c r="BQ172" s="993"/>
      <c r="BR172" s="994"/>
      <c r="BS172" s="993"/>
      <c r="BT172" s="995"/>
      <c r="BU172" s="995"/>
      <c r="BV172" s="996"/>
      <c r="BW172" s="996"/>
      <c r="BX172" s="996"/>
      <c r="BY172" s="996"/>
      <c r="BZ172" s="996"/>
      <c r="CA172" s="996"/>
      <c r="CB172" s="965"/>
      <c r="CC172" s="965"/>
    </row>
    <row r="173">
      <c r="A173" s="84"/>
      <c r="B173" s="84"/>
      <c r="C173" s="348"/>
      <c r="D173" s="348"/>
      <c r="E173" s="84"/>
      <c r="F173" s="84"/>
      <c r="G173" s="84"/>
      <c r="H173" s="84"/>
      <c r="I173" s="84"/>
      <c r="J173" s="947"/>
      <c r="K173" s="947"/>
      <c r="L173" s="947"/>
      <c r="M173" s="947"/>
      <c r="N173" s="947"/>
      <c r="O173" s="947"/>
      <c r="P173" s="947"/>
      <c r="Q173" s="947"/>
      <c r="R173" s="937"/>
      <c r="S173" s="937"/>
      <c r="T173" s="947"/>
      <c r="U173" s="947"/>
      <c r="V173" s="938"/>
      <c r="W173" s="947"/>
      <c r="X173" s="939"/>
      <c r="Y173" s="947"/>
      <c r="Z173" s="947"/>
      <c r="AA173" s="938"/>
      <c r="AB173" s="947"/>
      <c r="AC173" s="947"/>
      <c r="AD173" s="947"/>
      <c r="AE173" s="947"/>
      <c r="AF173" s="947"/>
      <c r="AG173" s="947"/>
      <c r="AH173" s="948"/>
      <c r="AI173" s="947"/>
      <c r="AJ173" s="947"/>
      <c r="AK173" s="947"/>
      <c r="AL173" s="947"/>
      <c r="AM173" s="947"/>
      <c r="AN173" s="947"/>
      <c r="AO173" s="947"/>
      <c r="AP173" s="947"/>
      <c r="AQ173" s="947"/>
      <c r="AR173" s="938"/>
      <c r="AS173" s="937"/>
      <c r="AT173" s="948"/>
      <c r="AU173" s="947"/>
      <c r="AV173" s="981"/>
      <c r="AW173" s="950"/>
      <c r="AX173" s="950"/>
      <c r="AY173" s="951"/>
      <c r="AZ173" s="950"/>
      <c r="BA173" s="952"/>
      <c r="BB173" s="990"/>
      <c r="BC173" s="991"/>
      <c r="BD173" s="952"/>
      <c r="BE173" s="952"/>
      <c r="BF173" s="952"/>
      <c r="BG173" s="952"/>
      <c r="BH173" s="952"/>
      <c r="BI173" s="992"/>
      <c r="BJ173" s="952"/>
      <c r="BK173" s="992"/>
      <c r="BL173" s="952"/>
      <c r="BM173" s="952"/>
      <c r="BN173" s="952"/>
      <c r="BO173" s="952"/>
      <c r="BP173" s="965"/>
      <c r="BQ173" s="993"/>
      <c r="BR173" s="994"/>
      <c r="BS173" s="993"/>
      <c r="BT173" s="995"/>
      <c r="BU173" s="995"/>
      <c r="BV173" s="996"/>
      <c r="BW173" s="996"/>
      <c r="BX173" s="996"/>
      <c r="BY173" s="996"/>
      <c r="BZ173" s="996"/>
      <c r="CA173" s="996"/>
      <c r="CB173" s="965"/>
      <c r="CC173" s="965"/>
    </row>
    <row r="174">
      <c r="A174" s="84"/>
      <c r="B174" s="84"/>
      <c r="C174" s="348"/>
      <c r="D174" s="348"/>
      <c r="E174" s="84"/>
      <c r="F174" s="84"/>
      <c r="G174" s="84"/>
      <c r="H174" s="84"/>
      <c r="I174" s="84"/>
      <c r="J174" s="947"/>
      <c r="K174" s="947"/>
      <c r="L174" s="947"/>
      <c r="M174" s="947"/>
      <c r="N174" s="947"/>
      <c r="O174" s="947"/>
      <c r="P174" s="947"/>
      <c r="Q174" s="947"/>
      <c r="R174" s="937"/>
      <c r="S174" s="937"/>
      <c r="T174" s="947"/>
      <c r="U174" s="947"/>
      <c r="V174" s="938"/>
      <c r="W174" s="947"/>
      <c r="X174" s="939"/>
      <c r="Y174" s="947"/>
      <c r="Z174" s="947"/>
      <c r="AA174" s="938"/>
      <c r="AB174" s="947"/>
      <c r="AC174" s="947"/>
      <c r="AD174" s="947"/>
      <c r="AE174" s="947"/>
      <c r="AF174" s="947"/>
      <c r="AG174" s="947"/>
      <c r="AH174" s="948"/>
      <c r="AI174" s="947"/>
      <c r="AJ174" s="947"/>
      <c r="AK174" s="947"/>
      <c r="AL174" s="947"/>
      <c r="AM174" s="947"/>
      <c r="AN174" s="947"/>
      <c r="AO174" s="947"/>
      <c r="AP174" s="947"/>
      <c r="AQ174" s="947"/>
      <c r="AR174" s="938"/>
      <c r="AS174" s="937"/>
      <c r="AT174" s="948"/>
      <c r="AU174" s="947"/>
      <c r="AV174" s="981"/>
      <c r="AW174" s="950"/>
      <c r="AX174" s="950"/>
      <c r="AY174" s="951"/>
      <c r="AZ174" s="950"/>
      <c r="BA174" s="952"/>
      <c r="BB174" s="990"/>
      <c r="BC174" s="991"/>
      <c r="BD174" s="952"/>
      <c r="BE174" s="952"/>
      <c r="BF174" s="952"/>
      <c r="BG174" s="952"/>
      <c r="BH174" s="952"/>
      <c r="BI174" s="992"/>
      <c r="BJ174" s="952"/>
      <c r="BK174" s="992"/>
      <c r="BL174" s="952"/>
      <c r="BM174" s="952"/>
      <c r="BN174" s="952"/>
      <c r="BO174" s="952"/>
      <c r="BP174" s="965"/>
      <c r="BQ174" s="993"/>
      <c r="BR174" s="994"/>
      <c r="BS174" s="993"/>
      <c r="BT174" s="995"/>
      <c r="BU174" s="995"/>
      <c r="BV174" s="996"/>
      <c r="BW174" s="996"/>
      <c r="BX174" s="996"/>
      <c r="BY174" s="996"/>
      <c r="BZ174" s="996"/>
      <c r="CA174" s="996"/>
      <c r="CB174" s="965"/>
      <c r="CC174" s="965"/>
    </row>
    <row r="175">
      <c r="A175" s="84"/>
      <c r="B175" s="84"/>
      <c r="C175" s="348"/>
      <c r="D175" s="348"/>
      <c r="E175" s="84"/>
      <c r="F175" s="84"/>
      <c r="G175" s="84"/>
      <c r="H175" s="84"/>
      <c r="I175" s="84"/>
      <c r="J175" s="947"/>
      <c r="K175" s="947"/>
      <c r="L175" s="947"/>
      <c r="M175" s="947"/>
      <c r="N175" s="947"/>
      <c r="O175" s="947"/>
      <c r="P175" s="947"/>
      <c r="Q175" s="947"/>
      <c r="R175" s="937"/>
      <c r="S175" s="937"/>
      <c r="T175" s="947"/>
      <c r="U175" s="947"/>
      <c r="V175" s="938"/>
      <c r="W175" s="947"/>
      <c r="X175" s="939"/>
      <c r="Y175" s="947"/>
      <c r="Z175" s="947"/>
      <c r="AA175" s="938"/>
      <c r="AB175" s="947"/>
      <c r="AC175" s="947"/>
      <c r="AD175" s="947"/>
      <c r="AE175" s="947"/>
      <c r="AF175" s="947"/>
      <c r="AG175" s="947"/>
      <c r="AH175" s="948"/>
      <c r="AI175" s="947"/>
      <c r="AJ175" s="947"/>
      <c r="AK175" s="947"/>
      <c r="AL175" s="947"/>
      <c r="AM175" s="947"/>
      <c r="AN175" s="947"/>
      <c r="AO175" s="947"/>
      <c r="AP175" s="947"/>
      <c r="AQ175" s="947"/>
      <c r="AR175" s="938"/>
      <c r="AS175" s="937"/>
      <c r="AT175" s="948"/>
      <c r="AU175" s="947"/>
      <c r="AV175" s="981"/>
      <c r="AW175" s="950"/>
      <c r="AX175" s="950"/>
      <c r="AY175" s="951"/>
      <c r="AZ175" s="950"/>
      <c r="BA175" s="952"/>
      <c r="BB175" s="990"/>
      <c r="BC175" s="991"/>
      <c r="BD175" s="952"/>
      <c r="BE175" s="952"/>
      <c r="BF175" s="952"/>
      <c r="BG175" s="952"/>
      <c r="BH175" s="952"/>
      <c r="BI175" s="992"/>
      <c r="BJ175" s="952"/>
      <c r="BK175" s="992"/>
      <c r="BL175" s="952"/>
      <c r="BM175" s="952"/>
      <c r="BN175" s="952"/>
      <c r="BO175" s="952"/>
      <c r="BP175" s="965"/>
      <c r="BQ175" s="993"/>
      <c r="BR175" s="994"/>
      <c r="BS175" s="993"/>
      <c r="BT175" s="995"/>
      <c r="BU175" s="995"/>
      <c r="BV175" s="996"/>
      <c r="BW175" s="996"/>
      <c r="BX175" s="996"/>
      <c r="BY175" s="996"/>
      <c r="BZ175" s="996"/>
      <c r="CA175" s="996"/>
      <c r="CB175" s="965"/>
      <c r="CC175" s="965"/>
    </row>
    <row r="176">
      <c r="A176" s="84"/>
      <c r="B176" s="84"/>
      <c r="C176" s="348"/>
      <c r="D176" s="348"/>
      <c r="E176" s="84"/>
      <c r="F176" s="84"/>
      <c r="G176" s="84"/>
      <c r="H176" s="84"/>
      <c r="I176" s="84"/>
      <c r="J176" s="947"/>
      <c r="K176" s="947"/>
      <c r="L176" s="947"/>
      <c r="M176" s="947"/>
      <c r="N176" s="947"/>
      <c r="O176" s="947"/>
      <c r="P176" s="947"/>
      <c r="Q176" s="947"/>
      <c r="R176" s="937"/>
      <c r="S176" s="937"/>
      <c r="T176" s="947"/>
      <c r="U176" s="947"/>
      <c r="V176" s="938"/>
      <c r="W176" s="947"/>
      <c r="X176" s="939"/>
      <c r="Y176" s="947"/>
      <c r="Z176" s="947"/>
      <c r="AA176" s="938"/>
      <c r="AB176" s="947"/>
      <c r="AC176" s="947"/>
      <c r="AD176" s="947"/>
      <c r="AE176" s="947"/>
      <c r="AF176" s="947"/>
      <c r="AG176" s="947"/>
      <c r="AH176" s="948"/>
      <c r="AI176" s="947"/>
      <c r="AJ176" s="947"/>
      <c r="AK176" s="947"/>
      <c r="AL176" s="947"/>
      <c r="AM176" s="947"/>
      <c r="AN176" s="947"/>
      <c r="AO176" s="947"/>
      <c r="AP176" s="947"/>
      <c r="AQ176" s="947"/>
      <c r="AR176" s="938"/>
      <c r="AS176" s="937"/>
      <c r="AT176" s="948"/>
      <c r="AU176" s="947"/>
      <c r="AV176" s="981"/>
      <c r="AW176" s="950"/>
      <c r="AX176" s="950"/>
      <c r="AY176" s="951"/>
      <c r="AZ176" s="950"/>
      <c r="BA176" s="952"/>
      <c r="BB176" s="990"/>
      <c r="BC176" s="991"/>
      <c r="BD176" s="952"/>
      <c r="BE176" s="952"/>
      <c r="BF176" s="952"/>
      <c r="BG176" s="952"/>
      <c r="BH176" s="952"/>
      <c r="BI176" s="992"/>
      <c r="BJ176" s="952"/>
      <c r="BK176" s="992"/>
      <c r="BL176" s="952"/>
      <c r="BM176" s="952"/>
      <c r="BN176" s="952"/>
      <c r="BO176" s="952"/>
      <c r="BP176" s="965"/>
      <c r="BQ176" s="993"/>
      <c r="BR176" s="994"/>
      <c r="BS176" s="993"/>
      <c r="BT176" s="995"/>
      <c r="BU176" s="995"/>
      <c r="BV176" s="996"/>
      <c r="BW176" s="996"/>
      <c r="BX176" s="996"/>
      <c r="BY176" s="996"/>
      <c r="BZ176" s="996"/>
      <c r="CA176" s="996"/>
      <c r="CB176" s="965"/>
      <c r="CC176" s="965"/>
    </row>
    <row r="177">
      <c r="A177" s="84"/>
      <c r="B177" s="84"/>
      <c r="C177" s="348"/>
      <c r="D177" s="348"/>
      <c r="E177" s="84"/>
      <c r="F177" s="84"/>
      <c r="G177" s="84"/>
      <c r="H177" s="84"/>
      <c r="I177" s="84"/>
      <c r="J177" s="947"/>
      <c r="K177" s="947"/>
      <c r="L177" s="947"/>
      <c r="M177" s="947"/>
      <c r="N177" s="947"/>
      <c r="O177" s="947"/>
      <c r="P177" s="947"/>
      <c r="Q177" s="947"/>
      <c r="R177" s="937"/>
      <c r="S177" s="937"/>
      <c r="T177" s="947"/>
      <c r="U177" s="947"/>
      <c r="V177" s="938"/>
      <c r="W177" s="947"/>
      <c r="X177" s="939"/>
      <c r="Y177" s="947"/>
      <c r="Z177" s="947"/>
      <c r="AA177" s="938"/>
      <c r="AB177" s="947"/>
      <c r="AC177" s="947"/>
      <c r="AD177" s="947"/>
      <c r="AE177" s="947"/>
      <c r="AF177" s="947"/>
      <c r="AG177" s="947"/>
      <c r="AH177" s="948"/>
      <c r="AI177" s="947"/>
      <c r="AJ177" s="947"/>
      <c r="AK177" s="947"/>
      <c r="AL177" s="947"/>
      <c r="AM177" s="947"/>
      <c r="AN177" s="947"/>
      <c r="AO177" s="947"/>
      <c r="AP177" s="947"/>
      <c r="AQ177" s="947"/>
      <c r="AR177" s="938"/>
      <c r="AS177" s="937"/>
      <c r="AT177" s="948"/>
      <c r="AU177" s="947"/>
      <c r="AV177" s="981"/>
      <c r="AW177" s="950"/>
      <c r="AX177" s="950"/>
      <c r="AY177" s="951"/>
      <c r="AZ177" s="950"/>
      <c r="BA177" s="952"/>
      <c r="BB177" s="990"/>
      <c r="BC177" s="991"/>
      <c r="BD177" s="952"/>
      <c r="BE177" s="952"/>
      <c r="BF177" s="952"/>
      <c r="BG177" s="952"/>
      <c r="BH177" s="952"/>
      <c r="BI177" s="992"/>
      <c r="BJ177" s="952"/>
      <c r="BK177" s="992"/>
      <c r="BL177" s="952"/>
      <c r="BM177" s="952"/>
      <c r="BN177" s="952"/>
      <c r="BO177" s="952"/>
      <c r="BP177" s="965"/>
      <c r="BQ177" s="993"/>
      <c r="BR177" s="994"/>
      <c r="BS177" s="993"/>
      <c r="BT177" s="995"/>
      <c r="BU177" s="995"/>
      <c r="BV177" s="996"/>
      <c r="BW177" s="996"/>
      <c r="BX177" s="996"/>
      <c r="BY177" s="996"/>
      <c r="BZ177" s="996"/>
      <c r="CA177" s="996"/>
      <c r="CB177" s="965"/>
      <c r="CC177" s="965"/>
    </row>
    <row r="178">
      <c r="A178" s="84"/>
      <c r="B178" s="84"/>
      <c r="C178" s="348"/>
      <c r="D178" s="348"/>
      <c r="E178" s="84"/>
      <c r="F178" s="84"/>
      <c r="G178" s="84"/>
      <c r="H178" s="84"/>
      <c r="I178" s="84"/>
      <c r="J178" s="947"/>
      <c r="K178" s="947"/>
      <c r="L178" s="947"/>
      <c r="M178" s="947"/>
      <c r="N178" s="947"/>
      <c r="O178" s="947"/>
      <c r="P178" s="947"/>
      <c r="Q178" s="947"/>
      <c r="R178" s="937"/>
      <c r="S178" s="937"/>
      <c r="T178" s="947"/>
      <c r="U178" s="947"/>
      <c r="V178" s="938"/>
      <c r="W178" s="947"/>
      <c r="X178" s="939"/>
      <c r="Y178" s="947"/>
      <c r="Z178" s="947"/>
      <c r="AA178" s="938"/>
      <c r="AB178" s="947"/>
      <c r="AC178" s="947"/>
      <c r="AD178" s="947"/>
      <c r="AE178" s="947"/>
      <c r="AF178" s="947"/>
      <c r="AG178" s="947"/>
      <c r="AH178" s="948"/>
      <c r="AI178" s="947"/>
      <c r="AJ178" s="947"/>
      <c r="AK178" s="947"/>
      <c r="AL178" s="947"/>
      <c r="AM178" s="947"/>
      <c r="AN178" s="947"/>
      <c r="AO178" s="947"/>
      <c r="AP178" s="947"/>
      <c r="AQ178" s="947"/>
      <c r="AR178" s="938"/>
      <c r="AS178" s="937"/>
      <c r="AT178" s="948"/>
      <c r="AU178" s="947"/>
      <c r="AV178" s="981"/>
      <c r="AW178" s="950"/>
      <c r="AX178" s="950"/>
      <c r="AY178" s="951"/>
      <c r="AZ178" s="950"/>
      <c r="BA178" s="952"/>
      <c r="BB178" s="990"/>
      <c r="BC178" s="991"/>
      <c r="BD178" s="952"/>
      <c r="BE178" s="952"/>
      <c r="BF178" s="952"/>
      <c r="BG178" s="952"/>
      <c r="BH178" s="952"/>
      <c r="BI178" s="992"/>
      <c r="BJ178" s="952"/>
      <c r="BK178" s="992"/>
      <c r="BL178" s="952"/>
      <c r="BM178" s="952"/>
      <c r="BN178" s="952"/>
      <c r="BO178" s="952"/>
      <c r="BP178" s="965"/>
      <c r="BQ178" s="993"/>
      <c r="BR178" s="994"/>
      <c r="BS178" s="993"/>
      <c r="BT178" s="995"/>
      <c r="BU178" s="995"/>
      <c r="BV178" s="996"/>
      <c r="BW178" s="996"/>
      <c r="BX178" s="996"/>
      <c r="BY178" s="996"/>
      <c r="BZ178" s="996"/>
      <c r="CA178" s="996"/>
      <c r="CB178" s="965"/>
      <c r="CC178" s="965"/>
    </row>
    <row r="179">
      <c r="A179" s="84"/>
      <c r="B179" s="84"/>
      <c r="C179" s="348"/>
      <c r="D179" s="348"/>
      <c r="E179" s="84"/>
      <c r="F179" s="84"/>
      <c r="G179" s="84"/>
      <c r="H179" s="84"/>
      <c r="I179" s="84"/>
      <c r="J179" s="947"/>
      <c r="K179" s="947"/>
      <c r="L179" s="947"/>
      <c r="M179" s="947"/>
      <c r="N179" s="947"/>
      <c r="O179" s="947"/>
      <c r="P179" s="947"/>
      <c r="Q179" s="947"/>
      <c r="R179" s="937"/>
      <c r="S179" s="937"/>
      <c r="T179" s="947"/>
      <c r="U179" s="947"/>
      <c r="V179" s="938"/>
      <c r="W179" s="947"/>
      <c r="X179" s="939"/>
      <c r="Y179" s="947"/>
      <c r="Z179" s="947"/>
      <c r="AA179" s="938"/>
      <c r="AB179" s="947"/>
      <c r="AC179" s="947"/>
      <c r="AD179" s="947"/>
      <c r="AE179" s="947"/>
      <c r="AF179" s="947"/>
      <c r="AG179" s="947"/>
      <c r="AH179" s="948"/>
      <c r="AI179" s="947"/>
      <c r="AJ179" s="947"/>
      <c r="AK179" s="947"/>
      <c r="AL179" s="947"/>
      <c r="AM179" s="947"/>
      <c r="AN179" s="947"/>
      <c r="AO179" s="947"/>
      <c r="AP179" s="947"/>
      <c r="AQ179" s="947"/>
      <c r="AR179" s="938"/>
      <c r="AS179" s="937"/>
      <c r="AT179" s="948"/>
      <c r="AU179" s="947"/>
      <c r="AV179" s="981"/>
      <c r="AW179" s="950"/>
      <c r="AX179" s="950"/>
      <c r="AY179" s="951"/>
      <c r="AZ179" s="950"/>
      <c r="BA179" s="952"/>
      <c r="BB179" s="990"/>
      <c r="BC179" s="991"/>
      <c r="BD179" s="952"/>
      <c r="BE179" s="952"/>
      <c r="BF179" s="952"/>
      <c r="BG179" s="952"/>
      <c r="BH179" s="952"/>
      <c r="BI179" s="992"/>
      <c r="BJ179" s="952"/>
      <c r="BK179" s="992"/>
      <c r="BL179" s="952"/>
      <c r="BM179" s="952"/>
      <c r="BN179" s="952"/>
      <c r="BO179" s="952"/>
      <c r="BP179" s="965"/>
      <c r="BQ179" s="993"/>
      <c r="BR179" s="994"/>
      <c r="BS179" s="993"/>
      <c r="BT179" s="995"/>
      <c r="BU179" s="995"/>
      <c r="BV179" s="996"/>
      <c r="BW179" s="996"/>
      <c r="BX179" s="996"/>
      <c r="BY179" s="996"/>
      <c r="BZ179" s="996"/>
      <c r="CA179" s="996"/>
      <c r="CB179" s="965"/>
      <c r="CC179" s="965"/>
    </row>
    <row r="180">
      <c r="A180" s="84"/>
      <c r="B180" s="84"/>
      <c r="C180" s="348"/>
      <c r="D180" s="348"/>
      <c r="E180" s="84"/>
      <c r="F180" s="84"/>
      <c r="G180" s="84"/>
      <c r="H180" s="84"/>
      <c r="I180" s="84"/>
      <c r="J180" s="947"/>
      <c r="K180" s="947"/>
      <c r="L180" s="947"/>
      <c r="M180" s="947"/>
      <c r="N180" s="947"/>
      <c r="O180" s="947"/>
      <c r="P180" s="947"/>
      <c r="Q180" s="947"/>
      <c r="R180" s="937"/>
      <c r="S180" s="937"/>
      <c r="T180" s="947"/>
      <c r="U180" s="947"/>
      <c r="V180" s="938"/>
      <c r="W180" s="947"/>
      <c r="X180" s="939"/>
      <c r="Y180" s="947"/>
      <c r="Z180" s="947"/>
      <c r="AA180" s="938"/>
      <c r="AB180" s="947"/>
      <c r="AC180" s="947"/>
      <c r="AD180" s="947"/>
      <c r="AE180" s="947"/>
      <c r="AF180" s="947"/>
      <c r="AG180" s="947"/>
      <c r="AH180" s="948"/>
      <c r="AI180" s="947"/>
      <c r="AJ180" s="947"/>
      <c r="AK180" s="947"/>
      <c r="AL180" s="947"/>
      <c r="AM180" s="947"/>
      <c r="AN180" s="947"/>
      <c r="AO180" s="947"/>
      <c r="AP180" s="947"/>
      <c r="AQ180" s="947"/>
      <c r="AR180" s="938"/>
      <c r="AS180" s="937"/>
      <c r="AT180" s="948"/>
      <c r="AU180" s="947"/>
      <c r="AV180" s="981"/>
      <c r="AW180" s="950"/>
      <c r="AX180" s="950"/>
      <c r="AY180" s="951"/>
      <c r="AZ180" s="950"/>
      <c r="BA180" s="952"/>
      <c r="BB180" s="990"/>
      <c r="BC180" s="991"/>
      <c r="BD180" s="952"/>
      <c r="BE180" s="952"/>
      <c r="BF180" s="952"/>
      <c r="BG180" s="952"/>
      <c r="BH180" s="952"/>
      <c r="BI180" s="992"/>
      <c r="BJ180" s="952"/>
      <c r="BK180" s="992"/>
      <c r="BL180" s="952"/>
      <c r="BM180" s="952"/>
      <c r="BN180" s="952"/>
      <c r="BO180" s="952"/>
      <c r="BP180" s="965"/>
      <c r="BQ180" s="993"/>
      <c r="BR180" s="994"/>
      <c r="BS180" s="993"/>
      <c r="BT180" s="995"/>
      <c r="BU180" s="995"/>
      <c r="BV180" s="996"/>
      <c r="BW180" s="996"/>
      <c r="BX180" s="996"/>
      <c r="BY180" s="996"/>
      <c r="BZ180" s="996"/>
      <c r="CA180" s="996"/>
      <c r="CB180" s="965"/>
      <c r="CC180" s="965"/>
    </row>
    <row r="181">
      <c r="A181" s="84"/>
      <c r="B181" s="84"/>
      <c r="C181" s="348"/>
      <c r="D181" s="348"/>
      <c r="E181" s="84"/>
      <c r="F181" s="84"/>
      <c r="G181" s="84"/>
      <c r="H181" s="84"/>
      <c r="I181" s="84"/>
      <c r="J181" s="947"/>
      <c r="K181" s="947"/>
      <c r="L181" s="947"/>
      <c r="M181" s="947"/>
      <c r="N181" s="947"/>
      <c r="O181" s="947"/>
      <c r="P181" s="947"/>
      <c r="Q181" s="947"/>
      <c r="R181" s="937"/>
      <c r="S181" s="937"/>
      <c r="T181" s="947"/>
      <c r="U181" s="947"/>
      <c r="V181" s="938"/>
      <c r="W181" s="947"/>
      <c r="X181" s="939"/>
      <c r="Y181" s="947"/>
      <c r="Z181" s="947"/>
      <c r="AA181" s="938"/>
      <c r="AB181" s="947"/>
      <c r="AC181" s="947"/>
      <c r="AD181" s="947"/>
      <c r="AE181" s="947"/>
      <c r="AF181" s="947"/>
      <c r="AG181" s="947"/>
      <c r="AH181" s="948"/>
      <c r="AI181" s="947"/>
      <c r="AJ181" s="947"/>
      <c r="AK181" s="947"/>
      <c r="AL181" s="947"/>
      <c r="AM181" s="947"/>
      <c r="AN181" s="947"/>
      <c r="AO181" s="947"/>
      <c r="AP181" s="947"/>
      <c r="AQ181" s="947"/>
      <c r="AR181" s="938"/>
      <c r="AS181" s="937"/>
      <c r="AT181" s="948"/>
      <c r="AU181" s="947"/>
      <c r="AV181" s="981"/>
      <c r="AW181" s="950"/>
      <c r="AX181" s="950"/>
      <c r="AY181" s="951"/>
      <c r="AZ181" s="950"/>
      <c r="BA181" s="952"/>
      <c r="BB181" s="990"/>
      <c r="BC181" s="991"/>
      <c r="BD181" s="952"/>
      <c r="BE181" s="952"/>
      <c r="BF181" s="952"/>
      <c r="BG181" s="952"/>
      <c r="BH181" s="952"/>
      <c r="BI181" s="992"/>
      <c r="BJ181" s="952"/>
      <c r="BK181" s="992"/>
      <c r="BL181" s="952"/>
      <c r="BM181" s="952"/>
      <c r="BN181" s="952"/>
      <c r="BO181" s="952"/>
      <c r="BP181" s="965"/>
      <c r="BQ181" s="993"/>
      <c r="BR181" s="994"/>
      <c r="BS181" s="993"/>
      <c r="BT181" s="995"/>
      <c r="BU181" s="995"/>
      <c r="BV181" s="996"/>
      <c r="BW181" s="996"/>
      <c r="BX181" s="996"/>
      <c r="BY181" s="996"/>
      <c r="BZ181" s="996"/>
      <c r="CA181" s="996"/>
      <c r="CB181" s="965"/>
      <c r="CC181" s="965"/>
    </row>
    <row r="182">
      <c r="A182" s="84"/>
      <c r="B182" s="84"/>
      <c r="C182" s="348"/>
      <c r="D182" s="348"/>
      <c r="E182" s="84"/>
      <c r="F182" s="84"/>
      <c r="G182" s="84"/>
      <c r="H182" s="84"/>
      <c r="I182" s="84"/>
      <c r="J182" s="947"/>
      <c r="K182" s="947"/>
      <c r="L182" s="947"/>
      <c r="M182" s="947"/>
      <c r="N182" s="947"/>
      <c r="O182" s="947"/>
      <c r="P182" s="947"/>
      <c r="Q182" s="947"/>
      <c r="R182" s="937"/>
      <c r="S182" s="937"/>
      <c r="T182" s="947"/>
      <c r="U182" s="947"/>
      <c r="V182" s="938"/>
      <c r="W182" s="947"/>
      <c r="X182" s="939"/>
      <c r="Y182" s="947"/>
      <c r="Z182" s="947"/>
      <c r="AA182" s="938"/>
      <c r="AB182" s="947"/>
      <c r="AC182" s="947"/>
      <c r="AD182" s="947"/>
      <c r="AE182" s="947"/>
      <c r="AF182" s="947"/>
      <c r="AG182" s="947"/>
      <c r="AH182" s="948"/>
      <c r="AI182" s="947"/>
      <c r="AJ182" s="947"/>
      <c r="AK182" s="947"/>
      <c r="AL182" s="947"/>
      <c r="AM182" s="947"/>
      <c r="AN182" s="947"/>
      <c r="AO182" s="947"/>
      <c r="AP182" s="947"/>
      <c r="AQ182" s="947"/>
      <c r="AR182" s="938"/>
      <c r="AS182" s="937"/>
      <c r="AT182" s="948"/>
      <c r="AU182" s="947"/>
      <c r="AV182" s="981"/>
      <c r="AW182" s="950"/>
      <c r="AX182" s="950"/>
      <c r="AY182" s="951"/>
      <c r="AZ182" s="950"/>
      <c r="BA182" s="952"/>
      <c r="BB182" s="990"/>
      <c r="BC182" s="991"/>
      <c r="BD182" s="952"/>
      <c r="BE182" s="952"/>
      <c r="BF182" s="952"/>
      <c r="BG182" s="952"/>
      <c r="BH182" s="952"/>
      <c r="BI182" s="992"/>
      <c r="BJ182" s="952"/>
      <c r="BK182" s="992"/>
      <c r="BL182" s="952"/>
      <c r="BM182" s="952"/>
      <c r="BN182" s="952"/>
      <c r="BO182" s="952"/>
      <c r="BP182" s="965"/>
      <c r="BQ182" s="993"/>
      <c r="BR182" s="994"/>
      <c r="BS182" s="993"/>
      <c r="BT182" s="995"/>
      <c r="BU182" s="995"/>
      <c r="BV182" s="996"/>
      <c r="BW182" s="996"/>
      <c r="BX182" s="996"/>
      <c r="BY182" s="996"/>
      <c r="BZ182" s="996"/>
      <c r="CA182" s="996"/>
      <c r="CB182" s="965"/>
      <c r="CC182" s="965"/>
    </row>
    <row r="183">
      <c r="A183" s="84"/>
      <c r="B183" s="84"/>
      <c r="C183" s="348"/>
      <c r="D183" s="348"/>
      <c r="E183" s="84"/>
      <c r="F183" s="84"/>
      <c r="G183" s="84"/>
      <c r="H183" s="84"/>
      <c r="I183" s="84"/>
      <c r="J183" s="947"/>
      <c r="K183" s="947"/>
      <c r="L183" s="947"/>
      <c r="M183" s="947"/>
      <c r="N183" s="947"/>
      <c r="O183" s="947"/>
      <c r="P183" s="947"/>
      <c r="Q183" s="947"/>
      <c r="R183" s="937"/>
      <c r="S183" s="937"/>
      <c r="T183" s="947"/>
      <c r="U183" s="947"/>
      <c r="V183" s="938"/>
      <c r="W183" s="947"/>
      <c r="X183" s="939"/>
      <c r="Y183" s="947"/>
      <c r="Z183" s="947"/>
      <c r="AA183" s="938"/>
      <c r="AB183" s="947"/>
      <c r="AC183" s="947"/>
      <c r="AD183" s="947"/>
      <c r="AE183" s="947"/>
      <c r="AF183" s="947"/>
      <c r="AG183" s="947"/>
      <c r="AH183" s="948"/>
      <c r="AI183" s="947"/>
      <c r="AJ183" s="947"/>
      <c r="AK183" s="947"/>
      <c r="AL183" s="947"/>
      <c r="AM183" s="947"/>
      <c r="AN183" s="947"/>
      <c r="AO183" s="947"/>
      <c r="AP183" s="947"/>
      <c r="AQ183" s="947"/>
      <c r="AR183" s="938"/>
      <c r="AS183" s="937"/>
      <c r="AT183" s="948"/>
      <c r="AU183" s="947"/>
      <c r="AV183" s="981"/>
      <c r="AW183" s="950"/>
      <c r="AX183" s="950"/>
      <c r="AY183" s="951"/>
      <c r="AZ183" s="950"/>
      <c r="BA183" s="952"/>
      <c r="BB183" s="990"/>
      <c r="BC183" s="991"/>
      <c r="BD183" s="952"/>
      <c r="BE183" s="952"/>
      <c r="BF183" s="952"/>
      <c r="BG183" s="952"/>
      <c r="BH183" s="952"/>
      <c r="BI183" s="992"/>
      <c r="BJ183" s="952"/>
      <c r="BK183" s="992"/>
      <c r="BL183" s="952"/>
      <c r="BM183" s="952"/>
      <c r="BN183" s="952"/>
      <c r="BO183" s="952"/>
      <c r="BP183" s="965"/>
      <c r="BQ183" s="993"/>
      <c r="BR183" s="994"/>
      <c r="BS183" s="993"/>
      <c r="BT183" s="995"/>
      <c r="BU183" s="995"/>
      <c r="BV183" s="996"/>
      <c r="BW183" s="996"/>
      <c r="BX183" s="996"/>
      <c r="BY183" s="996"/>
      <c r="BZ183" s="996"/>
      <c r="CA183" s="996"/>
      <c r="CB183" s="965"/>
      <c r="CC183" s="965"/>
    </row>
    <row r="184">
      <c r="A184" s="84"/>
      <c r="B184" s="84"/>
      <c r="C184" s="348"/>
      <c r="D184" s="348"/>
      <c r="E184" s="84"/>
      <c r="F184" s="84"/>
      <c r="G184" s="84"/>
      <c r="H184" s="84"/>
      <c r="I184" s="84"/>
      <c r="J184" s="947"/>
      <c r="K184" s="947"/>
      <c r="L184" s="947"/>
      <c r="M184" s="947"/>
      <c r="N184" s="947"/>
      <c r="O184" s="947"/>
      <c r="P184" s="947"/>
      <c r="Q184" s="947"/>
      <c r="R184" s="937"/>
      <c r="S184" s="937"/>
      <c r="T184" s="947"/>
      <c r="U184" s="947"/>
      <c r="V184" s="938"/>
      <c r="W184" s="947"/>
      <c r="X184" s="939"/>
      <c r="Y184" s="947"/>
      <c r="Z184" s="947"/>
      <c r="AA184" s="938"/>
      <c r="AB184" s="947"/>
      <c r="AC184" s="947"/>
      <c r="AD184" s="947"/>
      <c r="AE184" s="947"/>
      <c r="AF184" s="947"/>
      <c r="AG184" s="947"/>
      <c r="AH184" s="948"/>
      <c r="AI184" s="947"/>
      <c r="AJ184" s="947"/>
      <c r="AK184" s="947"/>
      <c r="AL184" s="947"/>
      <c r="AM184" s="947"/>
      <c r="AN184" s="947"/>
      <c r="AO184" s="947"/>
      <c r="AP184" s="947"/>
      <c r="AQ184" s="947"/>
      <c r="AR184" s="938"/>
      <c r="AS184" s="937"/>
      <c r="AT184" s="948"/>
      <c r="AU184" s="947"/>
      <c r="AV184" s="981"/>
      <c r="AW184" s="950"/>
      <c r="AX184" s="950"/>
      <c r="AY184" s="951"/>
      <c r="AZ184" s="950"/>
      <c r="BA184" s="952"/>
      <c r="BB184" s="990"/>
      <c r="BC184" s="991"/>
      <c r="BD184" s="952"/>
      <c r="BE184" s="952"/>
      <c r="BF184" s="952"/>
      <c r="BG184" s="952"/>
      <c r="BH184" s="952"/>
      <c r="BI184" s="992"/>
      <c r="BJ184" s="952"/>
      <c r="BK184" s="992"/>
      <c r="BL184" s="952"/>
      <c r="BM184" s="952"/>
      <c r="BN184" s="952"/>
      <c r="BO184" s="952"/>
      <c r="BP184" s="965"/>
      <c r="BQ184" s="993"/>
      <c r="BR184" s="994"/>
      <c r="BS184" s="993"/>
      <c r="BT184" s="995"/>
      <c r="BU184" s="995"/>
      <c r="BV184" s="996"/>
      <c r="BW184" s="996"/>
      <c r="BX184" s="996"/>
      <c r="BY184" s="996"/>
      <c r="BZ184" s="996"/>
      <c r="CA184" s="996"/>
      <c r="CB184" s="965"/>
      <c r="CC184" s="965"/>
    </row>
    <row r="185">
      <c r="A185" s="84"/>
      <c r="B185" s="84"/>
      <c r="C185" s="348"/>
      <c r="D185" s="348"/>
      <c r="E185" s="84"/>
      <c r="F185" s="84"/>
      <c r="G185" s="84"/>
      <c r="H185" s="84"/>
      <c r="I185" s="84"/>
      <c r="J185" s="947"/>
      <c r="K185" s="947"/>
      <c r="L185" s="947"/>
      <c r="M185" s="947"/>
      <c r="N185" s="947"/>
      <c r="O185" s="947"/>
      <c r="P185" s="947"/>
      <c r="Q185" s="947"/>
      <c r="R185" s="937"/>
      <c r="S185" s="937"/>
      <c r="T185" s="947"/>
      <c r="U185" s="947"/>
      <c r="V185" s="938"/>
      <c r="W185" s="947"/>
      <c r="X185" s="939"/>
      <c r="Y185" s="947"/>
      <c r="Z185" s="947"/>
      <c r="AA185" s="938"/>
      <c r="AB185" s="947"/>
      <c r="AC185" s="947"/>
      <c r="AD185" s="947"/>
      <c r="AE185" s="947"/>
      <c r="AF185" s="947"/>
      <c r="AG185" s="947"/>
      <c r="AH185" s="948"/>
      <c r="AI185" s="947"/>
      <c r="AJ185" s="947"/>
      <c r="AK185" s="947"/>
      <c r="AL185" s="947"/>
      <c r="AM185" s="947"/>
      <c r="AN185" s="947"/>
      <c r="AO185" s="947"/>
      <c r="AP185" s="947"/>
      <c r="AQ185" s="947"/>
      <c r="AR185" s="938"/>
      <c r="AS185" s="937"/>
      <c r="AT185" s="948"/>
      <c r="AU185" s="947"/>
      <c r="AV185" s="981"/>
      <c r="AW185" s="950"/>
      <c r="AX185" s="950"/>
      <c r="AY185" s="951"/>
      <c r="AZ185" s="950"/>
      <c r="BA185" s="952"/>
      <c r="BB185" s="990"/>
      <c r="BC185" s="991"/>
      <c r="BD185" s="952"/>
      <c r="BE185" s="952"/>
      <c r="BF185" s="952"/>
      <c r="BG185" s="952"/>
      <c r="BH185" s="952"/>
      <c r="BI185" s="992"/>
      <c r="BJ185" s="952"/>
      <c r="BK185" s="992"/>
      <c r="BL185" s="952"/>
      <c r="BM185" s="952"/>
      <c r="BN185" s="952"/>
      <c r="BO185" s="952"/>
      <c r="BP185" s="965"/>
      <c r="BQ185" s="993"/>
      <c r="BR185" s="994"/>
      <c r="BS185" s="993"/>
      <c r="BT185" s="995"/>
      <c r="BU185" s="995"/>
      <c r="BV185" s="996"/>
      <c r="BW185" s="996"/>
      <c r="BX185" s="996"/>
      <c r="BY185" s="996"/>
      <c r="BZ185" s="996"/>
      <c r="CA185" s="996"/>
      <c r="CB185" s="965"/>
      <c r="CC185" s="965"/>
    </row>
    <row r="186">
      <c r="A186" s="84"/>
      <c r="B186" s="84"/>
      <c r="C186" s="348"/>
      <c r="D186" s="348"/>
      <c r="E186" s="84"/>
      <c r="F186" s="84"/>
      <c r="G186" s="84"/>
      <c r="H186" s="84"/>
      <c r="I186" s="84"/>
      <c r="J186" s="947"/>
      <c r="K186" s="947"/>
      <c r="L186" s="947"/>
      <c r="M186" s="947"/>
      <c r="N186" s="947"/>
      <c r="O186" s="947"/>
      <c r="P186" s="947"/>
      <c r="Q186" s="947"/>
      <c r="R186" s="937"/>
      <c r="S186" s="937"/>
      <c r="T186" s="947"/>
      <c r="U186" s="947"/>
      <c r="V186" s="938"/>
      <c r="W186" s="947"/>
      <c r="X186" s="939"/>
      <c r="Y186" s="947"/>
      <c r="Z186" s="947"/>
      <c r="AA186" s="938"/>
      <c r="AB186" s="947"/>
      <c r="AC186" s="947"/>
      <c r="AD186" s="947"/>
      <c r="AE186" s="947"/>
      <c r="AF186" s="947"/>
      <c r="AG186" s="947"/>
      <c r="AH186" s="948"/>
      <c r="AI186" s="947"/>
      <c r="AJ186" s="947"/>
      <c r="AK186" s="947"/>
      <c r="AL186" s="947"/>
      <c r="AM186" s="947"/>
      <c r="AN186" s="947"/>
      <c r="AO186" s="947"/>
      <c r="AP186" s="947"/>
      <c r="AQ186" s="947"/>
      <c r="AR186" s="938"/>
      <c r="AS186" s="937"/>
      <c r="AT186" s="948"/>
      <c r="AU186" s="947"/>
      <c r="AV186" s="981"/>
      <c r="AW186" s="950"/>
      <c r="AX186" s="950"/>
      <c r="AY186" s="951"/>
      <c r="AZ186" s="950"/>
      <c r="BA186" s="952"/>
      <c r="BB186" s="990"/>
      <c r="BC186" s="991"/>
      <c r="BD186" s="952"/>
      <c r="BE186" s="952"/>
      <c r="BF186" s="952"/>
      <c r="BG186" s="952"/>
      <c r="BH186" s="952"/>
      <c r="BI186" s="992"/>
      <c r="BJ186" s="952"/>
      <c r="BK186" s="992"/>
      <c r="BL186" s="952"/>
      <c r="BM186" s="952"/>
      <c r="BN186" s="952"/>
      <c r="BO186" s="952"/>
      <c r="BP186" s="965"/>
      <c r="BQ186" s="993"/>
      <c r="BR186" s="994"/>
      <c r="BS186" s="993"/>
      <c r="BT186" s="995"/>
      <c r="BU186" s="995"/>
      <c r="BV186" s="996"/>
      <c r="BW186" s="996"/>
      <c r="BX186" s="996"/>
      <c r="BY186" s="996"/>
      <c r="BZ186" s="996"/>
      <c r="CA186" s="996"/>
      <c r="CB186" s="965"/>
      <c r="CC186" s="965"/>
    </row>
    <row r="187">
      <c r="A187" s="84"/>
      <c r="B187" s="84"/>
      <c r="C187" s="348"/>
      <c r="D187" s="348"/>
      <c r="E187" s="84"/>
      <c r="F187" s="84"/>
      <c r="G187" s="84"/>
      <c r="H187" s="84"/>
      <c r="I187" s="84"/>
      <c r="J187" s="947"/>
      <c r="K187" s="947"/>
      <c r="L187" s="947"/>
      <c r="M187" s="947"/>
      <c r="N187" s="947"/>
      <c r="O187" s="947"/>
      <c r="P187" s="947"/>
      <c r="Q187" s="947"/>
      <c r="R187" s="937"/>
      <c r="S187" s="937"/>
      <c r="T187" s="947"/>
      <c r="U187" s="947"/>
      <c r="V187" s="938"/>
      <c r="W187" s="947"/>
      <c r="X187" s="939"/>
      <c r="Y187" s="947"/>
      <c r="Z187" s="947"/>
      <c r="AA187" s="938"/>
      <c r="AB187" s="947"/>
      <c r="AC187" s="947"/>
      <c r="AD187" s="947"/>
      <c r="AE187" s="947"/>
      <c r="AF187" s="947"/>
      <c r="AG187" s="947"/>
      <c r="AH187" s="948"/>
      <c r="AI187" s="947"/>
      <c r="AJ187" s="947"/>
      <c r="AK187" s="947"/>
      <c r="AL187" s="947"/>
      <c r="AM187" s="947"/>
      <c r="AN187" s="947"/>
      <c r="AO187" s="947"/>
      <c r="AP187" s="947"/>
      <c r="AQ187" s="947"/>
      <c r="AR187" s="938"/>
      <c r="AS187" s="937"/>
      <c r="AT187" s="948"/>
      <c r="AU187" s="947"/>
      <c r="AV187" s="981"/>
      <c r="AW187" s="950"/>
      <c r="AX187" s="950"/>
      <c r="AY187" s="951"/>
      <c r="AZ187" s="950"/>
      <c r="BA187" s="952"/>
      <c r="BB187" s="990"/>
      <c r="BC187" s="991"/>
      <c r="BD187" s="952"/>
      <c r="BE187" s="952"/>
      <c r="BF187" s="952"/>
      <c r="BG187" s="952"/>
      <c r="BH187" s="952"/>
      <c r="BI187" s="992"/>
      <c r="BJ187" s="952"/>
      <c r="BK187" s="992"/>
      <c r="BL187" s="952"/>
      <c r="BM187" s="952"/>
      <c r="BN187" s="952"/>
      <c r="BO187" s="952"/>
      <c r="BP187" s="965"/>
      <c r="BQ187" s="993"/>
      <c r="BR187" s="994"/>
      <c r="BS187" s="993"/>
      <c r="BT187" s="995"/>
      <c r="BU187" s="995"/>
      <c r="BV187" s="996"/>
      <c r="BW187" s="996"/>
      <c r="BX187" s="996"/>
      <c r="BY187" s="996"/>
      <c r="BZ187" s="996"/>
      <c r="CA187" s="996"/>
      <c r="CB187" s="965"/>
      <c r="CC187" s="965"/>
    </row>
    <row r="188">
      <c r="A188" s="84"/>
      <c r="B188" s="84"/>
      <c r="C188" s="348"/>
      <c r="D188" s="348"/>
      <c r="E188" s="84"/>
      <c r="F188" s="84"/>
      <c r="G188" s="84"/>
      <c r="H188" s="84"/>
      <c r="I188" s="84"/>
      <c r="J188" s="947"/>
      <c r="K188" s="947"/>
      <c r="L188" s="947"/>
      <c r="M188" s="947"/>
      <c r="N188" s="947"/>
      <c r="O188" s="947"/>
      <c r="P188" s="947"/>
      <c r="Q188" s="947"/>
      <c r="R188" s="937"/>
      <c r="S188" s="937"/>
      <c r="T188" s="947"/>
      <c r="U188" s="947"/>
      <c r="V188" s="938"/>
      <c r="W188" s="947"/>
      <c r="X188" s="939"/>
      <c r="Y188" s="947"/>
      <c r="Z188" s="947"/>
      <c r="AA188" s="938"/>
      <c r="AB188" s="947"/>
      <c r="AC188" s="947"/>
      <c r="AD188" s="947"/>
      <c r="AE188" s="947"/>
      <c r="AF188" s="947"/>
      <c r="AG188" s="947"/>
      <c r="AH188" s="948"/>
      <c r="AI188" s="947"/>
      <c r="AJ188" s="947"/>
      <c r="AK188" s="947"/>
      <c r="AL188" s="947"/>
      <c r="AM188" s="947"/>
      <c r="AN188" s="947"/>
      <c r="AO188" s="947"/>
      <c r="AP188" s="947"/>
      <c r="AQ188" s="947"/>
      <c r="AR188" s="938"/>
      <c r="AS188" s="937"/>
      <c r="AT188" s="948"/>
      <c r="AU188" s="947"/>
      <c r="AV188" s="981"/>
      <c r="AW188" s="950"/>
      <c r="AX188" s="950"/>
      <c r="AY188" s="951"/>
      <c r="AZ188" s="950"/>
      <c r="BA188" s="952"/>
      <c r="BB188" s="990"/>
      <c r="BC188" s="991"/>
      <c r="BD188" s="952"/>
      <c r="BE188" s="952"/>
      <c r="BF188" s="952"/>
      <c r="BG188" s="952"/>
      <c r="BH188" s="952"/>
      <c r="BI188" s="992"/>
      <c r="BJ188" s="952"/>
      <c r="BK188" s="992"/>
      <c r="BL188" s="952"/>
      <c r="BM188" s="952"/>
      <c r="BN188" s="952"/>
      <c r="BO188" s="952"/>
      <c r="BP188" s="965"/>
      <c r="BQ188" s="993"/>
      <c r="BR188" s="994"/>
      <c r="BS188" s="993"/>
      <c r="BT188" s="995"/>
      <c r="BU188" s="995"/>
      <c r="BV188" s="996"/>
      <c r="BW188" s="996"/>
      <c r="BX188" s="996"/>
      <c r="BY188" s="996"/>
      <c r="BZ188" s="996"/>
      <c r="CA188" s="996"/>
      <c r="CB188" s="965"/>
      <c r="CC188" s="965"/>
    </row>
    <row r="189">
      <c r="A189" s="84"/>
      <c r="B189" s="84"/>
      <c r="C189" s="348"/>
      <c r="D189" s="348"/>
      <c r="E189" s="84"/>
      <c r="F189" s="84"/>
      <c r="G189" s="84"/>
      <c r="H189" s="84"/>
      <c r="I189" s="84"/>
      <c r="J189" s="947"/>
      <c r="K189" s="947"/>
      <c r="L189" s="947"/>
      <c r="M189" s="947"/>
      <c r="N189" s="947"/>
      <c r="O189" s="947"/>
      <c r="P189" s="947"/>
      <c r="Q189" s="947"/>
      <c r="R189" s="937"/>
      <c r="S189" s="937"/>
      <c r="T189" s="947"/>
      <c r="U189" s="947"/>
      <c r="V189" s="938"/>
      <c r="W189" s="947"/>
      <c r="X189" s="939"/>
      <c r="Y189" s="947"/>
      <c r="Z189" s="947"/>
      <c r="AA189" s="938"/>
      <c r="AB189" s="947"/>
      <c r="AC189" s="947"/>
      <c r="AD189" s="947"/>
      <c r="AE189" s="947"/>
      <c r="AF189" s="947"/>
      <c r="AG189" s="947"/>
      <c r="AH189" s="948"/>
      <c r="AI189" s="947"/>
      <c r="AJ189" s="947"/>
      <c r="AK189" s="947"/>
      <c r="AL189" s="947"/>
      <c r="AM189" s="947"/>
      <c r="AN189" s="947"/>
      <c r="AO189" s="947"/>
      <c r="AP189" s="947"/>
      <c r="AQ189" s="947"/>
      <c r="AR189" s="938"/>
      <c r="AS189" s="937"/>
      <c r="AT189" s="948"/>
      <c r="AU189" s="947"/>
      <c r="AV189" s="981"/>
      <c r="AW189" s="950"/>
      <c r="AX189" s="950"/>
      <c r="AY189" s="951"/>
      <c r="AZ189" s="950"/>
      <c r="BA189" s="952"/>
      <c r="BB189" s="990"/>
      <c r="BC189" s="991"/>
      <c r="BD189" s="952"/>
      <c r="BE189" s="952"/>
      <c r="BF189" s="952"/>
      <c r="BG189" s="952"/>
      <c r="BH189" s="952"/>
      <c r="BI189" s="992"/>
      <c r="BJ189" s="952"/>
      <c r="BK189" s="992"/>
      <c r="BL189" s="952"/>
      <c r="BM189" s="952"/>
      <c r="BN189" s="952"/>
      <c r="BO189" s="952"/>
      <c r="BP189" s="965"/>
      <c r="BQ189" s="993"/>
      <c r="BR189" s="994"/>
      <c r="BS189" s="993"/>
      <c r="BT189" s="995"/>
      <c r="BU189" s="995"/>
      <c r="BV189" s="996"/>
      <c r="BW189" s="996"/>
      <c r="BX189" s="996"/>
      <c r="BY189" s="996"/>
      <c r="BZ189" s="996"/>
      <c r="CA189" s="996"/>
      <c r="CB189" s="965"/>
      <c r="CC189" s="965"/>
    </row>
    <row r="190">
      <c r="A190" s="84"/>
      <c r="B190" s="84"/>
      <c r="C190" s="348"/>
      <c r="D190" s="348"/>
      <c r="E190" s="84"/>
      <c r="F190" s="84"/>
      <c r="G190" s="84"/>
      <c r="H190" s="84"/>
      <c r="I190" s="84"/>
      <c r="J190" s="947"/>
      <c r="K190" s="947"/>
      <c r="L190" s="947"/>
      <c r="M190" s="947"/>
      <c r="N190" s="947"/>
      <c r="O190" s="947"/>
      <c r="P190" s="947"/>
      <c r="Q190" s="947"/>
      <c r="R190" s="937"/>
      <c r="S190" s="937"/>
      <c r="T190" s="947"/>
      <c r="U190" s="947"/>
      <c r="V190" s="938"/>
      <c r="W190" s="947"/>
      <c r="X190" s="939"/>
      <c r="Y190" s="947"/>
      <c r="Z190" s="947"/>
      <c r="AA190" s="938"/>
      <c r="AB190" s="947"/>
      <c r="AC190" s="947"/>
      <c r="AD190" s="947"/>
      <c r="AE190" s="947"/>
      <c r="AF190" s="947"/>
      <c r="AG190" s="947"/>
      <c r="AH190" s="948"/>
      <c r="AI190" s="947"/>
      <c r="AJ190" s="947"/>
      <c r="AK190" s="947"/>
      <c r="AL190" s="947"/>
      <c r="AM190" s="947"/>
      <c r="AN190" s="947"/>
      <c r="AO190" s="947"/>
      <c r="AP190" s="947"/>
      <c r="AQ190" s="947"/>
      <c r="AR190" s="938"/>
      <c r="AS190" s="937"/>
      <c r="AT190" s="948"/>
      <c r="AU190" s="947"/>
      <c r="AV190" s="981"/>
      <c r="AW190" s="950"/>
      <c r="AX190" s="950"/>
      <c r="AY190" s="951"/>
      <c r="AZ190" s="950"/>
      <c r="BA190" s="952"/>
      <c r="BB190" s="990"/>
      <c r="BC190" s="991"/>
      <c r="BD190" s="952"/>
      <c r="BE190" s="952"/>
      <c r="BF190" s="952"/>
      <c r="BG190" s="952"/>
      <c r="BH190" s="952"/>
      <c r="BI190" s="992"/>
      <c r="BJ190" s="952"/>
      <c r="BK190" s="992"/>
      <c r="BL190" s="952"/>
      <c r="BM190" s="952"/>
      <c r="BN190" s="952"/>
      <c r="BO190" s="952"/>
      <c r="BP190" s="965"/>
      <c r="BQ190" s="993"/>
      <c r="BR190" s="994"/>
      <c r="BS190" s="993"/>
      <c r="BT190" s="995"/>
      <c r="BU190" s="995"/>
      <c r="BV190" s="996"/>
      <c r="BW190" s="996"/>
      <c r="BX190" s="996"/>
      <c r="BY190" s="996"/>
      <c r="BZ190" s="996"/>
      <c r="CA190" s="996"/>
      <c r="CB190" s="965"/>
      <c r="CC190" s="965"/>
    </row>
    <row r="191">
      <c r="A191" s="84"/>
      <c r="B191" s="84"/>
      <c r="C191" s="348"/>
      <c r="D191" s="348"/>
      <c r="E191" s="84"/>
      <c r="F191" s="84"/>
      <c r="G191" s="84"/>
      <c r="H191" s="84"/>
      <c r="I191" s="84"/>
      <c r="J191" s="947"/>
      <c r="K191" s="947"/>
      <c r="L191" s="947"/>
      <c r="M191" s="947"/>
      <c r="N191" s="947"/>
      <c r="O191" s="947"/>
      <c r="P191" s="947"/>
      <c r="Q191" s="947"/>
      <c r="R191" s="937"/>
      <c r="S191" s="937"/>
      <c r="T191" s="947"/>
      <c r="U191" s="947"/>
      <c r="V191" s="938"/>
      <c r="W191" s="947"/>
      <c r="X191" s="939"/>
      <c r="Y191" s="947"/>
      <c r="Z191" s="947"/>
      <c r="AA191" s="938"/>
      <c r="AB191" s="947"/>
      <c r="AC191" s="947"/>
      <c r="AD191" s="947"/>
      <c r="AE191" s="947"/>
      <c r="AF191" s="947"/>
      <c r="AG191" s="947"/>
      <c r="AH191" s="948"/>
      <c r="AI191" s="947"/>
      <c r="AJ191" s="947"/>
      <c r="AK191" s="947"/>
      <c r="AL191" s="947"/>
      <c r="AM191" s="947"/>
      <c r="AN191" s="947"/>
      <c r="AO191" s="947"/>
      <c r="AP191" s="947"/>
      <c r="AQ191" s="947"/>
      <c r="AR191" s="938"/>
      <c r="AS191" s="937"/>
      <c r="AT191" s="948"/>
      <c r="AU191" s="947"/>
      <c r="AV191" s="981"/>
      <c r="AW191" s="950"/>
      <c r="AX191" s="950"/>
      <c r="AY191" s="951"/>
      <c r="AZ191" s="950"/>
      <c r="BA191" s="952"/>
      <c r="BB191" s="990"/>
      <c r="BC191" s="991"/>
      <c r="BD191" s="952"/>
      <c r="BE191" s="952"/>
      <c r="BF191" s="952"/>
      <c r="BG191" s="952"/>
      <c r="BH191" s="952"/>
      <c r="BI191" s="992"/>
      <c r="BJ191" s="952"/>
      <c r="BK191" s="992"/>
      <c r="BL191" s="952"/>
      <c r="BM191" s="952"/>
      <c r="BN191" s="952"/>
      <c r="BO191" s="952"/>
      <c r="BP191" s="965"/>
      <c r="BQ191" s="993"/>
      <c r="BR191" s="994"/>
      <c r="BS191" s="993"/>
      <c r="BT191" s="995"/>
      <c r="BU191" s="995"/>
      <c r="BV191" s="996"/>
      <c r="BW191" s="996"/>
      <c r="BX191" s="996"/>
      <c r="BY191" s="996"/>
      <c r="BZ191" s="996"/>
      <c r="CA191" s="996"/>
      <c r="CB191" s="965"/>
      <c r="CC191" s="965"/>
    </row>
    <row r="192">
      <c r="A192" s="84"/>
      <c r="B192" s="84"/>
      <c r="C192" s="348"/>
      <c r="D192" s="348"/>
      <c r="E192" s="84"/>
      <c r="F192" s="84"/>
      <c r="G192" s="84"/>
      <c r="H192" s="84"/>
      <c r="I192" s="84"/>
      <c r="J192" s="947"/>
      <c r="K192" s="947"/>
      <c r="L192" s="947"/>
      <c r="M192" s="947"/>
      <c r="N192" s="947"/>
      <c r="O192" s="947"/>
      <c r="P192" s="947"/>
      <c r="Q192" s="947"/>
      <c r="R192" s="937"/>
      <c r="S192" s="937"/>
      <c r="T192" s="947"/>
      <c r="U192" s="947"/>
      <c r="V192" s="938"/>
      <c r="W192" s="947"/>
      <c r="X192" s="939"/>
      <c r="Y192" s="947"/>
      <c r="Z192" s="947"/>
      <c r="AA192" s="938"/>
      <c r="AB192" s="947"/>
      <c r="AC192" s="947"/>
      <c r="AD192" s="947"/>
      <c r="AE192" s="947"/>
      <c r="AF192" s="947"/>
      <c r="AG192" s="947"/>
      <c r="AH192" s="948"/>
      <c r="AI192" s="947"/>
      <c r="AJ192" s="947"/>
      <c r="AK192" s="947"/>
      <c r="AL192" s="947"/>
      <c r="AM192" s="947"/>
      <c r="AN192" s="947"/>
      <c r="AO192" s="947"/>
      <c r="AP192" s="947"/>
      <c r="AQ192" s="947"/>
      <c r="AR192" s="938"/>
      <c r="AS192" s="937"/>
      <c r="AT192" s="948"/>
      <c r="AU192" s="947"/>
      <c r="AV192" s="981"/>
      <c r="AW192" s="950"/>
      <c r="AX192" s="950"/>
      <c r="AY192" s="951"/>
      <c r="AZ192" s="950"/>
      <c r="BA192" s="952"/>
      <c r="BB192" s="990"/>
      <c r="BC192" s="991"/>
      <c r="BD192" s="952"/>
      <c r="BE192" s="952"/>
      <c r="BF192" s="952"/>
      <c r="BG192" s="952"/>
      <c r="BH192" s="952"/>
      <c r="BI192" s="992"/>
      <c r="BJ192" s="952"/>
      <c r="BK192" s="992"/>
      <c r="BL192" s="952"/>
      <c r="BM192" s="952"/>
      <c r="BN192" s="952"/>
      <c r="BO192" s="952"/>
      <c r="BP192" s="965"/>
      <c r="BQ192" s="993"/>
      <c r="BR192" s="994"/>
      <c r="BS192" s="993"/>
      <c r="BT192" s="995"/>
      <c r="BU192" s="995"/>
      <c r="BV192" s="996"/>
      <c r="BW192" s="996"/>
      <c r="BX192" s="996"/>
      <c r="BY192" s="996"/>
      <c r="BZ192" s="996"/>
      <c r="CA192" s="996"/>
      <c r="CB192" s="965"/>
      <c r="CC192" s="965"/>
    </row>
    <row r="193">
      <c r="A193" s="84"/>
      <c r="B193" s="84"/>
      <c r="C193" s="348"/>
      <c r="D193" s="348"/>
      <c r="E193" s="84"/>
      <c r="F193" s="84"/>
      <c r="G193" s="84"/>
      <c r="H193" s="84"/>
      <c r="I193" s="84"/>
      <c r="J193" s="947"/>
      <c r="K193" s="947"/>
      <c r="L193" s="947"/>
      <c r="M193" s="947"/>
      <c r="N193" s="947"/>
      <c r="O193" s="947"/>
      <c r="P193" s="947"/>
      <c r="Q193" s="947"/>
      <c r="R193" s="937"/>
      <c r="S193" s="937"/>
      <c r="T193" s="947"/>
      <c r="U193" s="947"/>
      <c r="V193" s="938"/>
      <c r="W193" s="947"/>
      <c r="X193" s="939"/>
      <c r="Y193" s="947"/>
      <c r="Z193" s="947"/>
      <c r="AA193" s="938"/>
      <c r="AB193" s="947"/>
      <c r="AC193" s="947"/>
      <c r="AD193" s="947"/>
      <c r="AE193" s="947"/>
      <c r="AF193" s="947"/>
      <c r="AG193" s="947"/>
      <c r="AH193" s="948"/>
      <c r="AI193" s="947"/>
      <c r="AJ193" s="947"/>
      <c r="AK193" s="947"/>
      <c r="AL193" s="947"/>
      <c r="AM193" s="947"/>
      <c r="AN193" s="947"/>
      <c r="AO193" s="947"/>
      <c r="AP193" s="947"/>
      <c r="AQ193" s="947"/>
      <c r="AR193" s="938"/>
      <c r="AS193" s="937"/>
      <c r="AT193" s="948"/>
      <c r="AU193" s="947"/>
      <c r="AV193" s="981"/>
      <c r="AW193" s="950"/>
      <c r="AX193" s="950"/>
      <c r="AY193" s="951"/>
      <c r="AZ193" s="950"/>
      <c r="BA193" s="952"/>
      <c r="BB193" s="990"/>
      <c r="BC193" s="991"/>
      <c r="BD193" s="952"/>
      <c r="BE193" s="952"/>
      <c r="BF193" s="952"/>
      <c r="BG193" s="952"/>
      <c r="BH193" s="952"/>
      <c r="BI193" s="992"/>
      <c r="BJ193" s="952"/>
      <c r="BK193" s="992"/>
      <c r="BL193" s="952"/>
      <c r="BM193" s="952"/>
      <c r="BN193" s="952"/>
      <c r="BO193" s="952"/>
      <c r="BP193" s="965"/>
      <c r="BQ193" s="993"/>
      <c r="BR193" s="994"/>
      <c r="BS193" s="993"/>
      <c r="BT193" s="995"/>
      <c r="BU193" s="995"/>
      <c r="BV193" s="996"/>
      <c r="BW193" s="996"/>
      <c r="BX193" s="996"/>
      <c r="BY193" s="996"/>
      <c r="BZ193" s="996"/>
      <c r="CA193" s="996"/>
      <c r="CB193" s="965"/>
      <c r="CC193" s="965"/>
    </row>
    <row r="194">
      <c r="A194" s="84"/>
      <c r="B194" s="84"/>
      <c r="C194" s="348"/>
      <c r="D194" s="348"/>
      <c r="E194" s="84"/>
      <c r="F194" s="84"/>
      <c r="G194" s="84"/>
      <c r="H194" s="84"/>
      <c r="I194" s="84"/>
      <c r="J194" s="947"/>
      <c r="K194" s="947"/>
      <c r="L194" s="947"/>
      <c r="M194" s="947"/>
      <c r="N194" s="947"/>
      <c r="O194" s="947"/>
      <c r="P194" s="947"/>
      <c r="Q194" s="947"/>
      <c r="R194" s="937"/>
      <c r="S194" s="937"/>
      <c r="T194" s="947"/>
      <c r="U194" s="947"/>
      <c r="V194" s="938"/>
      <c r="W194" s="947"/>
      <c r="X194" s="939"/>
      <c r="Y194" s="947"/>
      <c r="Z194" s="947"/>
      <c r="AA194" s="938"/>
      <c r="AB194" s="947"/>
      <c r="AC194" s="947"/>
      <c r="AD194" s="947"/>
      <c r="AE194" s="947"/>
      <c r="AF194" s="947"/>
      <c r="AG194" s="947"/>
      <c r="AH194" s="948"/>
      <c r="AI194" s="947"/>
      <c r="AJ194" s="947"/>
      <c r="AK194" s="947"/>
      <c r="AL194" s="947"/>
      <c r="AM194" s="947"/>
      <c r="AN194" s="947"/>
      <c r="AO194" s="947"/>
      <c r="AP194" s="947"/>
      <c r="AQ194" s="947"/>
      <c r="AR194" s="938"/>
      <c r="AS194" s="937"/>
      <c r="AT194" s="948"/>
      <c r="AU194" s="947"/>
      <c r="AV194" s="981"/>
      <c r="AW194" s="950"/>
      <c r="AX194" s="950"/>
      <c r="AY194" s="951"/>
      <c r="AZ194" s="950"/>
      <c r="BA194" s="952"/>
      <c r="BB194" s="990"/>
      <c r="BC194" s="991"/>
      <c r="BD194" s="952"/>
      <c r="BE194" s="952"/>
      <c r="BF194" s="952"/>
      <c r="BG194" s="952"/>
      <c r="BH194" s="952"/>
      <c r="BI194" s="992"/>
      <c r="BJ194" s="952"/>
      <c r="BK194" s="992"/>
      <c r="BL194" s="952"/>
      <c r="BM194" s="952"/>
      <c r="BN194" s="952"/>
      <c r="BO194" s="952"/>
      <c r="BP194" s="965"/>
      <c r="BQ194" s="993"/>
      <c r="BR194" s="994"/>
      <c r="BS194" s="993"/>
      <c r="BT194" s="995"/>
      <c r="BU194" s="995"/>
      <c r="BV194" s="996"/>
      <c r="BW194" s="996"/>
      <c r="BX194" s="996"/>
      <c r="BY194" s="996"/>
      <c r="BZ194" s="996"/>
      <c r="CA194" s="996"/>
      <c r="CB194" s="965"/>
      <c r="CC194" s="965"/>
    </row>
    <row r="195">
      <c r="A195" s="84"/>
      <c r="B195" s="84"/>
      <c r="C195" s="348"/>
      <c r="D195" s="348"/>
      <c r="E195" s="84"/>
      <c r="F195" s="84"/>
      <c r="G195" s="84"/>
      <c r="H195" s="84"/>
      <c r="I195" s="84"/>
      <c r="J195" s="947"/>
      <c r="K195" s="947"/>
      <c r="L195" s="947"/>
      <c r="M195" s="947"/>
      <c r="N195" s="947"/>
      <c r="O195" s="947"/>
      <c r="P195" s="947"/>
      <c r="Q195" s="947"/>
      <c r="R195" s="937"/>
      <c r="S195" s="937"/>
      <c r="T195" s="947"/>
      <c r="U195" s="947"/>
      <c r="V195" s="938"/>
      <c r="W195" s="947"/>
      <c r="X195" s="939"/>
      <c r="Y195" s="947"/>
      <c r="Z195" s="947"/>
      <c r="AA195" s="938"/>
      <c r="AB195" s="947"/>
      <c r="AC195" s="947"/>
      <c r="AD195" s="947"/>
      <c r="AE195" s="947"/>
      <c r="AF195" s="947"/>
      <c r="AG195" s="947"/>
      <c r="AH195" s="948"/>
      <c r="AI195" s="947"/>
      <c r="AJ195" s="947"/>
      <c r="AK195" s="947"/>
      <c r="AL195" s="947"/>
      <c r="AM195" s="947"/>
      <c r="AN195" s="947"/>
      <c r="AO195" s="947"/>
      <c r="AP195" s="947"/>
      <c r="AQ195" s="947"/>
      <c r="AR195" s="938"/>
      <c r="AS195" s="937"/>
      <c r="AT195" s="948"/>
      <c r="AU195" s="947"/>
      <c r="AV195" s="981"/>
      <c r="AW195" s="950"/>
      <c r="AX195" s="950"/>
      <c r="AY195" s="951"/>
      <c r="AZ195" s="950"/>
      <c r="BA195" s="952"/>
      <c r="BB195" s="990"/>
      <c r="BC195" s="991"/>
      <c r="BD195" s="952"/>
      <c r="BE195" s="952"/>
      <c r="BF195" s="952"/>
      <c r="BG195" s="952"/>
      <c r="BH195" s="952"/>
      <c r="BI195" s="992"/>
      <c r="BJ195" s="952"/>
      <c r="BK195" s="992"/>
      <c r="BL195" s="952"/>
      <c r="BM195" s="952"/>
      <c r="BN195" s="952"/>
      <c r="BO195" s="952"/>
      <c r="BP195" s="965"/>
      <c r="BQ195" s="993"/>
      <c r="BR195" s="994"/>
      <c r="BS195" s="993"/>
      <c r="BT195" s="995"/>
      <c r="BU195" s="995"/>
      <c r="BV195" s="996"/>
      <c r="BW195" s="996"/>
      <c r="BX195" s="996"/>
      <c r="BY195" s="996"/>
      <c r="BZ195" s="996"/>
      <c r="CA195" s="996"/>
      <c r="CB195" s="965"/>
      <c r="CC195" s="965"/>
    </row>
    <row r="196">
      <c r="A196" s="84"/>
      <c r="B196" s="84"/>
      <c r="C196" s="348"/>
      <c r="D196" s="348"/>
      <c r="E196" s="84"/>
      <c r="F196" s="84"/>
      <c r="G196" s="84"/>
      <c r="H196" s="84"/>
      <c r="I196" s="84"/>
      <c r="J196" s="947"/>
      <c r="K196" s="947"/>
      <c r="L196" s="947"/>
      <c r="M196" s="947"/>
      <c r="N196" s="947"/>
      <c r="O196" s="947"/>
      <c r="P196" s="947"/>
      <c r="Q196" s="947"/>
      <c r="R196" s="937"/>
      <c r="S196" s="937"/>
      <c r="T196" s="947"/>
      <c r="U196" s="947"/>
      <c r="V196" s="938"/>
      <c r="W196" s="947"/>
      <c r="X196" s="939"/>
      <c r="Y196" s="947"/>
      <c r="Z196" s="947"/>
      <c r="AA196" s="938"/>
      <c r="AB196" s="947"/>
      <c r="AC196" s="947"/>
      <c r="AD196" s="947"/>
      <c r="AE196" s="947"/>
      <c r="AF196" s="947"/>
      <c r="AG196" s="947"/>
      <c r="AH196" s="948"/>
      <c r="AI196" s="947"/>
      <c r="AJ196" s="947"/>
      <c r="AK196" s="947"/>
      <c r="AL196" s="947"/>
      <c r="AM196" s="947"/>
      <c r="AN196" s="947"/>
      <c r="AO196" s="947"/>
      <c r="AP196" s="947"/>
      <c r="AQ196" s="947"/>
      <c r="AR196" s="938"/>
      <c r="AS196" s="937"/>
      <c r="AT196" s="948"/>
      <c r="AU196" s="947"/>
      <c r="AV196" s="981"/>
      <c r="AW196" s="950"/>
      <c r="AX196" s="950"/>
      <c r="AY196" s="951"/>
      <c r="AZ196" s="950"/>
      <c r="BA196" s="952"/>
      <c r="BB196" s="990"/>
      <c r="BC196" s="991"/>
      <c r="BD196" s="952"/>
      <c r="BE196" s="952"/>
      <c r="BF196" s="952"/>
      <c r="BG196" s="952"/>
      <c r="BH196" s="952"/>
      <c r="BI196" s="992"/>
      <c r="BJ196" s="952"/>
      <c r="BK196" s="992"/>
      <c r="BL196" s="952"/>
      <c r="BM196" s="952"/>
      <c r="BN196" s="952"/>
      <c r="BO196" s="952"/>
      <c r="BP196" s="965"/>
      <c r="BQ196" s="993"/>
      <c r="BR196" s="994"/>
      <c r="BS196" s="993"/>
      <c r="BT196" s="995"/>
      <c r="BU196" s="995"/>
      <c r="BV196" s="996"/>
      <c r="BW196" s="996"/>
      <c r="BX196" s="996"/>
      <c r="BY196" s="996"/>
      <c r="BZ196" s="996"/>
      <c r="CA196" s="996"/>
      <c r="CB196" s="965"/>
      <c r="CC196" s="965"/>
    </row>
    <row r="197">
      <c r="A197" s="84"/>
      <c r="B197" s="84"/>
      <c r="C197" s="348"/>
      <c r="D197" s="348"/>
      <c r="E197" s="84"/>
      <c r="F197" s="84"/>
      <c r="G197" s="84"/>
      <c r="H197" s="84"/>
      <c r="I197" s="84"/>
      <c r="J197" s="947"/>
      <c r="K197" s="947"/>
      <c r="L197" s="947"/>
      <c r="M197" s="947"/>
      <c r="N197" s="947"/>
      <c r="O197" s="947"/>
      <c r="P197" s="947"/>
      <c r="Q197" s="947"/>
      <c r="R197" s="937"/>
      <c r="S197" s="937"/>
      <c r="T197" s="947"/>
      <c r="U197" s="947"/>
      <c r="V197" s="938"/>
      <c r="W197" s="947"/>
      <c r="X197" s="939"/>
      <c r="Y197" s="947"/>
      <c r="Z197" s="947"/>
      <c r="AA197" s="938"/>
      <c r="AB197" s="947"/>
      <c r="AC197" s="947"/>
      <c r="AD197" s="947"/>
      <c r="AE197" s="947"/>
      <c r="AF197" s="947"/>
      <c r="AG197" s="947"/>
      <c r="AH197" s="948"/>
      <c r="AI197" s="947"/>
      <c r="AJ197" s="947"/>
      <c r="AK197" s="947"/>
      <c r="AL197" s="947"/>
      <c r="AM197" s="947"/>
      <c r="AN197" s="947"/>
      <c r="AO197" s="947"/>
      <c r="AP197" s="947"/>
      <c r="AQ197" s="947"/>
      <c r="AR197" s="938"/>
      <c r="AS197" s="937"/>
      <c r="AT197" s="948"/>
      <c r="AU197" s="947"/>
      <c r="AV197" s="981"/>
      <c r="AW197" s="950"/>
      <c r="AX197" s="950"/>
      <c r="AY197" s="951"/>
      <c r="AZ197" s="950"/>
      <c r="BA197" s="952"/>
      <c r="BB197" s="990"/>
      <c r="BC197" s="991"/>
      <c r="BD197" s="952"/>
      <c r="BE197" s="952"/>
      <c r="BF197" s="952"/>
      <c r="BG197" s="952"/>
      <c r="BH197" s="952"/>
      <c r="BI197" s="992"/>
      <c r="BJ197" s="952"/>
      <c r="BK197" s="992"/>
      <c r="BL197" s="952"/>
      <c r="BM197" s="952"/>
      <c r="BN197" s="952"/>
      <c r="BO197" s="952"/>
      <c r="BP197" s="965"/>
      <c r="BQ197" s="993"/>
      <c r="BR197" s="994"/>
      <c r="BS197" s="993"/>
      <c r="BT197" s="995"/>
      <c r="BU197" s="995"/>
      <c r="BV197" s="996"/>
      <c r="BW197" s="996"/>
      <c r="BX197" s="996"/>
      <c r="BY197" s="996"/>
      <c r="BZ197" s="996"/>
      <c r="CA197" s="996"/>
      <c r="CB197" s="965"/>
      <c r="CC197" s="965"/>
    </row>
    <row r="198">
      <c r="A198" s="84"/>
      <c r="B198" s="84"/>
      <c r="C198" s="348"/>
      <c r="D198" s="348"/>
      <c r="E198" s="84"/>
      <c r="F198" s="84"/>
      <c r="G198" s="84"/>
      <c r="H198" s="84"/>
      <c r="I198" s="84"/>
      <c r="J198" s="947"/>
      <c r="K198" s="947"/>
      <c r="L198" s="947"/>
      <c r="M198" s="947"/>
      <c r="N198" s="947"/>
      <c r="O198" s="947"/>
      <c r="P198" s="947"/>
      <c r="Q198" s="947"/>
      <c r="R198" s="937"/>
      <c r="S198" s="937"/>
      <c r="T198" s="947"/>
      <c r="U198" s="947"/>
      <c r="V198" s="938"/>
      <c r="W198" s="947"/>
      <c r="X198" s="939"/>
      <c r="Y198" s="947"/>
      <c r="Z198" s="947"/>
      <c r="AA198" s="938"/>
      <c r="AB198" s="947"/>
      <c r="AC198" s="947"/>
      <c r="AD198" s="947"/>
      <c r="AE198" s="947"/>
      <c r="AF198" s="947"/>
      <c r="AG198" s="947"/>
      <c r="AH198" s="948"/>
      <c r="AI198" s="947"/>
      <c r="AJ198" s="947"/>
      <c r="AK198" s="947"/>
      <c r="AL198" s="947"/>
      <c r="AM198" s="947"/>
      <c r="AN198" s="947"/>
      <c r="AO198" s="947"/>
      <c r="AP198" s="947"/>
      <c r="AQ198" s="947"/>
      <c r="AR198" s="938"/>
      <c r="AS198" s="937"/>
      <c r="AT198" s="948"/>
      <c r="AU198" s="947"/>
      <c r="AV198" s="981"/>
      <c r="AW198" s="950"/>
      <c r="AX198" s="950"/>
      <c r="AY198" s="951"/>
      <c r="AZ198" s="950"/>
      <c r="BA198" s="952"/>
      <c r="BB198" s="990"/>
      <c r="BC198" s="991"/>
      <c r="BD198" s="952"/>
      <c r="BE198" s="952"/>
      <c r="BF198" s="952"/>
      <c r="BG198" s="952"/>
      <c r="BH198" s="952"/>
      <c r="BI198" s="992"/>
      <c r="BJ198" s="952"/>
      <c r="BK198" s="992"/>
      <c r="BL198" s="952"/>
      <c r="BM198" s="952"/>
      <c r="BN198" s="952"/>
      <c r="BO198" s="952"/>
      <c r="BP198" s="965"/>
      <c r="BQ198" s="993"/>
      <c r="BR198" s="994"/>
      <c r="BS198" s="993"/>
      <c r="BT198" s="995"/>
      <c r="BU198" s="995"/>
      <c r="BV198" s="996"/>
      <c r="BW198" s="996"/>
      <c r="BX198" s="996"/>
      <c r="BY198" s="996"/>
      <c r="BZ198" s="996"/>
      <c r="CA198" s="996"/>
      <c r="CB198" s="965"/>
      <c r="CC198" s="965"/>
    </row>
    <row r="199">
      <c r="A199" s="84"/>
      <c r="B199" s="84"/>
      <c r="C199" s="348"/>
      <c r="D199" s="348"/>
      <c r="E199" s="84"/>
      <c r="F199" s="84"/>
      <c r="G199" s="84"/>
      <c r="H199" s="84"/>
      <c r="I199" s="84"/>
      <c r="J199" s="947"/>
      <c r="K199" s="947"/>
      <c r="L199" s="947"/>
      <c r="M199" s="947"/>
      <c r="N199" s="947"/>
      <c r="O199" s="947"/>
      <c r="P199" s="947"/>
      <c r="Q199" s="947"/>
      <c r="R199" s="937"/>
      <c r="S199" s="937"/>
      <c r="T199" s="947"/>
      <c r="U199" s="947"/>
      <c r="V199" s="938"/>
      <c r="W199" s="947"/>
      <c r="X199" s="939"/>
      <c r="Y199" s="947"/>
      <c r="Z199" s="947"/>
      <c r="AA199" s="938"/>
      <c r="AB199" s="947"/>
      <c r="AC199" s="947"/>
      <c r="AD199" s="947"/>
      <c r="AE199" s="947"/>
      <c r="AF199" s="947"/>
      <c r="AG199" s="947"/>
      <c r="AH199" s="948"/>
      <c r="AI199" s="947"/>
      <c r="AJ199" s="947"/>
      <c r="AK199" s="947"/>
      <c r="AL199" s="947"/>
      <c r="AM199" s="947"/>
      <c r="AN199" s="947"/>
      <c r="AO199" s="947"/>
      <c r="AP199" s="947"/>
      <c r="AQ199" s="947"/>
      <c r="AR199" s="938"/>
      <c r="AS199" s="937"/>
      <c r="AT199" s="948"/>
      <c r="AU199" s="947"/>
      <c r="AV199" s="981"/>
      <c r="AW199" s="950"/>
      <c r="AX199" s="950"/>
      <c r="AY199" s="951"/>
      <c r="AZ199" s="950"/>
      <c r="BA199" s="952"/>
      <c r="BB199" s="990"/>
      <c r="BC199" s="991"/>
      <c r="BD199" s="952"/>
      <c r="BE199" s="952"/>
      <c r="BF199" s="952"/>
      <c r="BG199" s="952"/>
      <c r="BH199" s="952"/>
      <c r="BI199" s="992"/>
      <c r="BJ199" s="952"/>
      <c r="BK199" s="992"/>
      <c r="BL199" s="952"/>
      <c r="BM199" s="952"/>
      <c r="BN199" s="952"/>
      <c r="BO199" s="952"/>
      <c r="BP199" s="965"/>
      <c r="BQ199" s="993"/>
      <c r="BR199" s="994"/>
      <c r="BS199" s="993"/>
      <c r="BT199" s="995"/>
      <c r="BU199" s="995"/>
      <c r="BV199" s="996"/>
      <c r="BW199" s="996"/>
      <c r="BX199" s="996"/>
      <c r="BY199" s="996"/>
      <c r="BZ199" s="996"/>
      <c r="CA199" s="996"/>
      <c r="CB199" s="965"/>
      <c r="CC199" s="965"/>
    </row>
    <row r="200">
      <c r="A200" s="84"/>
      <c r="B200" s="84"/>
      <c r="C200" s="348"/>
      <c r="D200" s="348"/>
      <c r="E200" s="84"/>
      <c r="F200" s="84"/>
      <c r="G200" s="84"/>
      <c r="H200" s="84"/>
      <c r="I200" s="84"/>
      <c r="J200" s="947"/>
      <c r="K200" s="947"/>
      <c r="L200" s="947"/>
      <c r="M200" s="947"/>
      <c r="N200" s="947"/>
      <c r="O200" s="947"/>
      <c r="P200" s="947"/>
      <c r="Q200" s="947"/>
      <c r="R200" s="937"/>
      <c r="S200" s="937"/>
      <c r="T200" s="947"/>
      <c r="U200" s="947"/>
      <c r="V200" s="938"/>
      <c r="W200" s="947"/>
      <c r="X200" s="939"/>
      <c r="Y200" s="947"/>
      <c r="Z200" s="947"/>
      <c r="AA200" s="938"/>
      <c r="AB200" s="947"/>
      <c r="AC200" s="947"/>
      <c r="AD200" s="947"/>
      <c r="AE200" s="947"/>
      <c r="AF200" s="947"/>
      <c r="AG200" s="947"/>
      <c r="AH200" s="948"/>
      <c r="AI200" s="947"/>
      <c r="AJ200" s="947"/>
      <c r="AK200" s="947"/>
      <c r="AL200" s="947"/>
      <c r="AM200" s="947"/>
      <c r="AN200" s="947"/>
      <c r="AO200" s="947"/>
      <c r="AP200" s="947"/>
      <c r="AQ200" s="947"/>
      <c r="AR200" s="938"/>
      <c r="AS200" s="937"/>
      <c r="AT200" s="948"/>
      <c r="AU200" s="947"/>
      <c r="AV200" s="981"/>
      <c r="AW200" s="950"/>
      <c r="AX200" s="950"/>
      <c r="AY200" s="951"/>
      <c r="AZ200" s="950"/>
      <c r="BA200" s="952"/>
      <c r="BB200" s="990"/>
      <c r="BC200" s="991"/>
      <c r="BD200" s="952"/>
      <c r="BE200" s="952"/>
      <c r="BF200" s="952"/>
      <c r="BG200" s="952"/>
      <c r="BH200" s="952"/>
      <c r="BI200" s="992"/>
      <c r="BJ200" s="952"/>
      <c r="BK200" s="992"/>
      <c r="BL200" s="952"/>
      <c r="BM200" s="952"/>
      <c r="BN200" s="952"/>
      <c r="BO200" s="952"/>
      <c r="BP200" s="965"/>
      <c r="BQ200" s="993"/>
      <c r="BR200" s="994"/>
      <c r="BS200" s="993"/>
      <c r="BT200" s="995"/>
      <c r="BU200" s="995"/>
      <c r="BV200" s="996"/>
      <c r="BW200" s="996"/>
      <c r="BX200" s="996"/>
      <c r="BY200" s="996"/>
      <c r="BZ200" s="996"/>
      <c r="CA200" s="996"/>
      <c r="CB200" s="965"/>
      <c r="CC200" s="965"/>
    </row>
    <row r="201">
      <c r="A201" s="84"/>
      <c r="B201" s="84"/>
      <c r="C201" s="348"/>
      <c r="D201" s="348"/>
      <c r="E201" s="84"/>
      <c r="F201" s="84"/>
      <c r="G201" s="84"/>
      <c r="H201" s="84"/>
      <c r="I201" s="84"/>
      <c r="J201" s="947"/>
      <c r="K201" s="947"/>
      <c r="L201" s="947"/>
      <c r="M201" s="947"/>
      <c r="N201" s="947"/>
      <c r="O201" s="947"/>
      <c r="P201" s="947"/>
      <c r="Q201" s="947"/>
      <c r="R201" s="937"/>
      <c r="S201" s="937"/>
      <c r="T201" s="947"/>
      <c r="U201" s="947"/>
      <c r="V201" s="938"/>
      <c r="W201" s="947"/>
      <c r="X201" s="939"/>
      <c r="Y201" s="947"/>
      <c r="Z201" s="947"/>
      <c r="AA201" s="938"/>
      <c r="AB201" s="947"/>
      <c r="AC201" s="947"/>
      <c r="AD201" s="947"/>
      <c r="AE201" s="947"/>
      <c r="AF201" s="947"/>
      <c r="AG201" s="947"/>
      <c r="AH201" s="948"/>
      <c r="AI201" s="947"/>
      <c r="AJ201" s="947"/>
      <c r="AK201" s="947"/>
      <c r="AL201" s="947"/>
      <c r="AM201" s="947"/>
      <c r="AN201" s="947"/>
      <c r="AO201" s="947"/>
      <c r="AP201" s="947"/>
      <c r="AQ201" s="947"/>
      <c r="AR201" s="938"/>
      <c r="AS201" s="937"/>
      <c r="AT201" s="948"/>
      <c r="AU201" s="947"/>
      <c r="AV201" s="981"/>
      <c r="AW201" s="950"/>
      <c r="AX201" s="950"/>
      <c r="AY201" s="951"/>
      <c r="AZ201" s="950"/>
      <c r="BA201" s="952"/>
      <c r="BB201" s="990"/>
      <c r="BC201" s="991"/>
      <c r="BD201" s="952"/>
      <c r="BE201" s="952"/>
      <c r="BF201" s="952"/>
      <c r="BG201" s="952"/>
      <c r="BH201" s="952"/>
      <c r="BI201" s="992"/>
      <c r="BJ201" s="952"/>
      <c r="BK201" s="992"/>
      <c r="BL201" s="952"/>
      <c r="BM201" s="952"/>
      <c r="BN201" s="952"/>
      <c r="BO201" s="952"/>
      <c r="BP201" s="965"/>
      <c r="BQ201" s="993"/>
      <c r="BR201" s="994"/>
      <c r="BS201" s="993"/>
      <c r="BT201" s="995"/>
      <c r="BU201" s="995"/>
      <c r="BV201" s="996"/>
      <c r="BW201" s="996"/>
      <c r="BX201" s="996"/>
      <c r="BY201" s="996"/>
      <c r="BZ201" s="996"/>
      <c r="CA201" s="996"/>
      <c r="CB201" s="965"/>
      <c r="CC201" s="965"/>
    </row>
    <row r="202">
      <c r="A202" s="84"/>
      <c r="B202" s="84"/>
      <c r="C202" s="348"/>
      <c r="D202" s="348"/>
      <c r="E202" s="84"/>
      <c r="F202" s="84"/>
      <c r="G202" s="84"/>
      <c r="H202" s="84"/>
      <c r="I202" s="84"/>
      <c r="J202" s="947"/>
      <c r="K202" s="947"/>
      <c r="L202" s="947"/>
      <c r="M202" s="947"/>
      <c r="N202" s="947"/>
      <c r="O202" s="947"/>
      <c r="P202" s="947"/>
      <c r="Q202" s="947"/>
      <c r="R202" s="937"/>
      <c r="S202" s="937"/>
      <c r="T202" s="947"/>
      <c r="U202" s="947"/>
      <c r="V202" s="938"/>
      <c r="W202" s="947"/>
      <c r="X202" s="939"/>
      <c r="Y202" s="947"/>
      <c r="Z202" s="947"/>
      <c r="AA202" s="938"/>
      <c r="AB202" s="947"/>
      <c r="AC202" s="947"/>
      <c r="AD202" s="947"/>
      <c r="AE202" s="947"/>
      <c r="AF202" s="947"/>
      <c r="AG202" s="947"/>
      <c r="AH202" s="948"/>
      <c r="AI202" s="947"/>
      <c r="AJ202" s="947"/>
      <c r="AK202" s="947"/>
      <c r="AL202" s="947"/>
      <c r="AM202" s="947"/>
      <c r="AN202" s="947"/>
      <c r="AO202" s="947"/>
      <c r="AP202" s="947"/>
      <c r="AQ202" s="947"/>
      <c r="AR202" s="938"/>
      <c r="AS202" s="937"/>
      <c r="AT202" s="948"/>
      <c r="AU202" s="947"/>
      <c r="AV202" s="981"/>
      <c r="AW202" s="950"/>
      <c r="AX202" s="950"/>
      <c r="AY202" s="951"/>
      <c r="AZ202" s="950"/>
      <c r="BA202" s="952"/>
      <c r="BB202" s="990"/>
      <c r="BC202" s="991"/>
      <c r="BD202" s="952"/>
      <c r="BE202" s="952"/>
      <c r="BF202" s="952"/>
      <c r="BG202" s="952"/>
      <c r="BH202" s="952"/>
      <c r="BI202" s="992"/>
      <c r="BJ202" s="952"/>
      <c r="BK202" s="992"/>
      <c r="BL202" s="952"/>
      <c r="BM202" s="952"/>
      <c r="BN202" s="952"/>
      <c r="BO202" s="952"/>
      <c r="BP202" s="965"/>
      <c r="BQ202" s="993"/>
      <c r="BR202" s="994"/>
      <c r="BS202" s="993"/>
      <c r="BT202" s="995"/>
      <c r="BU202" s="995"/>
      <c r="BV202" s="996"/>
      <c r="BW202" s="996"/>
      <c r="BX202" s="996"/>
      <c r="BY202" s="996"/>
      <c r="BZ202" s="996"/>
      <c r="CA202" s="996"/>
      <c r="CB202" s="965"/>
      <c r="CC202" s="965"/>
    </row>
    <row r="203">
      <c r="A203" s="84"/>
      <c r="B203" s="84"/>
      <c r="C203" s="348"/>
      <c r="D203" s="348"/>
      <c r="E203" s="84"/>
      <c r="F203" s="84"/>
      <c r="G203" s="84"/>
      <c r="H203" s="84"/>
      <c r="I203" s="84"/>
      <c r="J203" s="947"/>
      <c r="K203" s="947"/>
      <c r="L203" s="947"/>
      <c r="M203" s="947"/>
      <c r="N203" s="947"/>
      <c r="O203" s="947"/>
      <c r="P203" s="947"/>
      <c r="Q203" s="947"/>
      <c r="R203" s="937"/>
      <c r="S203" s="937"/>
      <c r="T203" s="947"/>
      <c r="U203" s="947"/>
      <c r="V203" s="938"/>
      <c r="W203" s="947"/>
      <c r="X203" s="939"/>
      <c r="Y203" s="947"/>
      <c r="Z203" s="947"/>
      <c r="AA203" s="938"/>
      <c r="AB203" s="947"/>
      <c r="AC203" s="947"/>
      <c r="AD203" s="947"/>
      <c r="AE203" s="947"/>
      <c r="AF203" s="947"/>
      <c r="AG203" s="947"/>
      <c r="AH203" s="948"/>
      <c r="AI203" s="947"/>
      <c r="AJ203" s="947"/>
      <c r="AK203" s="947"/>
      <c r="AL203" s="947"/>
      <c r="AM203" s="947"/>
      <c r="AN203" s="947"/>
      <c r="AO203" s="947"/>
      <c r="AP203" s="947"/>
      <c r="AQ203" s="947"/>
      <c r="AR203" s="938"/>
      <c r="AS203" s="937"/>
      <c r="AT203" s="948"/>
      <c r="AU203" s="947"/>
      <c r="AV203" s="981"/>
      <c r="AW203" s="950"/>
      <c r="AX203" s="950"/>
      <c r="AY203" s="951"/>
      <c r="AZ203" s="950"/>
      <c r="BA203" s="952"/>
      <c r="BB203" s="990"/>
      <c r="BC203" s="991"/>
      <c r="BD203" s="952"/>
      <c r="BE203" s="952"/>
      <c r="BF203" s="952"/>
      <c r="BG203" s="952"/>
      <c r="BH203" s="952"/>
      <c r="BI203" s="992"/>
      <c r="BJ203" s="952"/>
      <c r="BK203" s="992"/>
      <c r="BL203" s="952"/>
      <c r="BM203" s="952"/>
      <c r="BN203" s="952"/>
      <c r="BO203" s="952"/>
      <c r="BP203" s="965"/>
      <c r="BQ203" s="993"/>
      <c r="BR203" s="994"/>
      <c r="BS203" s="993"/>
      <c r="BT203" s="995"/>
      <c r="BU203" s="995"/>
      <c r="BV203" s="996"/>
      <c r="BW203" s="996"/>
      <c r="BX203" s="996"/>
      <c r="BY203" s="996"/>
      <c r="BZ203" s="996"/>
      <c r="CA203" s="996"/>
      <c r="CB203" s="965"/>
      <c r="CC203" s="965"/>
    </row>
    <row r="204">
      <c r="A204" s="84"/>
      <c r="B204" s="84"/>
      <c r="C204" s="348"/>
      <c r="D204" s="348"/>
      <c r="E204" s="84"/>
      <c r="F204" s="84"/>
      <c r="G204" s="84"/>
      <c r="H204" s="84"/>
      <c r="I204" s="84"/>
      <c r="J204" s="947"/>
      <c r="K204" s="947"/>
      <c r="L204" s="947"/>
      <c r="M204" s="947"/>
      <c r="N204" s="947"/>
      <c r="O204" s="947"/>
      <c r="P204" s="947"/>
      <c r="Q204" s="947"/>
      <c r="R204" s="937"/>
      <c r="S204" s="937"/>
      <c r="T204" s="947"/>
      <c r="U204" s="947"/>
      <c r="V204" s="938"/>
      <c r="W204" s="947"/>
      <c r="X204" s="939"/>
      <c r="Y204" s="947"/>
      <c r="Z204" s="947"/>
      <c r="AA204" s="938"/>
      <c r="AB204" s="947"/>
      <c r="AC204" s="947"/>
      <c r="AD204" s="947"/>
      <c r="AE204" s="947"/>
      <c r="AF204" s="947"/>
      <c r="AG204" s="947"/>
      <c r="AH204" s="948"/>
      <c r="AI204" s="947"/>
      <c r="AJ204" s="947"/>
      <c r="AK204" s="947"/>
      <c r="AL204" s="947"/>
      <c r="AM204" s="947"/>
      <c r="AN204" s="947"/>
      <c r="AO204" s="947"/>
      <c r="AP204" s="947"/>
      <c r="AQ204" s="947"/>
      <c r="AR204" s="938"/>
      <c r="AS204" s="937"/>
      <c r="AT204" s="948"/>
      <c r="AU204" s="947"/>
      <c r="AV204" s="981"/>
      <c r="AW204" s="950"/>
      <c r="AX204" s="950"/>
      <c r="AY204" s="951"/>
      <c r="AZ204" s="950"/>
      <c r="BA204" s="952"/>
      <c r="BB204" s="990"/>
      <c r="BC204" s="991"/>
      <c r="BD204" s="952"/>
      <c r="BE204" s="952"/>
      <c r="BF204" s="952"/>
      <c r="BG204" s="952"/>
      <c r="BH204" s="952"/>
      <c r="BI204" s="992"/>
      <c r="BJ204" s="952"/>
      <c r="BK204" s="992"/>
      <c r="BL204" s="952"/>
      <c r="BM204" s="952"/>
      <c r="BN204" s="952"/>
      <c r="BO204" s="952"/>
      <c r="BP204" s="965"/>
      <c r="BQ204" s="993"/>
      <c r="BR204" s="994"/>
      <c r="BS204" s="993"/>
      <c r="BT204" s="995"/>
      <c r="BU204" s="995"/>
      <c r="BV204" s="996"/>
      <c r="BW204" s="996"/>
      <c r="BX204" s="996"/>
      <c r="BY204" s="996"/>
      <c r="BZ204" s="996"/>
      <c r="CA204" s="996"/>
      <c r="CB204" s="965"/>
      <c r="CC204" s="965"/>
    </row>
    <row r="205">
      <c r="A205" s="84"/>
      <c r="B205" s="84"/>
      <c r="C205" s="348"/>
      <c r="D205" s="348"/>
      <c r="E205" s="84"/>
      <c r="F205" s="84"/>
      <c r="G205" s="84"/>
      <c r="H205" s="84"/>
      <c r="I205" s="84"/>
      <c r="J205" s="947"/>
      <c r="K205" s="947"/>
      <c r="L205" s="947"/>
      <c r="M205" s="947"/>
      <c r="N205" s="947"/>
      <c r="O205" s="947"/>
      <c r="P205" s="947"/>
      <c r="Q205" s="947"/>
      <c r="R205" s="937"/>
      <c r="S205" s="937"/>
      <c r="T205" s="947"/>
      <c r="U205" s="947"/>
      <c r="V205" s="938"/>
      <c r="W205" s="947"/>
      <c r="X205" s="939"/>
      <c r="Y205" s="947"/>
      <c r="Z205" s="947"/>
      <c r="AA205" s="938"/>
      <c r="AB205" s="947"/>
      <c r="AC205" s="947"/>
      <c r="AD205" s="947"/>
      <c r="AE205" s="947"/>
      <c r="AF205" s="947"/>
      <c r="AG205" s="947"/>
      <c r="AH205" s="948"/>
      <c r="AI205" s="947"/>
      <c r="AJ205" s="947"/>
      <c r="AK205" s="947"/>
      <c r="AL205" s="947"/>
      <c r="AM205" s="947"/>
      <c r="AN205" s="947"/>
      <c r="AO205" s="947"/>
      <c r="AP205" s="947"/>
      <c r="AQ205" s="947"/>
      <c r="AR205" s="938"/>
      <c r="AS205" s="937"/>
      <c r="AT205" s="948"/>
      <c r="AU205" s="947"/>
      <c r="AV205" s="981"/>
      <c r="AW205" s="950"/>
      <c r="AX205" s="950"/>
      <c r="AY205" s="951"/>
      <c r="AZ205" s="950"/>
      <c r="BA205" s="952"/>
      <c r="BB205" s="990"/>
      <c r="BC205" s="991"/>
      <c r="BD205" s="952"/>
      <c r="BE205" s="952"/>
      <c r="BF205" s="952"/>
      <c r="BG205" s="952"/>
      <c r="BH205" s="952"/>
      <c r="BI205" s="992"/>
      <c r="BJ205" s="952"/>
      <c r="BK205" s="992"/>
      <c r="BL205" s="952"/>
      <c r="BM205" s="952"/>
      <c r="BN205" s="952"/>
      <c r="BO205" s="952"/>
      <c r="BP205" s="965"/>
      <c r="BQ205" s="993"/>
      <c r="BR205" s="994"/>
      <c r="BS205" s="993"/>
      <c r="BT205" s="995"/>
      <c r="BU205" s="995"/>
      <c r="BV205" s="996"/>
      <c r="BW205" s="996"/>
      <c r="BX205" s="996"/>
      <c r="BY205" s="996"/>
      <c r="BZ205" s="996"/>
      <c r="CA205" s="996"/>
      <c r="CB205" s="965"/>
      <c r="CC205" s="965"/>
    </row>
    <row r="206">
      <c r="A206" s="84"/>
      <c r="B206" s="84"/>
      <c r="C206" s="348"/>
      <c r="D206" s="348"/>
      <c r="E206" s="84"/>
      <c r="F206" s="84"/>
      <c r="G206" s="84"/>
      <c r="H206" s="84"/>
      <c r="I206" s="84"/>
      <c r="J206" s="947"/>
      <c r="K206" s="947"/>
      <c r="L206" s="947"/>
      <c r="M206" s="947"/>
      <c r="N206" s="947"/>
      <c r="O206" s="947"/>
      <c r="P206" s="947"/>
      <c r="Q206" s="947"/>
      <c r="R206" s="937"/>
      <c r="S206" s="937"/>
      <c r="T206" s="947"/>
      <c r="U206" s="947"/>
      <c r="V206" s="938"/>
      <c r="W206" s="947"/>
      <c r="X206" s="939"/>
      <c r="Y206" s="947"/>
      <c r="Z206" s="947"/>
      <c r="AA206" s="938"/>
      <c r="AB206" s="947"/>
      <c r="AC206" s="947"/>
      <c r="AD206" s="947"/>
      <c r="AE206" s="947"/>
      <c r="AF206" s="947"/>
      <c r="AG206" s="947"/>
      <c r="AH206" s="948"/>
      <c r="AI206" s="947"/>
      <c r="AJ206" s="947"/>
      <c r="AK206" s="947"/>
      <c r="AL206" s="947"/>
      <c r="AM206" s="947"/>
      <c r="AN206" s="947"/>
      <c r="AO206" s="947"/>
      <c r="AP206" s="947"/>
      <c r="AQ206" s="947"/>
      <c r="AR206" s="938"/>
      <c r="AS206" s="937"/>
      <c r="AT206" s="948"/>
      <c r="AU206" s="947"/>
      <c r="AV206" s="981"/>
      <c r="AW206" s="950"/>
      <c r="AX206" s="950"/>
      <c r="AY206" s="951"/>
      <c r="AZ206" s="950"/>
      <c r="BA206" s="952"/>
      <c r="BB206" s="990"/>
      <c r="BC206" s="991"/>
      <c r="BD206" s="952"/>
      <c r="BE206" s="952"/>
      <c r="BF206" s="952"/>
      <c r="BG206" s="952"/>
      <c r="BH206" s="952"/>
      <c r="BI206" s="992"/>
      <c r="BJ206" s="952"/>
      <c r="BK206" s="992"/>
      <c r="BL206" s="952"/>
      <c r="BM206" s="952"/>
      <c r="BN206" s="952"/>
      <c r="BO206" s="952"/>
      <c r="BP206" s="965"/>
      <c r="BQ206" s="993"/>
      <c r="BR206" s="994"/>
      <c r="BS206" s="993"/>
      <c r="BT206" s="995"/>
      <c r="BU206" s="995"/>
      <c r="BV206" s="996"/>
      <c r="BW206" s="996"/>
      <c r="BX206" s="996"/>
      <c r="BY206" s="996"/>
      <c r="BZ206" s="996"/>
      <c r="CA206" s="996"/>
      <c r="CB206" s="965"/>
      <c r="CC206" s="965"/>
    </row>
    <row r="207">
      <c r="A207" s="84"/>
      <c r="B207" s="84"/>
      <c r="C207" s="348"/>
      <c r="D207" s="348"/>
      <c r="E207" s="84"/>
      <c r="F207" s="84"/>
      <c r="G207" s="84"/>
      <c r="H207" s="84"/>
      <c r="I207" s="84"/>
      <c r="J207" s="947"/>
      <c r="K207" s="947"/>
      <c r="L207" s="947"/>
      <c r="M207" s="947"/>
      <c r="N207" s="947"/>
      <c r="O207" s="947"/>
      <c r="P207" s="947"/>
      <c r="Q207" s="947"/>
      <c r="R207" s="937"/>
      <c r="S207" s="937"/>
      <c r="T207" s="947"/>
      <c r="U207" s="947"/>
      <c r="V207" s="938"/>
      <c r="W207" s="947"/>
      <c r="X207" s="939"/>
      <c r="Y207" s="947"/>
      <c r="Z207" s="947"/>
      <c r="AA207" s="938"/>
      <c r="AB207" s="947"/>
      <c r="AC207" s="947"/>
      <c r="AD207" s="947"/>
      <c r="AE207" s="947"/>
      <c r="AF207" s="947"/>
      <c r="AG207" s="947"/>
      <c r="AH207" s="948"/>
      <c r="AI207" s="947"/>
      <c r="AJ207" s="947"/>
      <c r="AK207" s="947"/>
      <c r="AL207" s="947"/>
      <c r="AM207" s="947"/>
      <c r="AN207" s="947"/>
      <c r="AO207" s="947"/>
      <c r="AP207" s="947"/>
      <c r="AQ207" s="947"/>
      <c r="AR207" s="938"/>
      <c r="AS207" s="937"/>
      <c r="AT207" s="948"/>
      <c r="AU207" s="947"/>
      <c r="AV207" s="981"/>
      <c r="AW207" s="950"/>
      <c r="AX207" s="950"/>
      <c r="AY207" s="951"/>
      <c r="AZ207" s="950"/>
      <c r="BA207" s="952"/>
      <c r="BB207" s="990"/>
      <c r="BC207" s="991"/>
      <c r="BD207" s="952"/>
      <c r="BE207" s="952"/>
      <c r="BF207" s="952"/>
      <c r="BG207" s="952"/>
      <c r="BH207" s="952"/>
      <c r="BI207" s="992"/>
      <c r="BJ207" s="952"/>
      <c r="BK207" s="992"/>
      <c r="BL207" s="952"/>
      <c r="BM207" s="952"/>
      <c r="BN207" s="952"/>
      <c r="BO207" s="952"/>
      <c r="BP207" s="965"/>
      <c r="BQ207" s="993"/>
      <c r="BR207" s="994"/>
      <c r="BS207" s="993"/>
      <c r="BT207" s="995"/>
      <c r="BU207" s="995"/>
      <c r="BV207" s="996"/>
      <c r="BW207" s="996"/>
      <c r="BX207" s="996"/>
      <c r="BY207" s="996"/>
      <c r="BZ207" s="996"/>
      <c r="CA207" s="996"/>
      <c r="CB207" s="965"/>
      <c r="CC207" s="965"/>
    </row>
    <row r="208">
      <c r="A208" s="84"/>
      <c r="B208" s="84"/>
      <c r="C208" s="348"/>
      <c r="D208" s="348"/>
      <c r="E208" s="84"/>
      <c r="F208" s="84"/>
      <c r="G208" s="84"/>
      <c r="H208" s="84"/>
      <c r="I208" s="84"/>
      <c r="J208" s="947"/>
      <c r="K208" s="947"/>
      <c r="L208" s="947"/>
      <c r="M208" s="947"/>
      <c r="N208" s="947"/>
      <c r="O208" s="947"/>
      <c r="P208" s="947"/>
      <c r="Q208" s="947"/>
      <c r="R208" s="937"/>
      <c r="S208" s="937"/>
      <c r="T208" s="947"/>
      <c r="U208" s="947"/>
      <c r="V208" s="938"/>
      <c r="W208" s="947"/>
      <c r="X208" s="939"/>
      <c r="Y208" s="947"/>
      <c r="Z208" s="947"/>
      <c r="AA208" s="938"/>
      <c r="AB208" s="947"/>
      <c r="AC208" s="947"/>
      <c r="AD208" s="947"/>
      <c r="AE208" s="947"/>
      <c r="AF208" s="947"/>
      <c r="AG208" s="947"/>
      <c r="AH208" s="948"/>
      <c r="AI208" s="947"/>
      <c r="AJ208" s="947"/>
      <c r="AK208" s="947"/>
      <c r="AL208" s="947"/>
      <c r="AM208" s="947"/>
      <c r="AN208" s="947"/>
      <c r="AO208" s="947"/>
      <c r="AP208" s="947"/>
      <c r="AQ208" s="947"/>
      <c r="AR208" s="938"/>
      <c r="AS208" s="937"/>
      <c r="AT208" s="948"/>
      <c r="AU208" s="947"/>
      <c r="AV208" s="981"/>
      <c r="AW208" s="950"/>
      <c r="AX208" s="950"/>
      <c r="AY208" s="951"/>
      <c r="AZ208" s="950"/>
      <c r="BA208" s="952"/>
      <c r="BB208" s="990"/>
      <c r="BC208" s="991"/>
      <c r="BD208" s="952"/>
      <c r="BE208" s="952"/>
      <c r="BF208" s="952"/>
      <c r="BG208" s="952"/>
      <c r="BH208" s="952"/>
      <c r="BI208" s="992"/>
      <c r="BJ208" s="952"/>
      <c r="BK208" s="992"/>
      <c r="BL208" s="952"/>
      <c r="BM208" s="952"/>
      <c r="BN208" s="952"/>
      <c r="BO208" s="952"/>
      <c r="BP208" s="965"/>
      <c r="BQ208" s="993"/>
      <c r="BR208" s="994"/>
      <c r="BS208" s="993"/>
      <c r="BT208" s="995"/>
      <c r="BU208" s="995"/>
      <c r="BV208" s="996"/>
      <c r="BW208" s="996"/>
      <c r="BX208" s="996"/>
      <c r="BY208" s="996"/>
      <c r="BZ208" s="996"/>
      <c r="CA208" s="996"/>
      <c r="CB208" s="965"/>
      <c r="CC208" s="965"/>
    </row>
    <row r="209">
      <c r="A209" s="84"/>
      <c r="B209" s="84"/>
      <c r="C209" s="348"/>
      <c r="D209" s="348"/>
      <c r="E209" s="84"/>
      <c r="F209" s="84"/>
      <c r="G209" s="84"/>
      <c r="H209" s="84"/>
      <c r="I209" s="84"/>
      <c r="J209" s="947"/>
      <c r="K209" s="947"/>
      <c r="L209" s="947"/>
      <c r="M209" s="947"/>
      <c r="N209" s="947"/>
      <c r="O209" s="947"/>
      <c r="P209" s="947"/>
      <c r="Q209" s="947"/>
      <c r="R209" s="937"/>
      <c r="S209" s="937"/>
      <c r="T209" s="947"/>
      <c r="U209" s="947"/>
      <c r="V209" s="938"/>
      <c r="W209" s="947"/>
      <c r="X209" s="939"/>
      <c r="Y209" s="947"/>
      <c r="Z209" s="947"/>
      <c r="AA209" s="938"/>
      <c r="AB209" s="947"/>
      <c r="AC209" s="947"/>
      <c r="AD209" s="947"/>
      <c r="AE209" s="947"/>
      <c r="AF209" s="947"/>
      <c r="AG209" s="947"/>
      <c r="AH209" s="948"/>
      <c r="AI209" s="947"/>
      <c r="AJ209" s="947"/>
      <c r="AK209" s="947"/>
      <c r="AL209" s="947"/>
      <c r="AM209" s="947"/>
      <c r="AN209" s="947"/>
      <c r="AO209" s="947"/>
      <c r="AP209" s="947"/>
      <c r="AQ209" s="947"/>
      <c r="AR209" s="938"/>
      <c r="AS209" s="937"/>
      <c r="AT209" s="948"/>
      <c r="AU209" s="947"/>
      <c r="AV209" s="981"/>
      <c r="AW209" s="950"/>
      <c r="AX209" s="950"/>
      <c r="AY209" s="951"/>
      <c r="AZ209" s="950"/>
      <c r="BA209" s="952"/>
      <c r="BB209" s="990"/>
      <c r="BC209" s="991"/>
      <c r="BD209" s="952"/>
      <c r="BE209" s="952"/>
      <c r="BF209" s="952"/>
      <c r="BG209" s="952"/>
      <c r="BH209" s="952"/>
      <c r="BI209" s="992"/>
      <c r="BJ209" s="952"/>
      <c r="BK209" s="992"/>
      <c r="BL209" s="952"/>
      <c r="BM209" s="952"/>
      <c r="BN209" s="952"/>
      <c r="BO209" s="952"/>
      <c r="BP209" s="965"/>
      <c r="BQ209" s="993"/>
      <c r="BR209" s="994"/>
      <c r="BS209" s="993"/>
      <c r="BT209" s="995"/>
      <c r="BU209" s="995"/>
      <c r="BV209" s="996"/>
      <c r="BW209" s="996"/>
      <c r="BX209" s="996"/>
      <c r="BY209" s="996"/>
      <c r="BZ209" s="996"/>
      <c r="CA209" s="996"/>
      <c r="CB209" s="965"/>
      <c r="CC209" s="965"/>
    </row>
    <row r="210">
      <c r="A210" s="84"/>
      <c r="B210" s="84"/>
      <c r="C210" s="348"/>
      <c r="D210" s="348"/>
      <c r="E210" s="84"/>
      <c r="F210" s="84"/>
      <c r="G210" s="84"/>
      <c r="H210" s="84"/>
      <c r="I210" s="84"/>
      <c r="J210" s="947"/>
      <c r="K210" s="947"/>
      <c r="L210" s="947"/>
      <c r="M210" s="947"/>
      <c r="N210" s="947"/>
      <c r="O210" s="947"/>
      <c r="P210" s="947"/>
      <c r="Q210" s="947"/>
      <c r="R210" s="937"/>
      <c r="S210" s="937"/>
      <c r="T210" s="947"/>
      <c r="U210" s="947"/>
      <c r="V210" s="938"/>
      <c r="W210" s="947"/>
      <c r="X210" s="939"/>
      <c r="Y210" s="947"/>
      <c r="Z210" s="947"/>
      <c r="AA210" s="938"/>
      <c r="AB210" s="947"/>
      <c r="AC210" s="947"/>
      <c r="AD210" s="947"/>
      <c r="AE210" s="947"/>
      <c r="AF210" s="947"/>
      <c r="AG210" s="947"/>
      <c r="AH210" s="948"/>
      <c r="AI210" s="947"/>
      <c r="AJ210" s="947"/>
      <c r="AK210" s="947"/>
      <c r="AL210" s="947"/>
      <c r="AM210" s="947"/>
      <c r="AN210" s="947"/>
      <c r="AO210" s="947"/>
      <c r="AP210" s="947"/>
      <c r="AQ210" s="947"/>
      <c r="AR210" s="938"/>
      <c r="AS210" s="937"/>
      <c r="AT210" s="948"/>
      <c r="AU210" s="947"/>
      <c r="AV210" s="981"/>
      <c r="AW210" s="950"/>
      <c r="AX210" s="950"/>
      <c r="AY210" s="951"/>
      <c r="AZ210" s="950"/>
      <c r="BA210" s="952"/>
      <c r="BB210" s="990"/>
      <c r="BC210" s="991"/>
      <c r="BD210" s="952"/>
      <c r="BE210" s="952"/>
      <c r="BF210" s="952"/>
      <c r="BG210" s="952"/>
      <c r="BH210" s="952"/>
      <c r="BI210" s="992"/>
      <c r="BJ210" s="952"/>
      <c r="BK210" s="992"/>
      <c r="BL210" s="952"/>
      <c r="BM210" s="952"/>
      <c r="BN210" s="952"/>
      <c r="BO210" s="952"/>
      <c r="BP210" s="965"/>
      <c r="BQ210" s="993"/>
      <c r="BR210" s="994"/>
      <c r="BS210" s="993"/>
      <c r="BT210" s="995"/>
      <c r="BU210" s="995"/>
      <c r="BV210" s="996"/>
      <c r="BW210" s="996"/>
      <c r="BX210" s="996"/>
      <c r="BY210" s="996"/>
      <c r="BZ210" s="996"/>
      <c r="CA210" s="996"/>
      <c r="CB210" s="965"/>
      <c r="CC210" s="965"/>
    </row>
    <row r="211">
      <c r="A211" s="84"/>
      <c r="B211" s="84"/>
      <c r="C211" s="348"/>
      <c r="D211" s="348"/>
      <c r="E211" s="84"/>
      <c r="F211" s="84"/>
      <c r="G211" s="84"/>
      <c r="H211" s="84"/>
      <c r="I211" s="84"/>
      <c r="J211" s="947"/>
      <c r="K211" s="947"/>
      <c r="L211" s="947"/>
      <c r="M211" s="947"/>
      <c r="N211" s="947"/>
      <c r="O211" s="947"/>
      <c r="P211" s="947"/>
      <c r="Q211" s="947"/>
      <c r="R211" s="937"/>
      <c r="S211" s="937"/>
      <c r="T211" s="947"/>
      <c r="U211" s="947"/>
      <c r="V211" s="938"/>
      <c r="W211" s="947"/>
      <c r="X211" s="939"/>
      <c r="Y211" s="947"/>
      <c r="Z211" s="947"/>
      <c r="AA211" s="938"/>
      <c r="AB211" s="947"/>
      <c r="AC211" s="947"/>
      <c r="AD211" s="947"/>
      <c r="AE211" s="947"/>
      <c r="AF211" s="947"/>
      <c r="AG211" s="947"/>
      <c r="AH211" s="948"/>
      <c r="AI211" s="947"/>
      <c r="AJ211" s="947"/>
      <c r="AK211" s="947"/>
      <c r="AL211" s="947"/>
      <c r="AM211" s="947"/>
      <c r="AN211" s="947"/>
      <c r="AO211" s="947"/>
      <c r="AP211" s="947"/>
      <c r="AQ211" s="947"/>
      <c r="AR211" s="938"/>
      <c r="AS211" s="937"/>
      <c r="AT211" s="948"/>
      <c r="AU211" s="947"/>
      <c r="AV211" s="981"/>
      <c r="AW211" s="950"/>
      <c r="AX211" s="950"/>
      <c r="AY211" s="951"/>
      <c r="AZ211" s="950"/>
      <c r="BA211" s="952"/>
      <c r="BB211" s="990"/>
      <c r="BC211" s="991"/>
      <c r="BD211" s="952"/>
      <c r="BE211" s="952"/>
      <c r="BF211" s="952"/>
      <c r="BG211" s="952"/>
      <c r="BH211" s="952"/>
      <c r="BI211" s="992"/>
      <c r="BJ211" s="952"/>
      <c r="BK211" s="992"/>
      <c r="BL211" s="952"/>
      <c r="BM211" s="952"/>
      <c r="BN211" s="952"/>
      <c r="BO211" s="952"/>
      <c r="BP211" s="965"/>
      <c r="BQ211" s="993"/>
      <c r="BR211" s="994"/>
      <c r="BS211" s="993"/>
      <c r="BT211" s="995"/>
      <c r="BU211" s="995"/>
      <c r="BV211" s="996"/>
      <c r="BW211" s="996"/>
      <c r="BX211" s="996"/>
      <c r="BY211" s="996"/>
      <c r="BZ211" s="996"/>
      <c r="CA211" s="996"/>
      <c r="CB211" s="965"/>
      <c r="CC211" s="965"/>
    </row>
    <row r="212">
      <c r="A212" s="84"/>
      <c r="B212" s="84"/>
      <c r="C212" s="348"/>
      <c r="D212" s="348"/>
      <c r="E212" s="84"/>
      <c r="F212" s="84"/>
      <c r="G212" s="84"/>
      <c r="H212" s="84"/>
      <c r="I212" s="84"/>
      <c r="J212" s="947"/>
      <c r="K212" s="947"/>
      <c r="L212" s="947"/>
      <c r="M212" s="947"/>
      <c r="N212" s="947"/>
      <c r="O212" s="947"/>
      <c r="P212" s="947"/>
      <c r="Q212" s="947"/>
      <c r="R212" s="937"/>
      <c r="S212" s="937"/>
      <c r="T212" s="947"/>
      <c r="U212" s="947"/>
      <c r="V212" s="938"/>
      <c r="W212" s="947"/>
      <c r="X212" s="939"/>
      <c r="Y212" s="947"/>
      <c r="Z212" s="947"/>
      <c r="AA212" s="938"/>
      <c r="AB212" s="947"/>
      <c r="AC212" s="947"/>
      <c r="AD212" s="947"/>
      <c r="AE212" s="947"/>
      <c r="AF212" s="947"/>
      <c r="AG212" s="947"/>
      <c r="AH212" s="948"/>
      <c r="AI212" s="947"/>
      <c r="AJ212" s="947"/>
      <c r="AK212" s="947"/>
      <c r="AL212" s="947"/>
      <c r="AM212" s="947"/>
      <c r="AN212" s="947"/>
      <c r="AO212" s="947"/>
      <c r="AP212" s="947"/>
      <c r="AQ212" s="947"/>
      <c r="AR212" s="938"/>
      <c r="AS212" s="937"/>
      <c r="AT212" s="948"/>
      <c r="AU212" s="947"/>
      <c r="AV212" s="981"/>
      <c r="AW212" s="950"/>
      <c r="AX212" s="950"/>
      <c r="AY212" s="951"/>
      <c r="AZ212" s="950"/>
      <c r="BA212" s="952"/>
      <c r="BB212" s="990"/>
      <c r="BC212" s="991"/>
      <c r="BD212" s="952"/>
      <c r="BE212" s="952"/>
      <c r="BF212" s="952"/>
      <c r="BG212" s="952"/>
      <c r="BH212" s="952"/>
      <c r="BI212" s="992"/>
      <c r="BJ212" s="952"/>
      <c r="BK212" s="992"/>
      <c r="BL212" s="952"/>
      <c r="BM212" s="952"/>
      <c r="BN212" s="952"/>
      <c r="BO212" s="952"/>
      <c r="BP212" s="965"/>
      <c r="BQ212" s="993"/>
      <c r="BR212" s="994"/>
      <c r="BS212" s="993"/>
      <c r="BT212" s="995"/>
      <c r="BU212" s="995"/>
      <c r="BV212" s="996"/>
      <c r="BW212" s="996"/>
      <c r="BX212" s="996"/>
      <c r="BY212" s="996"/>
      <c r="BZ212" s="996"/>
      <c r="CA212" s="996"/>
      <c r="CB212" s="965"/>
      <c r="CC212" s="965"/>
    </row>
    <row r="213">
      <c r="A213" s="84"/>
      <c r="B213" s="84"/>
      <c r="C213" s="348"/>
      <c r="D213" s="348"/>
      <c r="E213" s="84"/>
      <c r="F213" s="84"/>
      <c r="G213" s="84"/>
      <c r="H213" s="84"/>
      <c r="I213" s="84"/>
      <c r="J213" s="947"/>
      <c r="K213" s="947"/>
      <c r="L213" s="947"/>
      <c r="M213" s="947"/>
      <c r="N213" s="947"/>
      <c r="O213" s="947"/>
      <c r="P213" s="947"/>
      <c r="Q213" s="947"/>
      <c r="R213" s="937"/>
      <c r="S213" s="937"/>
      <c r="T213" s="947"/>
      <c r="U213" s="947"/>
      <c r="V213" s="938"/>
      <c r="W213" s="947"/>
      <c r="X213" s="939"/>
      <c r="Y213" s="947"/>
      <c r="Z213" s="947"/>
      <c r="AA213" s="938"/>
      <c r="AB213" s="947"/>
      <c r="AC213" s="947"/>
      <c r="AD213" s="947"/>
      <c r="AE213" s="947"/>
      <c r="AF213" s="947"/>
      <c r="AG213" s="947"/>
      <c r="AH213" s="948"/>
      <c r="AI213" s="947"/>
      <c r="AJ213" s="947"/>
      <c r="AK213" s="947"/>
      <c r="AL213" s="947"/>
      <c r="AM213" s="947"/>
      <c r="AN213" s="947"/>
      <c r="AO213" s="947"/>
      <c r="AP213" s="947"/>
      <c r="AQ213" s="947"/>
      <c r="AR213" s="938"/>
      <c r="AS213" s="937"/>
      <c r="AT213" s="948"/>
      <c r="AU213" s="947"/>
      <c r="AV213" s="981"/>
      <c r="AW213" s="950"/>
      <c r="AX213" s="950"/>
      <c r="AY213" s="951"/>
      <c r="AZ213" s="950"/>
      <c r="BA213" s="952"/>
      <c r="BB213" s="990"/>
      <c r="BC213" s="991"/>
      <c r="BD213" s="952"/>
      <c r="BE213" s="952"/>
      <c r="BF213" s="952"/>
      <c r="BG213" s="952"/>
      <c r="BH213" s="952"/>
      <c r="BI213" s="992"/>
      <c r="BJ213" s="952"/>
      <c r="BK213" s="992"/>
      <c r="BL213" s="952"/>
      <c r="BM213" s="952"/>
      <c r="BN213" s="952"/>
      <c r="BO213" s="952"/>
      <c r="BP213" s="965"/>
      <c r="BQ213" s="993"/>
      <c r="BR213" s="994"/>
      <c r="BS213" s="993"/>
      <c r="BT213" s="995"/>
      <c r="BU213" s="995"/>
      <c r="BV213" s="996"/>
      <c r="BW213" s="996"/>
      <c r="BX213" s="996"/>
      <c r="BY213" s="996"/>
      <c r="BZ213" s="996"/>
      <c r="CA213" s="996"/>
      <c r="CB213" s="965"/>
      <c r="CC213" s="965"/>
    </row>
    <row r="214">
      <c r="A214" s="84"/>
      <c r="B214" s="84"/>
      <c r="C214" s="348"/>
      <c r="D214" s="348"/>
      <c r="E214" s="84"/>
      <c r="F214" s="84"/>
      <c r="G214" s="84"/>
      <c r="H214" s="84"/>
      <c r="I214" s="84"/>
      <c r="J214" s="947"/>
      <c r="K214" s="947"/>
      <c r="L214" s="947"/>
      <c r="M214" s="947"/>
      <c r="N214" s="947"/>
      <c r="O214" s="947"/>
      <c r="P214" s="947"/>
      <c r="Q214" s="947"/>
      <c r="R214" s="937"/>
      <c r="S214" s="937"/>
      <c r="T214" s="947"/>
      <c r="U214" s="947"/>
      <c r="V214" s="938"/>
      <c r="W214" s="947"/>
      <c r="X214" s="939"/>
      <c r="Y214" s="947"/>
      <c r="Z214" s="947"/>
      <c r="AA214" s="938"/>
      <c r="AB214" s="947"/>
      <c r="AC214" s="947"/>
      <c r="AD214" s="947"/>
      <c r="AE214" s="947"/>
      <c r="AF214" s="947"/>
      <c r="AG214" s="947"/>
      <c r="AH214" s="948"/>
      <c r="AI214" s="947"/>
      <c r="AJ214" s="947"/>
      <c r="AK214" s="947"/>
      <c r="AL214" s="947"/>
      <c r="AM214" s="947"/>
      <c r="AN214" s="947"/>
      <c r="AO214" s="947"/>
      <c r="AP214" s="947"/>
      <c r="AQ214" s="947"/>
      <c r="AR214" s="938"/>
      <c r="AS214" s="937"/>
      <c r="AT214" s="948"/>
      <c r="AU214" s="947"/>
      <c r="AV214" s="981"/>
      <c r="AW214" s="950"/>
      <c r="AX214" s="950"/>
      <c r="AY214" s="951"/>
      <c r="AZ214" s="950"/>
      <c r="BA214" s="952"/>
      <c r="BB214" s="990"/>
      <c r="BC214" s="991"/>
      <c r="BD214" s="952"/>
      <c r="BE214" s="952"/>
      <c r="BF214" s="952"/>
      <c r="BG214" s="952"/>
      <c r="BH214" s="952"/>
      <c r="BI214" s="992"/>
      <c r="BJ214" s="952"/>
      <c r="BK214" s="992"/>
      <c r="BL214" s="952"/>
      <c r="BM214" s="952"/>
      <c r="BN214" s="952"/>
      <c r="BO214" s="952"/>
      <c r="BP214" s="965"/>
      <c r="BQ214" s="993"/>
      <c r="BR214" s="994"/>
      <c r="BS214" s="993"/>
      <c r="BT214" s="995"/>
      <c r="BU214" s="995"/>
      <c r="BV214" s="996"/>
      <c r="BW214" s="996"/>
      <c r="BX214" s="996"/>
      <c r="BY214" s="996"/>
      <c r="BZ214" s="996"/>
      <c r="CA214" s="996"/>
      <c r="CB214" s="965"/>
      <c r="CC214" s="965"/>
    </row>
    <row r="215">
      <c r="A215" s="84"/>
      <c r="B215" s="84"/>
      <c r="C215" s="348"/>
      <c r="D215" s="348"/>
      <c r="E215" s="84"/>
      <c r="F215" s="84"/>
      <c r="G215" s="84"/>
      <c r="H215" s="84"/>
      <c r="I215" s="84"/>
      <c r="J215" s="947"/>
      <c r="K215" s="947"/>
      <c r="L215" s="947"/>
      <c r="M215" s="947"/>
      <c r="N215" s="947"/>
      <c r="O215" s="947"/>
      <c r="P215" s="947"/>
      <c r="Q215" s="947"/>
      <c r="R215" s="937"/>
      <c r="S215" s="937"/>
      <c r="T215" s="947"/>
      <c r="U215" s="947"/>
      <c r="V215" s="938"/>
      <c r="W215" s="947"/>
      <c r="X215" s="939"/>
      <c r="Y215" s="947"/>
      <c r="Z215" s="947"/>
      <c r="AA215" s="938"/>
      <c r="AB215" s="947"/>
      <c r="AC215" s="947"/>
      <c r="AD215" s="947"/>
      <c r="AE215" s="947"/>
      <c r="AF215" s="947"/>
      <c r="AG215" s="947"/>
      <c r="AH215" s="948"/>
      <c r="AI215" s="947"/>
      <c r="AJ215" s="947"/>
      <c r="AK215" s="947"/>
      <c r="AL215" s="947"/>
      <c r="AM215" s="947"/>
      <c r="AN215" s="947"/>
      <c r="AO215" s="947"/>
      <c r="AP215" s="947"/>
      <c r="AQ215" s="947"/>
      <c r="AR215" s="938"/>
      <c r="AS215" s="937"/>
      <c r="AT215" s="948"/>
      <c r="AU215" s="947"/>
      <c r="AV215" s="981"/>
      <c r="AW215" s="950"/>
      <c r="AX215" s="950"/>
      <c r="AY215" s="951"/>
      <c r="AZ215" s="950"/>
      <c r="BA215" s="952"/>
      <c r="BB215" s="990"/>
      <c r="BC215" s="991"/>
      <c r="BD215" s="952"/>
      <c r="BE215" s="952"/>
      <c r="BF215" s="952"/>
      <c r="BG215" s="952"/>
      <c r="BH215" s="952"/>
      <c r="BI215" s="992"/>
      <c r="BJ215" s="952"/>
      <c r="BK215" s="992"/>
      <c r="BL215" s="952"/>
      <c r="BM215" s="952"/>
      <c r="BN215" s="952"/>
      <c r="BO215" s="952"/>
      <c r="BP215" s="965"/>
      <c r="BQ215" s="993"/>
      <c r="BR215" s="994"/>
      <c r="BS215" s="993"/>
      <c r="BT215" s="995"/>
      <c r="BU215" s="995"/>
      <c r="BV215" s="996"/>
      <c r="BW215" s="996"/>
      <c r="BX215" s="996"/>
      <c r="BY215" s="996"/>
      <c r="BZ215" s="996"/>
      <c r="CA215" s="996"/>
      <c r="CB215" s="965"/>
      <c r="CC215" s="965"/>
    </row>
    <row r="216">
      <c r="A216" s="84"/>
      <c r="B216" s="84"/>
      <c r="C216" s="348"/>
      <c r="D216" s="348"/>
      <c r="E216" s="84"/>
      <c r="F216" s="84"/>
      <c r="G216" s="84"/>
      <c r="H216" s="84"/>
      <c r="I216" s="84"/>
      <c r="J216" s="947"/>
      <c r="K216" s="947"/>
      <c r="L216" s="947"/>
      <c r="M216" s="947"/>
      <c r="N216" s="947"/>
      <c r="O216" s="947"/>
      <c r="P216" s="947"/>
      <c r="Q216" s="947"/>
      <c r="R216" s="937"/>
      <c r="S216" s="937"/>
      <c r="T216" s="947"/>
      <c r="U216" s="947"/>
      <c r="V216" s="938"/>
      <c r="W216" s="947"/>
      <c r="X216" s="939"/>
      <c r="Y216" s="947"/>
      <c r="Z216" s="947"/>
      <c r="AA216" s="938"/>
      <c r="AB216" s="947"/>
      <c r="AC216" s="947"/>
      <c r="AD216" s="947"/>
      <c r="AE216" s="947"/>
      <c r="AF216" s="947"/>
      <c r="AG216" s="947"/>
      <c r="AH216" s="948"/>
      <c r="AI216" s="947"/>
      <c r="AJ216" s="947"/>
      <c r="AK216" s="947"/>
      <c r="AL216" s="947"/>
      <c r="AM216" s="947"/>
      <c r="AN216" s="947"/>
      <c r="AO216" s="947"/>
      <c r="AP216" s="947"/>
      <c r="AQ216" s="947"/>
      <c r="AR216" s="938"/>
      <c r="AS216" s="937"/>
      <c r="AT216" s="948"/>
      <c r="AU216" s="947"/>
      <c r="AV216" s="981"/>
      <c r="AW216" s="950"/>
      <c r="AX216" s="950"/>
      <c r="AY216" s="951"/>
      <c r="AZ216" s="950"/>
      <c r="BA216" s="952"/>
      <c r="BB216" s="990"/>
      <c r="BC216" s="991"/>
      <c r="BD216" s="952"/>
      <c r="BE216" s="952"/>
      <c r="BF216" s="952"/>
      <c r="BG216" s="952"/>
      <c r="BH216" s="952"/>
      <c r="BI216" s="992"/>
      <c r="BJ216" s="952"/>
      <c r="BK216" s="992"/>
      <c r="BL216" s="952"/>
      <c r="BM216" s="952"/>
      <c r="BN216" s="952"/>
      <c r="BO216" s="952"/>
      <c r="BP216" s="965"/>
      <c r="BQ216" s="993"/>
      <c r="BR216" s="994"/>
      <c r="BS216" s="993"/>
      <c r="BT216" s="995"/>
      <c r="BU216" s="995"/>
      <c r="BV216" s="996"/>
      <c r="BW216" s="996"/>
      <c r="BX216" s="996"/>
      <c r="BY216" s="996"/>
      <c r="BZ216" s="996"/>
      <c r="CA216" s="996"/>
      <c r="CB216" s="965"/>
      <c r="CC216" s="965"/>
    </row>
    <row r="217">
      <c r="A217" s="84"/>
      <c r="B217" s="84"/>
      <c r="C217" s="348"/>
      <c r="D217" s="348"/>
      <c r="E217" s="84"/>
      <c r="F217" s="84"/>
      <c r="G217" s="84"/>
      <c r="H217" s="84"/>
      <c r="I217" s="84"/>
      <c r="J217" s="947"/>
      <c r="K217" s="947"/>
      <c r="L217" s="947"/>
      <c r="M217" s="947"/>
      <c r="N217" s="947"/>
      <c r="O217" s="947"/>
      <c r="P217" s="947"/>
      <c r="Q217" s="947"/>
      <c r="R217" s="937"/>
      <c r="S217" s="937"/>
      <c r="T217" s="947"/>
      <c r="U217" s="947"/>
      <c r="V217" s="938"/>
      <c r="W217" s="947"/>
      <c r="X217" s="939"/>
      <c r="Y217" s="947"/>
      <c r="Z217" s="947"/>
      <c r="AA217" s="938"/>
      <c r="AB217" s="947"/>
      <c r="AC217" s="947"/>
      <c r="AD217" s="947"/>
      <c r="AE217" s="947"/>
      <c r="AF217" s="947"/>
      <c r="AG217" s="947"/>
      <c r="AH217" s="948"/>
      <c r="AI217" s="947"/>
      <c r="AJ217" s="947"/>
      <c r="AK217" s="947"/>
      <c r="AL217" s="947"/>
      <c r="AM217" s="947"/>
      <c r="AN217" s="947"/>
      <c r="AO217" s="947"/>
      <c r="AP217" s="947"/>
      <c r="AQ217" s="947"/>
      <c r="AR217" s="938"/>
      <c r="AS217" s="937"/>
      <c r="AT217" s="948"/>
      <c r="AU217" s="947"/>
      <c r="AV217" s="981"/>
      <c r="AW217" s="950"/>
      <c r="AX217" s="950"/>
      <c r="AY217" s="951"/>
      <c r="AZ217" s="950"/>
      <c r="BA217" s="952"/>
      <c r="BB217" s="990"/>
      <c r="BC217" s="991"/>
      <c r="BD217" s="952"/>
      <c r="BE217" s="952"/>
      <c r="BF217" s="952"/>
      <c r="BG217" s="952"/>
      <c r="BH217" s="952"/>
      <c r="BI217" s="992"/>
      <c r="BJ217" s="952"/>
      <c r="BK217" s="992"/>
      <c r="BL217" s="952"/>
      <c r="BM217" s="952"/>
      <c r="BN217" s="952"/>
      <c r="BO217" s="952"/>
      <c r="BP217" s="965"/>
      <c r="BQ217" s="993"/>
      <c r="BR217" s="994"/>
      <c r="BS217" s="993"/>
      <c r="BT217" s="995"/>
      <c r="BU217" s="995"/>
      <c r="BV217" s="996"/>
      <c r="BW217" s="996"/>
      <c r="BX217" s="996"/>
      <c r="BY217" s="996"/>
      <c r="BZ217" s="996"/>
      <c r="CA217" s="996"/>
      <c r="CB217" s="965"/>
      <c r="CC217" s="965"/>
    </row>
    <row r="218">
      <c r="A218" s="84"/>
      <c r="B218" s="84"/>
      <c r="C218" s="348"/>
      <c r="D218" s="348"/>
      <c r="E218" s="84"/>
      <c r="F218" s="84"/>
      <c r="G218" s="84"/>
      <c r="H218" s="84"/>
      <c r="I218" s="84"/>
      <c r="J218" s="947"/>
      <c r="K218" s="947"/>
      <c r="L218" s="947"/>
      <c r="M218" s="947"/>
      <c r="N218" s="947"/>
      <c r="O218" s="947"/>
      <c r="P218" s="947"/>
      <c r="Q218" s="947"/>
      <c r="R218" s="937"/>
      <c r="S218" s="937"/>
      <c r="T218" s="947"/>
      <c r="U218" s="947"/>
      <c r="V218" s="938"/>
      <c r="W218" s="947"/>
      <c r="X218" s="939"/>
      <c r="Y218" s="947"/>
      <c r="Z218" s="947"/>
      <c r="AA218" s="938"/>
      <c r="AB218" s="947"/>
      <c r="AC218" s="947"/>
      <c r="AD218" s="947"/>
      <c r="AE218" s="947"/>
      <c r="AF218" s="947"/>
      <c r="AG218" s="947"/>
      <c r="AH218" s="948"/>
      <c r="AI218" s="947"/>
      <c r="AJ218" s="947"/>
      <c r="AK218" s="947"/>
      <c r="AL218" s="947"/>
      <c r="AM218" s="947"/>
      <c r="AN218" s="947"/>
      <c r="AO218" s="947"/>
      <c r="AP218" s="947"/>
      <c r="AQ218" s="947"/>
      <c r="AR218" s="938"/>
      <c r="AS218" s="937"/>
      <c r="AT218" s="948"/>
      <c r="AU218" s="947"/>
      <c r="AV218" s="981"/>
      <c r="AW218" s="950"/>
      <c r="AX218" s="950"/>
      <c r="AY218" s="951"/>
      <c r="AZ218" s="950"/>
      <c r="BA218" s="952"/>
      <c r="BB218" s="990"/>
      <c r="BC218" s="991"/>
      <c r="BD218" s="952"/>
      <c r="BE218" s="952"/>
      <c r="BF218" s="952"/>
      <c r="BG218" s="952"/>
      <c r="BH218" s="952"/>
      <c r="BI218" s="992"/>
      <c r="BJ218" s="952"/>
      <c r="BK218" s="992"/>
      <c r="BL218" s="952"/>
      <c r="BM218" s="952"/>
      <c r="BN218" s="952"/>
      <c r="BO218" s="952"/>
      <c r="BP218" s="965"/>
      <c r="BQ218" s="993"/>
      <c r="BR218" s="994"/>
      <c r="BS218" s="993"/>
      <c r="BT218" s="995"/>
      <c r="BU218" s="995"/>
      <c r="BV218" s="996"/>
      <c r="BW218" s="996"/>
      <c r="BX218" s="996"/>
      <c r="BY218" s="996"/>
      <c r="BZ218" s="996"/>
      <c r="CA218" s="996"/>
      <c r="CB218" s="965"/>
      <c r="CC218" s="965"/>
    </row>
    <row r="219">
      <c r="A219" s="84"/>
      <c r="B219" s="84"/>
      <c r="C219" s="348"/>
      <c r="D219" s="348"/>
      <c r="E219" s="84"/>
      <c r="F219" s="84"/>
      <c r="G219" s="84"/>
      <c r="H219" s="84"/>
      <c r="I219" s="84"/>
      <c r="J219" s="947"/>
      <c r="K219" s="947"/>
      <c r="L219" s="947"/>
      <c r="M219" s="947"/>
      <c r="N219" s="947"/>
      <c r="O219" s="947"/>
      <c r="P219" s="947"/>
      <c r="Q219" s="947"/>
      <c r="R219" s="937"/>
      <c r="S219" s="937"/>
      <c r="T219" s="947"/>
      <c r="U219" s="947"/>
      <c r="V219" s="938"/>
      <c r="W219" s="947"/>
      <c r="X219" s="939"/>
      <c r="Y219" s="947"/>
      <c r="Z219" s="947"/>
      <c r="AA219" s="938"/>
      <c r="AB219" s="947"/>
      <c r="AC219" s="947"/>
      <c r="AD219" s="947"/>
      <c r="AE219" s="947"/>
      <c r="AF219" s="947"/>
      <c r="AG219" s="947"/>
      <c r="AH219" s="948"/>
      <c r="AI219" s="947"/>
      <c r="AJ219" s="947"/>
      <c r="AK219" s="947"/>
      <c r="AL219" s="947"/>
      <c r="AM219" s="947"/>
      <c r="AN219" s="947"/>
      <c r="AO219" s="947"/>
      <c r="AP219" s="947"/>
      <c r="AQ219" s="947"/>
      <c r="AR219" s="938"/>
      <c r="AS219" s="937"/>
      <c r="AT219" s="948"/>
      <c r="AU219" s="947"/>
      <c r="AV219" s="981"/>
      <c r="AW219" s="950"/>
      <c r="AX219" s="950"/>
      <c r="AY219" s="951"/>
      <c r="AZ219" s="950"/>
      <c r="BA219" s="952"/>
      <c r="BB219" s="990"/>
      <c r="BC219" s="991"/>
      <c r="BD219" s="952"/>
      <c r="BE219" s="952"/>
      <c r="BF219" s="952"/>
      <c r="BG219" s="952"/>
      <c r="BH219" s="952"/>
      <c r="BI219" s="992"/>
      <c r="BJ219" s="952"/>
      <c r="BK219" s="992"/>
      <c r="BL219" s="952"/>
      <c r="BM219" s="952"/>
      <c r="BN219" s="952"/>
      <c r="BO219" s="952"/>
      <c r="BP219" s="965"/>
      <c r="BQ219" s="993"/>
      <c r="BR219" s="994"/>
      <c r="BS219" s="993"/>
      <c r="BT219" s="995"/>
      <c r="BU219" s="995"/>
      <c r="BV219" s="996"/>
      <c r="BW219" s="996"/>
      <c r="BX219" s="996"/>
      <c r="BY219" s="996"/>
      <c r="BZ219" s="996"/>
      <c r="CA219" s="996"/>
      <c r="CB219" s="965"/>
      <c r="CC219" s="965"/>
    </row>
    <row r="220">
      <c r="A220" s="84"/>
      <c r="B220" s="84"/>
      <c r="C220" s="348"/>
      <c r="D220" s="348"/>
      <c r="E220" s="84"/>
      <c r="F220" s="84"/>
      <c r="G220" s="84"/>
      <c r="H220" s="84"/>
      <c r="I220" s="84"/>
      <c r="J220" s="947"/>
      <c r="K220" s="947"/>
      <c r="L220" s="947"/>
      <c r="M220" s="947"/>
      <c r="N220" s="947"/>
      <c r="O220" s="947"/>
      <c r="P220" s="947"/>
      <c r="Q220" s="947"/>
      <c r="R220" s="937"/>
      <c r="S220" s="937"/>
      <c r="T220" s="947"/>
      <c r="U220" s="947"/>
      <c r="V220" s="938"/>
      <c r="W220" s="947"/>
      <c r="X220" s="939"/>
      <c r="Y220" s="947"/>
      <c r="Z220" s="947"/>
      <c r="AA220" s="938"/>
      <c r="AB220" s="947"/>
      <c r="AC220" s="947"/>
      <c r="AD220" s="947"/>
      <c r="AE220" s="947"/>
      <c r="AF220" s="947"/>
      <c r="AG220" s="947"/>
      <c r="AH220" s="948"/>
      <c r="AI220" s="947"/>
      <c r="AJ220" s="947"/>
      <c r="AK220" s="947"/>
      <c r="AL220" s="947"/>
      <c r="AM220" s="947"/>
      <c r="AN220" s="947"/>
      <c r="AO220" s="947"/>
      <c r="AP220" s="947"/>
      <c r="AQ220" s="947"/>
      <c r="AR220" s="938"/>
      <c r="AS220" s="937"/>
      <c r="AT220" s="948"/>
      <c r="AU220" s="947"/>
      <c r="AV220" s="981"/>
      <c r="AW220" s="950"/>
      <c r="AX220" s="950"/>
      <c r="AY220" s="951"/>
      <c r="AZ220" s="950"/>
      <c r="BA220" s="952"/>
      <c r="BB220" s="990"/>
      <c r="BC220" s="991"/>
      <c r="BD220" s="952"/>
      <c r="BE220" s="952"/>
      <c r="BF220" s="952"/>
      <c r="BG220" s="952"/>
      <c r="BH220" s="952"/>
      <c r="BI220" s="992"/>
      <c r="BJ220" s="952"/>
      <c r="BK220" s="992"/>
      <c r="BL220" s="952"/>
      <c r="BM220" s="952"/>
      <c r="BN220" s="952"/>
      <c r="BO220" s="952"/>
      <c r="BP220" s="965"/>
      <c r="BQ220" s="993"/>
      <c r="BR220" s="994"/>
      <c r="BS220" s="993"/>
      <c r="BT220" s="995"/>
      <c r="BU220" s="995"/>
      <c r="BV220" s="996"/>
      <c r="BW220" s="996"/>
      <c r="BX220" s="996"/>
      <c r="BY220" s="996"/>
      <c r="BZ220" s="996"/>
      <c r="CA220" s="996"/>
      <c r="CB220" s="965"/>
      <c r="CC220" s="965"/>
    </row>
    <row r="221">
      <c r="A221" s="84"/>
      <c r="B221" s="84"/>
      <c r="C221" s="348"/>
      <c r="D221" s="348"/>
      <c r="E221" s="84"/>
      <c r="F221" s="84"/>
      <c r="G221" s="84"/>
      <c r="H221" s="84"/>
      <c r="I221" s="84"/>
      <c r="J221" s="947"/>
      <c r="K221" s="947"/>
      <c r="L221" s="947"/>
      <c r="M221" s="947"/>
      <c r="N221" s="947"/>
      <c r="O221" s="947"/>
      <c r="P221" s="947"/>
      <c r="Q221" s="947"/>
      <c r="R221" s="937"/>
      <c r="S221" s="937"/>
      <c r="T221" s="947"/>
      <c r="U221" s="947"/>
      <c r="V221" s="938"/>
      <c r="W221" s="947"/>
      <c r="X221" s="939"/>
      <c r="Y221" s="947"/>
      <c r="Z221" s="947"/>
      <c r="AA221" s="938"/>
      <c r="AB221" s="947"/>
      <c r="AC221" s="947"/>
      <c r="AD221" s="947"/>
      <c r="AE221" s="947"/>
      <c r="AF221" s="947"/>
      <c r="AG221" s="947"/>
      <c r="AH221" s="948"/>
      <c r="AI221" s="947"/>
      <c r="AJ221" s="947"/>
      <c r="AK221" s="947"/>
      <c r="AL221" s="947"/>
      <c r="AM221" s="947"/>
      <c r="AN221" s="947"/>
      <c r="AO221" s="947"/>
      <c r="AP221" s="947"/>
      <c r="AQ221" s="947"/>
      <c r="AR221" s="938"/>
      <c r="AS221" s="937"/>
      <c r="AT221" s="948"/>
      <c r="AU221" s="947"/>
      <c r="AV221" s="981"/>
      <c r="AW221" s="950"/>
      <c r="AX221" s="950"/>
      <c r="AY221" s="951"/>
      <c r="AZ221" s="950"/>
      <c r="BA221" s="952"/>
      <c r="BB221" s="990"/>
      <c r="BC221" s="991"/>
      <c r="BD221" s="952"/>
      <c r="BE221" s="952"/>
      <c r="BF221" s="952"/>
      <c r="BG221" s="952"/>
      <c r="BH221" s="952"/>
      <c r="BI221" s="992"/>
      <c r="BJ221" s="952"/>
      <c r="BK221" s="992"/>
      <c r="BL221" s="952"/>
      <c r="BM221" s="952"/>
      <c r="BN221" s="952"/>
      <c r="BO221" s="952"/>
      <c r="BP221" s="965"/>
      <c r="BQ221" s="993"/>
      <c r="BR221" s="994"/>
      <c r="BS221" s="993"/>
      <c r="BT221" s="995"/>
      <c r="BU221" s="995"/>
      <c r="BV221" s="996"/>
      <c r="BW221" s="996"/>
      <c r="BX221" s="996"/>
      <c r="BY221" s="996"/>
      <c r="BZ221" s="996"/>
      <c r="CA221" s="996"/>
      <c r="CB221" s="965"/>
      <c r="CC221" s="965"/>
    </row>
    <row r="222">
      <c r="A222" s="84"/>
      <c r="B222" s="84"/>
      <c r="C222" s="348"/>
      <c r="D222" s="348"/>
      <c r="E222" s="84"/>
      <c r="F222" s="84"/>
      <c r="G222" s="84"/>
      <c r="H222" s="84"/>
      <c r="I222" s="84"/>
      <c r="J222" s="947"/>
      <c r="K222" s="947"/>
      <c r="L222" s="947"/>
      <c r="M222" s="947"/>
      <c r="N222" s="947"/>
      <c r="O222" s="947"/>
      <c r="P222" s="947"/>
      <c r="Q222" s="947"/>
      <c r="R222" s="937"/>
      <c r="S222" s="937"/>
      <c r="T222" s="947"/>
      <c r="U222" s="947"/>
      <c r="V222" s="938"/>
      <c r="W222" s="947"/>
      <c r="X222" s="939"/>
      <c r="Y222" s="947"/>
      <c r="Z222" s="947"/>
      <c r="AA222" s="938"/>
      <c r="AB222" s="947"/>
      <c r="AC222" s="947"/>
      <c r="AD222" s="947"/>
      <c r="AE222" s="947"/>
      <c r="AF222" s="947"/>
      <c r="AG222" s="947"/>
      <c r="AH222" s="948"/>
      <c r="AI222" s="947"/>
      <c r="AJ222" s="947"/>
      <c r="AK222" s="947"/>
      <c r="AL222" s="947"/>
      <c r="AM222" s="947"/>
      <c r="AN222" s="947"/>
      <c r="AO222" s="947"/>
      <c r="AP222" s="947"/>
      <c r="AQ222" s="947"/>
      <c r="AR222" s="938"/>
      <c r="AS222" s="937"/>
      <c r="AT222" s="948"/>
      <c r="AU222" s="947"/>
      <c r="AV222" s="981"/>
      <c r="AW222" s="950"/>
      <c r="AX222" s="950"/>
      <c r="AY222" s="951"/>
      <c r="AZ222" s="950"/>
      <c r="BA222" s="952"/>
      <c r="BB222" s="990"/>
      <c r="BC222" s="991"/>
      <c r="BD222" s="952"/>
      <c r="BE222" s="952"/>
      <c r="BF222" s="952"/>
      <c r="BG222" s="952"/>
      <c r="BH222" s="952"/>
      <c r="BI222" s="992"/>
      <c r="BJ222" s="952"/>
      <c r="BK222" s="992"/>
      <c r="BL222" s="952"/>
      <c r="BM222" s="952"/>
      <c r="BN222" s="952"/>
      <c r="BO222" s="952"/>
      <c r="BP222" s="965"/>
      <c r="BQ222" s="993"/>
      <c r="BR222" s="994"/>
      <c r="BS222" s="993"/>
      <c r="BT222" s="995"/>
      <c r="BU222" s="995"/>
      <c r="BV222" s="996"/>
      <c r="BW222" s="996"/>
      <c r="BX222" s="996"/>
      <c r="BY222" s="996"/>
      <c r="BZ222" s="996"/>
      <c r="CA222" s="996"/>
      <c r="CB222" s="965"/>
      <c r="CC222" s="965"/>
    </row>
    <row r="223">
      <c r="A223" s="84"/>
      <c r="B223" s="84"/>
      <c r="C223" s="348"/>
      <c r="D223" s="348"/>
      <c r="E223" s="84"/>
      <c r="F223" s="84"/>
      <c r="G223" s="84"/>
      <c r="H223" s="84"/>
      <c r="I223" s="84"/>
      <c r="J223" s="947"/>
      <c r="K223" s="947"/>
      <c r="L223" s="947"/>
      <c r="M223" s="947"/>
      <c r="N223" s="947"/>
      <c r="O223" s="947"/>
      <c r="P223" s="947"/>
      <c r="Q223" s="947"/>
      <c r="R223" s="937"/>
      <c r="S223" s="937"/>
      <c r="T223" s="947"/>
      <c r="U223" s="947"/>
      <c r="V223" s="938"/>
      <c r="W223" s="947"/>
      <c r="X223" s="939"/>
      <c r="Y223" s="947"/>
      <c r="Z223" s="947"/>
      <c r="AA223" s="938"/>
      <c r="AB223" s="947"/>
      <c r="AC223" s="947"/>
      <c r="AD223" s="947"/>
      <c r="AE223" s="947"/>
      <c r="AF223" s="947"/>
      <c r="AG223" s="947"/>
      <c r="AH223" s="948"/>
      <c r="AI223" s="947"/>
      <c r="AJ223" s="947"/>
      <c r="AK223" s="947"/>
      <c r="AL223" s="947"/>
      <c r="AM223" s="947"/>
      <c r="AN223" s="947"/>
      <c r="AO223" s="947"/>
      <c r="AP223" s="947"/>
      <c r="AQ223" s="947"/>
      <c r="AR223" s="938"/>
      <c r="AS223" s="937"/>
      <c r="AT223" s="948"/>
      <c r="AU223" s="947"/>
      <c r="AV223" s="981"/>
      <c r="AW223" s="950"/>
      <c r="AX223" s="950"/>
      <c r="AY223" s="951"/>
      <c r="AZ223" s="950"/>
      <c r="BA223" s="952"/>
      <c r="BB223" s="990"/>
      <c r="BC223" s="991"/>
      <c r="BD223" s="952"/>
      <c r="BE223" s="952"/>
      <c r="BF223" s="952"/>
      <c r="BG223" s="952"/>
      <c r="BH223" s="952"/>
      <c r="BI223" s="992"/>
      <c r="BJ223" s="952"/>
      <c r="BK223" s="992"/>
      <c r="BL223" s="952"/>
      <c r="BM223" s="952"/>
      <c r="BN223" s="952"/>
      <c r="BO223" s="952"/>
      <c r="BP223" s="965"/>
      <c r="BQ223" s="993"/>
      <c r="BR223" s="994"/>
      <c r="BS223" s="993"/>
      <c r="BT223" s="995"/>
      <c r="BU223" s="995"/>
      <c r="BV223" s="996"/>
      <c r="BW223" s="996"/>
      <c r="BX223" s="996"/>
      <c r="BY223" s="996"/>
      <c r="BZ223" s="996"/>
      <c r="CA223" s="996"/>
      <c r="CB223" s="965"/>
      <c r="CC223" s="965"/>
    </row>
    <row r="224">
      <c r="A224" s="84"/>
      <c r="B224" s="84"/>
      <c r="C224" s="348"/>
      <c r="D224" s="348"/>
      <c r="E224" s="84"/>
      <c r="F224" s="84"/>
      <c r="G224" s="84"/>
      <c r="H224" s="84"/>
      <c r="I224" s="84"/>
      <c r="J224" s="947"/>
      <c r="K224" s="947"/>
      <c r="L224" s="947"/>
      <c r="M224" s="947"/>
      <c r="N224" s="947"/>
      <c r="O224" s="947"/>
      <c r="P224" s="947"/>
      <c r="Q224" s="947"/>
      <c r="R224" s="937"/>
      <c r="S224" s="937"/>
      <c r="T224" s="947"/>
      <c r="U224" s="947"/>
      <c r="V224" s="938"/>
      <c r="W224" s="947"/>
      <c r="X224" s="939"/>
      <c r="Y224" s="947"/>
      <c r="Z224" s="947"/>
      <c r="AA224" s="938"/>
      <c r="AB224" s="947"/>
      <c r="AC224" s="947"/>
      <c r="AD224" s="947"/>
      <c r="AE224" s="947"/>
      <c r="AF224" s="947"/>
      <c r="AG224" s="947"/>
      <c r="AH224" s="948"/>
      <c r="AI224" s="947"/>
      <c r="AJ224" s="947"/>
      <c r="AK224" s="947"/>
      <c r="AL224" s="947"/>
      <c r="AM224" s="947"/>
      <c r="AN224" s="947"/>
      <c r="AO224" s="947"/>
      <c r="AP224" s="947"/>
      <c r="AQ224" s="947"/>
      <c r="AR224" s="938"/>
      <c r="AS224" s="937"/>
      <c r="AT224" s="948"/>
      <c r="AU224" s="947"/>
      <c r="AV224" s="981"/>
      <c r="AW224" s="950"/>
      <c r="AX224" s="950"/>
      <c r="AY224" s="951"/>
      <c r="AZ224" s="950"/>
      <c r="BA224" s="952"/>
      <c r="BB224" s="990"/>
      <c r="BC224" s="991"/>
      <c r="BD224" s="952"/>
      <c r="BE224" s="952"/>
      <c r="BF224" s="952"/>
      <c r="BG224" s="952"/>
      <c r="BH224" s="952"/>
      <c r="BI224" s="992"/>
      <c r="BJ224" s="952"/>
      <c r="BK224" s="992"/>
      <c r="BL224" s="952"/>
      <c r="BM224" s="952"/>
      <c r="BN224" s="952"/>
      <c r="BO224" s="952"/>
      <c r="BP224" s="965"/>
      <c r="BQ224" s="993"/>
      <c r="BR224" s="994"/>
      <c r="BS224" s="993"/>
      <c r="BT224" s="995"/>
      <c r="BU224" s="995"/>
      <c r="BV224" s="996"/>
      <c r="BW224" s="996"/>
      <c r="BX224" s="996"/>
      <c r="BY224" s="996"/>
      <c r="BZ224" s="996"/>
      <c r="CA224" s="996"/>
      <c r="CB224" s="965"/>
      <c r="CC224" s="965"/>
    </row>
    <row r="225">
      <c r="A225" s="84"/>
      <c r="B225" s="84"/>
      <c r="C225" s="348"/>
      <c r="D225" s="348"/>
      <c r="E225" s="84"/>
      <c r="F225" s="84"/>
      <c r="G225" s="84"/>
      <c r="H225" s="84"/>
      <c r="I225" s="84"/>
      <c r="J225" s="947"/>
      <c r="K225" s="947"/>
      <c r="L225" s="947"/>
      <c r="M225" s="947"/>
      <c r="N225" s="947"/>
      <c r="O225" s="947"/>
      <c r="P225" s="947"/>
      <c r="Q225" s="947"/>
      <c r="R225" s="937"/>
      <c r="S225" s="937"/>
      <c r="T225" s="947"/>
      <c r="U225" s="947"/>
      <c r="V225" s="938"/>
      <c r="W225" s="947"/>
      <c r="X225" s="939"/>
      <c r="Y225" s="947"/>
      <c r="Z225" s="947"/>
      <c r="AA225" s="938"/>
      <c r="AB225" s="947"/>
      <c r="AC225" s="947"/>
      <c r="AD225" s="947"/>
      <c r="AE225" s="947"/>
      <c r="AF225" s="947"/>
      <c r="AG225" s="947"/>
      <c r="AH225" s="948"/>
      <c r="AI225" s="947"/>
      <c r="AJ225" s="947"/>
      <c r="AK225" s="947"/>
      <c r="AL225" s="947"/>
      <c r="AM225" s="947"/>
      <c r="AN225" s="947"/>
      <c r="AO225" s="947"/>
      <c r="AP225" s="947"/>
      <c r="AQ225" s="947"/>
      <c r="AR225" s="938"/>
      <c r="AS225" s="937"/>
      <c r="AT225" s="948"/>
      <c r="AU225" s="947"/>
      <c r="AV225" s="981"/>
      <c r="AW225" s="950"/>
      <c r="AX225" s="950"/>
      <c r="AY225" s="951"/>
      <c r="AZ225" s="950"/>
      <c r="BA225" s="952"/>
      <c r="BB225" s="990"/>
      <c r="BC225" s="991"/>
      <c r="BD225" s="952"/>
      <c r="BE225" s="952"/>
      <c r="BF225" s="952"/>
      <c r="BG225" s="952"/>
      <c r="BH225" s="952"/>
      <c r="BI225" s="992"/>
      <c r="BJ225" s="952"/>
      <c r="BK225" s="992"/>
      <c r="BL225" s="952"/>
      <c r="BM225" s="952"/>
      <c r="BN225" s="952"/>
      <c r="BO225" s="952"/>
      <c r="BP225" s="965"/>
      <c r="BQ225" s="993"/>
      <c r="BR225" s="994"/>
      <c r="BS225" s="993"/>
      <c r="BT225" s="995"/>
      <c r="BU225" s="995"/>
      <c r="BV225" s="996"/>
      <c r="BW225" s="996"/>
      <c r="BX225" s="996"/>
      <c r="BY225" s="996"/>
      <c r="BZ225" s="996"/>
      <c r="CA225" s="996"/>
      <c r="CB225" s="965"/>
      <c r="CC225" s="965"/>
    </row>
    <row r="226">
      <c r="A226" s="84"/>
      <c r="B226" s="84"/>
      <c r="C226" s="348"/>
      <c r="D226" s="348"/>
      <c r="E226" s="84"/>
      <c r="F226" s="84"/>
      <c r="G226" s="84"/>
      <c r="H226" s="84"/>
      <c r="I226" s="84"/>
      <c r="J226" s="947"/>
      <c r="K226" s="947"/>
      <c r="L226" s="947"/>
      <c r="M226" s="947"/>
      <c r="N226" s="947"/>
      <c r="O226" s="947"/>
      <c r="P226" s="947"/>
      <c r="Q226" s="947"/>
      <c r="R226" s="937"/>
      <c r="S226" s="937"/>
      <c r="T226" s="947"/>
      <c r="U226" s="947"/>
      <c r="V226" s="938"/>
      <c r="W226" s="947"/>
      <c r="X226" s="939"/>
      <c r="Y226" s="947"/>
      <c r="Z226" s="947"/>
      <c r="AA226" s="938"/>
      <c r="AB226" s="947"/>
      <c r="AC226" s="947"/>
      <c r="AD226" s="947"/>
      <c r="AE226" s="947"/>
      <c r="AF226" s="947"/>
      <c r="AG226" s="947"/>
      <c r="AH226" s="948"/>
      <c r="AI226" s="947"/>
      <c r="AJ226" s="947"/>
      <c r="AK226" s="947"/>
      <c r="AL226" s="947"/>
      <c r="AM226" s="947"/>
      <c r="AN226" s="947"/>
      <c r="AO226" s="947"/>
      <c r="AP226" s="947"/>
      <c r="AQ226" s="947"/>
      <c r="AR226" s="938"/>
      <c r="AS226" s="937"/>
      <c r="AT226" s="948"/>
      <c r="AU226" s="947"/>
      <c r="AV226" s="981"/>
      <c r="AW226" s="950"/>
      <c r="AX226" s="950"/>
      <c r="AY226" s="951"/>
      <c r="AZ226" s="950"/>
      <c r="BA226" s="952"/>
      <c r="BB226" s="990"/>
      <c r="BC226" s="991"/>
      <c r="BD226" s="952"/>
      <c r="BE226" s="952"/>
      <c r="BF226" s="952"/>
      <c r="BG226" s="952"/>
      <c r="BH226" s="952"/>
      <c r="BI226" s="992"/>
      <c r="BJ226" s="952"/>
      <c r="BK226" s="992"/>
      <c r="BL226" s="952"/>
      <c r="BM226" s="952"/>
      <c r="BN226" s="952"/>
      <c r="BO226" s="952"/>
      <c r="BP226" s="965"/>
      <c r="BQ226" s="993"/>
      <c r="BR226" s="994"/>
      <c r="BS226" s="993"/>
      <c r="BT226" s="995"/>
      <c r="BU226" s="995"/>
      <c r="BV226" s="996"/>
      <c r="BW226" s="996"/>
      <c r="BX226" s="996"/>
      <c r="BY226" s="996"/>
      <c r="BZ226" s="996"/>
      <c r="CA226" s="996"/>
      <c r="CB226" s="965"/>
      <c r="CC226" s="965"/>
    </row>
    <row r="227">
      <c r="A227" s="84"/>
      <c r="B227" s="84"/>
      <c r="C227" s="348"/>
      <c r="D227" s="348"/>
      <c r="E227" s="84"/>
      <c r="F227" s="84"/>
      <c r="G227" s="84"/>
      <c r="H227" s="84"/>
      <c r="I227" s="84"/>
      <c r="J227" s="947"/>
      <c r="K227" s="947"/>
      <c r="L227" s="947"/>
      <c r="M227" s="947"/>
      <c r="N227" s="947"/>
      <c r="O227" s="947"/>
      <c r="P227" s="947"/>
      <c r="Q227" s="947"/>
      <c r="R227" s="937"/>
      <c r="S227" s="937"/>
      <c r="T227" s="947"/>
      <c r="U227" s="947"/>
      <c r="V227" s="938"/>
      <c r="W227" s="947"/>
      <c r="X227" s="939"/>
      <c r="Y227" s="947"/>
      <c r="Z227" s="947"/>
      <c r="AA227" s="938"/>
      <c r="AB227" s="947"/>
      <c r="AC227" s="947"/>
      <c r="AD227" s="947"/>
      <c r="AE227" s="947"/>
      <c r="AF227" s="947"/>
      <c r="AG227" s="947"/>
      <c r="AH227" s="948"/>
      <c r="AI227" s="947"/>
      <c r="AJ227" s="947"/>
      <c r="AK227" s="947"/>
      <c r="AL227" s="947"/>
      <c r="AM227" s="947"/>
      <c r="AN227" s="947"/>
      <c r="AO227" s="947"/>
      <c r="AP227" s="947"/>
      <c r="AQ227" s="947"/>
      <c r="AR227" s="938"/>
      <c r="AS227" s="937"/>
      <c r="AT227" s="948"/>
      <c r="AU227" s="947"/>
      <c r="AV227" s="981"/>
      <c r="AW227" s="950"/>
      <c r="AX227" s="950"/>
      <c r="AY227" s="951"/>
      <c r="AZ227" s="950"/>
      <c r="BA227" s="952"/>
      <c r="BB227" s="990"/>
      <c r="BC227" s="991"/>
      <c r="BD227" s="952"/>
      <c r="BE227" s="952"/>
      <c r="BF227" s="952"/>
      <c r="BG227" s="952"/>
      <c r="BH227" s="952"/>
      <c r="BI227" s="992"/>
      <c r="BJ227" s="952"/>
      <c r="BK227" s="992"/>
      <c r="BL227" s="952"/>
      <c r="BM227" s="952"/>
      <c r="BN227" s="952"/>
      <c r="BO227" s="952"/>
      <c r="BP227" s="965"/>
      <c r="BQ227" s="993"/>
      <c r="BR227" s="994"/>
      <c r="BS227" s="993"/>
      <c r="BT227" s="995"/>
      <c r="BU227" s="995"/>
      <c r="BV227" s="996"/>
      <c r="BW227" s="996"/>
      <c r="BX227" s="996"/>
      <c r="BY227" s="996"/>
      <c r="BZ227" s="996"/>
      <c r="CA227" s="996"/>
      <c r="CB227" s="965"/>
      <c r="CC227" s="965"/>
    </row>
    <row r="228">
      <c r="A228" s="84"/>
      <c r="B228" s="84"/>
      <c r="C228" s="348"/>
      <c r="D228" s="348"/>
      <c r="E228" s="84"/>
      <c r="F228" s="84"/>
      <c r="G228" s="84"/>
      <c r="H228" s="84"/>
      <c r="I228" s="84"/>
      <c r="J228" s="947"/>
      <c r="K228" s="947"/>
      <c r="L228" s="947"/>
      <c r="M228" s="947"/>
      <c r="N228" s="947"/>
      <c r="O228" s="947"/>
      <c r="P228" s="947"/>
      <c r="Q228" s="947"/>
      <c r="R228" s="937"/>
      <c r="S228" s="937"/>
      <c r="T228" s="947"/>
      <c r="U228" s="947"/>
      <c r="V228" s="938"/>
      <c r="W228" s="947"/>
      <c r="X228" s="939"/>
      <c r="Y228" s="947"/>
      <c r="Z228" s="947"/>
      <c r="AA228" s="938"/>
      <c r="AB228" s="947"/>
      <c r="AC228" s="947"/>
      <c r="AD228" s="947"/>
      <c r="AE228" s="947"/>
      <c r="AF228" s="947"/>
      <c r="AG228" s="947"/>
      <c r="AH228" s="948"/>
      <c r="AI228" s="947"/>
      <c r="AJ228" s="947"/>
      <c r="AK228" s="947"/>
      <c r="AL228" s="947"/>
      <c r="AM228" s="947"/>
      <c r="AN228" s="947"/>
      <c r="AO228" s="947"/>
      <c r="AP228" s="947"/>
      <c r="AQ228" s="947"/>
      <c r="AR228" s="938"/>
      <c r="AS228" s="937"/>
      <c r="AT228" s="948"/>
      <c r="AU228" s="947"/>
      <c r="AV228" s="981"/>
      <c r="AW228" s="950"/>
      <c r="AX228" s="950"/>
      <c r="AY228" s="951"/>
      <c r="AZ228" s="950"/>
      <c r="BA228" s="952"/>
      <c r="BB228" s="990"/>
      <c r="BC228" s="991"/>
      <c r="BD228" s="952"/>
      <c r="BE228" s="952"/>
      <c r="BF228" s="952"/>
      <c r="BG228" s="952"/>
      <c r="BH228" s="952"/>
      <c r="BI228" s="992"/>
      <c r="BJ228" s="952"/>
      <c r="BK228" s="992"/>
      <c r="BL228" s="952"/>
      <c r="BM228" s="952"/>
      <c r="BN228" s="952"/>
      <c r="BO228" s="952"/>
      <c r="BP228" s="965"/>
      <c r="BQ228" s="993"/>
      <c r="BR228" s="994"/>
      <c r="BS228" s="993"/>
      <c r="BT228" s="995"/>
      <c r="BU228" s="995"/>
      <c r="BV228" s="996"/>
      <c r="BW228" s="996"/>
      <c r="BX228" s="996"/>
      <c r="BY228" s="996"/>
      <c r="BZ228" s="996"/>
      <c r="CA228" s="996"/>
      <c r="CB228" s="965"/>
      <c r="CC228" s="965"/>
    </row>
    <row r="229">
      <c r="A229" s="84"/>
      <c r="B229" s="84"/>
      <c r="C229" s="348"/>
      <c r="D229" s="348"/>
      <c r="E229" s="84"/>
      <c r="F229" s="84"/>
      <c r="G229" s="84"/>
      <c r="H229" s="84"/>
      <c r="I229" s="84"/>
      <c r="J229" s="947"/>
      <c r="K229" s="947"/>
      <c r="L229" s="947"/>
      <c r="M229" s="947"/>
      <c r="N229" s="947"/>
      <c r="O229" s="947"/>
      <c r="P229" s="947"/>
      <c r="Q229" s="947"/>
      <c r="R229" s="937"/>
      <c r="S229" s="937"/>
      <c r="T229" s="947"/>
      <c r="U229" s="947"/>
      <c r="V229" s="938"/>
      <c r="W229" s="947"/>
      <c r="X229" s="939"/>
      <c r="Y229" s="947"/>
      <c r="Z229" s="947"/>
      <c r="AA229" s="938"/>
      <c r="AB229" s="947"/>
      <c r="AC229" s="947"/>
      <c r="AD229" s="947"/>
      <c r="AE229" s="947"/>
      <c r="AF229" s="947"/>
      <c r="AG229" s="947"/>
      <c r="AH229" s="948"/>
      <c r="AI229" s="947"/>
      <c r="AJ229" s="947"/>
      <c r="AK229" s="947"/>
      <c r="AL229" s="947"/>
      <c r="AM229" s="947"/>
      <c r="AN229" s="947"/>
      <c r="AO229" s="947"/>
      <c r="AP229" s="947"/>
      <c r="AQ229" s="947"/>
      <c r="AR229" s="938"/>
      <c r="AS229" s="937"/>
      <c r="AT229" s="948"/>
      <c r="AU229" s="947"/>
      <c r="AV229" s="981"/>
      <c r="AW229" s="950"/>
      <c r="AX229" s="950"/>
      <c r="AY229" s="951"/>
      <c r="AZ229" s="950"/>
      <c r="BA229" s="952"/>
      <c r="BB229" s="990"/>
      <c r="BC229" s="991"/>
      <c r="BD229" s="952"/>
      <c r="BE229" s="952"/>
      <c r="BF229" s="952"/>
      <c r="BG229" s="952"/>
      <c r="BH229" s="952"/>
      <c r="BI229" s="992"/>
      <c r="BJ229" s="952"/>
      <c r="BK229" s="992"/>
      <c r="BL229" s="952"/>
      <c r="BM229" s="952"/>
      <c r="BN229" s="952"/>
      <c r="BO229" s="952"/>
      <c r="BP229" s="965"/>
      <c r="BQ229" s="993"/>
      <c r="BR229" s="994"/>
      <c r="BS229" s="993"/>
      <c r="BT229" s="995"/>
      <c r="BU229" s="995"/>
      <c r="BV229" s="996"/>
      <c r="BW229" s="996"/>
      <c r="BX229" s="996"/>
      <c r="BY229" s="996"/>
      <c r="BZ229" s="996"/>
      <c r="CA229" s="996"/>
      <c r="CB229" s="965"/>
      <c r="CC229" s="965"/>
    </row>
    <row r="230">
      <c r="A230" s="84"/>
      <c r="B230" s="84"/>
      <c r="C230" s="348"/>
      <c r="D230" s="348"/>
      <c r="E230" s="84"/>
      <c r="F230" s="84"/>
      <c r="G230" s="84"/>
      <c r="H230" s="84"/>
      <c r="I230" s="84"/>
      <c r="J230" s="947"/>
      <c r="K230" s="947"/>
      <c r="L230" s="947"/>
      <c r="M230" s="947"/>
      <c r="N230" s="947"/>
      <c r="O230" s="947"/>
      <c r="P230" s="947"/>
      <c r="Q230" s="947"/>
      <c r="R230" s="937"/>
      <c r="S230" s="937"/>
      <c r="T230" s="947"/>
      <c r="U230" s="947"/>
      <c r="V230" s="938"/>
      <c r="W230" s="947"/>
      <c r="X230" s="939"/>
      <c r="Y230" s="947"/>
      <c r="Z230" s="947"/>
      <c r="AA230" s="938"/>
      <c r="AB230" s="947"/>
      <c r="AC230" s="947"/>
      <c r="AD230" s="947"/>
      <c r="AE230" s="947"/>
      <c r="AF230" s="947"/>
      <c r="AG230" s="947"/>
      <c r="AH230" s="948"/>
      <c r="AI230" s="947"/>
      <c r="AJ230" s="947"/>
      <c r="AK230" s="947"/>
      <c r="AL230" s="947"/>
      <c r="AM230" s="947"/>
      <c r="AN230" s="947"/>
      <c r="AO230" s="947"/>
      <c r="AP230" s="947"/>
      <c r="AQ230" s="947"/>
      <c r="AR230" s="938"/>
      <c r="AS230" s="937"/>
      <c r="AT230" s="948"/>
      <c r="AU230" s="947"/>
      <c r="AV230" s="981"/>
      <c r="AW230" s="950"/>
      <c r="AX230" s="950"/>
      <c r="AY230" s="951"/>
      <c r="AZ230" s="950"/>
      <c r="BA230" s="952"/>
      <c r="BB230" s="990"/>
      <c r="BC230" s="991"/>
      <c r="BD230" s="952"/>
      <c r="BE230" s="952"/>
      <c r="BF230" s="952"/>
      <c r="BG230" s="952"/>
      <c r="BH230" s="952"/>
      <c r="BI230" s="992"/>
      <c r="BJ230" s="952"/>
      <c r="BK230" s="992"/>
      <c r="BL230" s="952"/>
      <c r="BM230" s="952"/>
      <c r="BN230" s="952"/>
      <c r="BO230" s="952"/>
      <c r="BP230" s="965"/>
      <c r="BQ230" s="993"/>
      <c r="BR230" s="994"/>
      <c r="BS230" s="993"/>
      <c r="BT230" s="995"/>
      <c r="BU230" s="995"/>
      <c r="BV230" s="996"/>
      <c r="BW230" s="996"/>
      <c r="BX230" s="996"/>
      <c r="BY230" s="996"/>
      <c r="BZ230" s="996"/>
      <c r="CA230" s="996"/>
      <c r="CB230" s="965"/>
      <c r="CC230" s="965"/>
    </row>
    <row r="231">
      <c r="A231" s="84"/>
      <c r="B231" s="84"/>
      <c r="C231" s="348"/>
      <c r="D231" s="348"/>
      <c r="E231" s="84"/>
      <c r="F231" s="84"/>
      <c r="G231" s="84"/>
      <c r="H231" s="84"/>
      <c r="I231" s="84"/>
      <c r="J231" s="947"/>
      <c r="K231" s="947"/>
      <c r="L231" s="947"/>
      <c r="M231" s="947"/>
      <c r="N231" s="947"/>
      <c r="O231" s="947"/>
      <c r="P231" s="947"/>
      <c r="Q231" s="947"/>
      <c r="R231" s="937"/>
      <c r="S231" s="937"/>
      <c r="T231" s="947"/>
      <c r="U231" s="947"/>
      <c r="V231" s="938"/>
      <c r="W231" s="947"/>
      <c r="X231" s="939"/>
      <c r="Y231" s="947"/>
      <c r="Z231" s="947"/>
      <c r="AA231" s="938"/>
      <c r="AB231" s="947"/>
      <c r="AC231" s="947"/>
      <c r="AD231" s="947"/>
      <c r="AE231" s="947"/>
      <c r="AF231" s="947"/>
      <c r="AG231" s="947"/>
      <c r="AH231" s="948"/>
      <c r="AI231" s="947"/>
      <c r="AJ231" s="947"/>
      <c r="AK231" s="947"/>
      <c r="AL231" s="947"/>
      <c r="AM231" s="947"/>
      <c r="AN231" s="947"/>
      <c r="AO231" s="947"/>
      <c r="AP231" s="947"/>
      <c r="AQ231" s="947"/>
      <c r="AR231" s="938"/>
      <c r="AS231" s="937"/>
      <c r="AT231" s="948"/>
      <c r="AU231" s="947"/>
      <c r="AV231" s="981"/>
      <c r="AW231" s="950"/>
      <c r="AX231" s="950"/>
      <c r="AY231" s="951"/>
      <c r="AZ231" s="950"/>
      <c r="BA231" s="952"/>
      <c r="BB231" s="990"/>
      <c r="BC231" s="991"/>
      <c r="BD231" s="952"/>
      <c r="BE231" s="952"/>
      <c r="BF231" s="952"/>
      <c r="BG231" s="952"/>
      <c r="BH231" s="952"/>
      <c r="BI231" s="992"/>
      <c r="BJ231" s="952"/>
      <c r="BK231" s="992"/>
      <c r="BL231" s="952"/>
      <c r="BM231" s="952"/>
      <c r="BN231" s="952"/>
      <c r="BO231" s="952"/>
      <c r="BP231" s="965"/>
      <c r="BQ231" s="993"/>
      <c r="BR231" s="994"/>
      <c r="BS231" s="993"/>
      <c r="BT231" s="995"/>
      <c r="BU231" s="995"/>
      <c r="BV231" s="996"/>
      <c r="BW231" s="996"/>
      <c r="BX231" s="996"/>
      <c r="BY231" s="996"/>
      <c r="BZ231" s="996"/>
      <c r="CA231" s="996"/>
      <c r="CB231" s="965"/>
      <c r="CC231" s="965"/>
    </row>
    <row r="232">
      <c r="A232" s="84"/>
      <c r="B232" s="84"/>
      <c r="C232" s="348"/>
      <c r="D232" s="348"/>
      <c r="E232" s="84"/>
      <c r="F232" s="84"/>
      <c r="G232" s="84"/>
      <c r="H232" s="84"/>
      <c r="I232" s="84"/>
      <c r="J232" s="947"/>
      <c r="K232" s="947"/>
      <c r="L232" s="947"/>
      <c r="M232" s="947"/>
      <c r="N232" s="947"/>
      <c r="O232" s="947"/>
      <c r="P232" s="947"/>
      <c r="Q232" s="947"/>
      <c r="R232" s="937"/>
      <c r="S232" s="937"/>
      <c r="T232" s="947"/>
      <c r="U232" s="947"/>
      <c r="V232" s="938"/>
      <c r="W232" s="947"/>
      <c r="X232" s="939"/>
      <c r="Y232" s="947"/>
      <c r="Z232" s="947"/>
      <c r="AA232" s="938"/>
      <c r="AB232" s="947"/>
      <c r="AC232" s="947"/>
      <c r="AD232" s="947"/>
      <c r="AE232" s="947"/>
      <c r="AF232" s="947"/>
      <c r="AG232" s="947"/>
      <c r="AH232" s="948"/>
      <c r="AI232" s="947"/>
      <c r="AJ232" s="947"/>
      <c r="AK232" s="947"/>
      <c r="AL232" s="947"/>
      <c r="AM232" s="947"/>
      <c r="AN232" s="947"/>
      <c r="AO232" s="947"/>
      <c r="AP232" s="947"/>
      <c r="AQ232" s="947"/>
      <c r="AR232" s="938"/>
      <c r="AS232" s="937"/>
      <c r="AT232" s="948"/>
      <c r="AU232" s="947"/>
      <c r="AV232" s="981"/>
      <c r="AW232" s="950"/>
      <c r="AX232" s="950"/>
      <c r="AY232" s="951"/>
      <c r="AZ232" s="950"/>
      <c r="BA232" s="952"/>
      <c r="BB232" s="990"/>
      <c r="BC232" s="991"/>
      <c r="BD232" s="952"/>
      <c r="BE232" s="952"/>
      <c r="BF232" s="952"/>
      <c r="BG232" s="952"/>
      <c r="BH232" s="952"/>
      <c r="BI232" s="992"/>
      <c r="BJ232" s="952"/>
      <c r="BK232" s="992"/>
      <c r="BL232" s="952"/>
      <c r="BM232" s="952"/>
      <c r="BN232" s="952"/>
      <c r="BO232" s="952"/>
      <c r="BP232" s="965"/>
      <c r="BQ232" s="993"/>
      <c r="BR232" s="994"/>
      <c r="BS232" s="993"/>
      <c r="BT232" s="995"/>
      <c r="BU232" s="995"/>
      <c r="BV232" s="996"/>
      <c r="BW232" s="996"/>
      <c r="BX232" s="996"/>
      <c r="BY232" s="996"/>
      <c r="BZ232" s="996"/>
      <c r="CA232" s="996"/>
      <c r="CB232" s="965"/>
      <c r="CC232" s="965"/>
    </row>
    <row r="233">
      <c r="A233" s="84"/>
      <c r="B233" s="84"/>
      <c r="C233" s="348"/>
      <c r="D233" s="348"/>
      <c r="E233" s="84"/>
      <c r="F233" s="84"/>
      <c r="G233" s="84"/>
      <c r="H233" s="84"/>
      <c r="I233" s="84"/>
      <c r="J233" s="947"/>
      <c r="K233" s="947"/>
      <c r="L233" s="947"/>
      <c r="M233" s="947"/>
      <c r="N233" s="947"/>
      <c r="O233" s="947"/>
      <c r="P233" s="947"/>
      <c r="Q233" s="947"/>
      <c r="R233" s="937"/>
      <c r="S233" s="937"/>
      <c r="T233" s="947"/>
      <c r="U233" s="947"/>
      <c r="V233" s="938"/>
      <c r="W233" s="947"/>
      <c r="X233" s="939"/>
      <c r="Y233" s="947"/>
      <c r="Z233" s="947"/>
      <c r="AA233" s="938"/>
      <c r="AB233" s="947"/>
      <c r="AC233" s="947"/>
      <c r="AD233" s="947"/>
      <c r="AE233" s="947"/>
      <c r="AF233" s="947"/>
      <c r="AG233" s="947"/>
      <c r="AH233" s="948"/>
      <c r="AI233" s="947"/>
      <c r="AJ233" s="947"/>
      <c r="AK233" s="947"/>
      <c r="AL233" s="947"/>
      <c r="AM233" s="947"/>
      <c r="AN233" s="947"/>
      <c r="AO233" s="947"/>
      <c r="AP233" s="947"/>
      <c r="AQ233" s="947"/>
      <c r="AR233" s="938"/>
      <c r="AS233" s="937"/>
      <c r="AT233" s="948"/>
      <c r="AU233" s="947"/>
      <c r="AV233" s="981"/>
      <c r="AW233" s="950"/>
      <c r="AX233" s="950"/>
      <c r="AY233" s="951"/>
      <c r="AZ233" s="950"/>
      <c r="BA233" s="952"/>
      <c r="BB233" s="990"/>
      <c r="BC233" s="991"/>
      <c r="BD233" s="952"/>
      <c r="BE233" s="952"/>
      <c r="BF233" s="952"/>
      <c r="BG233" s="952"/>
      <c r="BH233" s="952"/>
      <c r="BI233" s="992"/>
      <c r="BJ233" s="952"/>
      <c r="BK233" s="992"/>
      <c r="BL233" s="952"/>
      <c r="BM233" s="952"/>
      <c r="BN233" s="952"/>
      <c r="BO233" s="952"/>
      <c r="BP233" s="965"/>
      <c r="BQ233" s="993"/>
      <c r="BR233" s="994"/>
      <c r="BS233" s="993"/>
      <c r="BT233" s="995"/>
      <c r="BU233" s="995"/>
      <c r="BV233" s="996"/>
      <c r="BW233" s="996"/>
      <c r="BX233" s="996"/>
      <c r="BY233" s="996"/>
      <c r="BZ233" s="996"/>
      <c r="CA233" s="996"/>
      <c r="CB233" s="965"/>
      <c r="CC233" s="965"/>
    </row>
    <row r="234">
      <c r="A234" s="84"/>
      <c r="B234" s="84"/>
      <c r="C234" s="348"/>
      <c r="D234" s="348"/>
      <c r="E234" s="84"/>
      <c r="F234" s="84"/>
      <c r="G234" s="84"/>
      <c r="H234" s="84"/>
      <c r="I234" s="84"/>
      <c r="J234" s="947"/>
      <c r="K234" s="947"/>
      <c r="L234" s="947"/>
      <c r="M234" s="947"/>
      <c r="N234" s="947"/>
      <c r="O234" s="947"/>
      <c r="P234" s="947"/>
      <c r="Q234" s="947"/>
      <c r="R234" s="937"/>
      <c r="S234" s="937"/>
      <c r="T234" s="947"/>
      <c r="U234" s="947"/>
      <c r="V234" s="938"/>
      <c r="W234" s="947"/>
      <c r="X234" s="939"/>
      <c r="Y234" s="947"/>
      <c r="Z234" s="947"/>
      <c r="AA234" s="938"/>
      <c r="AB234" s="947"/>
      <c r="AC234" s="947"/>
      <c r="AD234" s="947"/>
      <c r="AE234" s="947"/>
      <c r="AF234" s="947"/>
      <c r="AG234" s="947"/>
      <c r="AH234" s="948"/>
      <c r="AI234" s="947"/>
      <c r="AJ234" s="947"/>
      <c r="AK234" s="947"/>
      <c r="AL234" s="947"/>
      <c r="AM234" s="947"/>
      <c r="AN234" s="947"/>
      <c r="AO234" s="947"/>
      <c r="AP234" s="947"/>
      <c r="AQ234" s="947"/>
      <c r="AR234" s="938"/>
      <c r="AS234" s="937"/>
      <c r="AT234" s="948"/>
      <c r="AU234" s="947"/>
      <c r="AV234" s="981"/>
      <c r="AW234" s="950"/>
      <c r="AX234" s="950"/>
      <c r="AY234" s="951"/>
      <c r="AZ234" s="950"/>
      <c r="BA234" s="952"/>
      <c r="BB234" s="990"/>
      <c r="BC234" s="991"/>
      <c r="BD234" s="952"/>
      <c r="BE234" s="952"/>
      <c r="BF234" s="952"/>
      <c r="BG234" s="952"/>
      <c r="BH234" s="952"/>
      <c r="BI234" s="992"/>
      <c r="BJ234" s="952"/>
      <c r="BK234" s="992"/>
      <c r="BL234" s="952"/>
      <c r="BM234" s="952"/>
      <c r="BN234" s="952"/>
      <c r="BO234" s="952"/>
      <c r="BP234" s="965"/>
      <c r="BQ234" s="993"/>
      <c r="BR234" s="994"/>
      <c r="BS234" s="993"/>
      <c r="BT234" s="995"/>
      <c r="BU234" s="995"/>
      <c r="BV234" s="996"/>
      <c r="BW234" s="996"/>
      <c r="BX234" s="996"/>
      <c r="BY234" s="996"/>
      <c r="BZ234" s="996"/>
      <c r="CA234" s="996"/>
      <c r="CB234" s="965"/>
      <c r="CC234" s="965"/>
    </row>
    <row r="235">
      <c r="A235" s="84"/>
      <c r="B235" s="84"/>
      <c r="C235" s="348"/>
      <c r="D235" s="348"/>
      <c r="E235" s="84"/>
      <c r="F235" s="84"/>
      <c r="G235" s="84"/>
      <c r="H235" s="84"/>
      <c r="I235" s="84"/>
      <c r="J235" s="947"/>
      <c r="K235" s="947"/>
      <c r="L235" s="947"/>
      <c r="M235" s="947"/>
      <c r="N235" s="947"/>
      <c r="O235" s="947"/>
      <c r="P235" s="947"/>
      <c r="Q235" s="947"/>
      <c r="R235" s="937"/>
      <c r="S235" s="937"/>
      <c r="T235" s="947"/>
      <c r="U235" s="947"/>
      <c r="V235" s="938"/>
      <c r="W235" s="947"/>
      <c r="X235" s="939"/>
      <c r="Y235" s="947"/>
      <c r="Z235" s="947"/>
      <c r="AA235" s="938"/>
      <c r="AB235" s="947"/>
      <c r="AC235" s="947"/>
      <c r="AD235" s="947"/>
      <c r="AE235" s="947"/>
      <c r="AF235" s="947"/>
      <c r="AG235" s="947"/>
      <c r="AH235" s="948"/>
      <c r="AI235" s="947"/>
      <c r="AJ235" s="947"/>
      <c r="AK235" s="947"/>
      <c r="AL235" s="947"/>
      <c r="AM235" s="947"/>
      <c r="AN235" s="947"/>
      <c r="AO235" s="947"/>
      <c r="AP235" s="947"/>
      <c r="AQ235" s="947"/>
      <c r="AR235" s="938"/>
      <c r="AS235" s="937"/>
      <c r="AT235" s="948"/>
      <c r="AU235" s="947"/>
      <c r="AV235" s="981"/>
      <c r="AW235" s="950"/>
      <c r="AX235" s="950"/>
      <c r="AY235" s="951"/>
      <c r="AZ235" s="950"/>
      <c r="BA235" s="952"/>
      <c r="BB235" s="990"/>
      <c r="BC235" s="991"/>
      <c r="BD235" s="952"/>
      <c r="BE235" s="952"/>
      <c r="BF235" s="952"/>
      <c r="BG235" s="952"/>
      <c r="BH235" s="952"/>
      <c r="BI235" s="992"/>
      <c r="BJ235" s="952"/>
      <c r="BK235" s="992"/>
      <c r="BL235" s="952"/>
      <c r="BM235" s="952"/>
      <c r="BN235" s="952"/>
      <c r="BO235" s="952"/>
      <c r="BP235" s="965"/>
      <c r="BQ235" s="993"/>
      <c r="BR235" s="994"/>
      <c r="BS235" s="993"/>
      <c r="BT235" s="995"/>
      <c r="BU235" s="995"/>
      <c r="BV235" s="996"/>
      <c r="BW235" s="996"/>
      <c r="BX235" s="996"/>
      <c r="BY235" s="996"/>
      <c r="BZ235" s="996"/>
      <c r="CA235" s="996"/>
      <c r="CB235" s="965"/>
      <c r="CC235" s="965"/>
    </row>
    <row r="236">
      <c r="A236" s="84"/>
      <c r="B236" s="84"/>
      <c r="C236" s="348"/>
      <c r="D236" s="348"/>
      <c r="E236" s="84"/>
      <c r="F236" s="84"/>
      <c r="G236" s="84"/>
      <c r="H236" s="84"/>
      <c r="I236" s="84"/>
      <c r="J236" s="947"/>
      <c r="K236" s="947"/>
      <c r="L236" s="947"/>
      <c r="M236" s="947"/>
      <c r="N236" s="947"/>
      <c r="O236" s="947"/>
      <c r="P236" s="947"/>
      <c r="Q236" s="947"/>
      <c r="R236" s="937"/>
      <c r="S236" s="937"/>
      <c r="T236" s="947"/>
      <c r="U236" s="947"/>
      <c r="V236" s="938"/>
      <c r="W236" s="947"/>
      <c r="X236" s="939"/>
      <c r="Y236" s="947"/>
      <c r="Z236" s="947"/>
      <c r="AA236" s="938"/>
      <c r="AB236" s="947"/>
      <c r="AC236" s="947"/>
      <c r="AD236" s="947"/>
      <c r="AE236" s="947"/>
      <c r="AF236" s="947"/>
      <c r="AG236" s="947"/>
      <c r="AH236" s="948"/>
      <c r="AI236" s="947"/>
      <c r="AJ236" s="947"/>
      <c r="AK236" s="947"/>
      <c r="AL236" s="947"/>
      <c r="AM236" s="947"/>
      <c r="AN236" s="947"/>
      <c r="AO236" s="947"/>
      <c r="AP236" s="947"/>
      <c r="AQ236" s="947"/>
      <c r="AR236" s="938"/>
      <c r="AS236" s="937"/>
      <c r="AT236" s="948"/>
      <c r="AU236" s="947"/>
      <c r="AV236" s="981"/>
      <c r="AW236" s="950"/>
      <c r="AX236" s="950"/>
      <c r="AY236" s="951"/>
      <c r="AZ236" s="950"/>
      <c r="BA236" s="952"/>
      <c r="BB236" s="990"/>
      <c r="BC236" s="991"/>
      <c r="BD236" s="952"/>
      <c r="BE236" s="952"/>
      <c r="BF236" s="952"/>
      <c r="BG236" s="952"/>
      <c r="BH236" s="952"/>
      <c r="BI236" s="992"/>
      <c r="BJ236" s="952"/>
      <c r="BK236" s="992"/>
      <c r="BL236" s="952"/>
      <c r="BM236" s="952"/>
      <c r="BN236" s="952"/>
      <c r="BO236" s="952"/>
      <c r="BP236" s="965"/>
      <c r="BQ236" s="993"/>
      <c r="BR236" s="994"/>
      <c r="BS236" s="993"/>
      <c r="BT236" s="995"/>
      <c r="BU236" s="995"/>
      <c r="BV236" s="996"/>
      <c r="BW236" s="996"/>
      <c r="BX236" s="996"/>
      <c r="BY236" s="996"/>
      <c r="BZ236" s="996"/>
      <c r="CA236" s="996"/>
      <c r="CB236" s="965"/>
      <c r="CC236" s="965"/>
    </row>
    <row r="237">
      <c r="A237" s="84"/>
      <c r="B237" s="84"/>
      <c r="C237" s="348"/>
      <c r="D237" s="348"/>
      <c r="E237" s="84"/>
      <c r="F237" s="84"/>
      <c r="G237" s="84"/>
      <c r="H237" s="84"/>
      <c r="I237" s="84"/>
      <c r="J237" s="947"/>
      <c r="K237" s="947"/>
      <c r="L237" s="947"/>
      <c r="M237" s="947"/>
      <c r="N237" s="947"/>
      <c r="O237" s="947"/>
      <c r="P237" s="947"/>
      <c r="Q237" s="947"/>
      <c r="R237" s="937"/>
      <c r="S237" s="937"/>
      <c r="T237" s="947"/>
      <c r="U237" s="947"/>
      <c r="V237" s="938"/>
      <c r="W237" s="947"/>
      <c r="X237" s="939"/>
      <c r="Y237" s="947"/>
      <c r="Z237" s="947"/>
      <c r="AA237" s="938"/>
      <c r="AB237" s="947"/>
      <c r="AC237" s="947"/>
      <c r="AD237" s="947"/>
      <c r="AE237" s="947"/>
      <c r="AF237" s="947"/>
      <c r="AG237" s="947"/>
      <c r="AH237" s="948"/>
      <c r="AI237" s="947"/>
      <c r="AJ237" s="947"/>
      <c r="AK237" s="947"/>
      <c r="AL237" s="947"/>
      <c r="AM237" s="947"/>
      <c r="AN237" s="947"/>
      <c r="AO237" s="947"/>
      <c r="AP237" s="947"/>
      <c r="AQ237" s="947"/>
      <c r="AR237" s="938"/>
      <c r="AS237" s="937"/>
      <c r="AT237" s="948"/>
      <c r="AU237" s="947"/>
      <c r="AV237" s="981"/>
      <c r="AW237" s="950"/>
      <c r="AX237" s="950"/>
      <c r="AY237" s="951"/>
      <c r="AZ237" s="950"/>
      <c r="BA237" s="952"/>
      <c r="BB237" s="990"/>
      <c r="BC237" s="991"/>
      <c r="BD237" s="952"/>
      <c r="BE237" s="952"/>
      <c r="BF237" s="952"/>
      <c r="BG237" s="952"/>
      <c r="BH237" s="952"/>
      <c r="BI237" s="992"/>
      <c r="BJ237" s="952"/>
      <c r="BK237" s="992"/>
      <c r="BL237" s="952"/>
      <c r="BM237" s="952"/>
      <c r="BN237" s="952"/>
      <c r="BO237" s="952"/>
      <c r="BP237" s="965"/>
      <c r="BQ237" s="993"/>
      <c r="BR237" s="994"/>
      <c r="BS237" s="993"/>
      <c r="BT237" s="995"/>
      <c r="BU237" s="995"/>
      <c r="BV237" s="996"/>
      <c r="BW237" s="996"/>
      <c r="BX237" s="996"/>
      <c r="BY237" s="996"/>
      <c r="BZ237" s="996"/>
      <c r="CA237" s="996"/>
      <c r="CB237" s="965"/>
      <c r="CC237" s="965"/>
    </row>
    <row r="238">
      <c r="A238" s="84"/>
      <c r="B238" s="84"/>
      <c r="C238" s="348"/>
      <c r="D238" s="348"/>
      <c r="E238" s="84"/>
      <c r="F238" s="84"/>
      <c r="G238" s="84"/>
      <c r="H238" s="84"/>
      <c r="I238" s="84"/>
      <c r="J238" s="947"/>
      <c r="K238" s="947"/>
      <c r="L238" s="947"/>
      <c r="M238" s="947"/>
      <c r="N238" s="947"/>
      <c r="O238" s="947"/>
      <c r="P238" s="947"/>
      <c r="Q238" s="947"/>
      <c r="R238" s="937"/>
      <c r="S238" s="937"/>
      <c r="T238" s="947"/>
      <c r="U238" s="947"/>
      <c r="V238" s="938"/>
      <c r="W238" s="947"/>
      <c r="X238" s="939"/>
      <c r="Y238" s="947"/>
      <c r="Z238" s="947"/>
      <c r="AA238" s="938"/>
      <c r="AB238" s="947"/>
      <c r="AC238" s="947"/>
      <c r="AD238" s="947"/>
      <c r="AE238" s="947"/>
      <c r="AF238" s="947"/>
      <c r="AG238" s="947"/>
      <c r="AH238" s="948"/>
      <c r="AI238" s="947"/>
      <c r="AJ238" s="947"/>
      <c r="AK238" s="947"/>
      <c r="AL238" s="947"/>
      <c r="AM238" s="947"/>
      <c r="AN238" s="947"/>
      <c r="AO238" s="947"/>
      <c r="AP238" s="947"/>
      <c r="AQ238" s="947"/>
      <c r="AR238" s="938"/>
      <c r="AS238" s="937"/>
      <c r="AT238" s="948"/>
      <c r="AU238" s="947"/>
      <c r="AV238" s="981"/>
      <c r="AW238" s="950"/>
      <c r="AX238" s="950"/>
      <c r="AY238" s="951"/>
      <c r="AZ238" s="950"/>
      <c r="BA238" s="952"/>
      <c r="BB238" s="990"/>
      <c r="BC238" s="991"/>
      <c r="BD238" s="952"/>
      <c r="BE238" s="952"/>
      <c r="BF238" s="952"/>
      <c r="BG238" s="952"/>
      <c r="BH238" s="952"/>
      <c r="BI238" s="992"/>
      <c r="BJ238" s="952"/>
      <c r="BK238" s="992"/>
      <c r="BL238" s="952"/>
      <c r="BM238" s="952"/>
      <c r="BN238" s="952"/>
      <c r="BO238" s="952"/>
      <c r="BP238" s="965"/>
      <c r="BQ238" s="993"/>
      <c r="BR238" s="994"/>
      <c r="BS238" s="993"/>
      <c r="BT238" s="995"/>
      <c r="BU238" s="995"/>
      <c r="BV238" s="996"/>
      <c r="BW238" s="996"/>
      <c r="BX238" s="996"/>
      <c r="BY238" s="996"/>
      <c r="BZ238" s="996"/>
      <c r="CA238" s="996"/>
      <c r="CB238" s="965"/>
      <c r="CC238" s="965"/>
    </row>
    <row r="239">
      <c r="A239" s="84"/>
      <c r="B239" s="84"/>
      <c r="C239" s="348"/>
      <c r="D239" s="348"/>
      <c r="E239" s="84"/>
      <c r="F239" s="84"/>
      <c r="G239" s="84"/>
      <c r="H239" s="84"/>
      <c r="I239" s="84"/>
      <c r="J239" s="947"/>
      <c r="K239" s="947"/>
      <c r="L239" s="947"/>
      <c r="M239" s="947"/>
      <c r="N239" s="947"/>
      <c r="O239" s="947"/>
      <c r="P239" s="947"/>
      <c r="Q239" s="947"/>
      <c r="R239" s="937"/>
      <c r="S239" s="937"/>
      <c r="T239" s="947"/>
      <c r="U239" s="947"/>
      <c r="V239" s="938"/>
      <c r="W239" s="947"/>
      <c r="X239" s="939"/>
      <c r="Y239" s="947"/>
      <c r="Z239" s="947"/>
      <c r="AA239" s="938"/>
      <c r="AB239" s="947"/>
      <c r="AC239" s="947"/>
      <c r="AD239" s="947"/>
      <c r="AE239" s="947"/>
      <c r="AF239" s="947"/>
      <c r="AG239" s="947"/>
      <c r="AH239" s="948"/>
      <c r="AI239" s="947"/>
      <c r="AJ239" s="947"/>
      <c r="AK239" s="947"/>
      <c r="AL239" s="947"/>
      <c r="AM239" s="947"/>
      <c r="AN239" s="947"/>
      <c r="AO239" s="947"/>
      <c r="AP239" s="947"/>
      <c r="AQ239" s="947"/>
      <c r="AR239" s="938"/>
      <c r="AS239" s="937"/>
      <c r="AT239" s="948"/>
      <c r="AU239" s="947"/>
      <c r="AV239" s="981"/>
      <c r="AW239" s="950"/>
      <c r="AX239" s="950"/>
      <c r="AY239" s="951"/>
      <c r="AZ239" s="950"/>
      <c r="BA239" s="952"/>
      <c r="BB239" s="990"/>
      <c r="BC239" s="991"/>
      <c r="BD239" s="952"/>
      <c r="BE239" s="952"/>
      <c r="BF239" s="952"/>
      <c r="BG239" s="952"/>
      <c r="BH239" s="952"/>
      <c r="BI239" s="992"/>
      <c r="BJ239" s="952"/>
      <c r="BK239" s="992"/>
      <c r="BL239" s="952"/>
      <c r="BM239" s="952"/>
      <c r="BN239" s="952"/>
      <c r="BO239" s="952"/>
      <c r="BP239" s="965"/>
      <c r="BQ239" s="993"/>
      <c r="BR239" s="994"/>
      <c r="BS239" s="993"/>
      <c r="BT239" s="995"/>
      <c r="BU239" s="995"/>
      <c r="BV239" s="996"/>
      <c r="BW239" s="996"/>
      <c r="BX239" s="996"/>
      <c r="BY239" s="996"/>
      <c r="BZ239" s="996"/>
      <c r="CA239" s="996"/>
      <c r="CB239" s="965"/>
      <c r="CC239" s="965"/>
    </row>
    <row r="240">
      <c r="A240" s="84"/>
      <c r="B240" s="84"/>
      <c r="C240" s="348"/>
      <c r="D240" s="348"/>
      <c r="E240" s="84"/>
      <c r="F240" s="84"/>
      <c r="G240" s="84"/>
      <c r="H240" s="84"/>
      <c r="I240" s="84"/>
      <c r="J240" s="947"/>
      <c r="K240" s="947"/>
      <c r="L240" s="947"/>
      <c r="M240" s="947"/>
      <c r="N240" s="947"/>
      <c r="O240" s="947"/>
      <c r="P240" s="947"/>
      <c r="Q240" s="947"/>
      <c r="R240" s="937"/>
      <c r="S240" s="937"/>
      <c r="T240" s="947"/>
      <c r="U240" s="947"/>
      <c r="V240" s="938"/>
      <c r="W240" s="947"/>
      <c r="X240" s="939"/>
      <c r="Y240" s="947"/>
      <c r="Z240" s="947"/>
      <c r="AA240" s="938"/>
      <c r="AB240" s="947"/>
      <c r="AC240" s="947"/>
      <c r="AD240" s="947"/>
      <c r="AE240" s="947"/>
      <c r="AF240" s="947"/>
      <c r="AG240" s="947"/>
      <c r="AH240" s="948"/>
      <c r="AI240" s="947"/>
      <c r="AJ240" s="947"/>
      <c r="AK240" s="947"/>
      <c r="AL240" s="947"/>
      <c r="AM240" s="947"/>
      <c r="AN240" s="947"/>
      <c r="AO240" s="947"/>
      <c r="AP240" s="947"/>
      <c r="AQ240" s="947"/>
      <c r="AR240" s="938"/>
      <c r="AS240" s="937"/>
      <c r="AT240" s="948"/>
      <c r="AU240" s="947"/>
      <c r="AV240" s="981"/>
      <c r="AW240" s="950"/>
      <c r="AX240" s="950"/>
      <c r="AY240" s="951"/>
      <c r="AZ240" s="950"/>
      <c r="BA240" s="952"/>
      <c r="BB240" s="990"/>
      <c r="BC240" s="991"/>
      <c r="BD240" s="952"/>
      <c r="BE240" s="952"/>
      <c r="BF240" s="952"/>
      <c r="BG240" s="952"/>
      <c r="BH240" s="952"/>
      <c r="BI240" s="992"/>
      <c r="BJ240" s="952"/>
      <c r="BK240" s="992"/>
      <c r="BL240" s="952"/>
      <c r="BM240" s="952"/>
      <c r="BN240" s="952"/>
      <c r="BO240" s="952"/>
      <c r="BP240" s="965"/>
      <c r="BQ240" s="993"/>
      <c r="BR240" s="994"/>
      <c r="BS240" s="993"/>
      <c r="BT240" s="995"/>
      <c r="BU240" s="995"/>
      <c r="BV240" s="996"/>
      <c r="BW240" s="996"/>
      <c r="BX240" s="996"/>
      <c r="BY240" s="996"/>
      <c r="BZ240" s="996"/>
      <c r="CA240" s="996"/>
      <c r="CB240" s="965"/>
      <c r="CC240" s="965"/>
    </row>
    <row r="241">
      <c r="A241" s="84"/>
      <c r="B241" s="84"/>
      <c r="C241" s="348"/>
      <c r="D241" s="348"/>
      <c r="E241" s="84"/>
      <c r="F241" s="84"/>
      <c r="G241" s="84"/>
      <c r="H241" s="84"/>
      <c r="I241" s="84"/>
      <c r="J241" s="947"/>
      <c r="K241" s="947"/>
      <c r="L241" s="947"/>
      <c r="M241" s="947"/>
      <c r="N241" s="947"/>
      <c r="O241" s="947"/>
      <c r="P241" s="947"/>
      <c r="Q241" s="947"/>
      <c r="R241" s="937"/>
      <c r="S241" s="937"/>
      <c r="T241" s="947"/>
      <c r="U241" s="947"/>
      <c r="V241" s="938"/>
      <c r="W241" s="947"/>
      <c r="X241" s="939"/>
      <c r="Y241" s="947"/>
      <c r="Z241" s="947"/>
      <c r="AA241" s="938"/>
      <c r="AB241" s="947"/>
      <c r="AC241" s="947"/>
      <c r="AD241" s="947"/>
      <c r="AE241" s="947"/>
      <c r="AF241" s="947"/>
      <c r="AG241" s="947"/>
      <c r="AH241" s="948"/>
      <c r="AI241" s="947"/>
      <c r="AJ241" s="947"/>
      <c r="AK241" s="947"/>
      <c r="AL241" s="947"/>
      <c r="AM241" s="947"/>
      <c r="AN241" s="947"/>
      <c r="AO241" s="947"/>
      <c r="AP241" s="947"/>
      <c r="AQ241" s="947"/>
      <c r="AR241" s="938"/>
      <c r="AS241" s="937"/>
      <c r="AT241" s="948"/>
      <c r="AU241" s="947"/>
      <c r="AV241" s="981"/>
      <c r="AW241" s="950"/>
      <c r="AX241" s="950"/>
      <c r="AY241" s="951"/>
      <c r="AZ241" s="950"/>
      <c r="BA241" s="952"/>
      <c r="BB241" s="990"/>
      <c r="BC241" s="991"/>
      <c r="BD241" s="952"/>
      <c r="BE241" s="952"/>
      <c r="BF241" s="952"/>
      <c r="BG241" s="952"/>
      <c r="BH241" s="952"/>
      <c r="BI241" s="992"/>
      <c r="BJ241" s="952"/>
      <c r="BK241" s="992"/>
      <c r="BL241" s="952"/>
      <c r="BM241" s="952"/>
      <c r="BN241" s="952"/>
      <c r="BO241" s="952"/>
      <c r="BP241" s="965"/>
      <c r="BQ241" s="993"/>
      <c r="BR241" s="994"/>
      <c r="BS241" s="993"/>
      <c r="BT241" s="995"/>
      <c r="BU241" s="995"/>
      <c r="BV241" s="996"/>
      <c r="BW241" s="996"/>
      <c r="BX241" s="996"/>
      <c r="BY241" s="996"/>
      <c r="BZ241" s="996"/>
      <c r="CA241" s="996"/>
      <c r="CB241" s="965"/>
      <c r="CC241" s="965"/>
    </row>
    <row r="242">
      <c r="A242" s="84"/>
      <c r="B242" s="84"/>
      <c r="C242" s="348"/>
      <c r="D242" s="348"/>
      <c r="E242" s="84"/>
      <c r="F242" s="84"/>
      <c r="G242" s="84"/>
      <c r="H242" s="84"/>
      <c r="I242" s="84"/>
      <c r="J242" s="947"/>
      <c r="K242" s="947"/>
      <c r="L242" s="947"/>
      <c r="M242" s="947"/>
      <c r="N242" s="947"/>
      <c r="O242" s="947"/>
      <c r="P242" s="947"/>
      <c r="Q242" s="947"/>
      <c r="R242" s="937"/>
      <c r="S242" s="937"/>
      <c r="T242" s="947"/>
      <c r="U242" s="947"/>
      <c r="V242" s="938"/>
      <c r="W242" s="947"/>
      <c r="X242" s="939"/>
      <c r="Y242" s="947"/>
      <c r="Z242" s="947"/>
      <c r="AA242" s="938"/>
      <c r="AB242" s="947"/>
      <c r="AC242" s="947"/>
      <c r="AD242" s="947"/>
      <c r="AE242" s="947"/>
      <c r="AF242" s="947"/>
      <c r="AG242" s="947"/>
      <c r="AH242" s="948"/>
      <c r="AI242" s="947"/>
      <c r="AJ242" s="947"/>
      <c r="AK242" s="947"/>
      <c r="AL242" s="947"/>
      <c r="AM242" s="947"/>
      <c r="AN242" s="947"/>
      <c r="AO242" s="947"/>
      <c r="AP242" s="947"/>
      <c r="AQ242" s="947"/>
      <c r="AR242" s="938"/>
      <c r="AS242" s="937"/>
      <c r="AT242" s="948"/>
      <c r="AU242" s="947"/>
      <c r="AV242" s="981"/>
      <c r="AW242" s="950"/>
      <c r="AX242" s="950"/>
      <c r="AY242" s="951"/>
      <c r="AZ242" s="950"/>
      <c r="BA242" s="952"/>
      <c r="BB242" s="990"/>
      <c r="BC242" s="991"/>
      <c r="BD242" s="952"/>
      <c r="BE242" s="952"/>
      <c r="BF242" s="952"/>
      <c r="BG242" s="952"/>
      <c r="BH242" s="952"/>
      <c r="BI242" s="992"/>
      <c r="BJ242" s="952"/>
      <c r="BK242" s="992"/>
      <c r="BL242" s="952"/>
      <c r="BM242" s="952"/>
      <c r="BN242" s="952"/>
      <c r="BO242" s="952"/>
      <c r="BP242" s="965"/>
      <c r="BQ242" s="993"/>
      <c r="BR242" s="994"/>
      <c r="BS242" s="993"/>
      <c r="BT242" s="995"/>
      <c r="BU242" s="995"/>
      <c r="BV242" s="996"/>
      <c r="BW242" s="996"/>
      <c r="BX242" s="996"/>
      <c r="BY242" s="996"/>
      <c r="BZ242" s="996"/>
      <c r="CA242" s="996"/>
      <c r="CB242" s="965"/>
      <c r="CC242" s="965"/>
    </row>
    <row r="243">
      <c r="A243" s="84"/>
      <c r="B243" s="84"/>
      <c r="C243" s="348"/>
      <c r="D243" s="348"/>
      <c r="E243" s="84"/>
      <c r="F243" s="84"/>
      <c r="G243" s="84"/>
      <c r="H243" s="84"/>
      <c r="I243" s="84"/>
      <c r="J243" s="947"/>
      <c r="K243" s="947"/>
      <c r="L243" s="947"/>
      <c r="M243" s="947"/>
      <c r="N243" s="947"/>
      <c r="O243" s="947"/>
      <c r="P243" s="947"/>
      <c r="Q243" s="947"/>
      <c r="R243" s="937"/>
      <c r="S243" s="937"/>
      <c r="T243" s="947"/>
      <c r="U243" s="947"/>
      <c r="V243" s="938"/>
      <c r="W243" s="947"/>
      <c r="X243" s="939"/>
      <c r="Y243" s="947"/>
      <c r="Z243" s="947"/>
      <c r="AA243" s="938"/>
      <c r="AB243" s="947"/>
      <c r="AC243" s="947"/>
      <c r="AD243" s="947"/>
      <c r="AE243" s="947"/>
      <c r="AF243" s="947"/>
      <c r="AG243" s="947"/>
      <c r="AH243" s="948"/>
      <c r="AI243" s="947"/>
      <c r="AJ243" s="947"/>
      <c r="AK243" s="947"/>
      <c r="AL243" s="947"/>
      <c r="AM243" s="947"/>
      <c r="AN243" s="947"/>
      <c r="AO243" s="947"/>
      <c r="AP243" s="947"/>
      <c r="AQ243" s="947"/>
      <c r="AR243" s="938"/>
      <c r="AS243" s="937"/>
      <c r="AT243" s="948"/>
      <c r="AU243" s="947"/>
      <c r="AV243" s="981"/>
      <c r="AW243" s="950"/>
      <c r="AX243" s="950"/>
      <c r="AY243" s="951"/>
      <c r="AZ243" s="950"/>
      <c r="BA243" s="952"/>
      <c r="BB243" s="990"/>
      <c r="BC243" s="991"/>
      <c r="BD243" s="952"/>
      <c r="BE243" s="952"/>
      <c r="BF243" s="952"/>
      <c r="BG243" s="952"/>
      <c r="BH243" s="952"/>
      <c r="BI243" s="992"/>
      <c r="BJ243" s="952"/>
      <c r="BK243" s="992"/>
      <c r="BL243" s="952"/>
      <c r="BM243" s="952"/>
      <c r="BN243" s="952"/>
      <c r="BO243" s="952"/>
      <c r="BP243" s="965"/>
      <c r="BQ243" s="993"/>
      <c r="BR243" s="994"/>
      <c r="BS243" s="993"/>
      <c r="BT243" s="995"/>
      <c r="BU243" s="995"/>
      <c r="BV243" s="996"/>
      <c r="BW243" s="996"/>
      <c r="BX243" s="996"/>
      <c r="BY243" s="996"/>
      <c r="BZ243" s="996"/>
      <c r="CA243" s="996"/>
      <c r="CB243" s="965"/>
      <c r="CC243" s="965"/>
    </row>
    <row r="244">
      <c r="A244" s="84"/>
      <c r="B244" s="84"/>
      <c r="C244" s="348"/>
      <c r="D244" s="348"/>
      <c r="E244" s="84"/>
      <c r="F244" s="84"/>
      <c r="G244" s="84"/>
      <c r="H244" s="84"/>
      <c r="I244" s="84"/>
      <c r="J244" s="947"/>
      <c r="K244" s="947"/>
      <c r="L244" s="947"/>
      <c r="M244" s="947"/>
      <c r="N244" s="947"/>
      <c r="O244" s="947"/>
      <c r="P244" s="947"/>
      <c r="Q244" s="947"/>
      <c r="R244" s="937"/>
      <c r="S244" s="937"/>
      <c r="T244" s="947"/>
      <c r="U244" s="947"/>
      <c r="V244" s="938"/>
      <c r="W244" s="947"/>
      <c r="X244" s="939"/>
      <c r="Y244" s="947"/>
      <c r="Z244" s="947"/>
      <c r="AA244" s="938"/>
      <c r="AB244" s="947"/>
      <c r="AC244" s="947"/>
      <c r="AD244" s="947"/>
      <c r="AE244" s="947"/>
      <c r="AF244" s="947"/>
      <c r="AG244" s="947"/>
      <c r="AH244" s="948"/>
      <c r="AI244" s="947"/>
      <c r="AJ244" s="947"/>
      <c r="AK244" s="947"/>
      <c r="AL244" s="947"/>
      <c r="AM244" s="947"/>
      <c r="AN244" s="947"/>
      <c r="AO244" s="947"/>
      <c r="AP244" s="947"/>
      <c r="AQ244" s="947"/>
      <c r="AR244" s="938"/>
      <c r="AS244" s="937"/>
      <c r="AT244" s="948"/>
      <c r="AU244" s="947"/>
      <c r="AV244" s="981"/>
      <c r="AW244" s="950"/>
      <c r="AX244" s="950"/>
      <c r="AY244" s="951"/>
      <c r="AZ244" s="950"/>
      <c r="BA244" s="952"/>
      <c r="BB244" s="990"/>
      <c r="BC244" s="991"/>
      <c r="BD244" s="952"/>
      <c r="BE244" s="952"/>
      <c r="BF244" s="952"/>
      <c r="BG244" s="952"/>
      <c r="BH244" s="952"/>
      <c r="BI244" s="992"/>
      <c r="BJ244" s="952"/>
      <c r="BK244" s="992"/>
      <c r="BL244" s="952"/>
      <c r="BM244" s="952"/>
      <c r="BN244" s="952"/>
      <c r="BO244" s="952"/>
      <c r="BP244" s="965"/>
      <c r="BQ244" s="993"/>
      <c r="BR244" s="994"/>
      <c r="BS244" s="993"/>
      <c r="BT244" s="995"/>
      <c r="BU244" s="995"/>
      <c r="BV244" s="996"/>
      <c r="BW244" s="996"/>
      <c r="BX244" s="996"/>
      <c r="BY244" s="996"/>
      <c r="BZ244" s="996"/>
      <c r="CA244" s="996"/>
      <c r="CB244" s="965"/>
      <c r="CC244" s="965"/>
    </row>
    <row r="245">
      <c r="A245" s="84"/>
      <c r="B245" s="84"/>
      <c r="C245" s="348"/>
      <c r="D245" s="348"/>
      <c r="E245" s="84"/>
      <c r="F245" s="84"/>
      <c r="G245" s="84"/>
      <c r="H245" s="84"/>
      <c r="I245" s="84"/>
      <c r="J245" s="947"/>
      <c r="K245" s="947"/>
      <c r="L245" s="947"/>
      <c r="M245" s="947"/>
      <c r="N245" s="947"/>
      <c r="O245" s="947"/>
      <c r="P245" s="947"/>
      <c r="Q245" s="947"/>
      <c r="R245" s="937"/>
      <c r="S245" s="937"/>
      <c r="T245" s="947"/>
      <c r="U245" s="947"/>
      <c r="V245" s="938"/>
      <c r="W245" s="947"/>
      <c r="X245" s="939"/>
      <c r="Y245" s="947"/>
      <c r="Z245" s="947"/>
      <c r="AA245" s="938"/>
      <c r="AB245" s="947"/>
      <c r="AC245" s="947"/>
      <c r="AD245" s="947"/>
      <c r="AE245" s="947"/>
      <c r="AF245" s="947"/>
      <c r="AG245" s="947"/>
      <c r="AH245" s="948"/>
      <c r="AI245" s="947"/>
      <c r="AJ245" s="947"/>
      <c r="AK245" s="947"/>
      <c r="AL245" s="947"/>
      <c r="AM245" s="947"/>
      <c r="AN245" s="947"/>
      <c r="AO245" s="947"/>
      <c r="AP245" s="947"/>
      <c r="AQ245" s="947"/>
      <c r="AR245" s="938"/>
      <c r="AS245" s="937"/>
      <c r="AT245" s="948"/>
      <c r="AU245" s="947"/>
      <c r="AV245" s="981"/>
      <c r="AW245" s="950"/>
      <c r="AX245" s="950"/>
      <c r="AY245" s="951"/>
      <c r="AZ245" s="950"/>
      <c r="BA245" s="952"/>
      <c r="BB245" s="990"/>
      <c r="BC245" s="991"/>
      <c r="BD245" s="952"/>
      <c r="BE245" s="952"/>
      <c r="BF245" s="952"/>
      <c r="BG245" s="952"/>
      <c r="BH245" s="952"/>
      <c r="BI245" s="992"/>
      <c r="BJ245" s="952"/>
      <c r="BK245" s="992"/>
      <c r="BL245" s="952"/>
      <c r="BM245" s="952"/>
      <c r="BN245" s="952"/>
      <c r="BO245" s="952"/>
      <c r="BP245" s="965"/>
      <c r="BQ245" s="993"/>
      <c r="BR245" s="994"/>
      <c r="BS245" s="993"/>
      <c r="BT245" s="995"/>
      <c r="BU245" s="995"/>
      <c r="BV245" s="996"/>
      <c r="BW245" s="996"/>
      <c r="BX245" s="996"/>
      <c r="BY245" s="996"/>
      <c r="BZ245" s="996"/>
      <c r="CA245" s="996"/>
      <c r="CB245" s="965"/>
      <c r="CC245" s="965"/>
    </row>
    <row r="246">
      <c r="A246" s="84"/>
      <c r="B246" s="84"/>
      <c r="C246" s="348"/>
      <c r="D246" s="348"/>
      <c r="E246" s="84"/>
      <c r="F246" s="84"/>
      <c r="G246" s="84"/>
      <c r="H246" s="84"/>
      <c r="I246" s="84"/>
      <c r="J246" s="947"/>
      <c r="K246" s="947"/>
      <c r="L246" s="947"/>
      <c r="M246" s="947"/>
      <c r="N246" s="947"/>
      <c r="O246" s="947"/>
      <c r="P246" s="947"/>
      <c r="Q246" s="947"/>
      <c r="R246" s="937"/>
      <c r="S246" s="937"/>
      <c r="T246" s="947"/>
      <c r="U246" s="947"/>
      <c r="V246" s="938"/>
      <c r="W246" s="947"/>
      <c r="X246" s="939"/>
      <c r="Y246" s="947"/>
      <c r="Z246" s="947"/>
      <c r="AA246" s="938"/>
      <c r="AB246" s="947"/>
      <c r="AC246" s="947"/>
      <c r="AD246" s="947"/>
      <c r="AE246" s="947"/>
      <c r="AF246" s="947"/>
      <c r="AG246" s="947"/>
      <c r="AH246" s="948"/>
      <c r="AI246" s="947"/>
      <c r="AJ246" s="947"/>
      <c r="AK246" s="947"/>
      <c r="AL246" s="947"/>
      <c r="AM246" s="947"/>
      <c r="AN246" s="947"/>
      <c r="AO246" s="947"/>
      <c r="AP246" s="947"/>
      <c r="AQ246" s="947"/>
      <c r="AR246" s="938"/>
      <c r="AS246" s="937"/>
      <c r="AT246" s="948"/>
      <c r="AU246" s="947"/>
      <c r="AV246" s="981"/>
      <c r="AW246" s="950"/>
      <c r="AX246" s="950"/>
      <c r="AY246" s="951"/>
      <c r="AZ246" s="950"/>
      <c r="BA246" s="952"/>
      <c r="BB246" s="990"/>
      <c r="BC246" s="991"/>
      <c r="BD246" s="952"/>
      <c r="BE246" s="952"/>
      <c r="BF246" s="952"/>
      <c r="BG246" s="952"/>
      <c r="BH246" s="952"/>
      <c r="BI246" s="992"/>
      <c r="BJ246" s="952"/>
      <c r="BK246" s="992"/>
      <c r="BL246" s="952"/>
      <c r="BM246" s="952"/>
      <c r="BN246" s="952"/>
      <c r="BO246" s="952"/>
      <c r="BP246" s="965"/>
      <c r="BQ246" s="993"/>
      <c r="BR246" s="994"/>
      <c r="BS246" s="993"/>
      <c r="BT246" s="995"/>
      <c r="BU246" s="995"/>
      <c r="BV246" s="996"/>
      <c r="BW246" s="996"/>
      <c r="BX246" s="996"/>
      <c r="BY246" s="996"/>
      <c r="BZ246" s="996"/>
      <c r="CA246" s="996"/>
      <c r="CB246" s="965"/>
      <c r="CC246" s="965"/>
    </row>
    <row r="247">
      <c r="A247" s="84"/>
      <c r="B247" s="84"/>
      <c r="C247" s="348"/>
      <c r="D247" s="348"/>
      <c r="E247" s="84"/>
      <c r="F247" s="84"/>
      <c r="G247" s="84"/>
      <c r="H247" s="84"/>
      <c r="I247" s="84"/>
      <c r="J247" s="947"/>
      <c r="K247" s="947"/>
      <c r="L247" s="947"/>
      <c r="M247" s="947"/>
      <c r="N247" s="947"/>
      <c r="O247" s="947"/>
      <c r="P247" s="947"/>
      <c r="Q247" s="947"/>
      <c r="R247" s="937"/>
      <c r="S247" s="937"/>
      <c r="T247" s="947"/>
      <c r="U247" s="947"/>
      <c r="V247" s="938"/>
      <c r="W247" s="947"/>
      <c r="X247" s="939"/>
      <c r="Y247" s="947"/>
      <c r="Z247" s="947"/>
      <c r="AA247" s="938"/>
      <c r="AB247" s="947"/>
      <c r="AC247" s="947"/>
      <c r="AD247" s="947"/>
      <c r="AE247" s="947"/>
      <c r="AF247" s="947"/>
      <c r="AG247" s="947"/>
      <c r="AH247" s="948"/>
      <c r="AI247" s="947"/>
      <c r="AJ247" s="947"/>
      <c r="AK247" s="947"/>
      <c r="AL247" s="947"/>
      <c r="AM247" s="947"/>
      <c r="AN247" s="947"/>
      <c r="AO247" s="947"/>
      <c r="AP247" s="947"/>
      <c r="AQ247" s="947"/>
      <c r="AR247" s="938"/>
      <c r="AS247" s="937"/>
      <c r="AT247" s="948"/>
      <c r="AU247" s="947"/>
      <c r="AV247" s="981"/>
      <c r="AW247" s="950"/>
      <c r="AX247" s="950"/>
      <c r="AY247" s="951"/>
      <c r="AZ247" s="950"/>
      <c r="BA247" s="952"/>
      <c r="BB247" s="990"/>
      <c r="BC247" s="991"/>
      <c r="BD247" s="952"/>
      <c r="BE247" s="952"/>
      <c r="BF247" s="952"/>
      <c r="BG247" s="952"/>
      <c r="BH247" s="952"/>
      <c r="BI247" s="992"/>
      <c r="BJ247" s="952"/>
      <c r="BK247" s="992"/>
      <c r="BL247" s="952"/>
      <c r="BM247" s="952"/>
      <c r="BN247" s="952"/>
      <c r="BO247" s="952"/>
      <c r="BP247" s="965"/>
      <c r="BQ247" s="993"/>
      <c r="BR247" s="994"/>
      <c r="BS247" s="993"/>
      <c r="BT247" s="995"/>
      <c r="BU247" s="995"/>
      <c r="BV247" s="996"/>
      <c r="BW247" s="996"/>
      <c r="BX247" s="996"/>
      <c r="BY247" s="996"/>
      <c r="BZ247" s="996"/>
      <c r="CA247" s="996"/>
      <c r="CB247" s="965"/>
      <c r="CC247" s="965"/>
    </row>
    <row r="248">
      <c r="A248" s="84"/>
      <c r="B248" s="84"/>
      <c r="C248" s="348"/>
      <c r="D248" s="348"/>
      <c r="E248" s="84"/>
      <c r="F248" s="84"/>
      <c r="G248" s="84"/>
      <c r="H248" s="84"/>
      <c r="I248" s="84"/>
      <c r="J248" s="947"/>
      <c r="K248" s="947"/>
      <c r="L248" s="947"/>
      <c r="M248" s="947"/>
      <c r="N248" s="947"/>
      <c r="O248" s="947"/>
      <c r="P248" s="947"/>
      <c r="Q248" s="947"/>
      <c r="R248" s="937"/>
      <c r="S248" s="937"/>
      <c r="T248" s="947"/>
      <c r="U248" s="947"/>
      <c r="V248" s="938"/>
      <c r="W248" s="947"/>
      <c r="X248" s="939"/>
      <c r="Y248" s="947"/>
      <c r="Z248" s="947"/>
      <c r="AA248" s="938"/>
      <c r="AB248" s="947"/>
      <c r="AC248" s="947"/>
      <c r="AD248" s="947"/>
      <c r="AE248" s="947"/>
      <c r="AF248" s="947"/>
      <c r="AG248" s="947"/>
      <c r="AH248" s="948"/>
      <c r="AI248" s="947"/>
      <c r="AJ248" s="947"/>
      <c r="AK248" s="947"/>
      <c r="AL248" s="947"/>
      <c r="AM248" s="947"/>
      <c r="AN248" s="947"/>
      <c r="AO248" s="947"/>
      <c r="AP248" s="947"/>
      <c r="AQ248" s="947"/>
      <c r="AR248" s="938"/>
      <c r="AS248" s="937"/>
      <c r="AT248" s="948"/>
      <c r="AU248" s="947"/>
      <c r="AV248" s="981"/>
      <c r="AW248" s="950"/>
      <c r="AX248" s="950"/>
      <c r="AY248" s="951"/>
      <c r="AZ248" s="950"/>
      <c r="BA248" s="952"/>
      <c r="BB248" s="990"/>
      <c r="BC248" s="991"/>
      <c r="BD248" s="952"/>
      <c r="BE248" s="952"/>
      <c r="BF248" s="952"/>
      <c r="BG248" s="952"/>
      <c r="BH248" s="952"/>
      <c r="BI248" s="992"/>
      <c r="BJ248" s="952"/>
      <c r="BK248" s="992"/>
      <c r="BL248" s="952"/>
      <c r="BM248" s="952"/>
      <c r="BN248" s="952"/>
      <c r="BO248" s="952"/>
      <c r="BP248" s="965"/>
      <c r="BQ248" s="993"/>
      <c r="BR248" s="994"/>
      <c r="BS248" s="993"/>
      <c r="BT248" s="995"/>
      <c r="BU248" s="995"/>
      <c r="BV248" s="996"/>
      <c r="BW248" s="996"/>
      <c r="BX248" s="996"/>
      <c r="BY248" s="996"/>
      <c r="BZ248" s="996"/>
      <c r="CA248" s="996"/>
      <c r="CB248" s="965"/>
      <c r="CC248" s="965"/>
    </row>
    <row r="249">
      <c r="A249" s="84"/>
      <c r="B249" s="84"/>
      <c r="C249" s="348"/>
      <c r="D249" s="348"/>
      <c r="E249" s="84"/>
      <c r="F249" s="84"/>
      <c r="G249" s="84"/>
      <c r="H249" s="84"/>
      <c r="I249" s="84"/>
      <c r="J249" s="947"/>
      <c r="K249" s="947"/>
      <c r="L249" s="947"/>
      <c r="M249" s="947"/>
      <c r="N249" s="947"/>
      <c r="O249" s="947"/>
      <c r="P249" s="947"/>
      <c r="Q249" s="947"/>
      <c r="R249" s="937"/>
      <c r="S249" s="937"/>
      <c r="T249" s="947"/>
      <c r="U249" s="947"/>
      <c r="V249" s="938"/>
      <c r="W249" s="947"/>
      <c r="X249" s="939"/>
      <c r="Y249" s="947"/>
      <c r="Z249" s="947"/>
      <c r="AA249" s="938"/>
      <c r="AB249" s="947"/>
      <c r="AC249" s="947"/>
      <c r="AD249" s="947"/>
      <c r="AE249" s="947"/>
      <c r="AF249" s="947"/>
      <c r="AG249" s="947"/>
      <c r="AH249" s="948"/>
      <c r="AI249" s="947"/>
      <c r="AJ249" s="947"/>
      <c r="AK249" s="947"/>
      <c r="AL249" s="947"/>
      <c r="AM249" s="947"/>
      <c r="AN249" s="947"/>
      <c r="AO249" s="947"/>
      <c r="AP249" s="947"/>
      <c r="AQ249" s="947"/>
      <c r="AR249" s="938"/>
      <c r="AS249" s="937"/>
      <c r="AT249" s="948"/>
      <c r="AU249" s="947"/>
      <c r="AV249" s="981"/>
      <c r="AW249" s="950"/>
      <c r="AX249" s="950"/>
      <c r="AY249" s="951"/>
      <c r="AZ249" s="950"/>
      <c r="BA249" s="952"/>
      <c r="BB249" s="990"/>
      <c r="BC249" s="991"/>
      <c r="BD249" s="952"/>
      <c r="BE249" s="952"/>
      <c r="BF249" s="952"/>
      <c r="BG249" s="952"/>
      <c r="BH249" s="952"/>
      <c r="BI249" s="992"/>
      <c r="BJ249" s="952"/>
      <c r="BK249" s="992"/>
      <c r="BL249" s="952"/>
      <c r="BM249" s="952"/>
      <c r="BN249" s="952"/>
      <c r="BO249" s="952"/>
      <c r="BP249" s="965"/>
      <c r="BQ249" s="993"/>
      <c r="BR249" s="994"/>
      <c r="BS249" s="993"/>
      <c r="BT249" s="995"/>
      <c r="BU249" s="995"/>
      <c r="BV249" s="996"/>
      <c r="BW249" s="996"/>
      <c r="BX249" s="996"/>
      <c r="BY249" s="996"/>
      <c r="BZ249" s="996"/>
      <c r="CA249" s="996"/>
      <c r="CB249" s="965"/>
      <c r="CC249" s="965"/>
    </row>
    <row r="250">
      <c r="A250" s="84"/>
      <c r="B250" s="84"/>
      <c r="C250" s="348"/>
      <c r="D250" s="348"/>
      <c r="E250" s="84"/>
      <c r="F250" s="84"/>
      <c r="G250" s="84"/>
      <c r="H250" s="84"/>
      <c r="I250" s="84"/>
      <c r="J250" s="947"/>
      <c r="K250" s="947"/>
      <c r="L250" s="947"/>
      <c r="M250" s="947"/>
      <c r="N250" s="947"/>
      <c r="O250" s="947"/>
      <c r="P250" s="947"/>
      <c r="Q250" s="947"/>
      <c r="R250" s="937"/>
      <c r="S250" s="937"/>
      <c r="T250" s="947"/>
      <c r="U250" s="947"/>
      <c r="V250" s="938"/>
      <c r="W250" s="947"/>
      <c r="X250" s="939"/>
      <c r="Y250" s="947"/>
      <c r="Z250" s="947"/>
      <c r="AA250" s="938"/>
      <c r="AB250" s="947"/>
      <c r="AC250" s="947"/>
      <c r="AD250" s="947"/>
      <c r="AE250" s="947"/>
      <c r="AF250" s="947"/>
      <c r="AG250" s="947"/>
      <c r="AH250" s="948"/>
      <c r="AI250" s="947"/>
      <c r="AJ250" s="947"/>
      <c r="AK250" s="947"/>
      <c r="AL250" s="947"/>
      <c r="AM250" s="947"/>
      <c r="AN250" s="947"/>
      <c r="AO250" s="947"/>
      <c r="AP250" s="947"/>
      <c r="AQ250" s="947"/>
      <c r="AR250" s="938"/>
      <c r="AS250" s="937"/>
      <c r="AT250" s="948"/>
      <c r="AU250" s="947"/>
      <c r="AV250" s="981"/>
      <c r="AW250" s="950"/>
      <c r="AX250" s="950"/>
      <c r="AY250" s="951"/>
      <c r="AZ250" s="950"/>
      <c r="BA250" s="952"/>
      <c r="BB250" s="990"/>
      <c r="BC250" s="991"/>
      <c r="BD250" s="952"/>
      <c r="BE250" s="952"/>
      <c r="BF250" s="952"/>
      <c r="BG250" s="952"/>
      <c r="BH250" s="952"/>
      <c r="BI250" s="992"/>
      <c r="BJ250" s="952"/>
      <c r="BK250" s="992"/>
      <c r="BL250" s="952"/>
      <c r="BM250" s="952"/>
      <c r="BN250" s="952"/>
      <c r="BO250" s="952"/>
      <c r="BP250" s="965"/>
      <c r="BQ250" s="993"/>
      <c r="BR250" s="994"/>
      <c r="BS250" s="993"/>
      <c r="BT250" s="995"/>
      <c r="BU250" s="995"/>
      <c r="BV250" s="996"/>
      <c r="BW250" s="996"/>
      <c r="BX250" s="996"/>
      <c r="BY250" s="996"/>
      <c r="BZ250" s="996"/>
      <c r="CA250" s="996"/>
      <c r="CB250" s="965"/>
      <c r="CC250" s="965"/>
    </row>
    <row r="251">
      <c r="A251" s="84"/>
      <c r="B251" s="84"/>
      <c r="C251" s="348"/>
      <c r="D251" s="348"/>
      <c r="E251" s="84"/>
      <c r="F251" s="84"/>
      <c r="G251" s="84"/>
      <c r="H251" s="84"/>
      <c r="I251" s="84"/>
      <c r="J251" s="947"/>
      <c r="K251" s="947"/>
      <c r="L251" s="947"/>
      <c r="M251" s="947"/>
      <c r="N251" s="947"/>
      <c r="O251" s="947"/>
      <c r="P251" s="947"/>
      <c r="Q251" s="947"/>
      <c r="R251" s="937"/>
      <c r="S251" s="937"/>
      <c r="T251" s="947"/>
      <c r="U251" s="947"/>
      <c r="V251" s="938"/>
      <c r="W251" s="947"/>
      <c r="X251" s="939"/>
      <c r="Y251" s="947"/>
      <c r="Z251" s="947"/>
      <c r="AA251" s="938"/>
      <c r="AB251" s="947"/>
      <c r="AC251" s="947"/>
      <c r="AD251" s="947"/>
      <c r="AE251" s="947"/>
      <c r="AF251" s="947"/>
      <c r="AG251" s="947"/>
      <c r="AH251" s="948"/>
      <c r="AI251" s="947"/>
      <c r="AJ251" s="947"/>
      <c r="AK251" s="947"/>
      <c r="AL251" s="947"/>
      <c r="AM251" s="947"/>
      <c r="AN251" s="947"/>
      <c r="AO251" s="947"/>
      <c r="AP251" s="947"/>
      <c r="AQ251" s="947"/>
      <c r="AR251" s="938"/>
      <c r="AS251" s="937"/>
      <c r="AT251" s="948"/>
      <c r="AU251" s="947"/>
      <c r="AV251" s="981"/>
      <c r="AW251" s="950"/>
      <c r="AX251" s="950"/>
      <c r="AY251" s="951"/>
      <c r="AZ251" s="950"/>
      <c r="BA251" s="952"/>
      <c r="BB251" s="990"/>
      <c r="BC251" s="991"/>
      <c r="BD251" s="952"/>
      <c r="BE251" s="952"/>
      <c r="BF251" s="952"/>
      <c r="BG251" s="952"/>
      <c r="BH251" s="952"/>
      <c r="BI251" s="992"/>
      <c r="BJ251" s="952"/>
      <c r="BK251" s="992"/>
      <c r="BL251" s="952"/>
      <c r="BM251" s="952"/>
      <c r="BN251" s="952"/>
      <c r="BO251" s="952"/>
      <c r="BP251" s="965"/>
      <c r="BQ251" s="993"/>
      <c r="BR251" s="994"/>
      <c r="BS251" s="993"/>
      <c r="BT251" s="995"/>
      <c r="BU251" s="995"/>
      <c r="BV251" s="996"/>
      <c r="BW251" s="996"/>
      <c r="BX251" s="996"/>
      <c r="BY251" s="996"/>
      <c r="BZ251" s="996"/>
      <c r="CA251" s="996"/>
      <c r="CB251" s="965"/>
      <c r="CC251" s="965"/>
    </row>
    <row r="252">
      <c r="A252" s="84"/>
      <c r="B252" s="84"/>
      <c r="C252" s="348"/>
      <c r="D252" s="348"/>
      <c r="E252" s="84"/>
      <c r="F252" s="84"/>
      <c r="G252" s="84"/>
      <c r="H252" s="84"/>
      <c r="I252" s="84"/>
      <c r="J252" s="947"/>
      <c r="K252" s="947"/>
      <c r="L252" s="947"/>
      <c r="M252" s="947"/>
      <c r="N252" s="947"/>
      <c r="O252" s="947"/>
      <c r="P252" s="947"/>
      <c r="Q252" s="947"/>
      <c r="R252" s="937"/>
      <c r="S252" s="937"/>
      <c r="T252" s="947"/>
      <c r="U252" s="947"/>
      <c r="V252" s="938"/>
      <c r="W252" s="947"/>
      <c r="X252" s="939"/>
      <c r="Y252" s="947"/>
      <c r="Z252" s="947"/>
      <c r="AA252" s="938"/>
      <c r="AB252" s="947"/>
      <c r="AC252" s="947"/>
      <c r="AD252" s="947"/>
      <c r="AE252" s="947"/>
      <c r="AF252" s="947"/>
      <c r="AG252" s="947"/>
      <c r="AH252" s="948"/>
      <c r="AI252" s="947"/>
      <c r="AJ252" s="947"/>
      <c r="AK252" s="947"/>
      <c r="AL252" s="947"/>
      <c r="AM252" s="947"/>
      <c r="AN252" s="947"/>
      <c r="AO252" s="947"/>
      <c r="AP252" s="947"/>
      <c r="AQ252" s="947"/>
      <c r="AR252" s="938"/>
      <c r="AS252" s="937"/>
      <c r="AT252" s="948"/>
      <c r="AU252" s="947"/>
      <c r="AV252" s="981"/>
      <c r="AW252" s="950"/>
      <c r="AX252" s="950"/>
      <c r="AY252" s="951"/>
      <c r="AZ252" s="950"/>
      <c r="BA252" s="952"/>
      <c r="BB252" s="990"/>
      <c r="BC252" s="991"/>
      <c r="BD252" s="952"/>
      <c r="BE252" s="952"/>
      <c r="BF252" s="952"/>
      <c r="BG252" s="952"/>
      <c r="BH252" s="952"/>
      <c r="BI252" s="992"/>
      <c r="BJ252" s="952"/>
      <c r="BK252" s="992"/>
      <c r="BL252" s="952"/>
      <c r="BM252" s="952"/>
      <c r="BN252" s="952"/>
      <c r="BO252" s="952"/>
      <c r="BP252" s="965"/>
      <c r="BQ252" s="993"/>
      <c r="BR252" s="994"/>
      <c r="BS252" s="993"/>
      <c r="BT252" s="995"/>
      <c r="BU252" s="995"/>
      <c r="BV252" s="996"/>
      <c r="BW252" s="996"/>
      <c r="BX252" s="996"/>
      <c r="BY252" s="996"/>
      <c r="BZ252" s="996"/>
      <c r="CA252" s="996"/>
      <c r="CB252" s="965"/>
      <c r="CC252" s="965"/>
    </row>
    <row r="253">
      <c r="A253" s="84"/>
      <c r="B253" s="84"/>
      <c r="C253" s="348"/>
      <c r="D253" s="348"/>
      <c r="E253" s="84"/>
      <c r="F253" s="84"/>
      <c r="G253" s="84"/>
      <c r="H253" s="84"/>
      <c r="I253" s="84"/>
      <c r="J253" s="947"/>
      <c r="K253" s="947"/>
      <c r="L253" s="947"/>
      <c r="M253" s="947"/>
      <c r="N253" s="947"/>
      <c r="O253" s="947"/>
      <c r="P253" s="947"/>
      <c r="Q253" s="947"/>
      <c r="R253" s="937"/>
      <c r="S253" s="937"/>
      <c r="T253" s="947"/>
      <c r="U253" s="947"/>
      <c r="V253" s="938"/>
      <c r="W253" s="947"/>
      <c r="X253" s="939"/>
      <c r="Y253" s="947"/>
      <c r="Z253" s="947"/>
      <c r="AA253" s="938"/>
      <c r="AB253" s="947"/>
      <c r="AC253" s="947"/>
      <c r="AD253" s="947"/>
      <c r="AE253" s="947"/>
      <c r="AF253" s="947"/>
      <c r="AG253" s="947"/>
      <c r="AH253" s="948"/>
      <c r="AI253" s="947"/>
      <c r="AJ253" s="947"/>
      <c r="AK253" s="947"/>
      <c r="AL253" s="947"/>
      <c r="AM253" s="947"/>
      <c r="AN253" s="947"/>
      <c r="AO253" s="947"/>
      <c r="AP253" s="947"/>
      <c r="AQ253" s="947"/>
      <c r="AR253" s="938"/>
      <c r="AS253" s="937"/>
      <c r="AT253" s="948"/>
      <c r="AU253" s="947"/>
      <c r="AV253" s="981"/>
      <c r="AW253" s="950"/>
      <c r="AX253" s="950"/>
      <c r="AY253" s="951"/>
      <c r="AZ253" s="950"/>
      <c r="BA253" s="952"/>
      <c r="BB253" s="990"/>
      <c r="BC253" s="991"/>
      <c r="BD253" s="952"/>
      <c r="BE253" s="952"/>
      <c r="BF253" s="952"/>
      <c r="BG253" s="952"/>
      <c r="BH253" s="952"/>
      <c r="BI253" s="992"/>
      <c r="BJ253" s="952"/>
      <c r="BK253" s="992"/>
      <c r="BL253" s="952"/>
      <c r="BM253" s="952"/>
      <c r="BN253" s="952"/>
      <c r="BO253" s="952"/>
      <c r="BP253" s="965"/>
      <c r="BQ253" s="993"/>
      <c r="BR253" s="994"/>
      <c r="BS253" s="993"/>
      <c r="BT253" s="995"/>
      <c r="BU253" s="995"/>
      <c r="BV253" s="996"/>
      <c r="BW253" s="996"/>
      <c r="BX253" s="996"/>
      <c r="BY253" s="996"/>
      <c r="BZ253" s="996"/>
      <c r="CA253" s="996"/>
      <c r="CB253" s="965"/>
      <c r="CC253" s="965"/>
    </row>
    <row r="254">
      <c r="A254" s="84"/>
      <c r="B254" s="84"/>
      <c r="C254" s="348"/>
      <c r="D254" s="348"/>
      <c r="E254" s="84"/>
      <c r="F254" s="84"/>
      <c r="G254" s="84"/>
      <c r="H254" s="84"/>
      <c r="I254" s="84"/>
      <c r="J254" s="947"/>
      <c r="K254" s="947"/>
      <c r="L254" s="947"/>
      <c r="M254" s="947"/>
      <c r="N254" s="947"/>
      <c r="O254" s="947"/>
      <c r="P254" s="947"/>
      <c r="Q254" s="947"/>
      <c r="R254" s="937"/>
      <c r="S254" s="937"/>
      <c r="T254" s="947"/>
      <c r="U254" s="947"/>
      <c r="V254" s="938"/>
      <c r="W254" s="947"/>
      <c r="X254" s="939"/>
      <c r="Y254" s="947"/>
      <c r="Z254" s="947"/>
      <c r="AA254" s="938"/>
      <c r="AB254" s="947"/>
      <c r="AC254" s="947"/>
      <c r="AD254" s="947"/>
      <c r="AE254" s="947"/>
      <c r="AF254" s="947"/>
      <c r="AG254" s="947"/>
      <c r="AH254" s="948"/>
      <c r="AI254" s="947"/>
      <c r="AJ254" s="947"/>
      <c r="AK254" s="947"/>
      <c r="AL254" s="947"/>
      <c r="AM254" s="947"/>
      <c r="AN254" s="947"/>
      <c r="AO254" s="947"/>
      <c r="AP254" s="947"/>
      <c r="AQ254" s="947"/>
      <c r="AR254" s="938"/>
      <c r="AS254" s="937"/>
      <c r="AT254" s="948"/>
      <c r="AU254" s="947"/>
      <c r="AV254" s="981"/>
      <c r="AW254" s="950"/>
      <c r="AX254" s="950"/>
      <c r="AY254" s="951"/>
      <c r="AZ254" s="950"/>
      <c r="BA254" s="952"/>
      <c r="BB254" s="990"/>
      <c r="BC254" s="991"/>
      <c r="BD254" s="952"/>
      <c r="BE254" s="952"/>
      <c r="BF254" s="952"/>
      <c r="BG254" s="952"/>
      <c r="BH254" s="952"/>
      <c r="BI254" s="992"/>
      <c r="BJ254" s="952"/>
      <c r="BK254" s="992"/>
      <c r="BL254" s="952"/>
      <c r="BM254" s="952"/>
      <c r="BN254" s="952"/>
      <c r="BO254" s="952"/>
      <c r="BP254" s="965"/>
      <c r="BQ254" s="993"/>
      <c r="BR254" s="994"/>
      <c r="BS254" s="993"/>
      <c r="BT254" s="995"/>
      <c r="BU254" s="995"/>
      <c r="BV254" s="996"/>
      <c r="BW254" s="996"/>
      <c r="BX254" s="996"/>
      <c r="BY254" s="996"/>
      <c r="BZ254" s="996"/>
      <c r="CA254" s="996"/>
      <c r="CB254" s="965"/>
      <c r="CC254" s="965"/>
    </row>
    <row r="255">
      <c r="A255" s="84"/>
      <c r="B255" s="84"/>
      <c r="C255" s="348"/>
      <c r="D255" s="348"/>
      <c r="E255" s="84"/>
      <c r="F255" s="84"/>
      <c r="G255" s="84"/>
      <c r="H255" s="84"/>
      <c r="I255" s="84"/>
      <c r="J255" s="947"/>
      <c r="K255" s="947"/>
      <c r="L255" s="947"/>
      <c r="M255" s="947"/>
      <c r="N255" s="947"/>
      <c r="O255" s="947"/>
      <c r="P255" s="947"/>
      <c r="Q255" s="947"/>
      <c r="R255" s="937"/>
      <c r="S255" s="937"/>
      <c r="T255" s="947"/>
      <c r="U255" s="947"/>
      <c r="V255" s="938"/>
      <c r="W255" s="947"/>
      <c r="X255" s="939"/>
      <c r="Y255" s="947"/>
      <c r="Z255" s="947"/>
      <c r="AA255" s="938"/>
      <c r="AB255" s="947"/>
      <c r="AC255" s="947"/>
      <c r="AD255" s="947"/>
      <c r="AE255" s="947"/>
      <c r="AF255" s="947"/>
      <c r="AG255" s="947"/>
      <c r="AH255" s="948"/>
      <c r="AI255" s="947"/>
      <c r="AJ255" s="947"/>
      <c r="AK255" s="947"/>
      <c r="AL255" s="947"/>
      <c r="AM255" s="947"/>
      <c r="AN255" s="947"/>
      <c r="AO255" s="947"/>
      <c r="AP255" s="947"/>
      <c r="AQ255" s="947"/>
      <c r="AR255" s="938"/>
      <c r="AS255" s="937"/>
      <c r="AT255" s="948"/>
      <c r="AU255" s="947"/>
      <c r="AV255" s="981"/>
      <c r="AW255" s="950"/>
      <c r="AX255" s="950"/>
      <c r="AY255" s="951"/>
      <c r="AZ255" s="950"/>
      <c r="BA255" s="952"/>
      <c r="BB255" s="990"/>
      <c r="BC255" s="991"/>
      <c r="BD255" s="952"/>
      <c r="BE255" s="952"/>
      <c r="BF255" s="952"/>
      <c r="BG255" s="952"/>
      <c r="BH255" s="952"/>
      <c r="BI255" s="992"/>
      <c r="BJ255" s="952"/>
      <c r="BK255" s="992"/>
      <c r="BL255" s="952"/>
      <c r="BM255" s="952"/>
      <c r="BN255" s="952"/>
      <c r="BO255" s="952"/>
      <c r="BP255" s="965"/>
      <c r="BQ255" s="993"/>
      <c r="BR255" s="994"/>
      <c r="BS255" s="993"/>
      <c r="BT255" s="995"/>
      <c r="BU255" s="995"/>
      <c r="BV255" s="996"/>
      <c r="BW255" s="996"/>
      <c r="BX255" s="996"/>
      <c r="BY255" s="996"/>
      <c r="BZ255" s="996"/>
      <c r="CA255" s="996"/>
      <c r="CB255" s="965"/>
      <c r="CC255" s="965"/>
    </row>
    <row r="256">
      <c r="A256" s="84"/>
      <c r="B256" s="84"/>
      <c r="C256" s="348"/>
      <c r="D256" s="348"/>
      <c r="E256" s="84"/>
      <c r="F256" s="84"/>
      <c r="G256" s="84"/>
      <c r="H256" s="84"/>
      <c r="I256" s="84"/>
      <c r="J256" s="947"/>
      <c r="K256" s="947"/>
      <c r="L256" s="947"/>
      <c r="M256" s="947"/>
      <c r="N256" s="947"/>
      <c r="O256" s="947"/>
      <c r="P256" s="947"/>
      <c r="Q256" s="947"/>
      <c r="R256" s="937"/>
      <c r="S256" s="937"/>
      <c r="T256" s="947"/>
      <c r="U256" s="947"/>
      <c r="V256" s="938"/>
      <c r="W256" s="947"/>
      <c r="X256" s="939"/>
      <c r="Y256" s="947"/>
      <c r="Z256" s="947"/>
      <c r="AA256" s="938"/>
      <c r="AB256" s="947"/>
      <c r="AC256" s="947"/>
      <c r="AD256" s="947"/>
      <c r="AE256" s="947"/>
      <c r="AF256" s="947"/>
      <c r="AG256" s="947"/>
      <c r="AH256" s="948"/>
      <c r="AI256" s="947"/>
      <c r="AJ256" s="947"/>
      <c r="AK256" s="947"/>
      <c r="AL256" s="947"/>
      <c r="AM256" s="947"/>
      <c r="AN256" s="947"/>
      <c r="AO256" s="947"/>
      <c r="AP256" s="947"/>
      <c r="AQ256" s="947"/>
      <c r="AR256" s="938"/>
      <c r="AS256" s="937"/>
      <c r="AT256" s="948"/>
      <c r="AU256" s="947"/>
      <c r="AV256" s="981"/>
      <c r="AW256" s="950"/>
      <c r="AX256" s="950"/>
      <c r="AY256" s="951"/>
      <c r="AZ256" s="950"/>
      <c r="BA256" s="952"/>
      <c r="BB256" s="990"/>
      <c r="BC256" s="991"/>
      <c r="BD256" s="952"/>
      <c r="BE256" s="952"/>
      <c r="BF256" s="952"/>
      <c r="BG256" s="952"/>
      <c r="BH256" s="952"/>
      <c r="BI256" s="992"/>
      <c r="BJ256" s="952"/>
      <c r="BK256" s="992"/>
      <c r="BL256" s="952"/>
      <c r="BM256" s="952"/>
      <c r="BN256" s="952"/>
      <c r="BO256" s="952"/>
      <c r="BP256" s="965"/>
      <c r="BQ256" s="993"/>
      <c r="BR256" s="994"/>
      <c r="BS256" s="993"/>
      <c r="BT256" s="995"/>
      <c r="BU256" s="995"/>
      <c r="BV256" s="996"/>
      <c r="BW256" s="996"/>
      <c r="BX256" s="996"/>
      <c r="BY256" s="996"/>
      <c r="BZ256" s="996"/>
      <c r="CA256" s="996"/>
      <c r="CB256" s="965"/>
      <c r="CC256" s="965"/>
    </row>
    <row r="257">
      <c r="A257" s="84"/>
      <c r="B257" s="84"/>
      <c r="C257" s="348"/>
      <c r="D257" s="348"/>
      <c r="E257" s="84"/>
      <c r="F257" s="84"/>
      <c r="G257" s="84"/>
      <c r="H257" s="84"/>
      <c r="I257" s="84"/>
      <c r="J257" s="947"/>
      <c r="K257" s="947"/>
      <c r="L257" s="947"/>
      <c r="M257" s="947"/>
      <c r="N257" s="947"/>
      <c r="O257" s="947"/>
      <c r="P257" s="947"/>
      <c r="Q257" s="947"/>
      <c r="R257" s="937"/>
      <c r="S257" s="937"/>
      <c r="T257" s="947"/>
      <c r="U257" s="947"/>
      <c r="V257" s="938"/>
      <c r="W257" s="947"/>
      <c r="X257" s="939"/>
      <c r="Y257" s="947"/>
      <c r="Z257" s="947"/>
      <c r="AA257" s="938"/>
      <c r="AB257" s="947"/>
      <c r="AC257" s="947"/>
      <c r="AD257" s="947"/>
      <c r="AE257" s="947"/>
      <c r="AF257" s="947"/>
      <c r="AG257" s="947"/>
      <c r="AH257" s="948"/>
      <c r="AI257" s="947"/>
      <c r="AJ257" s="947"/>
      <c r="AK257" s="947"/>
      <c r="AL257" s="947"/>
      <c r="AM257" s="947"/>
      <c r="AN257" s="947"/>
      <c r="AO257" s="947"/>
      <c r="AP257" s="947"/>
      <c r="AQ257" s="947"/>
      <c r="AR257" s="938"/>
      <c r="AS257" s="937"/>
      <c r="AT257" s="948"/>
      <c r="AU257" s="947"/>
      <c r="AV257" s="981"/>
      <c r="AW257" s="950"/>
      <c r="AX257" s="950"/>
      <c r="AY257" s="951"/>
      <c r="AZ257" s="950"/>
      <c r="BA257" s="952"/>
      <c r="BB257" s="990"/>
      <c r="BC257" s="991"/>
      <c r="BD257" s="952"/>
      <c r="BE257" s="952"/>
      <c r="BF257" s="952"/>
      <c r="BG257" s="952"/>
      <c r="BH257" s="952"/>
      <c r="BI257" s="992"/>
      <c r="BJ257" s="952"/>
      <c r="BK257" s="992"/>
      <c r="BL257" s="952"/>
      <c r="BM257" s="952"/>
      <c r="BN257" s="952"/>
      <c r="BO257" s="952"/>
      <c r="BP257" s="965"/>
      <c r="BQ257" s="993"/>
      <c r="BR257" s="994"/>
      <c r="BS257" s="993"/>
      <c r="BT257" s="995"/>
      <c r="BU257" s="995"/>
      <c r="BV257" s="996"/>
      <c r="BW257" s="996"/>
      <c r="BX257" s="996"/>
      <c r="BY257" s="996"/>
      <c r="BZ257" s="996"/>
      <c r="CA257" s="996"/>
      <c r="CB257" s="965"/>
      <c r="CC257" s="965"/>
    </row>
    <row r="258">
      <c r="A258" s="84"/>
      <c r="B258" s="84"/>
      <c r="C258" s="348"/>
      <c r="D258" s="348"/>
      <c r="E258" s="84"/>
      <c r="F258" s="84"/>
      <c r="G258" s="84"/>
      <c r="H258" s="84"/>
      <c r="I258" s="84"/>
      <c r="J258" s="947"/>
      <c r="K258" s="947"/>
      <c r="L258" s="947"/>
      <c r="M258" s="947"/>
      <c r="N258" s="947"/>
      <c r="O258" s="947"/>
      <c r="P258" s="947"/>
      <c r="Q258" s="947"/>
      <c r="R258" s="937"/>
      <c r="S258" s="937"/>
      <c r="T258" s="947"/>
      <c r="U258" s="947"/>
      <c r="V258" s="938"/>
      <c r="W258" s="947"/>
      <c r="X258" s="939"/>
      <c r="Y258" s="947"/>
      <c r="Z258" s="947"/>
      <c r="AA258" s="938"/>
      <c r="AB258" s="947"/>
      <c r="AC258" s="947"/>
      <c r="AD258" s="947"/>
      <c r="AE258" s="947"/>
      <c r="AF258" s="947"/>
      <c r="AG258" s="947"/>
      <c r="AH258" s="948"/>
      <c r="AI258" s="947"/>
      <c r="AJ258" s="947"/>
      <c r="AK258" s="947"/>
      <c r="AL258" s="947"/>
      <c r="AM258" s="947"/>
      <c r="AN258" s="947"/>
      <c r="AO258" s="947"/>
      <c r="AP258" s="947"/>
      <c r="AQ258" s="947"/>
      <c r="AR258" s="938"/>
      <c r="AS258" s="937"/>
      <c r="AT258" s="948"/>
      <c r="AU258" s="947"/>
      <c r="AV258" s="981"/>
      <c r="AW258" s="950"/>
      <c r="AX258" s="950"/>
      <c r="AY258" s="951"/>
      <c r="AZ258" s="950"/>
      <c r="BA258" s="952"/>
      <c r="BB258" s="990"/>
      <c r="BC258" s="991"/>
      <c r="BD258" s="952"/>
      <c r="BE258" s="952"/>
      <c r="BF258" s="952"/>
      <c r="BG258" s="952"/>
      <c r="BH258" s="952"/>
      <c r="BI258" s="992"/>
      <c r="BJ258" s="952"/>
      <c r="BK258" s="992"/>
      <c r="BL258" s="952"/>
      <c r="BM258" s="952"/>
      <c r="BN258" s="952"/>
      <c r="BO258" s="952"/>
      <c r="BP258" s="965"/>
      <c r="BQ258" s="993"/>
      <c r="BR258" s="994"/>
      <c r="BS258" s="993"/>
      <c r="BT258" s="995"/>
      <c r="BU258" s="995"/>
      <c r="BV258" s="996"/>
      <c r="BW258" s="996"/>
      <c r="BX258" s="996"/>
      <c r="BY258" s="996"/>
      <c r="BZ258" s="996"/>
      <c r="CA258" s="996"/>
      <c r="CB258" s="965"/>
      <c r="CC258" s="965"/>
    </row>
    <row r="259">
      <c r="A259" s="84"/>
      <c r="B259" s="84"/>
      <c r="C259" s="348"/>
      <c r="D259" s="348"/>
      <c r="E259" s="84"/>
      <c r="F259" s="84"/>
      <c r="G259" s="84"/>
      <c r="H259" s="84"/>
      <c r="I259" s="84"/>
      <c r="J259" s="947"/>
      <c r="K259" s="947"/>
      <c r="L259" s="947"/>
      <c r="M259" s="947"/>
      <c r="N259" s="947"/>
      <c r="O259" s="947"/>
      <c r="P259" s="947"/>
      <c r="Q259" s="947"/>
      <c r="R259" s="937"/>
      <c r="S259" s="937"/>
      <c r="T259" s="947"/>
      <c r="U259" s="947"/>
      <c r="V259" s="938"/>
      <c r="W259" s="947"/>
      <c r="X259" s="939"/>
      <c r="Y259" s="947"/>
      <c r="Z259" s="947"/>
      <c r="AA259" s="938"/>
      <c r="AB259" s="947"/>
      <c r="AC259" s="947"/>
      <c r="AD259" s="947"/>
      <c r="AE259" s="947"/>
      <c r="AF259" s="947"/>
      <c r="AG259" s="947"/>
      <c r="AH259" s="948"/>
      <c r="AI259" s="947"/>
      <c r="AJ259" s="947"/>
      <c r="AK259" s="947"/>
      <c r="AL259" s="947"/>
      <c r="AM259" s="947"/>
      <c r="AN259" s="947"/>
      <c r="AO259" s="947"/>
      <c r="AP259" s="947"/>
      <c r="AQ259" s="947"/>
      <c r="AR259" s="938"/>
      <c r="AS259" s="937"/>
      <c r="AT259" s="948"/>
      <c r="AU259" s="947"/>
      <c r="AV259" s="981"/>
      <c r="AW259" s="950"/>
      <c r="AX259" s="950"/>
      <c r="AY259" s="951"/>
      <c r="AZ259" s="950"/>
      <c r="BA259" s="952"/>
      <c r="BB259" s="990"/>
      <c r="BC259" s="991"/>
      <c r="BD259" s="952"/>
      <c r="BE259" s="952"/>
      <c r="BF259" s="952"/>
      <c r="BG259" s="952"/>
      <c r="BH259" s="952"/>
      <c r="BI259" s="992"/>
      <c r="BJ259" s="952"/>
      <c r="BK259" s="992"/>
      <c r="BL259" s="952"/>
      <c r="BM259" s="952"/>
      <c r="BN259" s="952"/>
      <c r="BO259" s="952"/>
      <c r="BP259" s="965"/>
      <c r="BQ259" s="993"/>
      <c r="BR259" s="994"/>
      <c r="BS259" s="993"/>
      <c r="BT259" s="995"/>
      <c r="BU259" s="995"/>
      <c r="BV259" s="996"/>
      <c r="BW259" s="996"/>
      <c r="BX259" s="996"/>
      <c r="BY259" s="996"/>
      <c r="BZ259" s="996"/>
      <c r="CA259" s="996"/>
      <c r="CB259" s="965"/>
      <c r="CC259" s="965"/>
    </row>
    <row r="260">
      <c r="A260" s="84"/>
      <c r="B260" s="84"/>
      <c r="C260" s="348"/>
      <c r="D260" s="348"/>
      <c r="E260" s="84"/>
      <c r="F260" s="84"/>
      <c r="G260" s="84"/>
      <c r="H260" s="84"/>
      <c r="I260" s="84"/>
      <c r="J260" s="947"/>
      <c r="K260" s="947"/>
      <c r="L260" s="947"/>
      <c r="M260" s="947"/>
      <c r="N260" s="947"/>
      <c r="O260" s="947"/>
      <c r="P260" s="947"/>
      <c r="Q260" s="947"/>
      <c r="R260" s="937"/>
      <c r="S260" s="937"/>
      <c r="T260" s="947"/>
      <c r="U260" s="947"/>
      <c r="V260" s="938"/>
      <c r="W260" s="947"/>
      <c r="X260" s="939"/>
      <c r="Y260" s="947"/>
      <c r="Z260" s="947"/>
      <c r="AA260" s="938"/>
      <c r="AB260" s="947"/>
      <c r="AC260" s="947"/>
      <c r="AD260" s="947"/>
      <c r="AE260" s="947"/>
      <c r="AF260" s="947"/>
      <c r="AG260" s="947"/>
      <c r="AH260" s="948"/>
      <c r="AI260" s="947"/>
      <c r="AJ260" s="947"/>
      <c r="AK260" s="947"/>
      <c r="AL260" s="947"/>
      <c r="AM260" s="947"/>
      <c r="AN260" s="947"/>
      <c r="AO260" s="947"/>
      <c r="AP260" s="947"/>
      <c r="AQ260" s="947"/>
      <c r="AR260" s="938"/>
      <c r="AS260" s="937"/>
      <c r="AT260" s="948"/>
      <c r="AU260" s="947"/>
      <c r="AV260" s="981"/>
      <c r="AW260" s="950"/>
      <c r="AX260" s="950"/>
      <c r="AY260" s="951"/>
      <c r="AZ260" s="950"/>
      <c r="BA260" s="952"/>
      <c r="BB260" s="990"/>
      <c r="BC260" s="991"/>
      <c r="BD260" s="952"/>
      <c r="BE260" s="952"/>
      <c r="BF260" s="952"/>
      <c r="BG260" s="952"/>
      <c r="BH260" s="952"/>
      <c r="BI260" s="992"/>
      <c r="BJ260" s="952"/>
      <c r="BK260" s="992"/>
      <c r="BL260" s="952"/>
      <c r="BM260" s="952"/>
      <c r="BN260" s="952"/>
      <c r="BO260" s="952"/>
      <c r="BP260" s="965"/>
      <c r="BQ260" s="993"/>
      <c r="BR260" s="994"/>
      <c r="BS260" s="993"/>
      <c r="BT260" s="995"/>
      <c r="BU260" s="995"/>
      <c r="BV260" s="996"/>
      <c r="BW260" s="996"/>
      <c r="BX260" s="996"/>
      <c r="BY260" s="996"/>
      <c r="BZ260" s="996"/>
      <c r="CA260" s="996"/>
      <c r="CB260" s="965"/>
      <c r="CC260" s="965"/>
    </row>
    <row r="261">
      <c r="A261" s="84"/>
      <c r="B261" s="84"/>
      <c r="C261" s="348"/>
      <c r="D261" s="348"/>
      <c r="E261" s="84"/>
      <c r="F261" s="84"/>
      <c r="G261" s="84"/>
      <c r="H261" s="84"/>
      <c r="I261" s="84"/>
      <c r="J261" s="947"/>
      <c r="K261" s="947"/>
      <c r="L261" s="947"/>
      <c r="M261" s="947"/>
      <c r="N261" s="947"/>
      <c r="O261" s="947"/>
      <c r="P261" s="947"/>
      <c r="Q261" s="947"/>
      <c r="R261" s="937"/>
      <c r="S261" s="937"/>
      <c r="T261" s="947"/>
      <c r="U261" s="947"/>
      <c r="V261" s="938"/>
      <c r="W261" s="947"/>
      <c r="X261" s="939"/>
      <c r="Y261" s="947"/>
      <c r="Z261" s="947"/>
      <c r="AA261" s="938"/>
      <c r="AB261" s="947"/>
      <c r="AC261" s="947"/>
      <c r="AD261" s="947"/>
      <c r="AE261" s="947"/>
      <c r="AF261" s="947"/>
      <c r="AG261" s="947"/>
      <c r="AH261" s="948"/>
      <c r="AI261" s="947"/>
      <c r="AJ261" s="947"/>
      <c r="AK261" s="947"/>
      <c r="AL261" s="947"/>
      <c r="AM261" s="947"/>
      <c r="AN261" s="947"/>
      <c r="AO261" s="947"/>
      <c r="AP261" s="947"/>
      <c r="AQ261" s="947"/>
      <c r="AR261" s="938"/>
      <c r="AS261" s="937"/>
      <c r="AT261" s="948"/>
      <c r="AU261" s="947"/>
      <c r="AV261" s="981"/>
      <c r="AW261" s="950"/>
      <c r="AX261" s="950"/>
      <c r="AY261" s="951"/>
      <c r="AZ261" s="950"/>
      <c r="BA261" s="952"/>
      <c r="BB261" s="990"/>
      <c r="BC261" s="991"/>
      <c r="BD261" s="952"/>
      <c r="BE261" s="952"/>
      <c r="BF261" s="952"/>
      <c r="BG261" s="952"/>
      <c r="BH261" s="952"/>
      <c r="BI261" s="992"/>
      <c r="BJ261" s="952"/>
      <c r="BK261" s="992"/>
      <c r="BL261" s="952"/>
      <c r="BM261" s="952"/>
      <c r="BN261" s="952"/>
      <c r="BO261" s="952"/>
      <c r="BP261" s="965"/>
      <c r="BQ261" s="993"/>
      <c r="BR261" s="994"/>
      <c r="BS261" s="993"/>
      <c r="BT261" s="995"/>
      <c r="BU261" s="995"/>
      <c r="BV261" s="996"/>
      <c r="BW261" s="996"/>
      <c r="BX261" s="996"/>
      <c r="BY261" s="996"/>
      <c r="BZ261" s="996"/>
      <c r="CA261" s="996"/>
      <c r="CB261" s="965"/>
      <c r="CC261" s="965"/>
    </row>
    <row r="262">
      <c r="A262" s="84"/>
      <c r="B262" s="84"/>
      <c r="C262" s="348"/>
      <c r="D262" s="348"/>
      <c r="E262" s="84"/>
      <c r="F262" s="84"/>
      <c r="G262" s="84"/>
      <c r="H262" s="84"/>
      <c r="I262" s="84"/>
      <c r="J262" s="947"/>
      <c r="K262" s="947"/>
      <c r="L262" s="947"/>
      <c r="M262" s="947"/>
      <c r="N262" s="947"/>
      <c r="O262" s="947"/>
      <c r="P262" s="947"/>
      <c r="Q262" s="947"/>
      <c r="R262" s="937"/>
      <c r="S262" s="937"/>
      <c r="T262" s="947"/>
      <c r="U262" s="947"/>
      <c r="V262" s="938"/>
      <c r="W262" s="947"/>
      <c r="X262" s="939"/>
      <c r="Y262" s="947"/>
      <c r="Z262" s="947"/>
      <c r="AA262" s="938"/>
      <c r="AB262" s="947"/>
      <c r="AC262" s="947"/>
      <c r="AD262" s="947"/>
      <c r="AE262" s="947"/>
      <c r="AF262" s="947"/>
      <c r="AG262" s="947"/>
      <c r="AH262" s="948"/>
      <c r="AI262" s="947"/>
      <c r="AJ262" s="947"/>
      <c r="AK262" s="947"/>
      <c r="AL262" s="947"/>
      <c r="AM262" s="947"/>
      <c r="AN262" s="947"/>
      <c r="AO262" s="947"/>
      <c r="AP262" s="947"/>
      <c r="AQ262" s="947"/>
      <c r="AR262" s="938"/>
      <c r="AS262" s="937"/>
      <c r="AT262" s="948"/>
      <c r="AU262" s="947"/>
      <c r="AV262" s="981"/>
      <c r="AW262" s="950"/>
      <c r="AX262" s="950"/>
      <c r="AY262" s="951"/>
      <c r="AZ262" s="950"/>
      <c r="BA262" s="952"/>
      <c r="BB262" s="990"/>
      <c r="BC262" s="991"/>
      <c r="BD262" s="952"/>
      <c r="BE262" s="952"/>
      <c r="BF262" s="952"/>
      <c r="BG262" s="952"/>
      <c r="BH262" s="952"/>
      <c r="BI262" s="992"/>
      <c r="BJ262" s="952"/>
      <c r="BK262" s="992"/>
      <c r="BL262" s="952"/>
      <c r="BM262" s="952"/>
      <c r="BN262" s="952"/>
      <c r="BO262" s="952"/>
      <c r="BP262" s="965"/>
      <c r="BQ262" s="993"/>
      <c r="BR262" s="994"/>
      <c r="BS262" s="993"/>
      <c r="BT262" s="995"/>
      <c r="BU262" s="995"/>
      <c r="BV262" s="996"/>
      <c r="BW262" s="996"/>
      <c r="BX262" s="996"/>
      <c r="BY262" s="996"/>
      <c r="BZ262" s="996"/>
      <c r="CA262" s="996"/>
      <c r="CB262" s="965"/>
      <c r="CC262" s="965"/>
    </row>
    <row r="263">
      <c r="A263" s="84"/>
      <c r="B263" s="84"/>
      <c r="C263" s="348"/>
      <c r="D263" s="348"/>
      <c r="E263" s="84"/>
      <c r="F263" s="84"/>
      <c r="G263" s="84"/>
      <c r="H263" s="84"/>
      <c r="I263" s="84"/>
      <c r="J263" s="947"/>
      <c r="K263" s="947"/>
      <c r="L263" s="947"/>
      <c r="M263" s="947"/>
      <c r="N263" s="947"/>
      <c r="O263" s="947"/>
      <c r="P263" s="947"/>
      <c r="Q263" s="947"/>
      <c r="R263" s="937"/>
      <c r="S263" s="937"/>
      <c r="T263" s="947"/>
      <c r="U263" s="947"/>
      <c r="V263" s="938"/>
      <c r="W263" s="947"/>
      <c r="X263" s="939"/>
      <c r="Y263" s="947"/>
      <c r="Z263" s="947"/>
      <c r="AA263" s="938"/>
      <c r="AB263" s="947"/>
      <c r="AC263" s="947"/>
      <c r="AD263" s="947"/>
      <c r="AE263" s="947"/>
      <c r="AF263" s="947"/>
      <c r="AG263" s="947"/>
      <c r="AH263" s="948"/>
      <c r="AI263" s="947"/>
      <c r="AJ263" s="947"/>
      <c r="AK263" s="947"/>
      <c r="AL263" s="947"/>
      <c r="AM263" s="947"/>
      <c r="AN263" s="947"/>
      <c r="AO263" s="947"/>
      <c r="AP263" s="947"/>
      <c r="AQ263" s="947"/>
      <c r="AR263" s="938"/>
      <c r="AS263" s="937"/>
      <c r="AT263" s="948"/>
      <c r="AU263" s="947"/>
      <c r="AV263" s="981"/>
      <c r="AW263" s="950"/>
      <c r="AX263" s="950"/>
      <c r="AY263" s="951"/>
      <c r="AZ263" s="950"/>
      <c r="BA263" s="952"/>
      <c r="BB263" s="990"/>
      <c r="BC263" s="991"/>
      <c r="BD263" s="952"/>
      <c r="BE263" s="952"/>
      <c r="BF263" s="952"/>
      <c r="BG263" s="952"/>
      <c r="BH263" s="952"/>
      <c r="BI263" s="992"/>
      <c r="BJ263" s="952"/>
      <c r="BK263" s="992"/>
      <c r="BL263" s="952"/>
      <c r="BM263" s="952"/>
      <c r="BN263" s="952"/>
      <c r="BO263" s="952"/>
      <c r="BP263" s="965"/>
      <c r="BQ263" s="993"/>
      <c r="BR263" s="994"/>
      <c r="BS263" s="993"/>
      <c r="BT263" s="995"/>
      <c r="BU263" s="995"/>
      <c r="BV263" s="996"/>
      <c r="BW263" s="996"/>
      <c r="BX263" s="996"/>
      <c r="BY263" s="996"/>
      <c r="BZ263" s="996"/>
      <c r="CA263" s="996"/>
      <c r="CB263" s="965"/>
      <c r="CC263" s="965"/>
    </row>
    <row r="264">
      <c r="A264" s="84"/>
      <c r="B264" s="84"/>
      <c r="C264" s="348"/>
      <c r="D264" s="348"/>
      <c r="E264" s="84"/>
      <c r="F264" s="84"/>
      <c r="G264" s="84"/>
      <c r="H264" s="84"/>
      <c r="I264" s="84"/>
      <c r="J264" s="947"/>
      <c r="K264" s="947"/>
      <c r="L264" s="947"/>
      <c r="M264" s="947"/>
      <c r="N264" s="947"/>
      <c r="O264" s="947"/>
      <c r="P264" s="947"/>
      <c r="Q264" s="947"/>
      <c r="R264" s="937"/>
      <c r="S264" s="937"/>
      <c r="T264" s="947"/>
      <c r="U264" s="947"/>
      <c r="V264" s="938"/>
      <c r="W264" s="947"/>
      <c r="X264" s="939"/>
      <c r="Y264" s="947"/>
      <c r="Z264" s="947"/>
      <c r="AA264" s="938"/>
      <c r="AB264" s="947"/>
      <c r="AC264" s="947"/>
      <c r="AD264" s="947"/>
      <c r="AE264" s="947"/>
      <c r="AF264" s="947"/>
      <c r="AG264" s="947"/>
      <c r="AH264" s="948"/>
      <c r="AI264" s="947"/>
      <c r="AJ264" s="947"/>
      <c r="AK264" s="947"/>
      <c r="AL264" s="947"/>
      <c r="AM264" s="947"/>
      <c r="AN264" s="947"/>
      <c r="AO264" s="947"/>
      <c r="AP264" s="947"/>
      <c r="AQ264" s="947"/>
      <c r="AR264" s="938"/>
      <c r="AS264" s="937"/>
      <c r="AT264" s="948"/>
      <c r="AU264" s="947"/>
      <c r="AV264" s="981"/>
      <c r="AW264" s="950"/>
      <c r="AX264" s="950"/>
      <c r="AY264" s="951"/>
      <c r="AZ264" s="950"/>
      <c r="BA264" s="952"/>
      <c r="BB264" s="990"/>
      <c r="BC264" s="991"/>
      <c r="BD264" s="952"/>
      <c r="BE264" s="952"/>
      <c r="BF264" s="952"/>
      <c r="BG264" s="952"/>
      <c r="BH264" s="952"/>
      <c r="BI264" s="992"/>
      <c r="BJ264" s="952"/>
      <c r="BK264" s="992"/>
      <c r="BL264" s="952"/>
      <c r="BM264" s="952"/>
      <c r="BN264" s="952"/>
      <c r="BO264" s="952"/>
      <c r="BP264" s="965"/>
      <c r="BQ264" s="993"/>
      <c r="BR264" s="994"/>
      <c r="BS264" s="993"/>
      <c r="BT264" s="995"/>
      <c r="BU264" s="995"/>
      <c r="BV264" s="996"/>
      <c r="BW264" s="996"/>
      <c r="BX264" s="996"/>
      <c r="BY264" s="996"/>
      <c r="BZ264" s="996"/>
      <c r="CA264" s="996"/>
      <c r="CB264" s="965"/>
      <c r="CC264" s="965"/>
    </row>
    <row r="265">
      <c r="A265" s="84"/>
      <c r="B265" s="84"/>
      <c r="C265" s="348"/>
      <c r="D265" s="348"/>
      <c r="E265" s="84"/>
      <c r="F265" s="84"/>
      <c r="G265" s="84"/>
      <c r="H265" s="84"/>
      <c r="I265" s="84"/>
      <c r="J265" s="947"/>
      <c r="K265" s="947"/>
      <c r="L265" s="947"/>
      <c r="M265" s="947"/>
      <c r="N265" s="947"/>
      <c r="O265" s="947"/>
      <c r="P265" s="947"/>
      <c r="Q265" s="947"/>
      <c r="R265" s="937"/>
      <c r="S265" s="937"/>
      <c r="T265" s="947"/>
      <c r="U265" s="947"/>
      <c r="V265" s="938"/>
      <c r="W265" s="947"/>
      <c r="X265" s="939"/>
      <c r="Y265" s="947"/>
      <c r="Z265" s="947"/>
      <c r="AA265" s="938"/>
      <c r="AB265" s="947"/>
      <c r="AC265" s="947"/>
      <c r="AD265" s="947"/>
      <c r="AE265" s="947"/>
      <c r="AF265" s="947"/>
      <c r="AG265" s="947"/>
      <c r="AH265" s="948"/>
      <c r="AI265" s="947"/>
      <c r="AJ265" s="947"/>
      <c r="AK265" s="947"/>
      <c r="AL265" s="947"/>
      <c r="AM265" s="947"/>
      <c r="AN265" s="947"/>
      <c r="AO265" s="947"/>
      <c r="AP265" s="947"/>
      <c r="AQ265" s="947"/>
      <c r="AR265" s="938"/>
      <c r="AS265" s="937"/>
      <c r="AT265" s="948"/>
      <c r="AU265" s="947"/>
      <c r="AV265" s="981"/>
      <c r="AW265" s="950"/>
      <c r="AX265" s="950"/>
      <c r="AY265" s="951"/>
      <c r="AZ265" s="950"/>
      <c r="BA265" s="952"/>
      <c r="BB265" s="990"/>
      <c r="BC265" s="991"/>
      <c r="BD265" s="952"/>
      <c r="BE265" s="952"/>
      <c r="BF265" s="952"/>
      <c r="BG265" s="952"/>
      <c r="BH265" s="952"/>
      <c r="BI265" s="992"/>
      <c r="BJ265" s="952"/>
      <c r="BK265" s="992"/>
      <c r="BL265" s="952"/>
      <c r="BM265" s="952"/>
      <c r="BN265" s="952"/>
      <c r="BO265" s="952"/>
      <c r="BP265" s="965"/>
      <c r="BQ265" s="993"/>
      <c r="BR265" s="994"/>
      <c r="BS265" s="993"/>
      <c r="BT265" s="995"/>
      <c r="BU265" s="995"/>
      <c r="BV265" s="996"/>
      <c r="BW265" s="996"/>
      <c r="BX265" s="996"/>
      <c r="BY265" s="996"/>
      <c r="BZ265" s="996"/>
      <c r="CA265" s="996"/>
      <c r="CB265" s="965"/>
      <c r="CC265" s="965"/>
    </row>
    <row r="266">
      <c r="A266" s="84"/>
      <c r="B266" s="84"/>
      <c r="C266" s="348"/>
      <c r="D266" s="348"/>
      <c r="E266" s="84"/>
      <c r="F266" s="84"/>
      <c r="G266" s="84"/>
      <c r="H266" s="84"/>
      <c r="I266" s="84"/>
      <c r="J266" s="947"/>
      <c r="K266" s="947"/>
      <c r="L266" s="947"/>
      <c r="M266" s="947"/>
      <c r="N266" s="947"/>
      <c r="O266" s="947"/>
      <c r="P266" s="947"/>
      <c r="Q266" s="947"/>
      <c r="R266" s="937"/>
      <c r="S266" s="937"/>
      <c r="T266" s="947"/>
      <c r="U266" s="947"/>
      <c r="V266" s="938"/>
      <c r="W266" s="947"/>
      <c r="X266" s="939"/>
      <c r="Y266" s="947"/>
      <c r="Z266" s="947"/>
      <c r="AA266" s="938"/>
      <c r="AB266" s="947"/>
      <c r="AC266" s="947"/>
      <c r="AD266" s="947"/>
      <c r="AE266" s="947"/>
      <c r="AF266" s="947"/>
      <c r="AG266" s="947"/>
      <c r="AH266" s="948"/>
      <c r="AI266" s="947"/>
      <c r="AJ266" s="947"/>
      <c r="AK266" s="947"/>
      <c r="AL266" s="947"/>
      <c r="AM266" s="947"/>
      <c r="AN266" s="947"/>
      <c r="AO266" s="947"/>
      <c r="AP266" s="947"/>
      <c r="AQ266" s="947"/>
      <c r="AR266" s="938"/>
      <c r="AS266" s="937"/>
      <c r="AT266" s="948"/>
      <c r="AU266" s="947"/>
      <c r="AV266" s="981"/>
      <c r="AW266" s="950"/>
      <c r="AX266" s="950"/>
      <c r="AY266" s="951"/>
      <c r="AZ266" s="950"/>
      <c r="BA266" s="952"/>
      <c r="BB266" s="990"/>
      <c r="BC266" s="991"/>
      <c r="BD266" s="952"/>
      <c r="BE266" s="952"/>
      <c r="BF266" s="952"/>
      <c r="BG266" s="952"/>
      <c r="BH266" s="952"/>
      <c r="BI266" s="992"/>
      <c r="BJ266" s="952"/>
      <c r="BK266" s="992"/>
      <c r="BL266" s="952"/>
      <c r="BM266" s="952"/>
      <c r="BN266" s="952"/>
      <c r="BO266" s="952"/>
      <c r="BP266" s="965"/>
      <c r="BQ266" s="993"/>
      <c r="BR266" s="994"/>
      <c r="BS266" s="993"/>
      <c r="BT266" s="995"/>
      <c r="BU266" s="995"/>
      <c r="BV266" s="996"/>
      <c r="BW266" s="996"/>
      <c r="BX266" s="996"/>
      <c r="BY266" s="996"/>
      <c r="BZ266" s="996"/>
      <c r="CA266" s="996"/>
      <c r="CB266" s="965"/>
      <c r="CC266" s="965"/>
    </row>
    <row r="267">
      <c r="A267" s="84"/>
      <c r="B267" s="84"/>
      <c r="C267" s="348"/>
      <c r="D267" s="348"/>
      <c r="E267" s="84"/>
      <c r="F267" s="84"/>
      <c r="G267" s="84"/>
      <c r="H267" s="84"/>
      <c r="I267" s="84"/>
      <c r="J267" s="947"/>
      <c r="K267" s="947"/>
      <c r="L267" s="947"/>
      <c r="M267" s="947"/>
      <c r="N267" s="947"/>
      <c r="O267" s="947"/>
      <c r="P267" s="947"/>
      <c r="Q267" s="947"/>
      <c r="R267" s="937"/>
      <c r="S267" s="937"/>
      <c r="T267" s="947"/>
      <c r="U267" s="947"/>
      <c r="V267" s="938"/>
      <c r="W267" s="947"/>
      <c r="X267" s="939"/>
      <c r="Y267" s="947"/>
      <c r="Z267" s="947"/>
      <c r="AA267" s="938"/>
      <c r="AB267" s="947"/>
      <c r="AC267" s="947"/>
      <c r="AD267" s="947"/>
      <c r="AE267" s="947"/>
      <c r="AF267" s="947"/>
      <c r="AG267" s="947"/>
      <c r="AH267" s="948"/>
      <c r="AI267" s="947"/>
      <c r="AJ267" s="947"/>
      <c r="AK267" s="947"/>
      <c r="AL267" s="947"/>
      <c r="AM267" s="947"/>
      <c r="AN267" s="947"/>
      <c r="AO267" s="947"/>
      <c r="AP267" s="947"/>
      <c r="AQ267" s="947"/>
      <c r="AR267" s="938"/>
      <c r="AS267" s="937"/>
      <c r="AT267" s="948"/>
      <c r="AU267" s="947"/>
      <c r="AV267" s="981"/>
      <c r="AW267" s="950"/>
      <c r="AX267" s="950"/>
      <c r="AY267" s="951"/>
      <c r="AZ267" s="950"/>
      <c r="BA267" s="952"/>
      <c r="BB267" s="990"/>
      <c r="BC267" s="991"/>
      <c r="BD267" s="952"/>
      <c r="BE267" s="952"/>
      <c r="BF267" s="952"/>
      <c r="BG267" s="952"/>
      <c r="BH267" s="952"/>
      <c r="BI267" s="992"/>
      <c r="BJ267" s="952"/>
      <c r="BK267" s="992"/>
      <c r="BL267" s="952"/>
      <c r="BM267" s="952"/>
      <c r="BN267" s="952"/>
      <c r="BO267" s="952"/>
      <c r="BP267" s="965"/>
      <c r="BQ267" s="993"/>
      <c r="BR267" s="994"/>
      <c r="BS267" s="993"/>
      <c r="BT267" s="995"/>
      <c r="BU267" s="995"/>
      <c r="BV267" s="996"/>
      <c r="BW267" s="996"/>
      <c r="BX267" s="996"/>
      <c r="BY267" s="996"/>
      <c r="BZ267" s="996"/>
      <c r="CA267" s="996"/>
      <c r="CB267" s="965"/>
      <c r="CC267" s="965"/>
    </row>
    <row r="268">
      <c r="A268" s="84"/>
      <c r="B268" s="84"/>
      <c r="C268" s="348"/>
      <c r="D268" s="348"/>
      <c r="E268" s="84"/>
      <c r="F268" s="84"/>
      <c r="G268" s="84"/>
      <c r="H268" s="84"/>
      <c r="I268" s="84"/>
      <c r="J268" s="947"/>
      <c r="K268" s="947"/>
      <c r="L268" s="947"/>
      <c r="M268" s="947"/>
      <c r="N268" s="947"/>
      <c r="O268" s="947"/>
      <c r="P268" s="947"/>
      <c r="Q268" s="947"/>
      <c r="R268" s="937"/>
      <c r="S268" s="937"/>
      <c r="T268" s="947"/>
      <c r="U268" s="947"/>
      <c r="V268" s="938"/>
      <c r="W268" s="947"/>
      <c r="X268" s="939"/>
      <c r="Y268" s="947"/>
      <c r="Z268" s="947"/>
      <c r="AA268" s="938"/>
      <c r="AB268" s="947"/>
      <c r="AC268" s="947"/>
      <c r="AD268" s="947"/>
      <c r="AE268" s="947"/>
      <c r="AF268" s="947"/>
      <c r="AG268" s="947"/>
      <c r="AH268" s="948"/>
      <c r="AI268" s="947"/>
      <c r="AJ268" s="947"/>
      <c r="AK268" s="947"/>
      <c r="AL268" s="947"/>
      <c r="AM268" s="947"/>
      <c r="AN268" s="947"/>
      <c r="AO268" s="947"/>
      <c r="AP268" s="947"/>
      <c r="AQ268" s="947"/>
      <c r="AR268" s="938"/>
      <c r="AS268" s="937"/>
      <c r="AT268" s="948"/>
      <c r="AU268" s="947"/>
      <c r="AV268" s="981"/>
      <c r="AW268" s="950"/>
      <c r="AX268" s="950"/>
      <c r="AY268" s="951"/>
      <c r="AZ268" s="950"/>
      <c r="BA268" s="952"/>
      <c r="BB268" s="990"/>
      <c r="BC268" s="991"/>
      <c r="BD268" s="952"/>
      <c r="BE268" s="952"/>
      <c r="BF268" s="952"/>
      <c r="BG268" s="952"/>
      <c r="BH268" s="952"/>
      <c r="BI268" s="992"/>
      <c r="BJ268" s="952"/>
      <c r="BK268" s="992"/>
      <c r="BL268" s="952"/>
      <c r="BM268" s="952"/>
      <c r="BN268" s="952"/>
      <c r="BO268" s="952"/>
      <c r="BP268" s="965"/>
      <c r="BQ268" s="993"/>
      <c r="BR268" s="994"/>
      <c r="BS268" s="993"/>
      <c r="BT268" s="995"/>
      <c r="BU268" s="995"/>
      <c r="BV268" s="996"/>
      <c r="BW268" s="996"/>
      <c r="BX268" s="996"/>
      <c r="BY268" s="996"/>
      <c r="BZ268" s="996"/>
      <c r="CA268" s="996"/>
      <c r="CB268" s="965"/>
      <c r="CC268" s="965"/>
    </row>
    <row r="269">
      <c r="A269" s="84"/>
      <c r="B269" s="84"/>
      <c r="C269" s="348"/>
      <c r="D269" s="348"/>
      <c r="E269" s="84"/>
      <c r="F269" s="84"/>
      <c r="G269" s="84"/>
      <c r="H269" s="84"/>
      <c r="I269" s="84"/>
      <c r="J269" s="947"/>
      <c r="K269" s="947"/>
      <c r="L269" s="947"/>
      <c r="M269" s="947"/>
      <c r="N269" s="947"/>
      <c r="O269" s="947"/>
      <c r="P269" s="947"/>
      <c r="Q269" s="947"/>
      <c r="R269" s="937"/>
      <c r="S269" s="937"/>
      <c r="T269" s="947"/>
      <c r="U269" s="947"/>
      <c r="V269" s="938"/>
      <c r="W269" s="947"/>
      <c r="X269" s="939"/>
      <c r="Y269" s="947"/>
      <c r="Z269" s="947"/>
      <c r="AA269" s="938"/>
      <c r="AB269" s="947"/>
      <c r="AC269" s="947"/>
      <c r="AD269" s="947"/>
      <c r="AE269" s="947"/>
      <c r="AF269" s="947"/>
      <c r="AG269" s="947"/>
      <c r="AH269" s="948"/>
      <c r="AI269" s="947"/>
      <c r="AJ269" s="947"/>
      <c r="AK269" s="947"/>
      <c r="AL269" s="947"/>
      <c r="AM269" s="947"/>
      <c r="AN269" s="947"/>
      <c r="AO269" s="947"/>
      <c r="AP269" s="947"/>
      <c r="AQ269" s="947"/>
      <c r="AR269" s="938"/>
      <c r="AS269" s="937"/>
      <c r="AT269" s="948"/>
      <c r="AU269" s="947"/>
      <c r="AV269" s="981"/>
      <c r="AW269" s="950"/>
      <c r="AX269" s="950"/>
      <c r="AY269" s="951"/>
      <c r="AZ269" s="950"/>
      <c r="BA269" s="952"/>
      <c r="BB269" s="990"/>
      <c r="BC269" s="991"/>
      <c r="BD269" s="952"/>
      <c r="BE269" s="952"/>
      <c r="BF269" s="952"/>
      <c r="BG269" s="952"/>
      <c r="BH269" s="952"/>
      <c r="BI269" s="992"/>
      <c r="BJ269" s="952"/>
      <c r="BK269" s="992"/>
      <c r="BL269" s="952"/>
      <c r="BM269" s="952"/>
      <c r="BN269" s="952"/>
      <c r="BO269" s="952"/>
      <c r="BP269" s="965"/>
      <c r="BQ269" s="993"/>
      <c r="BR269" s="994"/>
      <c r="BS269" s="993"/>
      <c r="BT269" s="995"/>
      <c r="BU269" s="995"/>
      <c r="BV269" s="996"/>
      <c r="BW269" s="996"/>
      <c r="BX269" s="996"/>
      <c r="BY269" s="996"/>
      <c r="BZ269" s="996"/>
      <c r="CA269" s="996"/>
      <c r="CB269" s="965"/>
      <c r="CC269" s="965"/>
    </row>
    <row r="270">
      <c r="A270" s="84"/>
      <c r="B270" s="84"/>
      <c r="C270" s="348"/>
      <c r="D270" s="348"/>
      <c r="E270" s="84"/>
      <c r="F270" s="84"/>
      <c r="G270" s="84"/>
      <c r="H270" s="84"/>
      <c r="I270" s="84"/>
      <c r="J270" s="947"/>
      <c r="K270" s="947"/>
      <c r="L270" s="947"/>
      <c r="M270" s="947"/>
      <c r="N270" s="947"/>
      <c r="O270" s="947"/>
      <c r="P270" s="947"/>
      <c r="Q270" s="947"/>
      <c r="R270" s="937"/>
      <c r="S270" s="937"/>
      <c r="T270" s="947"/>
      <c r="U270" s="947"/>
      <c r="V270" s="938"/>
      <c r="W270" s="947"/>
      <c r="X270" s="939"/>
      <c r="Y270" s="947"/>
      <c r="Z270" s="947"/>
      <c r="AA270" s="938"/>
      <c r="AB270" s="947"/>
      <c r="AC270" s="947"/>
      <c r="AD270" s="947"/>
      <c r="AE270" s="947"/>
      <c r="AF270" s="947"/>
      <c r="AG270" s="947"/>
      <c r="AH270" s="948"/>
      <c r="AI270" s="947"/>
      <c r="AJ270" s="947"/>
      <c r="AK270" s="947"/>
      <c r="AL270" s="947"/>
      <c r="AM270" s="947"/>
      <c r="AN270" s="947"/>
      <c r="AO270" s="947"/>
      <c r="AP270" s="947"/>
      <c r="AQ270" s="947"/>
      <c r="AR270" s="938"/>
      <c r="AS270" s="937"/>
      <c r="AT270" s="948"/>
      <c r="AU270" s="947"/>
      <c r="AV270" s="981"/>
      <c r="AW270" s="950"/>
      <c r="AX270" s="950"/>
      <c r="AY270" s="951"/>
      <c r="AZ270" s="950"/>
      <c r="BA270" s="952"/>
      <c r="BB270" s="990"/>
      <c r="BC270" s="991"/>
      <c r="BD270" s="952"/>
      <c r="BE270" s="952"/>
      <c r="BF270" s="952"/>
      <c r="BG270" s="952"/>
      <c r="BH270" s="952"/>
      <c r="BI270" s="992"/>
      <c r="BJ270" s="952"/>
      <c r="BK270" s="992"/>
      <c r="BL270" s="952"/>
      <c r="BM270" s="952"/>
      <c r="BN270" s="952"/>
      <c r="BO270" s="952"/>
      <c r="BP270" s="965"/>
      <c r="BQ270" s="993"/>
      <c r="BR270" s="994"/>
      <c r="BS270" s="993"/>
      <c r="BT270" s="995"/>
      <c r="BU270" s="995"/>
      <c r="BV270" s="996"/>
      <c r="BW270" s="996"/>
      <c r="BX270" s="996"/>
      <c r="BY270" s="996"/>
      <c r="BZ270" s="996"/>
      <c r="CA270" s="996"/>
      <c r="CB270" s="965"/>
      <c r="CC270" s="965"/>
    </row>
    <row r="271">
      <c r="A271" s="84"/>
      <c r="B271" s="84"/>
      <c r="C271" s="348"/>
      <c r="D271" s="348"/>
      <c r="E271" s="84"/>
      <c r="F271" s="84"/>
      <c r="G271" s="84"/>
      <c r="H271" s="84"/>
      <c r="I271" s="84"/>
      <c r="J271" s="947"/>
      <c r="K271" s="947"/>
      <c r="L271" s="947"/>
      <c r="M271" s="947"/>
      <c r="N271" s="947"/>
      <c r="O271" s="947"/>
      <c r="P271" s="947"/>
      <c r="Q271" s="947"/>
      <c r="R271" s="937"/>
      <c r="S271" s="937"/>
      <c r="T271" s="947"/>
      <c r="U271" s="947"/>
      <c r="V271" s="938"/>
      <c r="W271" s="947"/>
      <c r="X271" s="939"/>
      <c r="Y271" s="947"/>
      <c r="Z271" s="947"/>
      <c r="AA271" s="938"/>
      <c r="AB271" s="947"/>
      <c r="AC271" s="947"/>
      <c r="AD271" s="947"/>
      <c r="AE271" s="947"/>
      <c r="AF271" s="947"/>
      <c r="AG271" s="947"/>
      <c r="AH271" s="948"/>
      <c r="AI271" s="947"/>
      <c r="AJ271" s="947"/>
      <c r="AK271" s="947"/>
      <c r="AL271" s="947"/>
      <c r="AM271" s="947"/>
      <c r="AN271" s="947"/>
      <c r="AO271" s="947"/>
      <c r="AP271" s="947"/>
      <c r="AQ271" s="947"/>
      <c r="AR271" s="938"/>
      <c r="AS271" s="937"/>
      <c r="AT271" s="948"/>
      <c r="AU271" s="947"/>
      <c r="AV271" s="981"/>
      <c r="AW271" s="950"/>
      <c r="AX271" s="950"/>
      <c r="AY271" s="951"/>
      <c r="AZ271" s="950"/>
      <c r="BA271" s="952"/>
      <c r="BB271" s="990"/>
      <c r="BC271" s="991"/>
      <c r="BD271" s="952"/>
      <c r="BE271" s="952"/>
      <c r="BF271" s="952"/>
      <c r="BG271" s="952"/>
      <c r="BH271" s="952"/>
      <c r="BI271" s="992"/>
      <c r="BJ271" s="952"/>
      <c r="BK271" s="992"/>
      <c r="BL271" s="952"/>
      <c r="BM271" s="952"/>
      <c r="BN271" s="952"/>
      <c r="BO271" s="952"/>
      <c r="BP271" s="965"/>
      <c r="BQ271" s="993"/>
      <c r="BR271" s="994"/>
      <c r="BS271" s="993"/>
      <c r="BT271" s="995"/>
      <c r="BU271" s="995"/>
      <c r="BV271" s="996"/>
      <c r="BW271" s="996"/>
      <c r="BX271" s="996"/>
      <c r="BY271" s="996"/>
      <c r="BZ271" s="996"/>
      <c r="CA271" s="996"/>
      <c r="CB271" s="965"/>
      <c r="CC271" s="965"/>
    </row>
    <row r="272">
      <c r="A272" s="84"/>
      <c r="B272" s="84"/>
      <c r="C272" s="348"/>
      <c r="D272" s="348"/>
      <c r="E272" s="84"/>
      <c r="F272" s="84"/>
      <c r="G272" s="84"/>
      <c r="H272" s="84"/>
      <c r="I272" s="84"/>
      <c r="J272" s="947"/>
      <c r="K272" s="947"/>
      <c r="L272" s="947"/>
      <c r="M272" s="947"/>
      <c r="N272" s="947"/>
      <c r="O272" s="947"/>
      <c r="P272" s="947"/>
      <c r="Q272" s="947"/>
      <c r="R272" s="937"/>
      <c r="S272" s="937"/>
      <c r="T272" s="947"/>
      <c r="U272" s="947"/>
      <c r="V272" s="938"/>
      <c r="W272" s="947"/>
      <c r="X272" s="939"/>
      <c r="Y272" s="947"/>
      <c r="Z272" s="947"/>
      <c r="AA272" s="938"/>
      <c r="AB272" s="947"/>
      <c r="AC272" s="947"/>
      <c r="AD272" s="947"/>
      <c r="AE272" s="947"/>
      <c r="AF272" s="947"/>
      <c r="AG272" s="947"/>
      <c r="AH272" s="948"/>
      <c r="AI272" s="947"/>
      <c r="AJ272" s="947"/>
      <c r="AK272" s="947"/>
      <c r="AL272" s="947"/>
      <c r="AM272" s="947"/>
      <c r="AN272" s="947"/>
      <c r="AO272" s="947"/>
      <c r="AP272" s="947"/>
      <c r="AQ272" s="947"/>
      <c r="AR272" s="938"/>
      <c r="AS272" s="937"/>
      <c r="AT272" s="948"/>
      <c r="AU272" s="947"/>
      <c r="AV272" s="981"/>
      <c r="AW272" s="950"/>
      <c r="AX272" s="950"/>
      <c r="AY272" s="951"/>
      <c r="AZ272" s="950"/>
      <c r="BA272" s="952"/>
      <c r="BB272" s="990"/>
      <c r="BC272" s="991"/>
      <c r="BD272" s="952"/>
      <c r="BE272" s="952"/>
      <c r="BF272" s="952"/>
      <c r="BG272" s="952"/>
      <c r="BH272" s="952"/>
      <c r="BI272" s="992"/>
      <c r="BJ272" s="952"/>
      <c r="BK272" s="992"/>
      <c r="BL272" s="952"/>
      <c r="BM272" s="952"/>
      <c r="BN272" s="952"/>
      <c r="BO272" s="952"/>
      <c r="BP272" s="965"/>
      <c r="BQ272" s="993"/>
      <c r="BR272" s="994"/>
      <c r="BS272" s="993"/>
      <c r="BT272" s="995"/>
      <c r="BU272" s="995"/>
      <c r="BV272" s="996"/>
      <c r="BW272" s="996"/>
      <c r="BX272" s="996"/>
      <c r="BY272" s="996"/>
      <c r="BZ272" s="996"/>
      <c r="CA272" s="996"/>
      <c r="CB272" s="965"/>
      <c r="CC272" s="965"/>
    </row>
    <row r="273">
      <c r="A273" s="84"/>
      <c r="B273" s="84"/>
      <c r="C273" s="348"/>
      <c r="D273" s="348"/>
      <c r="E273" s="84"/>
      <c r="F273" s="84"/>
      <c r="G273" s="84"/>
      <c r="H273" s="84"/>
      <c r="I273" s="84"/>
      <c r="J273" s="947"/>
      <c r="K273" s="947"/>
      <c r="L273" s="947"/>
      <c r="M273" s="947"/>
      <c r="N273" s="947"/>
      <c r="O273" s="947"/>
      <c r="P273" s="947"/>
      <c r="Q273" s="947"/>
      <c r="R273" s="937"/>
      <c r="S273" s="937"/>
      <c r="T273" s="947"/>
      <c r="U273" s="947"/>
      <c r="V273" s="938"/>
      <c r="W273" s="947"/>
      <c r="X273" s="939"/>
      <c r="Y273" s="947"/>
      <c r="Z273" s="947"/>
      <c r="AA273" s="938"/>
      <c r="AB273" s="947"/>
      <c r="AC273" s="947"/>
      <c r="AD273" s="947"/>
      <c r="AE273" s="947"/>
      <c r="AF273" s="947"/>
      <c r="AG273" s="947"/>
      <c r="AH273" s="948"/>
      <c r="AI273" s="947"/>
      <c r="AJ273" s="947"/>
      <c r="AK273" s="947"/>
      <c r="AL273" s="947"/>
      <c r="AM273" s="947"/>
      <c r="AN273" s="947"/>
      <c r="AO273" s="947"/>
      <c r="AP273" s="947"/>
      <c r="AQ273" s="947"/>
      <c r="AR273" s="938"/>
      <c r="AS273" s="937"/>
      <c r="AT273" s="948"/>
      <c r="AU273" s="947"/>
      <c r="AV273" s="981"/>
      <c r="AW273" s="950"/>
      <c r="AX273" s="950"/>
      <c r="AY273" s="951"/>
      <c r="AZ273" s="950"/>
      <c r="BA273" s="952"/>
      <c r="BB273" s="990"/>
      <c r="BC273" s="991"/>
      <c r="BD273" s="952"/>
      <c r="BE273" s="952"/>
      <c r="BF273" s="952"/>
      <c r="BG273" s="952"/>
      <c r="BH273" s="952"/>
      <c r="BI273" s="992"/>
      <c r="BJ273" s="952"/>
      <c r="BK273" s="992"/>
      <c r="BL273" s="952"/>
      <c r="BM273" s="952"/>
      <c r="BN273" s="952"/>
      <c r="BO273" s="952"/>
      <c r="BP273" s="965"/>
      <c r="BQ273" s="993"/>
      <c r="BR273" s="994"/>
      <c r="BS273" s="993"/>
      <c r="BT273" s="995"/>
      <c r="BU273" s="995"/>
      <c r="BV273" s="996"/>
      <c r="BW273" s="996"/>
      <c r="BX273" s="996"/>
      <c r="BY273" s="996"/>
      <c r="BZ273" s="996"/>
      <c r="CA273" s="996"/>
      <c r="CB273" s="965"/>
      <c r="CC273" s="965"/>
    </row>
    <row r="274">
      <c r="A274" s="84"/>
      <c r="B274" s="84"/>
      <c r="C274" s="348"/>
      <c r="D274" s="348"/>
      <c r="E274" s="84"/>
      <c r="F274" s="84"/>
      <c r="G274" s="84"/>
      <c r="H274" s="84"/>
      <c r="I274" s="84"/>
      <c r="J274" s="947"/>
      <c r="K274" s="947"/>
      <c r="L274" s="947"/>
      <c r="M274" s="947"/>
      <c r="N274" s="947"/>
      <c r="O274" s="947"/>
      <c r="P274" s="947"/>
      <c r="Q274" s="947"/>
      <c r="R274" s="937"/>
      <c r="S274" s="937"/>
      <c r="T274" s="947"/>
      <c r="U274" s="947"/>
      <c r="V274" s="938"/>
      <c r="W274" s="947"/>
      <c r="X274" s="939"/>
      <c r="Y274" s="947"/>
      <c r="Z274" s="947"/>
      <c r="AA274" s="938"/>
      <c r="AB274" s="947"/>
      <c r="AC274" s="947"/>
      <c r="AD274" s="947"/>
      <c r="AE274" s="947"/>
      <c r="AF274" s="947"/>
      <c r="AG274" s="947"/>
      <c r="AH274" s="948"/>
      <c r="AI274" s="947"/>
      <c r="AJ274" s="947"/>
      <c r="AK274" s="947"/>
      <c r="AL274" s="947"/>
      <c r="AM274" s="947"/>
      <c r="AN274" s="947"/>
      <c r="AO274" s="947"/>
      <c r="AP274" s="947"/>
      <c r="AQ274" s="947"/>
      <c r="AR274" s="938"/>
      <c r="AS274" s="937"/>
      <c r="AT274" s="948"/>
      <c r="AU274" s="947"/>
      <c r="AV274" s="981"/>
      <c r="AW274" s="950"/>
      <c r="AX274" s="950"/>
      <c r="AY274" s="951"/>
      <c r="AZ274" s="950"/>
      <c r="BA274" s="952"/>
      <c r="BB274" s="990"/>
      <c r="BC274" s="991"/>
      <c r="BD274" s="952"/>
      <c r="BE274" s="952"/>
      <c r="BF274" s="952"/>
      <c r="BG274" s="952"/>
      <c r="BH274" s="952"/>
      <c r="BI274" s="992"/>
      <c r="BJ274" s="952"/>
      <c r="BK274" s="992"/>
      <c r="BL274" s="952"/>
      <c r="BM274" s="952"/>
      <c r="BN274" s="952"/>
      <c r="BO274" s="952"/>
      <c r="BP274" s="965"/>
      <c r="BQ274" s="993"/>
      <c r="BR274" s="994"/>
      <c r="BS274" s="993"/>
      <c r="BT274" s="995"/>
      <c r="BU274" s="995"/>
      <c r="BV274" s="996"/>
      <c r="BW274" s="996"/>
      <c r="BX274" s="996"/>
      <c r="BY274" s="996"/>
      <c r="BZ274" s="996"/>
      <c r="CA274" s="996"/>
      <c r="CB274" s="965"/>
      <c r="CC274" s="965"/>
    </row>
    <row r="275">
      <c r="A275" s="84"/>
      <c r="B275" s="84"/>
      <c r="C275" s="348"/>
      <c r="D275" s="348"/>
      <c r="E275" s="84"/>
      <c r="F275" s="84"/>
      <c r="G275" s="84"/>
      <c r="H275" s="84"/>
      <c r="I275" s="84"/>
      <c r="J275" s="947"/>
      <c r="K275" s="947"/>
      <c r="L275" s="947"/>
      <c r="M275" s="947"/>
      <c r="N275" s="947"/>
      <c r="O275" s="947"/>
      <c r="P275" s="947"/>
      <c r="Q275" s="947"/>
      <c r="R275" s="937"/>
      <c r="S275" s="937"/>
      <c r="T275" s="947"/>
      <c r="U275" s="947"/>
      <c r="V275" s="938"/>
      <c r="W275" s="947"/>
      <c r="X275" s="939"/>
      <c r="Y275" s="947"/>
      <c r="Z275" s="947"/>
      <c r="AA275" s="938"/>
      <c r="AB275" s="947"/>
      <c r="AC275" s="947"/>
      <c r="AD275" s="947"/>
      <c r="AE275" s="947"/>
      <c r="AF275" s="947"/>
      <c r="AG275" s="947"/>
      <c r="AH275" s="948"/>
      <c r="AI275" s="947"/>
      <c r="AJ275" s="947"/>
      <c r="AK275" s="947"/>
      <c r="AL275" s="947"/>
      <c r="AM275" s="947"/>
      <c r="AN275" s="947"/>
      <c r="AO275" s="947"/>
      <c r="AP275" s="947"/>
      <c r="AQ275" s="947"/>
      <c r="AR275" s="938"/>
      <c r="AS275" s="937"/>
      <c r="AT275" s="948"/>
      <c r="AU275" s="947"/>
      <c r="AV275" s="981"/>
      <c r="AW275" s="950"/>
      <c r="AX275" s="950"/>
      <c r="AY275" s="951"/>
      <c r="AZ275" s="950"/>
      <c r="BA275" s="952"/>
      <c r="BB275" s="990"/>
      <c r="BC275" s="991"/>
      <c r="BD275" s="952"/>
      <c r="BE275" s="952"/>
      <c r="BF275" s="952"/>
      <c r="BG275" s="952"/>
      <c r="BH275" s="952"/>
      <c r="BI275" s="992"/>
      <c r="BJ275" s="952"/>
      <c r="BK275" s="992"/>
      <c r="BL275" s="952"/>
      <c r="BM275" s="952"/>
      <c r="BN275" s="952"/>
      <c r="BO275" s="952"/>
      <c r="BP275" s="965"/>
      <c r="BQ275" s="993"/>
      <c r="BR275" s="994"/>
      <c r="BS275" s="993"/>
      <c r="BT275" s="995"/>
      <c r="BU275" s="995"/>
      <c r="BV275" s="996"/>
      <c r="BW275" s="996"/>
      <c r="BX275" s="996"/>
      <c r="BY275" s="996"/>
      <c r="BZ275" s="996"/>
      <c r="CA275" s="996"/>
      <c r="CB275" s="965"/>
      <c r="CC275" s="965"/>
    </row>
    <row r="276">
      <c r="A276" s="84"/>
      <c r="B276" s="84"/>
      <c r="C276" s="348"/>
      <c r="D276" s="348"/>
      <c r="E276" s="84"/>
      <c r="F276" s="84"/>
      <c r="G276" s="84"/>
      <c r="H276" s="84"/>
      <c r="I276" s="84"/>
      <c r="J276" s="947"/>
      <c r="K276" s="947"/>
      <c r="L276" s="947"/>
      <c r="M276" s="947"/>
      <c r="N276" s="947"/>
      <c r="O276" s="947"/>
      <c r="P276" s="947"/>
      <c r="Q276" s="947"/>
      <c r="R276" s="937"/>
      <c r="S276" s="937"/>
      <c r="T276" s="947"/>
      <c r="U276" s="947"/>
      <c r="V276" s="938"/>
      <c r="W276" s="947"/>
      <c r="X276" s="939"/>
      <c r="Y276" s="947"/>
      <c r="Z276" s="947"/>
      <c r="AA276" s="938"/>
      <c r="AB276" s="947"/>
      <c r="AC276" s="947"/>
      <c r="AD276" s="947"/>
      <c r="AE276" s="947"/>
      <c r="AF276" s="947"/>
      <c r="AG276" s="947"/>
      <c r="AH276" s="948"/>
      <c r="AI276" s="947"/>
      <c r="AJ276" s="947"/>
      <c r="AK276" s="947"/>
      <c r="AL276" s="947"/>
      <c r="AM276" s="947"/>
      <c r="AN276" s="947"/>
      <c r="AO276" s="947"/>
      <c r="AP276" s="947"/>
      <c r="AQ276" s="947"/>
      <c r="AR276" s="938"/>
      <c r="AS276" s="937"/>
      <c r="AT276" s="948"/>
      <c r="AU276" s="947"/>
      <c r="AV276" s="981"/>
      <c r="AW276" s="950"/>
      <c r="AX276" s="950"/>
      <c r="AY276" s="951"/>
      <c r="AZ276" s="950"/>
      <c r="BA276" s="952"/>
      <c r="BB276" s="990"/>
      <c r="BC276" s="991"/>
      <c r="BD276" s="952"/>
      <c r="BE276" s="952"/>
      <c r="BF276" s="952"/>
      <c r="BG276" s="952"/>
      <c r="BH276" s="952"/>
      <c r="BI276" s="992"/>
      <c r="BJ276" s="952"/>
      <c r="BK276" s="992"/>
      <c r="BL276" s="952"/>
      <c r="BM276" s="952"/>
      <c r="BN276" s="952"/>
      <c r="BO276" s="952"/>
      <c r="BP276" s="965"/>
      <c r="BQ276" s="993"/>
      <c r="BR276" s="994"/>
      <c r="BS276" s="993"/>
      <c r="BT276" s="995"/>
      <c r="BU276" s="995"/>
      <c r="BV276" s="996"/>
      <c r="BW276" s="996"/>
      <c r="BX276" s="996"/>
      <c r="BY276" s="996"/>
      <c r="BZ276" s="996"/>
      <c r="CA276" s="996"/>
      <c r="CB276" s="965"/>
      <c r="CC276" s="965"/>
    </row>
    <row r="277">
      <c r="A277" s="84"/>
      <c r="B277" s="84"/>
      <c r="C277" s="348"/>
      <c r="D277" s="348"/>
      <c r="E277" s="84"/>
      <c r="F277" s="84"/>
      <c r="G277" s="84"/>
      <c r="H277" s="84"/>
      <c r="I277" s="84"/>
      <c r="J277" s="947"/>
      <c r="K277" s="947"/>
      <c r="L277" s="947"/>
      <c r="M277" s="947"/>
      <c r="N277" s="947"/>
      <c r="O277" s="947"/>
      <c r="P277" s="947"/>
      <c r="Q277" s="947"/>
      <c r="R277" s="937"/>
      <c r="S277" s="937"/>
      <c r="T277" s="947"/>
      <c r="U277" s="947"/>
      <c r="V277" s="938"/>
      <c r="W277" s="947"/>
      <c r="X277" s="939"/>
      <c r="Y277" s="947"/>
      <c r="Z277" s="947"/>
      <c r="AA277" s="938"/>
      <c r="AB277" s="947"/>
      <c r="AC277" s="947"/>
      <c r="AD277" s="947"/>
      <c r="AE277" s="947"/>
      <c r="AF277" s="947"/>
      <c r="AG277" s="947"/>
      <c r="AH277" s="948"/>
      <c r="AI277" s="947"/>
      <c r="AJ277" s="947"/>
      <c r="AK277" s="947"/>
      <c r="AL277" s="947"/>
      <c r="AM277" s="947"/>
      <c r="AN277" s="947"/>
      <c r="AO277" s="947"/>
      <c r="AP277" s="947"/>
      <c r="AQ277" s="947"/>
      <c r="AR277" s="938"/>
      <c r="AS277" s="937"/>
      <c r="AT277" s="948"/>
      <c r="AU277" s="947"/>
      <c r="AV277" s="981"/>
      <c r="AW277" s="950"/>
      <c r="AX277" s="950"/>
      <c r="AY277" s="951"/>
      <c r="AZ277" s="950"/>
      <c r="BA277" s="952"/>
      <c r="BB277" s="990"/>
      <c r="BC277" s="991"/>
      <c r="BD277" s="952"/>
      <c r="BE277" s="952"/>
      <c r="BF277" s="952"/>
      <c r="BG277" s="952"/>
      <c r="BH277" s="952"/>
      <c r="BI277" s="992"/>
      <c r="BJ277" s="952"/>
      <c r="BK277" s="992"/>
      <c r="BL277" s="952"/>
      <c r="BM277" s="952"/>
      <c r="BN277" s="952"/>
      <c r="BO277" s="952"/>
      <c r="BP277" s="965"/>
      <c r="BQ277" s="993"/>
      <c r="BR277" s="994"/>
      <c r="BS277" s="993"/>
      <c r="BT277" s="995"/>
      <c r="BU277" s="995"/>
      <c r="BV277" s="996"/>
      <c r="BW277" s="996"/>
      <c r="BX277" s="996"/>
      <c r="BY277" s="996"/>
      <c r="BZ277" s="996"/>
      <c r="CA277" s="996"/>
      <c r="CB277" s="965"/>
      <c r="CC277" s="965"/>
    </row>
    <row r="278">
      <c r="A278" s="84"/>
      <c r="B278" s="84"/>
      <c r="C278" s="348"/>
      <c r="D278" s="348"/>
      <c r="E278" s="84"/>
      <c r="F278" s="84"/>
      <c r="G278" s="84"/>
      <c r="H278" s="84"/>
      <c r="I278" s="84"/>
      <c r="J278" s="947"/>
      <c r="K278" s="947"/>
      <c r="L278" s="947"/>
      <c r="M278" s="947"/>
      <c r="N278" s="947"/>
      <c r="O278" s="947"/>
      <c r="P278" s="947"/>
      <c r="Q278" s="947"/>
      <c r="R278" s="937"/>
      <c r="S278" s="937"/>
      <c r="T278" s="947"/>
      <c r="U278" s="947"/>
      <c r="V278" s="938"/>
      <c r="W278" s="947"/>
      <c r="X278" s="939"/>
      <c r="Y278" s="947"/>
      <c r="Z278" s="947"/>
      <c r="AA278" s="938"/>
      <c r="AB278" s="947"/>
      <c r="AC278" s="947"/>
      <c r="AD278" s="947"/>
      <c r="AE278" s="947"/>
      <c r="AF278" s="947"/>
      <c r="AG278" s="947"/>
      <c r="AH278" s="948"/>
      <c r="AI278" s="947"/>
      <c r="AJ278" s="947"/>
      <c r="AK278" s="947"/>
      <c r="AL278" s="947"/>
      <c r="AM278" s="947"/>
      <c r="AN278" s="947"/>
      <c r="AO278" s="947"/>
      <c r="AP278" s="947"/>
      <c r="AQ278" s="947"/>
      <c r="AR278" s="938"/>
      <c r="AS278" s="937"/>
      <c r="AT278" s="948"/>
      <c r="AU278" s="947"/>
      <c r="AV278" s="981"/>
      <c r="AW278" s="950"/>
      <c r="AX278" s="950"/>
      <c r="AY278" s="951"/>
      <c r="AZ278" s="950"/>
      <c r="BA278" s="952"/>
      <c r="BB278" s="990"/>
      <c r="BC278" s="991"/>
      <c r="BD278" s="952"/>
      <c r="BE278" s="952"/>
      <c r="BF278" s="952"/>
      <c r="BG278" s="952"/>
      <c r="BH278" s="952"/>
      <c r="BI278" s="992"/>
      <c r="BJ278" s="952"/>
      <c r="BK278" s="992"/>
      <c r="BL278" s="952"/>
      <c r="BM278" s="952"/>
      <c r="BN278" s="952"/>
      <c r="BO278" s="952"/>
      <c r="BP278" s="965"/>
      <c r="BQ278" s="993"/>
      <c r="BR278" s="994"/>
      <c r="BS278" s="993"/>
      <c r="BT278" s="995"/>
      <c r="BU278" s="995"/>
      <c r="BV278" s="996"/>
      <c r="BW278" s="996"/>
      <c r="BX278" s="996"/>
      <c r="BY278" s="996"/>
      <c r="BZ278" s="996"/>
      <c r="CA278" s="996"/>
      <c r="CB278" s="965"/>
      <c r="CC278" s="965"/>
    </row>
    <row r="279">
      <c r="A279" s="84"/>
      <c r="B279" s="84"/>
      <c r="C279" s="348"/>
      <c r="D279" s="348"/>
      <c r="E279" s="84"/>
      <c r="F279" s="84"/>
      <c r="G279" s="84"/>
      <c r="H279" s="84"/>
      <c r="I279" s="84"/>
      <c r="J279" s="947"/>
      <c r="K279" s="947"/>
      <c r="L279" s="947"/>
      <c r="M279" s="947"/>
      <c r="N279" s="947"/>
      <c r="O279" s="947"/>
      <c r="P279" s="947"/>
      <c r="Q279" s="947"/>
      <c r="R279" s="937"/>
      <c r="S279" s="937"/>
      <c r="T279" s="947"/>
      <c r="U279" s="947"/>
      <c r="V279" s="938"/>
      <c r="W279" s="947"/>
      <c r="X279" s="939"/>
      <c r="Y279" s="947"/>
      <c r="Z279" s="947"/>
      <c r="AA279" s="938"/>
      <c r="AB279" s="947"/>
      <c r="AC279" s="947"/>
      <c r="AD279" s="947"/>
      <c r="AE279" s="947"/>
      <c r="AF279" s="947"/>
      <c r="AG279" s="947"/>
      <c r="AH279" s="948"/>
      <c r="AI279" s="947"/>
      <c r="AJ279" s="947"/>
      <c r="AK279" s="947"/>
      <c r="AL279" s="947"/>
      <c r="AM279" s="947"/>
      <c r="AN279" s="947"/>
      <c r="AO279" s="947"/>
      <c r="AP279" s="947"/>
      <c r="AQ279" s="947"/>
      <c r="AR279" s="938"/>
      <c r="AS279" s="937"/>
      <c r="AT279" s="948"/>
      <c r="AU279" s="947"/>
      <c r="AV279" s="981"/>
      <c r="AW279" s="950"/>
      <c r="AX279" s="950"/>
      <c r="AY279" s="951"/>
      <c r="AZ279" s="950"/>
      <c r="BA279" s="952"/>
      <c r="BB279" s="990"/>
      <c r="BC279" s="991"/>
      <c r="BD279" s="952"/>
      <c r="BE279" s="952"/>
      <c r="BF279" s="952"/>
      <c r="BG279" s="952"/>
      <c r="BH279" s="952"/>
      <c r="BI279" s="992"/>
      <c r="BJ279" s="952"/>
      <c r="BK279" s="992"/>
      <c r="BL279" s="952"/>
      <c r="BM279" s="952"/>
      <c r="BN279" s="952"/>
      <c r="BO279" s="952"/>
      <c r="BP279" s="965"/>
      <c r="BQ279" s="993"/>
      <c r="BR279" s="994"/>
      <c r="BS279" s="993"/>
      <c r="BT279" s="995"/>
      <c r="BU279" s="995"/>
      <c r="BV279" s="996"/>
      <c r="BW279" s="996"/>
      <c r="BX279" s="996"/>
      <c r="BY279" s="996"/>
      <c r="BZ279" s="996"/>
      <c r="CA279" s="996"/>
      <c r="CB279" s="965"/>
      <c r="CC279" s="965"/>
    </row>
    <row r="280">
      <c r="A280" s="84"/>
      <c r="B280" s="84"/>
      <c r="C280" s="348"/>
      <c r="D280" s="348"/>
      <c r="E280" s="84"/>
      <c r="F280" s="84"/>
      <c r="G280" s="84"/>
      <c r="H280" s="84"/>
      <c r="I280" s="84"/>
      <c r="J280" s="947"/>
      <c r="K280" s="947"/>
      <c r="L280" s="947"/>
      <c r="M280" s="947"/>
      <c r="N280" s="947"/>
      <c r="O280" s="947"/>
      <c r="P280" s="947"/>
      <c r="Q280" s="947"/>
      <c r="R280" s="937"/>
      <c r="S280" s="937"/>
      <c r="T280" s="947"/>
      <c r="U280" s="947"/>
      <c r="V280" s="938"/>
      <c r="W280" s="947"/>
      <c r="X280" s="939"/>
      <c r="Y280" s="947"/>
      <c r="Z280" s="947"/>
      <c r="AA280" s="938"/>
      <c r="AB280" s="947"/>
      <c r="AC280" s="947"/>
      <c r="AD280" s="947"/>
      <c r="AE280" s="947"/>
      <c r="AF280" s="947"/>
      <c r="AG280" s="947"/>
      <c r="AH280" s="948"/>
      <c r="AI280" s="947"/>
      <c r="AJ280" s="947"/>
      <c r="AK280" s="947"/>
      <c r="AL280" s="947"/>
      <c r="AM280" s="947"/>
      <c r="AN280" s="947"/>
      <c r="AO280" s="947"/>
      <c r="AP280" s="947"/>
      <c r="AQ280" s="947"/>
      <c r="AR280" s="938"/>
      <c r="AS280" s="937"/>
      <c r="AT280" s="948"/>
      <c r="AU280" s="947"/>
      <c r="AV280" s="981"/>
      <c r="AW280" s="950"/>
      <c r="AX280" s="950"/>
      <c r="AY280" s="951"/>
      <c r="AZ280" s="950"/>
      <c r="BA280" s="952"/>
      <c r="BB280" s="990"/>
      <c r="BC280" s="991"/>
      <c r="BD280" s="952"/>
      <c r="BE280" s="952"/>
      <c r="BF280" s="952"/>
      <c r="BG280" s="952"/>
      <c r="BH280" s="952"/>
      <c r="BI280" s="992"/>
      <c r="BJ280" s="952"/>
      <c r="BK280" s="992"/>
      <c r="BL280" s="952"/>
      <c r="BM280" s="952"/>
      <c r="BN280" s="952"/>
      <c r="BO280" s="952"/>
      <c r="BP280" s="965"/>
      <c r="BQ280" s="993"/>
      <c r="BR280" s="994"/>
      <c r="BS280" s="993"/>
      <c r="BT280" s="995"/>
      <c r="BU280" s="995"/>
      <c r="BV280" s="996"/>
      <c r="BW280" s="996"/>
      <c r="BX280" s="996"/>
      <c r="BY280" s="996"/>
      <c r="BZ280" s="996"/>
      <c r="CA280" s="996"/>
      <c r="CB280" s="965"/>
      <c r="CC280" s="965"/>
    </row>
    <row r="281">
      <c r="A281" s="84"/>
      <c r="B281" s="84"/>
      <c r="C281" s="348"/>
      <c r="D281" s="348"/>
      <c r="E281" s="84"/>
      <c r="F281" s="84"/>
      <c r="G281" s="84"/>
      <c r="H281" s="84"/>
      <c r="I281" s="84"/>
      <c r="J281" s="947"/>
      <c r="K281" s="947"/>
      <c r="L281" s="947"/>
      <c r="M281" s="947"/>
      <c r="N281" s="947"/>
      <c r="O281" s="947"/>
      <c r="P281" s="947"/>
      <c r="Q281" s="947"/>
      <c r="R281" s="937"/>
      <c r="S281" s="937"/>
      <c r="T281" s="947"/>
      <c r="U281" s="947"/>
      <c r="V281" s="938"/>
      <c r="W281" s="947"/>
      <c r="X281" s="939"/>
      <c r="Y281" s="947"/>
      <c r="Z281" s="947"/>
      <c r="AA281" s="938"/>
      <c r="AB281" s="947"/>
      <c r="AC281" s="947"/>
      <c r="AD281" s="947"/>
      <c r="AE281" s="947"/>
      <c r="AF281" s="947"/>
      <c r="AG281" s="947"/>
      <c r="AH281" s="948"/>
      <c r="AI281" s="947"/>
      <c r="AJ281" s="947"/>
      <c r="AK281" s="947"/>
      <c r="AL281" s="947"/>
      <c r="AM281" s="947"/>
      <c r="AN281" s="947"/>
      <c r="AO281" s="947"/>
      <c r="AP281" s="947"/>
      <c r="AQ281" s="947"/>
      <c r="AR281" s="938"/>
      <c r="AS281" s="937"/>
      <c r="AT281" s="948"/>
      <c r="AU281" s="947"/>
      <c r="AV281" s="981"/>
      <c r="AW281" s="950"/>
      <c r="AX281" s="950"/>
      <c r="AY281" s="951"/>
      <c r="AZ281" s="950"/>
      <c r="BA281" s="952"/>
      <c r="BB281" s="990"/>
      <c r="BC281" s="991"/>
      <c r="BD281" s="952"/>
      <c r="BE281" s="952"/>
      <c r="BF281" s="952"/>
      <c r="BG281" s="952"/>
      <c r="BH281" s="952"/>
      <c r="BI281" s="992"/>
      <c r="BJ281" s="952"/>
      <c r="BK281" s="992"/>
      <c r="BL281" s="952"/>
      <c r="BM281" s="952"/>
      <c r="BN281" s="952"/>
      <c r="BO281" s="952"/>
      <c r="BP281" s="965"/>
      <c r="BQ281" s="993"/>
      <c r="BR281" s="994"/>
      <c r="BS281" s="993"/>
      <c r="BT281" s="995"/>
      <c r="BU281" s="995"/>
      <c r="BV281" s="996"/>
      <c r="BW281" s="996"/>
      <c r="BX281" s="996"/>
      <c r="BY281" s="996"/>
      <c r="BZ281" s="996"/>
      <c r="CA281" s="996"/>
      <c r="CB281" s="965"/>
      <c r="CC281" s="965"/>
    </row>
    <row r="282">
      <c r="A282" s="84"/>
      <c r="B282" s="84"/>
      <c r="C282" s="348"/>
      <c r="D282" s="348"/>
      <c r="E282" s="84"/>
      <c r="F282" s="84"/>
      <c r="G282" s="84"/>
      <c r="H282" s="84"/>
      <c r="I282" s="84"/>
      <c r="J282" s="947"/>
      <c r="K282" s="947"/>
      <c r="L282" s="947"/>
      <c r="M282" s="947"/>
      <c r="N282" s="947"/>
      <c r="O282" s="947"/>
      <c r="P282" s="947"/>
      <c r="Q282" s="947"/>
      <c r="R282" s="937"/>
      <c r="S282" s="937"/>
      <c r="T282" s="947"/>
      <c r="U282" s="947"/>
      <c r="V282" s="938"/>
      <c r="W282" s="947"/>
      <c r="X282" s="939"/>
      <c r="Y282" s="947"/>
      <c r="Z282" s="947"/>
      <c r="AA282" s="938"/>
      <c r="AB282" s="947"/>
      <c r="AC282" s="947"/>
      <c r="AD282" s="947"/>
      <c r="AE282" s="947"/>
      <c r="AF282" s="947"/>
      <c r="AG282" s="947"/>
      <c r="AH282" s="948"/>
      <c r="AI282" s="947"/>
      <c r="AJ282" s="947"/>
      <c r="AK282" s="947"/>
      <c r="AL282" s="947"/>
      <c r="AM282" s="947"/>
      <c r="AN282" s="947"/>
      <c r="AO282" s="947"/>
      <c r="AP282" s="947"/>
      <c r="AQ282" s="947"/>
      <c r="AR282" s="938"/>
      <c r="AS282" s="937"/>
      <c r="AT282" s="948"/>
      <c r="AU282" s="947"/>
      <c r="AV282" s="981"/>
      <c r="AW282" s="950"/>
      <c r="AX282" s="950"/>
      <c r="AY282" s="951"/>
      <c r="AZ282" s="950"/>
      <c r="BA282" s="952"/>
      <c r="BB282" s="990"/>
      <c r="BC282" s="991"/>
      <c r="BD282" s="952"/>
      <c r="BE282" s="952"/>
      <c r="BF282" s="952"/>
      <c r="BG282" s="952"/>
      <c r="BH282" s="952"/>
      <c r="BI282" s="992"/>
      <c r="BJ282" s="952"/>
      <c r="BK282" s="992"/>
      <c r="BL282" s="952"/>
      <c r="BM282" s="952"/>
      <c r="BN282" s="952"/>
      <c r="BO282" s="952"/>
      <c r="BP282" s="965"/>
      <c r="BQ282" s="993"/>
      <c r="BR282" s="994"/>
      <c r="BS282" s="993"/>
      <c r="BT282" s="995"/>
      <c r="BU282" s="995"/>
      <c r="BV282" s="996"/>
      <c r="BW282" s="996"/>
      <c r="BX282" s="996"/>
      <c r="BY282" s="996"/>
      <c r="BZ282" s="996"/>
      <c r="CA282" s="996"/>
      <c r="CB282" s="965"/>
      <c r="CC282" s="965"/>
    </row>
    <row r="283">
      <c r="A283" s="84"/>
      <c r="B283" s="84"/>
      <c r="C283" s="348"/>
      <c r="D283" s="348"/>
      <c r="E283" s="84"/>
      <c r="F283" s="84"/>
      <c r="G283" s="84"/>
      <c r="H283" s="84"/>
      <c r="I283" s="84"/>
      <c r="J283" s="947"/>
      <c r="K283" s="947"/>
      <c r="L283" s="947"/>
      <c r="M283" s="947"/>
      <c r="N283" s="947"/>
      <c r="O283" s="947"/>
      <c r="P283" s="947"/>
      <c r="Q283" s="947"/>
      <c r="R283" s="937"/>
      <c r="S283" s="937"/>
      <c r="T283" s="947"/>
      <c r="U283" s="947"/>
      <c r="V283" s="938"/>
      <c r="W283" s="947"/>
      <c r="X283" s="939"/>
      <c r="Y283" s="947"/>
      <c r="Z283" s="947"/>
      <c r="AA283" s="938"/>
      <c r="AB283" s="947"/>
      <c r="AC283" s="947"/>
      <c r="AD283" s="947"/>
      <c r="AE283" s="947"/>
      <c r="AF283" s="947"/>
      <c r="AG283" s="947"/>
      <c r="AH283" s="948"/>
      <c r="AI283" s="947"/>
      <c r="AJ283" s="947"/>
      <c r="AK283" s="947"/>
      <c r="AL283" s="947"/>
      <c r="AM283" s="947"/>
      <c r="AN283" s="947"/>
      <c r="AO283" s="947"/>
      <c r="AP283" s="947"/>
      <c r="AQ283" s="947"/>
      <c r="AR283" s="938"/>
      <c r="AS283" s="937"/>
      <c r="AT283" s="948"/>
      <c r="AU283" s="947"/>
      <c r="AV283" s="981"/>
      <c r="AW283" s="950"/>
      <c r="AX283" s="950"/>
      <c r="AY283" s="951"/>
      <c r="AZ283" s="950"/>
      <c r="BA283" s="952"/>
      <c r="BB283" s="990"/>
      <c r="BC283" s="991"/>
      <c r="BD283" s="952"/>
      <c r="BE283" s="952"/>
      <c r="BF283" s="952"/>
      <c r="BG283" s="952"/>
      <c r="BH283" s="952"/>
      <c r="BI283" s="992"/>
      <c r="BJ283" s="952"/>
      <c r="BK283" s="992"/>
      <c r="BL283" s="952"/>
      <c r="BM283" s="952"/>
      <c r="BN283" s="952"/>
      <c r="BO283" s="952"/>
      <c r="BP283" s="965"/>
      <c r="BQ283" s="993"/>
      <c r="BR283" s="994"/>
      <c r="BS283" s="993"/>
      <c r="BT283" s="995"/>
      <c r="BU283" s="995"/>
      <c r="BV283" s="996"/>
      <c r="BW283" s="996"/>
      <c r="BX283" s="996"/>
      <c r="BY283" s="996"/>
      <c r="BZ283" s="996"/>
      <c r="CA283" s="996"/>
      <c r="CB283" s="965"/>
      <c r="CC283" s="965"/>
    </row>
    <row r="284">
      <c r="A284" s="84"/>
      <c r="B284" s="84"/>
      <c r="C284" s="348"/>
      <c r="D284" s="348"/>
      <c r="E284" s="84"/>
      <c r="F284" s="84"/>
      <c r="G284" s="84"/>
      <c r="H284" s="84"/>
      <c r="I284" s="84"/>
      <c r="J284" s="947"/>
      <c r="K284" s="947"/>
      <c r="L284" s="947"/>
      <c r="M284" s="947"/>
      <c r="N284" s="947"/>
      <c r="O284" s="947"/>
      <c r="P284" s="947"/>
      <c r="Q284" s="947"/>
      <c r="R284" s="937"/>
      <c r="S284" s="937"/>
      <c r="T284" s="947"/>
      <c r="U284" s="947"/>
      <c r="V284" s="938"/>
      <c r="W284" s="947"/>
      <c r="X284" s="939"/>
      <c r="Y284" s="947"/>
      <c r="Z284" s="947"/>
      <c r="AA284" s="938"/>
      <c r="AB284" s="947"/>
      <c r="AC284" s="947"/>
      <c r="AD284" s="947"/>
      <c r="AE284" s="947"/>
      <c r="AF284" s="947"/>
      <c r="AG284" s="947"/>
      <c r="AH284" s="948"/>
      <c r="AI284" s="947"/>
      <c r="AJ284" s="947"/>
      <c r="AK284" s="947"/>
      <c r="AL284" s="947"/>
      <c r="AM284" s="947"/>
      <c r="AN284" s="947"/>
      <c r="AO284" s="947"/>
      <c r="AP284" s="947"/>
      <c r="AQ284" s="947"/>
      <c r="AR284" s="938"/>
      <c r="AS284" s="937"/>
      <c r="AT284" s="948"/>
      <c r="AU284" s="947"/>
      <c r="AV284" s="981"/>
      <c r="AW284" s="950"/>
      <c r="AX284" s="950"/>
      <c r="AY284" s="951"/>
      <c r="AZ284" s="950"/>
      <c r="BA284" s="952"/>
      <c r="BB284" s="990"/>
      <c r="BC284" s="991"/>
      <c r="BD284" s="952"/>
      <c r="BE284" s="952"/>
      <c r="BF284" s="952"/>
      <c r="BG284" s="952"/>
      <c r="BH284" s="952"/>
      <c r="BI284" s="992"/>
      <c r="BJ284" s="952"/>
      <c r="BK284" s="992"/>
      <c r="BL284" s="952"/>
      <c r="BM284" s="952"/>
      <c r="BN284" s="952"/>
      <c r="BO284" s="952"/>
      <c r="BP284" s="965"/>
      <c r="BQ284" s="993"/>
      <c r="BR284" s="994"/>
      <c r="BS284" s="993"/>
      <c r="BT284" s="995"/>
      <c r="BU284" s="995"/>
      <c r="BV284" s="996"/>
      <c r="BW284" s="996"/>
      <c r="BX284" s="996"/>
      <c r="BY284" s="996"/>
      <c r="BZ284" s="996"/>
      <c r="CA284" s="996"/>
      <c r="CB284" s="965"/>
      <c r="CC284" s="965"/>
    </row>
    <row r="285">
      <c r="A285" s="84"/>
      <c r="B285" s="84"/>
      <c r="C285" s="348"/>
      <c r="D285" s="348"/>
      <c r="E285" s="84"/>
      <c r="F285" s="84"/>
      <c r="G285" s="84"/>
      <c r="H285" s="84"/>
      <c r="I285" s="84"/>
      <c r="J285" s="947"/>
      <c r="K285" s="947"/>
      <c r="L285" s="947"/>
      <c r="M285" s="947"/>
      <c r="N285" s="947"/>
      <c r="O285" s="947"/>
      <c r="P285" s="947"/>
      <c r="Q285" s="947"/>
      <c r="R285" s="937"/>
      <c r="S285" s="937"/>
      <c r="T285" s="947"/>
      <c r="U285" s="947"/>
      <c r="V285" s="938"/>
      <c r="W285" s="947"/>
      <c r="X285" s="939"/>
      <c r="Y285" s="947"/>
      <c r="Z285" s="947"/>
      <c r="AA285" s="938"/>
      <c r="AB285" s="947"/>
      <c r="AC285" s="947"/>
      <c r="AD285" s="947"/>
      <c r="AE285" s="947"/>
      <c r="AF285" s="947"/>
      <c r="AG285" s="947"/>
      <c r="AH285" s="948"/>
      <c r="AI285" s="947"/>
      <c r="AJ285" s="947"/>
      <c r="AK285" s="947"/>
      <c r="AL285" s="947"/>
      <c r="AM285" s="947"/>
      <c r="AN285" s="947"/>
      <c r="AO285" s="947"/>
      <c r="AP285" s="947"/>
      <c r="AQ285" s="947"/>
      <c r="AR285" s="938"/>
      <c r="AS285" s="937"/>
      <c r="AT285" s="948"/>
      <c r="AU285" s="947"/>
      <c r="AV285" s="981"/>
      <c r="AW285" s="950"/>
      <c r="AX285" s="950"/>
      <c r="AY285" s="951"/>
      <c r="AZ285" s="950"/>
      <c r="BA285" s="952"/>
      <c r="BB285" s="990"/>
      <c r="BC285" s="991"/>
      <c r="BD285" s="952"/>
      <c r="BE285" s="952"/>
      <c r="BF285" s="952"/>
      <c r="BG285" s="952"/>
      <c r="BH285" s="952"/>
      <c r="BI285" s="992"/>
      <c r="BJ285" s="952"/>
      <c r="BK285" s="992"/>
      <c r="BL285" s="952"/>
      <c r="BM285" s="952"/>
      <c r="BN285" s="952"/>
      <c r="BO285" s="952"/>
      <c r="BP285" s="965"/>
      <c r="BQ285" s="993"/>
      <c r="BR285" s="994"/>
      <c r="BS285" s="993"/>
      <c r="BT285" s="995"/>
      <c r="BU285" s="995"/>
      <c r="BV285" s="996"/>
      <c r="BW285" s="996"/>
      <c r="BX285" s="996"/>
      <c r="BY285" s="996"/>
      <c r="BZ285" s="996"/>
      <c r="CA285" s="996"/>
      <c r="CB285" s="965"/>
      <c r="CC285" s="965"/>
    </row>
    <row r="286">
      <c r="A286" s="84"/>
      <c r="B286" s="84"/>
      <c r="C286" s="348"/>
      <c r="D286" s="348"/>
      <c r="E286" s="84"/>
      <c r="F286" s="84"/>
      <c r="G286" s="84"/>
      <c r="H286" s="84"/>
      <c r="I286" s="84"/>
      <c r="J286" s="947"/>
      <c r="K286" s="947"/>
      <c r="L286" s="947"/>
      <c r="M286" s="947"/>
      <c r="N286" s="947"/>
      <c r="O286" s="947"/>
      <c r="P286" s="947"/>
      <c r="Q286" s="947"/>
      <c r="R286" s="937"/>
      <c r="S286" s="937"/>
      <c r="T286" s="947"/>
      <c r="U286" s="947"/>
      <c r="V286" s="938"/>
      <c r="W286" s="947"/>
      <c r="X286" s="939"/>
      <c r="Y286" s="947"/>
      <c r="Z286" s="947"/>
      <c r="AA286" s="938"/>
      <c r="AB286" s="947"/>
      <c r="AC286" s="947"/>
      <c r="AD286" s="947"/>
      <c r="AE286" s="947"/>
      <c r="AF286" s="947"/>
      <c r="AG286" s="947"/>
      <c r="AH286" s="948"/>
      <c r="AI286" s="947"/>
      <c r="AJ286" s="947"/>
      <c r="AK286" s="947"/>
      <c r="AL286" s="947"/>
      <c r="AM286" s="947"/>
      <c r="AN286" s="947"/>
      <c r="AO286" s="947"/>
      <c r="AP286" s="947"/>
      <c r="AQ286" s="947"/>
      <c r="AR286" s="938"/>
      <c r="AS286" s="937"/>
      <c r="AT286" s="948"/>
      <c r="AU286" s="947"/>
      <c r="AV286" s="981"/>
      <c r="AW286" s="950"/>
      <c r="AX286" s="950"/>
      <c r="AY286" s="951"/>
      <c r="AZ286" s="950"/>
      <c r="BA286" s="952"/>
      <c r="BB286" s="990"/>
      <c r="BC286" s="991"/>
      <c r="BD286" s="952"/>
      <c r="BE286" s="952"/>
      <c r="BF286" s="952"/>
      <c r="BG286" s="952"/>
      <c r="BH286" s="952"/>
      <c r="BI286" s="992"/>
      <c r="BJ286" s="952"/>
      <c r="BK286" s="992"/>
      <c r="BL286" s="952"/>
      <c r="BM286" s="952"/>
      <c r="BN286" s="952"/>
      <c r="BO286" s="952"/>
      <c r="BP286" s="965"/>
      <c r="BQ286" s="993"/>
      <c r="BR286" s="994"/>
      <c r="BS286" s="993"/>
      <c r="BT286" s="995"/>
      <c r="BU286" s="995"/>
      <c r="BV286" s="996"/>
      <c r="BW286" s="996"/>
      <c r="BX286" s="996"/>
      <c r="BY286" s="996"/>
      <c r="BZ286" s="996"/>
      <c r="CA286" s="996"/>
      <c r="CB286" s="965"/>
      <c r="CC286" s="965"/>
    </row>
    <row r="287">
      <c r="A287" s="84"/>
      <c r="B287" s="84"/>
      <c r="C287" s="348"/>
      <c r="D287" s="348"/>
      <c r="E287" s="84"/>
      <c r="F287" s="84"/>
      <c r="G287" s="84"/>
      <c r="H287" s="84"/>
      <c r="I287" s="84"/>
      <c r="J287" s="947"/>
      <c r="K287" s="947"/>
      <c r="L287" s="947"/>
      <c r="M287" s="947"/>
      <c r="N287" s="947"/>
      <c r="O287" s="947"/>
      <c r="P287" s="947"/>
      <c r="Q287" s="947"/>
      <c r="R287" s="937"/>
      <c r="S287" s="937"/>
      <c r="T287" s="947"/>
      <c r="U287" s="947"/>
      <c r="V287" s="938"/>
      <c r="W287" s="947"/>
      <c r="X287" s="939"/>
      <c r="Y287" s="947"/>
      <c r="Z287" s="947"/>
      <c r="AA287" s="938"/>
      <c r="AB287" s="947"/>
      <c r="AC287" s="947"/>
      <c r="AD287" s="947"/>
      <c r="AE287" s="947"/>
      <c r="AF287" s="947"/>
      <c r="AG287" s="947"/>
      <c r="AH287" s="948"/>
      <c r="AI287" s="947"/>
      <c r="AJ287" s="947"/>
      <c r="AK287" s="947"/>
      <c r="AL287" s="947"/>
      <c r="AM287" s="947"/>
      <c r="AN287" s="947"/>
      <c r="AO287" s="947"/>
      <c r="AP287" s="947"/>
      <c r="AQ287" s="947"/>
      <c r="AR287" s="938"/>
      <c r="AS287" s="937"/>
      <c r="AT287" s="948"/>
      <c r="AU287" s="947"/>
      <c r="AV287" s="981"/>
      <c r="AW287" s="950"/>
      <c r="AX287" s="950"/>
      <c r="AY287" s="951"/>
      <c r="AZ287" s="950"/>
      <c r="BA287" s="952"/>
      <c r="BB287" s="990"/>
      <c r="BC287" s="991"/>
      <c r="BD287" s="952"/>
      <c r="BE287" s="952"/>
      <c r="BF287" s="952"/>
      <c r="BG287" s="952"/>
      <c r="BH287" s="952"/>
      <c r="BI287" s="992"/>
      <c r="BJ287" s="952"/>
      <c r="BK287" s="992"/>
      <c r="BL287" s="952"/>
      <c r="BM287" s="952"/>
      <c r="BN287" s="952"/>
      <c r="BO287" s="952"/>
      <c r="BP287" s="965"/>
      <c r="BQ287" s="993"/>
      <c r="BR287" s="994"/>
      <c r="BS287" s="993"/>
      <c r="BT287" s="995"/>
      <c r="BU287" s="995"/>
      <c r="BV287" s="996"/>
      <c r="BW287" s="996"/>
      <c r="BX287" s="996"/>
      <c r="BY287" s="996"/>
      <c r="BZ287" s="996"/>
      <c r="CA287" s="996"/>
      <c r="CB287" s="965"/>
      <c r="CC287" s="965"/>
    </row>
    <row r="288">
      <c r="A288" s="84"/>
      <c r="B288" s="84"/>
      <c r="C288" s="348"/>
      <c r="D288" s="348"/>
      <c r="E288" s="84"/>
      <c r="F288" s="84"/>
      <c r="G288" s="84"/>
      <c r="H288" s="84"/>
      <c r="I288" s="84"/>
      <c r="J288" s="947"/>
      <c r="K288" s="947"/>
      <c r="L288" s="947"/>
      <c r="M288" s="947"/>
      <c r="N288" s="947"/>
      <c r="O288" s="947"/>
      <c r="P288" s="947"/>
      <c r="Q288" s="947"/>
      <c r="R288" s="937"/>
      <c r="S288" s="937"/>
      <c r="T288" s="947"/>
      <c r="U288" s="947"/>
      <c r="V288" s="938"/>
      <c r="W288" s="947"/>
      <c r="X288" s="939"/>
      <c r="Y288" s="947"/>
      <c r="Z288" s="947"/>
      <c r="AA288" s="938"/>
      <c r="AB288" s="947"/>
      <c r="AC288" s="947"/>
      <c r="AD288" s="947"/>
      <c r="AE288" s="947"/>
      <c r="AF288" s="947"/>
      <c r="AG288" s="947"/>
      <c r="AH288" s="948"/>
      <c r="AI288" s="947"/>
      <c r="AJ288" s="947"/>
      <c r="AK288" s="947"/>
      <c r="AL288" s="947"/>
      <c r="AM288" s="947"/>
      <c r="AN288" s="947"/>
      <c r="AO288" s="947"/>
      <c r="AP288" s="947"/>
      <c r="AQ288" s="947"/>
      <c r="AR288" s="938"/>
      <c r="AS288" s="937"/>
      <c r="AT288" s="948"/>
      <c r="AU288" s="947"/>
      <c r="AV288" s="981"/>
      <c r="AW288" s="950"/>
      <c r="AX288" s="950"/>
      <c r="AY288" s="951"/>
      <c r="AZ288" s="950"/>
      <c r="BA288" s="952"/>
      <c r="BB288" s="990"/>
      <c r="BC288" s="991"/>
      <c r="BD288" s="952"/>
      <c r="BE288" s="952"/>
      <c r="BF288" s="952"/>
      <c r="BG288" s="952"/>
      <c r="BH288" s="952"/>
      <c r="BI288" s="992"/>
      <c r="BJ288" s="952"/>
      <c r="BK288" s="992"/>
      <c r="BL288" s="952"/>
      <c r="BM288" s="952"/>
      <c r="BN288" s="952"/>
      <c r="BO288" s="952"/>
      <c r="BP288" s="965"/>
      <c r="BQ288" s="993"/>
      <c r="BR288" s="994"/>
      <c r="BS288" s="993"/>
      <c r="BT288" s="995"/>
      <c r="BU288" s="995"/>
      <c r="BV288" s="996"/>
      <c r="BW288" s="996"/>
      <c r="BX288" s="996"/>
      <c r="BY288" s="996"/>
      <c r="BZ288" s="996"/>
      <c r="CA288" s="996"/>
      <c r="CB288" s="965"/>
      <c r="CC288" s="965"/>
    </row>
    <row r="289">
      <c r="A289" s="84"/>
      <c r="B289" s="84"/>
      <c r="C289" s="348"/>
      <c r="D289" s="348"/>
      <c r="E289" s="84"/>
      <c r="F289" s="84"/>
      <c r="G289" s="84"/>
      <c r="H289" s="84"/>
      <c r="I289" s="84"/>
      <c r="J289" s="947"/>
      <c r="K289" s="947"/>
      <c r="L289" s="947"/>
      <c r="M289" s="947"/>
      <c r="N289" s="947"/>
      <c r="O289" s="947"/>
      <c r="P289" s="947"/>
      <c r="Q289" s="947"/>
      <c r="R289" s="937"/>
      <c r="S289" s="937"/>
      <c r="T289" s="947"/>
      <c r="U289" s="947"/>
      <c r="V289" s="938"/>
      <c r="W289" s="947"/>
      <c r="X289" s="939"/>
      <c r="Y289" s="947"/>
      <c r="Z289" s="947"/>
      <c r="AA289" s="938"/>
      <c r="AB289" s="947"/>
      <c r="AC289" s="947"/>
      <c r="AD289" s="947"/>
      <c r="AE289" s="947"/>
      <c r="AF289" s="947"/>
      <c r="AG289" s="947"/>
      <c r="AH289" s="948"/>
      <c r="AI289" s="947"/>
      <c r="AJ289" s="947"/>
      <c r="AK289" s="947"/>
      <c r="AL289" s="947"/>
      <c r="AM289" s="947"/>
      <c r="AN289" s="947"/>
      <c r="AO289" s="947"/>
      <c r="AP289" s="947"/>
      <c r="AQ289" s="947"/>
      <c r="AR289" s="938"/>
      <c r="AS289" s="937"/>
      <c r="AT289" s="948"/>
      <c r="AU289" s="947"/>
      <c r="AV289" s="981"/>
      <c r="AW289" s="950"/>
      <c r="AX289" s="950"/>
      <c r="AY289" s="951"/>
      <c r="AZ289" s="950"/>
      <c r="BA289" s="952"/>
      <c r="BB289" s="990"/>
      <c r="BC289" s="991"/>
      <c r="BD289" s="952"/>
      <c r="BE289" s="952"/>
      <c r="BF289" s="952"/>
      <c r="BG289" s="952"/>
      <c r="BH289" s="952"/>
      <c r="BI289" s="992"/>
      <c r="BJ289" s="952"/>
      <c r="BK289" s="992"/>
      <c r="BL289" s="952"/>
      <c r="BM289" s="952"/>
      <c r="BN289" s="952"/>
      <c r="BO289" s="952"/>
      <c r="BP289" s="965"/>
      <c r="BQ289" s="993"/>
      <c r="BR289" s="994"/>
      <c r="BS289" s="993"/>
      <c r="BT289" s="995"/>
      <c r="BU289" s="995"/>
      <c r="BV289" s="996"/>
      <c r="BW289" s="996"/>
      <c r="BX289" s="996"/>
      <c r="BY289" s="996"/>
      <c r="BZ289" s="996"/>
      <c r="CA289" s="996"/>
      <c r="CB289" s="965"/>
      <c r="CC289" s="965"/>
    </row>
    <row r="290">
      <c r="A290" s="84"/>
      <c r="B290" s="84"/>
      <c r="C290" s="348"/>
      <c r="D290" s="348"/>
      <c r="E290" s="84"/>
      <c r="F290" s="84"/>
      <c r="G290" s="84"/>
      <c r="H290" s="84"/>
      <c r="I290" s="84"/>
      <c r="J290" s="947"/>
      <c r="K290" s="947"/>
      <c r="L290" s="947"/>
      <c r="M290" s="947"/>
      <c r="N290" s="947"/>
      <c r="O290" s="947"/>
      <c r="P290" s="947"/>
      <c r="Q290" s="947"/>
      <c r="R290" s="937"/>
      <c r="S290" s="937"/>
      <c r="T290" s="947"/>
      <c r="U290" s="947"/>
      <c r="V290" s="938"/>
      <c r="W290" s="947"/>
      <c r="X290" s="939"/>
      <c r="Y290" s="947"/>
      <c r="Z290" s="947"/>
      <c r="AA290" s="938"/>
      <c r="AB290" s="947"/>
      <c r="AC290" s="947"/>
      <c r="AD290" s="947"/>
      <c r="AE290" s="947"/>
      <c r="AF290" s="947"/>
      <c r="AG290" s="947"/>
      <c r="AH290" s="948"/>
      <c r="AI290" s="947"/>
      <c r="AJ290" s="947"/>
      <c r="AK290" s="947"/>
      <c r="AL290" s="947"/>
      <c r="AM290" s="947"/>
      <c r="AN290" s="947"/>
      <c r="AO290" s="947"/>
      <c r="AP290" s="947"/>
      <c r="AQ290" s="947"/>
      <c r="AR290" s="938"/>
      <c r="AS290" s="937"/>
      <c r="AT290" s="948"/>
      <c r="AU290" s="947"/>
      <c r="AV290" s="981"/>
      <c r="AW290" s="950"/>
      <c r="AX290" s="950"/>
      <c r="AY290" s="951"/>
      <c r="AZ290" s="950"/>
      <c r="BA290" s="952"/>
      <c r="BB290" s="990"/>
      <c r="BC290" s="991"/>
      <c r="BD290" s="952"/>
      <c r="BE290" s="952"/>
      <c r="BF290" s="952"/>
      <c r="BG290" s="952"/>
      <c r="BH290" s="952"/>
      <c r="BI290" s="992"/>
      <c r="BJ290" s="952"/>
      <c r="BK290" s="992"/>
      <c r="BL290" s="952"/>
      <c r="BM290" s="952"/>
      <c r="BN290" s="952"/>
      <c r="BO290" s="952"/>
      <c r="BP290" s="965"/>
      <c r="BQ290" s="993"/>
      <c r="BR290" s="994"/>
      <c r="BS290" s="993"/>
      <c r="BT290" s="995"/>
      <c r="BU290" s="995"/>
      <c r="BV290" s="996"/>
      <c r="BW290" s="996"/>
      <c r="BX290" s="996"/>
      <c r="BY290" s="996"/>
      <c r="BZ290" s="996"/>
      <c r="CA290" s="996"/>
      <c r="CB290" s="965"/>
      <c r="CC290" s="965"/>
    </row>
    <row r="291">
      <c r="A291" s="84"/>
      <c r="B291" s="84"/>
      <c r="C291" s="348"/>
      <c r="D291" s="348"/>
      <c r="E291" s="84"/>
      <c r="F291" s="84"/>
      <c r="G291" s="84"/>
      <c r="H291" s="84"/>
      <c r="I291" s="84"/>
      <c r="J291" s="947"/>
      <c r="K291" s="947"/>
      <c r="L291" s="947"/>
      <c r="M291" s="947"/>
      <c r="N291" s="947"/>
      <c r="O291" s="947"/>
      <c r="P291" s="947"/>
      <c r="Q291" s="947"/>
      <c r="R291" s="937"/>
      <c r="S291" s="937"/>
      <c r="T291" s="947"/>
      <c r="U291" s="947"/>
      <c r="V291" s="938"/>
      <c r="W291" s="947"/>
      <c r="X291" s="939"/>
      <c r="Y291" s="947"/>
      <c r="Z291" s="947"/>
      <c r="AA291" s="938"/>
      <c r="AB291" s="947"/>
      <c r="AC291" s="947"/>
      <c r="AD291" s="947"/>
      <c r="AE291" s="947"/>
      <c r="AF291" s="947"/>
      <c r="AG291" s="947"/>
      <c r="AH291" s="948"/>
      <c r="AI291" s="947"/>
      <c r="AJ291" s="947"/>
      <c r="AK291" s="947"/>
      <c r="AL291" s="947"/>
      <c r="AM291" s="947"/>
      <c r="AN291" s="947"/>
      <c r="AO291" s="947"/>
      <c r="AP291" s="947"/>
      <c r="AQ291" s="947"/>
      <c r="AR291" s="938"/>
      <c r="AS291" s="937"/>
      <c r="AT291" s="948"/>
      <c r="AU291" s="947"/>
      <c r="AV291" s="981"/>
      <c r="AW291" s="950"/>
      <c r="AX291" s="950"/>
      <c r="AY291" s="951"/>
      <c r="AZ291" s="950"/>
      <c r="BA291" s="952"/>
      <c r="BB291" s="990"/>
      <c r="BC291" s="991"/>
      <c r="BD291" s="952"/>
      <c r="BE291" s="952"/>
      <c r="BF291" s="952"/>
      <c r="BG291" s="952"/>
      <c r="BH291" s="952"/>
      <c r="BI291" s="992"/>
      <c r="BJ291" s="952"/>
      <c r="BK291" s="992"/>
      <c r="BL291" s="952"/>
      <c r="BM291" s="952"/>
      <c r="BN291" s="952"/>
      <c r="BO291" s="952"/>
      <c r="BP291" s="965"/>
      <c r="BQ291" s="993"/>
      <c r="BR291" s="994"/>
      <c r="BS291" s="993"/>
      <c r="BT291" s="995"/>
      <c r="BU291" s="995"/>
      <c r="BV291" s="996"/>
      <c r="BW291" s="996"/>
      <c r="BX291" s="996"/>
      <c r="BY291" s="996"/>
      <c r="BZ291" s="996"/>
      <c r="CA291" s="996"/>
      <c r="CB291" s="965"/>
      <c r="CC291" s="965"/>
    </row>
    <row r="292">
      <c r="A292" s="84"/>
      <c r="B292" s="84"/>
      <c r="C292" s="348"/>
      <c r="D292" s="348"/>
      <c r="E292" s="84"/>
      <c r="F292" s="84"/>
      <c r="G292" s="84"/>
      <c r="H292" s="84"/>
      <c r="I292" s="84"/>
      <c r="J292" s="947"/>
      <c r="K292" s="947"/>
      <c r="L292" s="947"/>
      <c r="M292" s="947"/>
      <c r="N292" s="947"/>
      <c r="O292" s="947"/>
      <c r="P292" s="947"/>
      <c r="Q292" s="947"/>
      <c r="R292" s="937"/>
      <c r="S292" s="937"/>
      <c r="T292" s="947"/>
      <c r="U292" s="947"/>
      <c r="V292" s="938"/>
      <c r="W292" s="947"/>
      <c r="X292" s="939"/>
      <c r="Y292" s="947"/>
      <c r="Z292" s="947"/>
      <c r="AA292" s="938"/>
      <c r="AB292" s="947"/>
      <c r="AC292" s="947"/>
      <c r="AD292" s="947"/>
      <c r="AE292" s="947"/>
      <c r="AF292" s="947"/>
      <c r="AG292" s="947"/>
      <c r="AH292" s="948"/>
      <c r="AI292" s="947"/>
      <c r="AJ292" s="947"/>
      <c r="AK292" s="947"/>
      <c r="AL292" s="947"/>
      <c r="AM292" s="947"/>
      <c r="AN292" s="947"/>
      <c r="AO292" s="947"/>
      <c r="AP292" s="947"/>
      <c r="AQ292" s="947"/>
      <c r="AR292" s="938"/>
      <c r="AS292" s="937"/>
      <c r="AT292" s="948"/>
      <c r="AU292" s="947"/>
      <c r="AV292" s="981"/>
      <c r="AW292" s="950"/>
      <c r="AX292" s="950"/>
      <c r="AY292" s="951"/>
      <c r="AZ292" s="950"/>
      <c r="BA292" s="952"/>
      <c r="BB292" s="990"/>
      <c r="BC292" s="991"/>
      <c r="BD292" s="952"/>
      <c r="BE292" s="952"/>
      <c r="BF292" s="952"/>
      <c r="BG292" s="952"/>
      <c r="BH292" s="952"/>
      <c r="BI292" s="992"/>
      <c r="BJ292" s="952"/>
      <c r="BK292" s="992"/>
      <c r="BL292" s="952"/>
      <c r="BM292" s="952"/>
      <c r="BN292" s="952"/>
      <c r="BO292" s="952"/>
      <c r="BP292" s="965"/>
      <c r="BQ292" s="993"/>
      <c r="BR292" s="994"/>
      <c r="BS292" s="993"/>
      <c r="BT292" s="995"/>
      <c r="BU292" s="995"/>
      <c r="BV292" s="996"/>
      <c r="BW292" s="996"/>
      <c r="BX292" s="996"/>
      <c r="BY292" s="996"/>
      <c r="BZ292" s="996"/>
      <c r="CA292" s="996"/>
      <c r="CB292" s="965"/>
      <c r="CC292" s="965"/>
    </row>
    <row r="293">
      <c r="A293" s="84"/>
      <c r="B293" s="84"/>
      <c r="C293" s="348"/>
      <c r="D293" s="348"/>
      <c r="E293" s="84"/>
      <c r="F293" s="84"/>
      <c r="G293" s="84"/>
      <c r="H293" s="84"/>
      <c r="I293" s="84"/>
      <c r="J293" s="947"/>
      <c r="K293" s="947"/>
      <c r="L293" s="947"/>
      <c r="M293" s="947"/>
      <c r="N293" s="947"/>
      <c r="O293" s="947"/>
      <c r="P293" s="947"/>
      <c r="Q293" s="947"/>
      <c r="R293" s="937"/>
      <c r="S293" s="937"/>
      <c r="T293" s="947"/>
      <c r="U293" s="947"/>
      <c r="V293" s="938"/>
      <c r="W293" s="947"/>
      <c r="X293" s="939"/>
      <c r="Y293" s="947"/>
      <c r="Z293" s="947"/>
      <c r="AA293" s="938"/>
      <c r="AB293" s="947"/>
      <c r="AC293" s="947"/>
      <c r="AD293" s="947"/>
      <c r="AE293" s="947"/>
      <c r="AF293" s="947"/>
      <c r="AG293" s="947"/>
      <c r="AH293" s="948"/>
      <c r="AI293" s="947"/>
      <c r="AJ293" s="947"/>
      <c r="AK293" s="947"/>
      <c r="AL293" s="947"/>
      <c r="AM293" s="947"/>
      <c r="AN293" s="947"/>
      <c r="AO293" s="947"/>
      <c r="AP293" s="947"/>
      <c r="AQ293" s="947"/>
      <c r="AR293" s="938"/>
      <c r="AS293" s="937"/>
      <c r="AT293" s="948"/>
      <c r="AU293" s="947"/>
      <c r="AV293" s="981"/>
      <c r="AW293" s="950"/>
      <c r="AX293" s="950"/>
      <c r="AY293" s="951"/>
      <c r="AZ293" s="950"/>
      <c r="BA293" s="952"/>
      <c r="BB293" s="990"/>
      <c r="BC293" s="991"/>
      <c r="BD293" s="952"/>
      <c r="BE293" s="952"/>
      <c r="BF293" s="952"/>
      <c r="BG293" s="952"/>
      <c r="BH293" s="952"/>
      <c r="BI293" s="992"/>
      <c r="BJ293" s="952"/>
      <c r="BK293" s="992"/>
      <c r="BL293" s="952"/>
      <c r="BM293" s="952"/>
      <c r="BN293" s="952"/>
      <c r="BO293" s="952"/>
      <c r="BP293" s="965"/>
      <c r="BQ293" s="993"/>
      <c r="BR293" s="994"/>
      <c r="BS293" s="993"/>
      <c r="BT293" s="995"/>
      <c r="BU293" s="995"/>
      <c r="BV293" s="996"/>
      <c r="BW293" s="996"/>
      <c r="BX293" s="996"/>
      <c r="BY293" s="996"/>
      <c r="BZ293" s="996"/>
      <c r="CA293" s="996"/>
      <c r="CB293" s="965"/>
      <c r="CC293" s="965"/>
    </row>
    <row r="294">
      <c r="A294" s="84"/>
      <c r="B294" s="84"/>
      <c r="C294" s="348"/>
      <c r="D294" s="348"/>
      <c r="E294" s="84"/>
      <c r="F294" s="84"/>
      <c r="G294" s="84"/>
      <c r="H294" s="84"/>
      <c r="I294" s="84"/>
      <c r="J294" s="947"/>
      <c r="K294" s="947"/>
      <c r="L294" s="947"/>
      <c r="M294" s="947"/>
      <c r="N294" s="947"/>
      <c r="O294" s="947"/>
      <c r="P294" s="947"/>
      <c r="Q294" s="947"/>
      <c r="R294" s="937"/>
      <c r="S294" s="937"/>
      <c r="T294" s="947"/>
      <c r="U294" s="947"/>
      <c r="V294" s="938"/>
      <c r="W294" s="947"/>
      <c r="X294" s="939"/>
      <c r="Y294" s="947"/>
      <c r="Z294" s="947"/>
      <c r="AA294" s="938"/>
      <c r="AB294" s="947"/>
      <c r="AC294" s="947"/>
      <c r="AD294" s="947"/>
      <c r="AE294" s="947"/>
      <c r="AF294" s="947"/>
      <c r="AG294" s="947"/>
      <c r="AH294" s="948"/>
      <c r="AI294" s="947"/>
      <c r="AJ294" s="947"/>
      <c r="AK294" s="947"/>
      <c r="AL294" s="947"/>
      <c r="AM294" s="947"/>
      <c r="AN294" s="947"/>
      <c r="AO294" s="947"/>
      <c r="AP294" s="947"/>
      <c r="AQ294" s="947"/>
      <c r="AR294" s="938"/>
      <c r="AS294" s="937"/>
      <c r="AT294" s="948"/>
      <c r="AU294" s="947"/>
      <c r="AV294" s="981"/>
      <c r="AW294" s="950"/>
      <c r="AX294" s="950"/>
      <c r="AY294" s="951"/>
      <c r="AZ294" s="950"/>
      <c r="BA294" s="952"/>
      <c r="BB294" s="990"/>
      <c r="BC294" s="991"/>
      <c r="BD294" s="952"/>
      <c r="BE294" s="952"/>
      <c r="BF294" s="952"/>
      <c r="BG294" s="952"/>
      <c r="BH294" s="952"/>
      <c r="BI294" s="992"/>
      <c r="BJ294" s="952"/>
      <c r="BK294" s="992"/>
      <c r="BL294" s="952"/>
      <c r="BM294" s="952"/>
      <c r="BN294" s="952"/>
      <c r="BO294" s="952"/>
      <c r="BP294" s="965"/>
      <c r="BQ294" s="993"/>
      <c r="BR294" s="994"/>
      <c r="BS294" s="993"/>
      <c r="BT294" s="995"/>
      <c r="BU294" s="995"/>
      <c r="BV294" s="996"/>
      <c r="BW294" s="996"/>
      <c r="BX294" s="996"/>
      <c r="BY294" s="996"/>
      <c r="BZ294" s="996"/>
      <c r="CA294" s="996"/>
      <c r="CB294" s="965"/>
      <c r="CC294" s="965"/>
    </row>
    <row r="295">
      <c r="A295" s="84"/>
      <c r="B295" s="84"/>
      <c r="C295" s="348"/>
      <c r="D295" s="348"/>
      <c r="E295" s="84"/>
      <c r="F295" s="84"/>
      <c r="G295" s="84"/>
      <c r="H295" s="84"/>
      <c r="I295" s="84"/>
      <c r="J295" s="947"/>
      <c r="K295" s="947"/>
      <c r="L295" s="947"/>
      <c r="M295" s="947"/>
      <c r="N295" s="947"/>
      <c r="O295" s="947"/>
      <c r="P295" s="947"/>
      <c r="Q295" s="947"/>
      <c r="R295" s="937"/>
      <c r="S295" s="937"/>
      <c r="T295" s="947"/>
      <c r="U295" s="947"/>
      <c r="V295" s="938"/>
      <c r="W295" s="947"/>
      <c r="X295" s="939"/>
      <c r="Y295" s="947"/>
      <c r="Z295" s="947"/>
      <c r="AA295" s="938"/>
      <c r="AB295" s="947"/>
      <c r="AC295" s="947"/>
      <c r="AD295" s="947"/>
      <c r="AE295" s="947"/>
      <c r="AF295" s="947"/>
      <c r="AG295" s="947"/>
      <c r="AH295" s="948"/>
      <c r="AI295" s="947"/>
      <c r="AJ295" s="947"/>
      <c r="AK295" s="947"/>
      <c r="AL295" s="947"/>
      <c r="AM295" s="947"/>
      <c r="AN295" s="947"/>
      <c r="AO295" s="947"/>
      <c r="AP295" s="947"/>
      <c r="AQ295" s="947"/>
      <c r="AR295" s="938"/>
      <c r="AS295" s="937"/>
      <c r="AT295" s="948"/>
      <c r="AU295" s="947"/>
      <c r="AV295" s="981"/>
      <c r="AW295" s="950"/>
      <c r="AX295" s="950"/>
      <c r="AY295" s="951"/>
      <c r="AZ295" s="950"/>
      <c r="BA295" s="952"/>
      <c r="BB295" s="990"/>
      <c r="BC295" s="991"/>
      <c r="BD295" s="952"/>
      <c r="BE295" s="952"/>
      <c r="BF295" s="952"/>
      <c r="BG295" s="952"/>
      <c r="BH295" s="952"/>
      <c r="BI295" s="992"/>
      <c r="BJ295" s="952"/>
      <c r="BK295" s="992"/>
      <c r="BL295" s="952"/>
      <c r="BM295" s="952"/>
      <c r="BN295" s="952"/>
      <c r="BO295" s="952"/>
      <c r="BP295" s="965"/>
      <c r="BQ295" s="993"/>
      <c r="BR295" s="994"/>
      <c r="BS295" s="993"/>
      <c r="BT295" s="995"/>
      <c r="BU295" s="995"/>
      <c r="BV295" s="996"/>
      <c r="BW295" s="996"/>
      <c r="BX295" s="996"/>
      <c r="BY295" s="996"/>
      <c r="BZ295" s="996"/>
      <c r="CA295" s="996"/>
      <c r="CB295" s="965"/>
      <c r="CC295" s="965"/>
    </row>
    <row r="296">
      <c r="A296" s="84"/>
      <c r="B296" s="84"/>
      <c r="C296" s="348"/>
      <c r="D296" s="348"/>
      <c r="E296" s="84"/>
      <c r="F296" s="84"/>
      <c r="G296" s="84"/>
      <c r="H296" s="84"/>
      <c r="I296" s="84"/>
      <c r="J296" s="947"/>
      <c r="K296" s="947"/>
      <c r="L296" s="947"/>
      <c r="M296" s="947"/>
      <c r="N296" s="947"/>
      <c r="O296" s="947"/>
      <c r="P296" s="947"/>
      <c r="Q296" s="947"/>
      <c r="R296" s="937"/>
      <c r="S296" s="937"/>
      <c r="T296" s="947"/>
      <c r="U296" s="947"/>
      <c r="V296" s="938"/>
      <c r="W296" s="947"/>
      <c r="X296" s="939"/>
      <c r="Y296" s="947"/>
      <c r="Z296" s="947"/>
      <c r="AA296" s="938"/>
      <c r="AB296" s="947"/>
      <c r="AC296" s="947"/>
      <c r="AD296" s="947"/>
      <c r="AE296" s="947"/>
      <c r="AF296" s="947"/>
      <c r="AG296" s="947"/>
      <c r="AH296" s="948"/>
      <c r="AI296" s="947"/>
      <c r="AJ296" s="947"/>
      <c r="AK296" s="947"/>
      <c r="AL296" s="947"/>
      <c r="AM296" s="947"/>
      <c r="AN296" s="947"/>
      <c r="AO296" s="947"/>
      <c r="AP296" s="947"/>
      <c r="AQ296" s="947"/>
      <c r="AR296" s="938"/>
      <c r="AS296" s="937"/>
      <c r="AT296" s="948"/>
      <c r="AU296" s="947"/>
      <c r="AV296" s="981"/>
      <c r="AW296" s="950"/>
      <c r="AX296" s="950"/>
      <c r="AY296" s="951"/>
      <c r="AZ296" s="950"/>
      <c r="BA296" s="952"/>
      <c r="BB296" s="990"/>
      <c r="BC296" s="991"/>
      <c r="BD296" s="952"/>
      <c r="BE296" s="952"/>
      <c r="BF296" s="952"/>
      <c r="BG296" s="952"/>
      <c r="BH296" s="952"/>
      <c r="BI296" s="992"/>
      <c r="BJ296" s="952"/>
      <c r="BK296" s="992"/>
      <c r="BL296" s="952"/>
      <c r="BM296" s="952"/>
      <c r="BN296" s="952"/>
      <c r="BO296" s="952"/>
      <c r="BP296" s="965"/>
      <c r="BQ296" s="993"/>
      <c r="BR296" s="994"/>
      <c r="BS296" s="993"/>
      <c r="BT296" s="995"/>
      <c r="BU296" s="995"/>
      <c r="BV296" s="996"/>
      <c r="BW296" s="996"/>
      <c r="BX296" s="996"/>
      <c r="BY296" s="996"/>
      <c r="BZ296" s="996"/>
      <c r="CA296" s="996"/>
      <c r="CB296" s="965"/>
      <c r="CC296" s="965"/>
    </row>
    <row r="297">
      <c r="A297" s="84"/>
      <c r="B297" s="84"/>
      <c r="C297" s="348"/>
      <c r="D297" s="348"/>
      <c r="E297" s="84"/>
      <c r="F297" s="84"/>
      <c r="G297" s="84"/>
      <c r="H297" s="84"/>
      <c r="I297" s="84"/>
      <c r="J297" s="947"/>
      <c r="K297" s="947"/>
      <c r="L297" s="947"/>
      <c r="M297" s="947"/>
      <c r="N297" s="947"/>
      <c r="O297" s="947"/>
      <c r="P297" s="947"/>
      <c r="Q297" s="947"/>
      <c r="R297" s="937"/>
      <c r="S297" s="937"/>
      <c r="T297" s="947"/>
      <c r="U297" s="947"/>
      <c r="V297" s="938"/>
      <c r="W297" s="947"/>
      <c r="X297" s="939"/>
      <c r="Y297" s="947"/>
      <c r="Z297" s="947"/>
      <c r="AA297" s="938"/>
      <c r="AB297" s="947"/>
      <c r="AC297" s="947"/>
      <c r="AD297" s="947"/>
      <c r="AE297" s="947"/>
      <c r="AF297" s="947"/>
      <c r="AG297" s="947"/>
      <c r="AH297" s="948"/>
      <c r="AI297" s="947"/>
      <c r="AJ297" s="947"/>
      <c r="AK297" s="947"/>
      <c r="AL297" s="947"/>
      <c r="AM297" s="947"/>
      <c r="AN297" s="947"/>
      <c r="AO297" s="947"/>
      <c r="AP297" s="947"/>
      <c r="AQ297" s="947"/>
      <c r="AR297" s="938"/>
      <c r="AS297" s="937"/>
      <c r="AT297" s="948"/>
      <c r="AU297" s="947"/>
      <c r="AV297" s="981"/>
      <c r="AW297" s="950"/>
      <c r="AX297" s="950"/>
      <c r="AY297" s="951"/>
      <c r="AZ297" s="950"/>
      <c r="BA297" s="952"/>
      <c r="BB297" s="990"/>
      <c r="BC297" s="991"/>
      <c r="BD297" s="952"/>
      <c r="BE297" s="952"/>
      <c r="BF297" s="952"/>
      <c r="BG297" s="952"/>
      <c r="BH297" s="952"/>
      <c r="BI297" s="992"/>
      <c r="BJ297" s="952"/>
      <c r="BK297" s="992"/>
      <c r="BL297" s="952"/>
      <c r="BM297" s="952"/>
      <c r="BN297" s="952"/>
      <c r="BO297" s="952"/>
      <c r="BP297" s="965"/>
      <c r="BQ297" s="993"/>
      <c r="BR297" s="994"/>
      <c r="BS297" s="993"/>
      <c r="BT297" s="995"/>
      <c r="BU297" s="995"/>
      <c r="BV297" s="996"/>
      <c r="BW297" s="996"/>
      <c r="BX297" s="996"/>
      <c r="BY297" s="996"/>
      <c r="BZ297" s="996"/>
      <c r="CA297" s="996"/>
      <c r="CB297" s="965"/>
      <c r="CC297" s="965"/>
    </row>
    <row r="298">
      <c r="A298" s="84"/>
      <c r="B298" s="84"/>
      <c r="C298" s="348"/>
      <c r="D298" s="348"/>
      <c r="E298" s="84"/>
      <c r="F298" s="84"/>
      <c r="G298" s="84"/>
      <c r="H298" s="84"/>
      <c r="I298" s="84"/>
      <c r="J298" s="947"/>
      <c r="K298" s="947"/>
      <c r="L298" s="947"/>
      <c r="M298" s="947"/>
      <c r="N298" s="947"/>
      <c r="O298" s="947"/>
      <c r="P298" s="947"/>
      <c r="Q298" s="947"/>
      <c r="R298" s="937"/>
      <c r="S298" s="937"/>
      <c r="T298" s="947"/>
      <c r="U298" s="947"/>
      <c r="V298" s="938"/>
      <c r="W298" s="947"/>
      <c r="X298" s="939"/>
      <c r="Y298" s="947"/>
      <c r="Z298" s="947"/>
      <c r="AA298" s="938"/>
      <c r="AB298" s="947"/>
      <c r="AC298" s="947"/>
      <c r="AD298" s="947"/>
      <c r="AE298" s="947"/>
      <c r="AF298" s="947"/>
      <c r="AG298" s="947"/>
      <c r="AH298" s="948"/>
      <c r="AI298" s="947"/>
      <c r="AJ298" s="947"/>
      <c r="AK298" s="947"/>
      <c r="AL298" s="947"/>
      <c r="AM298" s="947"/>
      <c r="AN298" s="947"/>
      <c r="AO298" s="947"/>
      <c r="AP298" s="947"/>
      <c r="AQ298" s="947"/>
      <c r="AR298" s="938"/>
      <c r="AS298" s="937"/>
      <c r="AT298" s="948"/>
      <c r="AU298" s="947"/>
      <c r="AV298" s="981"/>
      <c r="AW298" s="950"/>
      <c r="AX298" s="950"/>
      <c r="AY298" s="951"/>
      <c r="AZ298" s="950"/>
      <c r="BA298" s="952"/>
      <c r="BB298" s="990"/>
      <c r="BC298" s="991"/>
      <c r="BD298" s="952"/>
      <c r="BE298" s="952"/>
      <c r="BF298" s="952"/>
      <c r="BG298" s="952"/>
      <c r="BH298" s="952"/>
      <c r="BI298" s="992"/>
      <c r="BJ298" s="952"/>
      <c r="BK298" s="992"/>
      <c r="BL298" s="952"/>
      <c r="BM298" s="952"/>
      <c r="BN298" s="952"/>
      <c r="BO298" s="952"/>
      <c r="BP298" s="965"/>
      <c r="BQ298" s="993"/>
      <c r="BR298" s="994"/>
      <c r="BS298" s="993"/>
      <c r="BT298" s="995"/>
      <c r="BU298" s="995"/>
      <c r="BV298" s="996"/>
      <c r="BW298" s="996"/>
      <c r="BX298" s="996"/>
      <c r="BY298" s="996"/>
      <c r="BZ298" s="996"/>
      <c r="CA298" s="996"/>
      <c r="CB298" s="965"/>
      <c r="CC298" s="965"/>
    </row>
    <row r="299">
      <c r="A299" s="84"/>
      <c r="B299" s="84"/>
      <c r="C299" s="348"/>
      <c r="D299" s="348"/>
      <c r="E299" s="84"/>
      <c r="F299" s="84"/>
      <c r="G299" s="84"/>
      <c r="H299" s="84"/>
      <c r="I299" s="84"/>
      <c r="J299" s="947"/>
      <c r="K299" s="947"/>
      <c r="L299" s="947"/>
      <c r="M299" s="947"/>
      <c r="N299" s="947"/>
      <c r="O299" s="947"/>
      <c r="P299" s="947"/>
      <c r="Q299" s="947"/>
      <c r="R299" s="937"/>
      <c r="S299" s="937"/>
      <c r="T299" s="947"/>
      <c r="U299" s="947"/>
      <c r="V299" s="938"/>
      <c r="W299" s="947"/>
      <c r="X299" s="939"/>
      <c r="Y299" s="947"/>
      <c r="Z299" s="947"/>
      <c r="AA299" s="938"/>
      <c r="AB299" s="947"/>
      <c r="AC299" s="947"/>
      <c r="AD299" s="947"/>
      <c r="AE299" s="947"/>
      <c r="AF299" s="947"/>
      <c r="AG299" s="947"/>
      <c r="AH299" s="948"/>
      <c r="AI299" s="947"/>
      <c r="AJ299" s="947"/>
      <c r="AK299" s="947"/>
      <c r="AL299" s="947"/>
      <c r="AM299" s="947"/>
      <c r="AN299" s="947"/>
      <c r="AO299" s="947"/>
      <c r="AP299" s="947"/>
      <c r="AQ299" s="947"/>
      <c r="AR299" s="938"/>
      <c r="AS299" s="937"/>
      <c r="AT299" s="948"/>
      <c r="AU299" s="947"/>
      <c r="AV299" s="981"/>
      <c r="AW299" s="950"/>
      <c r="AX299" s="950"/>
      <c r="AY299" s="951"/>
      <c r="AZ299" s="950"/>
      <c r="BA299" s="952"/>
      <c r="BB299" s="990"/>
      <c r="BC299" s="991"/>
      <c r="BD299" s="952"/>
      <c r="BE299" s="952"/>
      <c r="BF299" s="952"/>
      <c r="BG299" s="952"/>
      <c r="BH299" s="952"/>
      <c r="BI299" s="992"/>
      <c r="BJ299" s="952"/>
      <c r="BK299" s="992"/>
      <c r="BL299" s="952"/>
      <c r="BM299" s="952"/>
      <c r="BN299" s="952"/>
      <c r="BO299" s="952"/>
      <c r="BP299" s="965"/>
      <c r="BQ299" s="993"/>
      <c r="BR299" s="994"/>
      <c r="BS299" s="993"/>
      <c r="BT299" s="995"/>
      <c r="BU299" s="995"/>
      <c r="BV299" s="996"/>
      <c r="BW299" s="996"/>
      <c r="BX299" s="996"/>
      <c r="BY299" s="996"/>
      <c r="BZ299" s="996"/>
      <c r="CA299" s="996"/>
      <c r="CB299" s="965"/>
      <c r="CC299" s="965"/>
    </row>
    <row r="300">
      <c r="A300" s="84"/>
      <c r="B300" s="84"/>
      <c r="C300" s="348"/>
      <c r="D300" s="348"/>
      <c r="E300" s="84"/>
      <c r="F300" s="84"/>
      <c r="G300" s="84"/>
      <c r="H300" s="84"/>
      <c r="I300" s="84"/>
      <c r="J300" s="947"/>
      <c r="K300" s="947"/>
      <c r="L300" s="947"/>
      <c r="M300" s="947"/>
      <c r="N300" s="947"/>
      <c r="O300" s="947"/>
      <c r="P300" s="947"/>
      <c r="Q300" s="947"/>
      <c r="R300" s="937"/>
      <c r="S300" s="937"/>
      <c r="T300" s="947"/>
      <c r="U300" s="947"/>
      <c r="V300" s="938"/>
      <c r="W300" s="947"/>
      <c r="X300" s="939"/>
      <c r="Y300" s="947"/>
      <c r="Z300" s="947"/>
      <c r="AA300" s="938"/>
      <c r="AB300" s="947"/>
      <c r="AC300" s="947"/>
      <c r="AD300" s="947"/>
      <c r="AE300" s="947"/>
      <c r="AF300" s="947"/>
      <c r="AG300" s="947"/>
      <c r="AH300" s="948"/>
      <c r="AI300" s="947"/>
      <c r="AJ300" s="947"/>
      <c r="AK300" s="947"/>
      <c r="AL300" s="947"/>
      <c r="AM300" s="947"/>
      <c r="AN300" s="947"/>
      <c r="AO300" s="947"/>
      <c r="AP300" s="947"/>
      <c r="AQ300" s="947"/>
      <c r="AR300" s="938"/>
      <c r="AS300" s="937"/>
      <c r="AT300" s="948"/>
      <c r="AU300" s="947"/>
      <c r="AV300" s="981"/>
      <c r="AW300" s="950"/>
      <c r="AX300" s="950"/>
      <c r="AY300" s="951"/>
      <c r="AZ300" s="950"/>
      <c r="BA300" s="952"/>
      <c r="BB300" s="990"/>
      <c r="BC300" s="991"/>
      <c r="BD300" s="952"/>
      <c r="BE300" s="952"/>
      <c r="BF300" s="952"/>
      <c r="BG300" s="952"/>
      <c r="BH300" s="952"/>
      <c r="BI300" s="992"/>
      <c r="BJ300" s="952"/>
      <c r="BK300" s="992"/>
      <c r="BL300" s="952"/>
      <c r="BM300" s="952"/>
      <c r="BN300" s="952"/>
      <c r="BO300" s="952"/>
      <c r="BP300" s="965"/>
      <c r="BQ300" s="993"/>
      <c r="BR300" s="994"/>
      <c r="BS300" s="993"/>
      <c r="BT300" s="995"/>
      <c r="BU300" s="995"/>
      <c r="BV300" s="996"/>
      <c r="BW300" s="996"/>
      <c r="BX300" s="996"/>
      <c r="BY300" s="996"/>
      <c r="BZ300" s="996"/>
      <c r="CA300" s="996"/>
      <c r="CB300" s="965"/>
      <c r="CC300" s="965"/>
    </row>
    <row r="301">
      <c r="A301" s="84"/>
      <c r="B301" s="84"/>
      <c r="C301" s="348"/>
      <c r="D301" s="348"/>
      <c r="E301" s="84"/>
      <c r="F301" s="84"/>
      <c r="G301" s="84"/>
      <c r="H301" s="84"/>
      <c r="I301" s="84"/>
      <c r="J301" s="947"/>
      <c r="K301" s="947"/>
      <c r="L301" s="947"/>
      <c r="M301" s="947"/>
      <c r="N301" s="947"/>
      <c r="O301" s="947"/>
      <c r="P301" s="947"/>
      <c r="Q301" s="947"/>
      <c r="R301" s="937"/>
      <c r="S301" s="937"/>
      <c r="T301" s="947"/>
      <c r="U301" s="947"/>
      <c r="V301" s="938"/>
      <c r="W301" s="947"/>
      <c r="X301" s="939"/>
      <c r="Y301" s="947"/>
      <c r="Z301" s="947"/>
      <c r="AA301" s="938"/>
      <c r="AB301" s="947"/>
      <c r="AC301" s="947"/>
      <c r="AD301" s="947"/>
      <c r="AE301" s="947"/>
      <c r="AF301" s="947"/>
      <c r="AG301" s="947"/>
      <c r="AH301" s="948"/>
      <c r="AI301" s="947"/>
      <c r="AJ301" s="947"/>
      <c r="AK301" s="947"/>
      <c r="AL301" s="947"/>
      <c r="AM301" s="947"/>
      <c r="AN301" s="947"/>
      <c r="AO301" s="947"/>
      <c r="AP301" s="947"/>
      <c r="AQ301" s="947"/>
      <c r="AR301" s="938"/>
      <c r="AS301" s="937"/>
      <c r="AT301" s="948"/>
      <c r="AU301" s="947"/>
      <c r="AV301" s="981"/>
      <c r="AW301" s="950"/>
      <c r="AX301" s="950"/>
      <c r="AY301" s="951"/>
      <c r="AZ301" s="950"/>
      <c r="BA301" s="952"/>
      <c r="BB301" s="990"/>
      <c r="BC301" s="991"/>
      <c r="BD301" s="952"/>
      <c r="BE301" s="952"/>
      <c r="BF301" s="952"/>
      <c r="BG301" s="952"/>
      <c r="BH301" s="952"/>
      <c r="BI301" s="992"/>
      <c r="BJ301" s="952"/>
      <c r="BK301" s="992"/>
      <c r="BL301" s="952"/>
      <c r="BM301" s="952"/>
      <c r="BN301" s="952"/>
      <c r="BO301" s="952"/>
      <c r="BP301" s="965"/>
      <c r="BQ301" s="993"/>
      <c r="BR301" s="994"/>
      <c r="BS301" s="993"/>
      <c r="BT301" s="995"/>
      <c r="BU301" s="995"/>
      <c r="BV301" s="996"/>
      <c r="BW301" s="996"/>
      <c r="BX301" s="996"/>
      <c r="BY301" s="996"/>
      <c r="BZ301" s="996"/>
      <c r="CA301" s="996"/>
      <c r="CB301" s="965"/>
      <c r="CC301" s="965"/>
    </row>
    <row r="302">
      <c r="A302" s="84"/>
      <c r="B302" s="84"/>
      <c r="C302" s="348"/>
      <c r="D302" s="348"/>
      <c r="E302" s="84"/>
      <c r="F302" s="84"/>
      <c r="G302" s="84"/>
      <c r="H302" s="84"/>
      <c r="I302" s="84"/>
      <c r="J302" s="947"/>
      <c r="K302" s="947"/>
      <c r="L302" s="947"/>
      <c r="M302" s="947"/>
      <c r="N302" s="947"/>
      <c r="O302" s="947"/>
      <c r="P302" s="947"/>
      <c r="Q302" s="947"/>
      <c r="R302" s="937"/>
      <c r="S302" s="937"/>
      <c r="T302" s="947"/>
      <c r="U302" s="947"/>
      <c r="V302" s="938"/>
      <c r="W302" s="947"/>
      <c r="X302" s="939"/>
      <c r="Y302" s="947"/>
      <c r="Z302" s="947"/>
      <c r="AA302" s="938"/>
      <c r="AB302" s="947"/>
      <c r="AC302" s="947"/>
      <c r="AD302" s="947"/>
      <c r="AE302" s="947"/>
      <c r="AF302" s="947"/>
      <c r="AG302" s="947"/>
      <c r="AH302" s="948"/>
      <c r="AI302" s="947"/>
      <c r="AJ302" s="947"/>
      <c r="AK302" s="947"/>
      <c r="AL302" s="947"/>
      <c r="AM302" s="947"/>
      <c r="AN302" s="947"/>
      <c r="AO302" s="947"/>
      <c r="AP302" s="947"/>
      <c r="AQ302" s="947"/>
      <c r="AR302" s="938"/>
      <c r="AS302" s="937"/>
      <c r="AT302" s="948"/>
      <c r="AU302" s="947"/>
      <c r="AV302" s="981"/>
      <c r="AW302" s="950"/>
      <c r="AX302" s="950"/>
      <c r="AY302" s="951"/>
      <c r="AZ302" s="950"/>
      <c r="BA302" s="952"/>
      <c r="BB302" s="990"/>
      <c r="BC302" s="991"/>
      <c r="BD302" s="952"/>
      <c r="BE302" s="952"/>
      <c r="BF302" s="952"/>
      <c r="BG302" s="952"/>
      <c r="BH302" s="952"/>
      <c r="BI302" s="992"/>
      <c r="BJ302" s="952"/>
      <c r="BK302" s="992"/>
      <c r="BL302" s="952"/>
      <c r="BM302" s="952"/>
      <c r="BN302" s="952"/>
      <c r="BO302" s="952"/>
      <c r="BP302" s="965"/>
      <c r="BQ302" s="993"/>
      <c r="BR302" s="994"/>
      <c r="BS302" s="993"/>
      <c r="BT302" s="995"/>
      <c r="BU302" s="995"/>
      <c r="BV302" s="996"/>
      <c r="BW302" s="996"/>
      <c r="BX302" s="996"/>
      <c r="BY302" s="996"/>
      <c r="BZ302" s="996"/>
      <c r="CA302" s="996"/>
      <c r="CB302" s="965"/>
      <c r="CC302" s="965"/>
    </row>
    <row r="303">
      <c r="A303" s="84"/>
      <c r="B303" s="84"/>
      <c r="C303" s="348"/>
      <c r="D303" s="348"/>
      <c r="E303" s="84"/>
      <c r="F303" s="84"/>
      <c r="G303" s="84"/>
      <c r="H303" s="84"/>
      <c r="I303" s="84"/>
      <c r="J303" s="947"/>
      <c r="K303" s="947"/>
      <c r="L303" s="947"/>
      <c r="M303" s="947"/>
      <c r="N303" s="947"/>
      <c r="O303" s="947"/>
      <c r="P303" s="947"/>
      <c r="Q303" s="947"/>
      <c r="R303" s="937"/>
      <c r="S303" s="937"/>
      <c r="T303" s="947"/>
      <c r="U303" s="947"/>
      <c r="V303" s="938"/>
      <c r="W303" s="947"/>
      <c r="X303" s="939"/>
      <c r="Y303" s="947"/>
      <c r="Z303" s="947"/>
      <c r="AA303" s="938"/>
      <c r="AB303" s="947"/>
      <c r="AC303" s="947"/>
      <c r="AD303" s="947"/>
      <c r="AE303" s="947"/>
      <c r="AF303" s="947"/>
      <c r="AG303" s="947"/>
      <c r="AH303" s="948"/>
      <c r="AI303" s="947"/>
      <c r="AJ303" s="947"/>
      <c r="AK303" s="947"/>
      <c r="AL303" s="947"/>
      <c r="AM303" s="947"/>
      <c r="AN303" s="947"/>
      <c r="AO303" s="947"/>
      <c r="AP303" s="947"/>
      <c r="AQ303" s="947"/>
      <c r="AR303" s="938"/>
      <c r="AS303" s="937"/>
      <c r="AT303" s="948"/>
      <c r="AU303" s="947"/>
      <c r="AV303" s="981"/>
      <c r="AW303" s="950"/>
      <c r="AX303" s="950"/>
      <c r="AY303" s="951"/>
      <c r="AZ303" s="950"/>
      <c r="BA303" s="952"/>
      <c r="BB303" s="990"/>
      <c r="BC303" s="991"/>
      <c r="BD303" s="952"/>
      <c r="BE303" s="952"/>
      <c r="BF303" s="952"/>
      <c r="BG303" s="952"/>
      <c r="BH303" s="952"/>
      <c r="BI303" s="992"/>
      <c r="BJ303" s="952"/>
      <c r="BK303" s="992"/>
      <c r="BL303" s="952"/>
      <c r="BM303" s="952"/>
      <c r="BN303" s="952"/>
      <c r="BO303" s="952"/>
      <c r="BP303" s="965"/>
      <c r="BQ303" s="993"/>
      <c r="BR303" s="994"/>
      <c r="BS303" s="993"/>
      <c r="BT303" s="995"/>
      <c r="BU303" s="995"/>
      <c r="BV303" s="996"/>
      <c r="BW303" s="996"/>
      <c r="BX303" s="996"/>
      <c r="BY303" s="996"/>
      <c r="BZ303" s="996"/>
      <c r="CA303" s="996"/>
      <c r="CB303" s="965"/>
      <c r="CC303" s="965"/>
    </row>
    <row r="304">
      <c r="A304" s="84"/>
      <c r="B304" s="84"/>
      <c r="C304" s="348"/>
      <c r="D304" s="348"/>
      <c r="E304" s="84"/>
      <c r="F304" s="84"/>
      <c r="G304" s="84"/>
      <c r="H304" s="84"/>
      <c r="I304" s="84"/>
      <c r="J304" s="947"/>
      <c r="K304" s="947"/>
      <c r="L304" s="947"/>
      <c r="M304" s="947"/>
      <c r="N304" s="947"/>
      <c r="O304" s="947"/>
      <c r="P304" s="947"/>
      <c r="Q304" s="947"/>
      <c r="R304" s="937"/>
      <c r="S304" s="937"/>
      <c r="T304" s="947"/>
      <c r="U304" s="947"/>
      <c r="V304" s="938"/>
      <c r="W304" s="947"/>
      <c r="X304" s="939"/>
      <c r="Y304" s="947"/>
      <c r="Z304" s="947"/>
      <c r="AA304" s="938"/>
      <c r="AB304" s="947"/>
      <c r="AC304" s="947"/>
      <c r="AD304" s="947"/>
      <c r="AE304" s="947"/>
      <c r="AF304" s="947"/>
      <c r="AG304" s="947"/>
      <c r="AH304" s="948"/>
      <c r="AI304" s="947"/>
      <c r="AJ304" s="947"/>
      <c r="AK304" s="947"/>
      <c r="AL304" s="947"/>
      <c r="AM304" s="947"/>
      <c r="AN304" s="947"/>
      <c r="AO304" s="947"/>
      <c r="AP304" s="947"/>
      <c r="AQ304" s="947"/>
      <c r="AR304" s="938"/>
      <c r="AS304" s="937"/>
      <c r="AT304" s="948"/>
      <c r="AU304" s="947"/>
      <c r="AV304" s="981"/>
      <c r="AW304" s="950"/>
      <c r="AX304" s="950"/>
      <c r="AY304" s="951"/>
      <c r="AZ304" s="950"/>
      <c r="BA304" s="952"/>
      <c r="BB304" s="990"/>
      <c r="BC304" s="991"/>
      <c r="BD304" s="952"/>
      <c r="BE304" s="952"/>
      <c r="BF304" s="952"/>
      <c r="BG304" s="952"/>
      <c r="BH304" s="952"/>
      <c r="BI304" s="992"/>
      <c r="BJ304" s="952"/>
      <c r="BK304" s="992"/>
      <c r="BL304" s="952"/>
      <c r="BM304" s="952"/>
      <c r="BN304" s="952"/>
      <c r="BO304" s="952"/>
      <c r="BP304" s="965"/>
      <c r="BQ304" s="993"/>
      <c r="BR304" s="994"/>
      <c r="BS304" s="993"/>
      <c r="BT304" s="995"/>
      <c r="BU304" s="995"/>
      <c r="BV304" s="996"/>
      <c r="BW304" s="996"/>
      <c r="BX304" s="996"/>
      <c r="BY304" s="996"/>
      <c r="BZ304" s="996"/>
      <c r="CA304" s="996"/>
      <c r="CB304" s="965"/>
      <c r="CC304" s="965"/>
    </row>
    <row r="305">
      <c r="A305" s="84"/>
      <c r="B305" s="84"/>
      <c r="C305" s="348"/>
      <c r="D305" s="348"/>
      <c r="E305" s="84"/>
      <c r="F305" s="84"/>
      <c r="G305" s="84"/>
      <c r="H305" s="84"/>
      <c r="I305" s="84"/>
      <c r="J305" s="947"/>
      <c r="K305" s="947"/>
      <c r="L305" s="947"/>
      <c r="M305" s="947"/>
      <c r="N305" s="947"/>
      <c r="O305" s="947"/>
      <c r="P305" s="947"/>
      <c r="Q305" s="947"/>
      <c r="R305" s="937"/>
      <c r="S305" s="937"/>
      <c r="T305" s="947"/>
      <c r="U305" s="947"/>
      <c r="V305" s="938"/>
      <c r="W305" s="947"/>
      <c r="X305" s="939"/>
      <c r="Y305" s="947"/>
      <c r="Z305" s="947"/>
      <c r="AA305" s="938"/>
      <c r="AB305" s="947"/>
      <c r="AC305" s="947"/>
      <c r="AD305" s="947"/>
      <c r="AE305" s="947"/>
      <c r="AF305" s="947"/>
      <c r="AG305" s="947"/>
      <c r="AH305" s="948"/>
      <c r="AI305" s="947"/>
      <c r="AJ305" s="947"/>
      <c r="AK305" s="947"/>
      <c r="AL305" s="947"/>
      <c r="AM305" s="947"/>
      <c r="AN305" s="947"/>
      <c r="AO305" s="947"/>
      <c r="AP305" s="947"/>
      <c r="AQ305" s="947"/>
      <c r="AR305" s="938"/>
      <c r="AS305" s="937"/>
      <c r="AT305" s="948"/>
      <c r="AU305" s="947"/>
      <c r="AV305" s="981"/>
      <c r="AW305" s="950"/>
      <c r="AX305" s="950"/>
      <c r="AY305" s="951"/>
      <c r="AZ305" s="950"/>
      <c r="BA305" s="952"/>
      <c r="BB305" s="990"/>
      <c r="BC305" s="991"/>
      <c r="BD305" s="952"/>
      <c r="BE305" s="952"/>
      <c r="BF305" s="952"/>
      <c r="BG305" s="952"/>
      <c r="BH305" s="952"/>
      <c r="BI305" s="992"/>
      <c r="BJ305" s="952"/>
      <c r="BK305" s="992"/>
      <c r="BL305" s="952"/>
      <c r="BM305" s="952"/>
      <c r="BN305" s="952"/>
      <c r="BO305" s="952"/>
      <c r="BP305" s="965"/>
      <c r="BQ305" s="993"/>
      <c r="BR305" s="994"/>
      <c r="BS305" s="993"/>
      <c r="BT305" s="995"/>
      <c r="BU305" s="995"/>
      <c r="BV305" s="996"/>
      <c r="BW305" s="996"/>
      <c r="BX305" s="996"/>
      <c r="BY305" s="996"/>
      <c r="BZ305" s="996"/>
      <c r="CA305" s="996"/>
      <c r="CB305" s="965"/>
      <c r="CC305" s="965"/>
    </row>
    <row r="306">
      <c r="A306" s="84"/>
      <c r="B306" s="84"/>
      <c r="C306" s="348"/>
      <c r="D306" s="348"/>
      <c r="E306" s="84"/>
      <c r="F306" s="84"/>
      <c r="G306" s="84"/>
      <c r="H306" s="84"/>
      <c r="I306" s="84"/>
      <c r="J306" s="947"/>
      <c r="K306" s="947"/>
      <c r="L306" s="947"/>
      <c r="M306" s="947"/>
      <c r="N306" s="947"/>
      <c r="O306" s="947"/>
      <c r="P306" s="947"/>
      <c r="Q306" s="947"/>
      <c r="R306" s="937"/>
      <c r="S306" s="937"/>
      <c r="T306" s="947"/>
      <c r="U306" s="947"/>
      <c r="V306" s="938"/>
      <c r="W306" s="947"/>
      <c r="X306" s="939"/>
      <c r="Y306" s="947"/>
      <c r="Z306" s="947"/>
      <c r="AA306" s="938"/>
      <c r="AB306" s="947"/>
      <c r="AC306" s="947"/>
      <c r="AD306" s="947"/>
      <c r="AE306" s="947"/>
      <c r="AF306" s="947"/>
      <c r="AG306" s="947"/>
      <c r="AH306" s="948"/>
      <c r="AI306" s="947"/>
      <c r="AJ306" s="947"/>
      <c r="AK306" s="947"/>
      <c r="AL306" s="947"/>
      <c r="AM306" s="947"/>
      <c r="AN306" s="947"/>
      <c r="AO306" s="947"/>
      <c r="AP306" s="947"/>
      <c r="AQ306" s="947"/>
      <c r="AR306" s="938"/>
      <c r="AS306" s="937"/>
      <c r="AT306" s="948"/>
      <c r="AU306" s="947"/>
      <c r="AV306" s="981"/>
      <c r="AW306" s="950"/>
      <c r="AX306" s="950"/>
      <c r="AY306" s="951"/>
      <c r="AZ306" s="950"/>
      <c r="BA306" s="952"/>
      <c r="BB306" s="990"/>
      <c r="BC306" s="991"/>
      <c r="BD306" s="952"/>
      <c r="BE306" s="952"/>
      <c r="BF306" s="952"/>
      <c r="BG306" s="952"/>
      <c r="BH306" s="952"/>
      <c r="BI306" s="992"/>
      <c r="BJ306" s="952"/>
      <c r="BK306" s="992"/>
      <c r="BL306" s="952"/>
      <c r="BM306" s="952"/>
      <c r="BN306" s="952"/>
      <c r="BO306" s="952"/>
      <c r="BP306" s="965"/>
      <c r="BQ306" s="993"/>
      <c r="BR306" s="994"/>
      <c r="BS306" s="993"/>
      <c r="BT306" s="995"/>
      <c r="BU306" s="995"/>
      <c r="BV306" s="996"/>
      <c r="BW306" s="996"/>
      <c r="BX306" s="996"/>
      <c r="BY306" s="996"/>
      <c r="BZ306" s="996"/>
      <c r="CA306" s="996"/>
      <c r="CB306" s="965"/>
      <c r="CC306" s="965"/>
    </row>
    <row r="307">
      <c r="A307" s="84"/>
      <c r="B307" s="84"/>
      <c r="C307" s="348"/>
      <c r="D307" s="348"/>
      <c r="E307" s="84"/>
      <c r="F307" s="84"/>
      <c r="G307" s="84"/>
      <c r="H307" s="84"/>
      <c r="I307" s="84"/>
      <c r="J307" s="947"/>
      <c r="K307" s="947"/>
      <c r="L307" s="947"/>
      <c r="M307" s="947"/>
      <c r="N307" s="947"/>
      <c r="O307" s="947"/>
      <c r="P307" s="947"/>
      <c r="Q307" s="947"/>
      <c r="R307" s="937"/>
      <c r="S307" s="937"/>
      <c r="T307" s="947"/>
      <c r="U307" s="947"/>
      <c r="V307" s="938"/>
      <c r="W307" s="947"/>
      <c r="X307" s="939"/>
      <c r="Y307" s="947"/>
      <c r="Z307" s="947"/>
      <c r="AA307" s="938"/>
      <c r="AB307" s="947"/>
      <c r="AC307" s="947"/>
      <c r="AD307" s="947"/>
      <c r="AE307" s="947"/>
      <c r="AF307" s="947"/>
      <c r="AG307" s="947"/>
      <c r="AH307" s="948"/>
      <c r="AI307" s="947"/>
      <c r="AJ307" s="947"/>
      <c r="AK307" s="947"/>
      <c r="AL307" s="947"/>
      <c r="AM307" s="947"/>
      <c r="AN307" s="947"/>
      <c r="AO307" s="947"/>
      <c r="AP307" s="947"/>
      <c r="AQ307" s="947"/>
      <c r="AR307" s="938"/>
      <c r="AS307" s="937"/>
      <c r="AT307" s="948"/>
      <c r="AU307" s="947"/>
      <c r="AV307" s="981"/>
      <c r="AW307" s="950"/>
      <c r="AX307" s="950"/>
      <c r="AY307" s="951"/>
      <c r="AZ307" s="950"/>
      <c r="BA307" s="952"/>
      <c r="BB307" s="990"/>
      <c r="BC307" s="991"/>
      <c r="BD307" s="952"/>
      <c r="BE307" s="952"/>
      <c r="BF307" s="952"/>
      <c r="BG307" s="952"/>
      <c r="BH307" s="952"/>
      <c r="BI307" s="992"/>
      <c r="BJ307" s="952"/>
      <c r="BK307" s="992"/>
      <c r="BL307" s="952"/>
      <c r="BM307" s="952"/>
      <c r="BN307" s="952"/>
      <c r="BO307" s="952"/>
      <c r="BP307" s="965"/>
      <c r="BQ307" s="993"/>
      <c r="BR307" s="994"/>
      <c r="BS307" s="993"/>
      <c r="BT307" s="995"/>
      <c r="BU307" s="995"/>
      <c r="BV307" s="996"/>
      <c r="BW307" s="996"/>
      <c r="BX307" s="996"/>
      <c r="BY307" s="996"/>
      <c r="BZ307" s="996"/>
      <c r="CA307" s="996"/>
      <c r="CB307" s="965"/>
      <c r="CC307" s="965"/>
    </row>
    <row r="308">
      <c r="A308" s="84"/>
      <c r="B308" s="84"/>
      <c r="C308" s="348"/>
      <c r="D308" s="348"/>
      <c r="E308" s="84"/>
      <c r="F308" s="84"/>
      <c r="G308" s="84"/>
      <c r="H308" s="84"/>
      <c r="I308" s="84"/>
      <c r="J308" s="947"/>
      <c r="K308" s="947"/>
      <c r="L308" s="947"/>
      <c r="M308" s="947"/>
      <c r="N308" s="947"/>
      <c r="O308" s="947"/>
      <c r="P308" s="947"/>
      <c r="Q308" s="947"/>
      <c r="R308" s="937"/>
      <c r="S308" s="937"/>
      <c r="T308" s="947"/>
      <c r="U308" s="947"/>
      <c r="V308" s="938"/>
      <c r="W308" s="947"/>
      <c r="X308" s="939"/>
      <c r="Y308" s="947"/>
      <c r="Z308" s="947"/>
      <c r="AA308" s="938"/>
      <c r="AB308" s="947"/>
      <c r="AC308" s="947"/>
      <c r="AD308" s="947"/>
      <c r="AE308" s="947"/>
      <c r="AF308" s="947"/>
      <c r="AG308" s="947"/>
      <c r="AH308" s="948"/>
      <c r="AI308" s="947"/>
      <c r="AJ308" s="947"/>
      <c r="AK308" s="947"/>
      <c r="AL308" s="947"/>
      <c r="AM308" s="947"/>
      <c r="AN308" s="947"/>
      <c r="AO308" s="947"/>
      <c r="AP308" s="947"/>
      <c r="AQ308" s="947"/>
      <c r="AR308" s="938"/>
      <c r="AS308" s="937"/>
      <c r="AT308" s="948"/>
      <c r="AU308" s="947"/>
      <c r="AV308" s="981"/>
      <c r="AW308" s="950"/>
      <c r="AX308" s="950"/>
      <c r="AY308" s="951"/>
      <c r="AZ308" s="950"/>
      <c r="BA308" s="952"/>
      <c r="BB308" s="990"/>
      <c r="BC308" s="991"/>
      <c r="BD308" s="952"/>
      <c r="BE308" s="952"/>
      <c r="BF308" s="952"/>
      <c r="BG308" s="952"/>
      <c r="BH308" s="952"/>
      <c r="BI308" s="992"/>
      <c r="BJ308" s="952"/>
      <c r="BK308" s="992"/>
      <c r="BL308" s="952"/>
      <c r="BM308" s="952"/>
      <c r="BN308" s="952"/>
      <c r="BO308" s="952"/>
      <c r="BP308" s="965"/>
      <c r="BQ308" s="993"/>
      <c r="BR308" s="994"/>
      <c r="BS308" s="993"/>
      <c r="BT308" s="995"/>
      <c r="BU308" s="995"/>
      <c r="BV308" s="996"/>
      <c r="BW308" s="996"/>
      <c r="BX308" s="996"/>
      <c r="BY308" s="996"/>
      <c r="BZ308" s="996"/>
      <c r="CA308" s="996"/>
      <c r="CB308" s="965"/>
      <c r="CC308" s="965"/>
    </row>
    <row r="309">
      <c r="A309" s="84"/>
      <c r="B309" s="84"/>
      <c r="C309" s="348"/>
      <c r="D309" s="348"/>
      <c r="E309" s="84"/>
      <c r="F309" s="84"/>
      <c r="G309" s="84"/>
      <c r="H309" s="84"/>
      <c r="I309" s="84"/>
      <c r="J309" s="947"/>
      <c r="K309" s="947"/>
      <c r="L309" s="947"/>
      <c r="M309" s="947"/>
      <c r="N309" s="947"/>
      <c r="O309" s="947"/>
      <c r="P309" s="947"/>
      <c r="Q309" s="947"/>
      <c r="R309" s="937"/>
      <c r="S309" s="937"/>
      <c r="T309" s="947"/>
      <c r="U309" s="947"/>
      <c r="V309" s="938"/>
      <c r="W309" s="947"/>
      <c r="X309" s="939"/>
      <c r="Y309" s="947"/>
      <c r="Z309" s="947"/>
      <c r="AA309" s="938"/>
      <c r="AB309" s="947"/>
      <c r="AC309" s="947"/>
      <c r="AD309" s="947"/>
      <c r="AE309" s="947"/>
      <c r="AF309" s="947"/>
      <c r="AG309" s="947"/>
      <c r="AH309" s="948"/>
      <c r="AI309" s="947"/>
      <c r="AJ309" s="947"/>
      <c r="AK309" s="947"/>
      <c r="AL309" s="947"/>
      <c r="AM309" s="947"/>
      <c r="AN309" s="947"/>
      <c r="AO309" s="947"/>
      <c r="AP309" s="947"/>
      <c r="AQ309" s="947"/>
      <c r="AR309" s="938"/>
      <c r="AS309" s="937"/>
      <c r="AT309" s="948"/>
      <c r="AU309" s="947"/>
      <c r="AV309" s="981"/>
      <c r="AW309" s="950"/>
      <c r="AX309" s="950"/>
      <c r="AY309" s="951"/>
      <c r="AZ309" s="950"/>
      <c r="BA309" s="952"/>
      <c r="BB309" s="990"/>
      <c r="BC309" s="991"/>
      <c r="BD309" s="952"/>
      <c r="BE309" s="952"/>
      <c r="BF309" s="952"/>
      <c r="BG309" s="952"/>
      <c r="BH309" s="952"/>
      <c r="BI309" s="992"/>
      <c r="BJ309" s="952"/>
      <c r="BK309" s="992"/>
      <c r="BL309" s="952"/>
      <c r="BM309" s="952"/>
      <c r="BN309" s="952"/>
      <c r="BO309" s="952"/>
      <c r="BP309" s="965"/>
      <c r="BQ309" s="993"/>
      <c r="BR309" s="994"/>
      <c r="BS309" s="993"/>
      <c r="BT309" s="995"/>
      <c r="BU309" s="995"/>
      <c r="BV309" s="996"/>
      <c r="BW309" s="996"/>
      <c r="BX309" s="996"/>
      <c r="BY309" s="996"/>
      <c r="BZ309" s="996"/>
      <c r="CA309" s="996"/>
      <c r="CB309" s="965"/>
      <c r="CC309" s="965"/>
    </row>
    <row r="310">
      <c r="A310" s="84"/>
      <c r="B310" s="84"/>
      <c r="C310" s="348"/>
      <c r="D310" s="348"/>
      <c r="E310" s="84"/>
      <c r="F310" s="84"/>
      <c r="G310" s="84"/>
      <c r="H310" s="84"/>
      <c r="I310" s="84"/>
      <c r="J310" s="947"/>
      <c r="K310" s="947"/>
      <c r="L310" s="947"/>
      <c r="M310" s="947"/>
      <c r="N310" s="947"/>
      <c r="O310" s="947"/>
      <c r="P310" s="947"/>
      <c r="Q310" s="947"/>
      <c r="R310" s="937"/>
      <c r="S310" s="937"/>
      <c r="T310" s="947"/>
      <c r="U310" s="947"/>
      <c r="V310" s="938"/>
      <c r="W310" s="947"/>
      <c r="X310" s="939"/>
      <c r="Y310" s="947"/>
      <c r="Z310" s="947"/>
      <c r="AA310" s="938"/>
      <c r="AB310" s="947"/>
      <c r="AC310" s="947"/>
      <c r="AD310" s="947"/>
      <c r="AE310" s="947"/>
      <c r="AF310" s="947"/>
      <c r="AG310" s="947"/>
      <c r="AH310" s="948"/>
      <c r="AI310" s="947"/>
      <c r="AJ310" s="947"/>
      <c r="AK310" s="947"/>
      <c r="AL310" s="947"/>
      <c r="AM310" s="947"/>
      <c r="AN310" s="947"/>
      <c r="AO310" s="947"/>
      <c r="AP310" s="947"/>
      <c r="AQ310" s="944"/>
      <c r="AR310" s="938"/>
      <c r="AS310" s="937"/>
      <c r="AT310" s="948"/>
      <c r="AU310" s="947"/>
      <c r="AV310" s="981"/>
      <c r="AW310" s="950"/>
      <c r="AX310" s="950"/>
      <c r="AY310" s="951"/>
      <c r="AZ310" s="950"/>
      <c r="BA310" s="952"/>
      <c r="BB310" s="990"/>
      <c r="BC310" s="991"/>
      <c r="BD310" s="952"/>
      <c r="BE310" s="952"/>
      <c r="BF310" s="952"/>
      <c r="BG310" s="952"/>
      <c r="BH310" s="952"/>
      <c r="BI310" s="992"/>
      <c r="BJ310" s="952"/>
      <c r="BK310" s="992"/>
      <c r="BL310" s="952"/>
      <c r="BM310" s="952"/>
      <c r="BN310" s="952"/>
      <c r="BO310" s="952"/>
      <c r="BP310" s="965"/>
      <c r="BQ310" s="993"/>
      <c r="BR310" s="994"/>
      <c r="BS310" s="993"/>
      <c r="BT310" s="995"/>
      <c r="BU310" s="995"/>
      <c r="BV310" s="996"/>
      <c r="BW310" s="996"/>
      <c r="BX310" s="996"/>
      <c r="BY310" s="996"/>
      <c r="BZ310" s="996"/>
      <c r="CA310" s="996"/>
      <c r="CB310" s="965"/>
      <c r="CC310" s="965"/>
    </row>
  </sheetData>
  <autoFilter ref="$A$10:$CC$310"/>
  <conditionalFormatting sqref="BB11:BN310">
    <cfRule type="expression" dxfId="1" priority="1" stopIfTrue="1">
      <formula>SEARCH("Ошибка",$BN11,1)</formula>
    </cfRule>
  </conditionalFormatting>
  <conditionalFormatting sqref="BB11:BN310">
    <cfRule type="expression" dxfId="0" priority="2" stopIfTrue="1">
      <formula>$BN11="Ок"</formula>
    </cfRule>
  </conditionalFormatting>
  <conditionalFormatting sqref="AN11:AV310">
    <cfRule type="expression" dxfId="12" priority="3">
      <formula>LAMBDA(theErr, IFERROR( FIND("ошибка",theErr,1),0)&lt;&gt;0 )($AV11)</formula>
    </cfRule>
  </conditionalFormatting>
  <conditionalFormatting sqref="J11:AT310">
    <cfRule type="expression" dxfId="0" priority="4" stopIfTrue="1">
      <formula>$AT11=1</formula>
    </cfRule>
  </conditionalFormatting>
  <conditionalFormatting sqref="J11:AT310">
    <cfRule type="expression" dxfId="1" priority="5" stopIfTrue="1">
      <formula>$AT11&gt;1</formula>
    </cfRule>
  </conditionalFormatting>
  <conditionalFormatting sqref="J11:AT310">
    <cfRule type="expression" dxfId="13" priority="6" stopIfTrue="1">
      <formula>$AT11&gt;0</formula>
    </cfRule>
  </conditionalFormatting>
  <conditionalFormatting sqref="AY13">
    <cfRule type="expression" dxfId="14" priority="7">
      <formula>$AX$13="Есть Доступ"</formula>
    </cfRule>
  </conditionalFormatting>
  <conditionalFormatting sqref="A10:CC10">
    <cfRule type="expression" dxfId="12" priority="8">
      <formula>LAMBDA(theErr, IFERROR( FIND("ошибка",theErr,1),0)&lt;&gt;0 )($K$10)</formula>
    </cfRule>
  </conditionalFormatting>
  <conditionalFormatting sqref="A11:C310">
    <cfRule type="expression" dxfId="15" priority="9">
      <formula>$C11="Значения"</formula>
    </cfRule>
  </conditionalFormatting>
  <conditionalFormatting sqref="A11:C310">
    <cfRule type="expression" dxfId="12" priority="10">
      <formula>LAMBDA(theErr, IFERROR( FIND("ошибка",theErr,1),0)&lt;&gt;0 )($C11)</formula>
    </cfRule>
  </conditionalFormatting>
  <conditionalFormatting sqref="A11:C310">
    <cfRule type="expression" dxfId="16" priority="11">
      <formula>LAMBDA(theStr,IFERROR(FIND("всего",LOWER( theStr),1),0)&lt;&gt;0 )($B11)</formula>
    </cfRule>
  </conditionalFormatting>
  <conditionalFormatting sqref="J9:AV9">
    <cfRule type="expression" dxfId="10" priority="12">
      <formula>$P$9="Не запущены триггеры оплат"</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9.0" ySplit="10.0" topLeftCell="J11" activePane="bottomRight" state="frozen"/>
      <selection activeCell="J1" sqref="J1" pane="topRight"/>
      <selection activeCell="A11" sqref="A11" pane="bottomLeft"/>
      <selection activeCell="J11" sqref="J11" pane="bottomRight"/>
    </sheetView>
  </sheetViews>
  <sheetFormatPr customHeight="1" defaultColWidth="12.63" defaultRowHeight="15.75" outlineLevelRow="1"/>
  <cols>
    <col customWidth="1" min="1" max="1" width="15.88"/>
    <col customWidth="1" min="2" max="2" width="3.88"/>
    <col hidden="1" min="3" max="3" width="12.63"/>
    <col customWidth="1" min="4" max="4" width="4.13"/>
    <col customWidth="1" min="5" max="5" width="24.0" outlineLevel="1"/>
    <col customWidth="1" min="6" max="6" width="21.0"/>
    <col customWidth="1" min="7" max="8" width="15.0" outlineLevel="1"/>
    <col customWidth="1" min="9" max="9" width="21.25"/>
    <col customWidth="1" min="10" max="10" width="5.13"/>
    <col customWidth="1" min="11" max="11" width="4.63"/>
    <col hidden="1" min="14" max="14" width="12.63"/>
  </cols>
  <sheetData>
    <row r="1" hidden="1" outlineLevel="1">
      <c r="A1" s="8"/>
      <c r="B1" s="8"/>
      <c r="C1" s="648" t="s">
        <v>0</v>
      </c>
      <c r="D1" s="975"/>
      <c r="E1" s="655"/>
      <c r="F1" s="655"/>
      <c r="G1" s="655"/>
      <c r="H1" s="655"/>
      <c r="I1" s="655"/>
      <c r="J1" s="655"/>
      <c r="K1" s="655"/>
      <c r="L1" s="84"/>
      <c r="M1" s="433"/>
      <c r="N1" s="8"/>
      <c r="O1" s="8"/>
      <c r="P1" s="8"/>
      <c r="Q1" s="8"/>
      <c r="R1" s="8"/>
      <c r="S1" s="8"/>
      <c r="T1" s="8"/>
      <c r="U1" s="8"/>
      <c r="V1" s="8"/>
      <c r="W1" s="8"/>
      <c r="X1" s="8"/>
      <c r="Y1" s="8"/>
      <c r="Z1" s="8"/>
      <c r="AA1" s="8"/>
      <c r="AB1" s="8"/>
    </row>
    <row r="2" hidden="1" outlineLevel="1">
      <c r="A2" s="8"/>
      <c r="B2" s="8"/>
      <c r="C2" s="468" t="s">
        <v>7</v>
      </c>
      <c r="D2" s="468" t="s">
        <v>2</v>
      </c>
      <c r="E2" s="468" t="s">
        <v>8</v>
      </c>
      <c r="F2" s="468" t="s">
        <v>17</v>
      </c>
      <c r="G2" s="468" t="s">
        <v>20</v>
      </c>
      <c r="H2" s="468" t="s">
        <v>10</v>
      </c>
      <c r="I2" s="468" t="s">
        <v>235</v>
      </c>
      <c r="J2" s="468" t="s">
        <v>12</v>
      </c>
      <c r="K2" s="468" t="s">
        <v>13</v>
      </c>
      <c r="L2" s="150" t="s">
        <v>579</v>
      </c>
      <c r="M2" s="433" t="s">
        <v>595</v>
      </c>
      <c r="N2" s="8" t="s">
        <v>663</v>
      </c>
      <c r="O2" s="8" t="s">
        <v>664</v>
      </c>
      <c r="P2" s="8" t="s">
        <v>665</v>
      </c>
      <c r="Q2" s="8" t="s">
        <v>666</v>
      </c>
      <c r="R2" s="8" t="s">
        <v>667</v>
      </c>
      <c r="S2" s="8" t="s">
        <v>668</v>
      </c>
      <c r="T2" s="8" t="s">
        <v>669</v>
      </c>
      <c r="U2" s="8" t="s">
        <v>670</v>
      </c>
      <c r="V2" s="8" t="s">
        <v>671</v>
      </c>
      <c r="W2" s="8" t="s">
        <v>672</v>
      </c>
      <c r="X2" s="8" t="s">
        <v>673</v>
      </c>
      <c r="Y2" s="8" t="s">
        <v>674</v>
      </c>
      <c r="Z2" s="8" t="s">
        <v>675</v>
      </c>
      <c r="AA2" s="8" t="s">
        <v>676</v>
      </c>
      <c r="AB2" s="8" t="s">
        <v>677</v>
      </c>
    </row>
    <row r="3" hidden="1" outlineLevel="1">
      <c r="A3" s="8"/>
      <c r="B3" s="8"/>
      <c r="C3" s="684" t="s">
        <v>236</v>
      </c>
      <c r="D3" s="690" t="s">
        <v>25</v>
      </c>
      <c r="E3" s="690" t="s">
        <v>25</v>
      </c>
      <c r="F3" s="690" t="s">
        <v>25</v>
      </c>
      <c r="G3" s="690" t="s">
        <v>25</v>
      </c>
      <c r="H3" s="979"/>
      <c r="I3" s="979"/>
      <c r="J3" s="690" t="s">
        <v>25</v>
      </c>
      <c r="K3" s="690" t="s">
        <v>25</v>
      </c>
      <c r="L3" s="690" t="s">
        <v>25</v>
      </c>
      <c r="M3" s="980" t="s">
        <v>25</v>
      </c>
      <c r="N3" s="8"/>
      <c r="O3" s="8"/>
      <c r="P3" s="8"/>
      <c r="Q3" s="8"/>
      <c r="R3" s="8"/>
      <c r="S3" s="8"/>
      <c r="T3" s="8"/>
      <c r="U3" s="8"/>
      <c r="V3" s="8"/>
      <c r="W3" s="8"/>
      <c r="X3" s="8"/>
      <c r="Y3" s="8"/>
      <c r="Z3" s="8"/>
      <c r="AA3" s="8"/>
      <c r="AB3" s="8"/>
    </row>
    <row r="4" hidden="1" outlineLevel="1">
      <c r="A4" s="8"/>
      <c r="B4" s="8"/>
      <c r="C4" s="698" t="s">
        <v>28</v>
      </c>
      <c r="D4" s="707"/>
      <c r="E4" s="707"/>
      <c r="F4" s="707"/>
      <c r="G4" s="707"/>
      <c r="H4" s="707"/>
      <c r="I4" s="707"/>
      <c r="J4" s="702"/>
      <c r="K4" s="702"/>
      <c r="L4" s="84"/>
      <c r="M4" s="433"/>
      <c r="N4" s="8"/>
      <c r="O4" s="8"/>
      <c r="P4" s="8"/>
      <c r="Q4" s="8"/>
      <c r="R4" s="8"/>
      <c r="S4" s="8"/>
      <c r="T4" s="8"/>
      <c r="U4" s="8"/>
      <c r="V4" s="8"/>
      <c r="W4" s="8"/>
      <c r="X4" s="8"/>
      <c r="Y4" s="8"/>
      <c r="Z4" s="8"/>
      <c r="AA4" s="8"/>
      <c r="AB4" s="8"/>
    </row>
    <row r="5" hidden="1" outlineLevel="1">
      <c r="A5" s="8"/>
      <c r="B5" s="8"/>
      <c r="C5" s="698" t="s">
        <v>31</v>
      </c>
      <c r="D5" s="707"/>
      <c r="E5" s="707"/>
      <c r="F5" s="707"/>
      <c r="G5" s="707"/>
      <c r="H5" s="707"/>
      <c r="I5" s="707"/>
      <c r="J5" s="707"/>
      <c r="K5" s="707"/>
      <c r="L5" s="84"/>
      <c r="M5" s="433"/>
      <c r="N5" s="8"/>
      <c r="O5" s="8"/>
      <c r="P5" s="8"/>
      <c r="Q5" s="8"/>
      <c r="R5" s="8"/>
      <c r="S5" s="8"/>
      <c r="T5" s="8"/>
      <c r="U5" s="8"/>
      <c r="V5" s="8"/>
      <c r="W5" s="8"/>
      <c r="X5" s="8"/>
      <c r="Y5" s="8"/>
      <c r="Z5" s="8"/>
      <c r="AA5" s="8"/>
      <c r="AB5" s="8"/>
    </row>
    <row r="6" hidden="1" outlineLevel="1">
      <c r="A6" s="8"/>
      <c r="B6" s="8"/>
      <c r="C6" s="710" t="s">
        <v>35</v>
      </c>
      <c r="D6" s="707"/>
      <c r="E6" s="707"/>
      <c r="F6" s="707"/>
      <c r="G6" s="982"/>
      <c r="H6" s="982"/>
      <c r="I6" s="982"/>
      <c r="J6" s="707"/>
      <c r="K6" s="707"/>
      <c r="L6" s="84"/>
      <c r="M6" s="433"/>
      <c r="N6" s="8"/>
      <c r="O6" s="8"/>
      <c r="P6" s="8"/>
      <c r="Q6" s="8"/>
      <c r="R6" s="8"/>
      <c r="S6" s="8"/>
      <c r="T6" s="8"/>
      <c r="U6" s="8"/>
      <c r="V6" s="8"/>
      <c r="W6" s="8"/>
      <c r="X6" s="8"/>
      <c r="Y6" s="8"/>
      <c r="Z6" s="8"/>
      <c r="AA6" s="8"/>
      <c r="AB6" s="8"/>
    </row>
    <row r="7" hidden="1" outlineLevel="1">
      <c r="A7" s="8"/>
      <c r="B7" s="8"/>
      <c r="C7" s="468" t="s">
        <v>37</v>
      </c>
      <c r="D7" s="149"/>
      <c r="E7" s="149" t="s">
        <v>455</v>
      </c>
      <c r="F7" s="149"/>
      <c r="G7" s="149" t="s">
        <v>455</v>
      </c>
      <c r="H7" s="149" t="s">
        <v>455</v>
      </c>
      <c r="I7" s="149"/>
      <c r="J7" s="983"/>
      <c r="K7" s="983"/>
      <c r="L7" s="84"/>
      <c r="M7" s="433"/>
      <c r="N7" s="8" t="s">
        <v>237</v>
      </c>
      <c r="O7" s="8"/>
      <c r="P7" s="8"/>
      <c r="Q7" s="8"/>
      <c r="R7" s="8"/>
      <c r="S7" s="8"/>
      <c r="T7" s="8"/>
      <c r="U7" s="8"/>
      <c r="V7" s="8"/>
      <c r="W7" s="8"/>
      <c r="X7" s="8"/>
      <c r="Y7" s="8"/>
      <c r="Z7" s="8"/>
      <c r="AA7" s="8"/>
      <c r="AB7" s="8"/>
    </row>
    <row r="8" hidden="1" outlineLevel="1">
      <c r="A8" s="8"/>
      <c r="B8" s="8"/>
      <c r="C8" s="468" t="s">
        <v>39</v>
      </c>
      <c r="D8" s="707"/>
      <c r="E8" s="707"/>
      <c r="F8" s="707"/>
      <c r="G8" s="707"/>
      <c r="H8" s="707"/>
      <c r="I8" s="707"/>
      <c r="J8" s="707"/>
      <c r="K8" s="707"/>
      <c r="L8" s="84"/>
      <c r="M8" s="433"/>
      <c r="N8" s="8"/>
      <c r="O8" s="8"/>
      <c r="P8" s="8"/>
      <c r="Q8" s="8"/>
      <c r="R8" s="8"/>
      <c r="S8" s="8"/>
      <c r="T8" s="8"/>
      <c r="U8" s="8"/>
      <c r="V8" s="8"/>
      <c r="W8" s="8"/>
      <c r="X8" s="8"/>
      <c r="Y8" s="8"/>
      <c r="Z8" s="8"/>
      <c r="AA8" s="8"/>
      <c r="AB8" s="8"/>
    </row>
    <row r="9" collapsed="1">
      <c r="A9" s="8"/>
      <c r="B9" s="8"/>
      <c r="C9" s="729" t="s">
        <v>44</v>
      </c>
      <c r="D9" s="707"/>
      <c r="E9" s="984"/>
      <c r="F9" s="984"/>
      <c r="G9" s="707"/>
      <c r="H9" s="707"/>
      <c r="I9" s="707"/>
      <c r="J9" s="707"/>
      <c r="K9" s="707"/>
      <c r="L9" s="84"/>
      <c r="M9" s="433"/>
      <c r="N9" s="8"/>
      <c r="O9" s="985" t="s">
        <v>678</v>
      </c>
      <c r="P9" s="71"/>
      <c r="Q9" s="986" t="s">
        <v>679</v>
      </c>
      <c r="R9" s="71"/>
      <c r="S9" s="987" t="s">
        <v>680</v>
      </c>
      <c r="T9" s="71"/>
      <c r="U9" s="989" t="s">
        <v>681</v>
      </c>
      <c r="V9" s="71"/>
      <c r="W9" s="985" t="s">
        <v>682</v>
      </c>
      <c r="X9" s="71"/>
      <c r="Y9" s="986" t="s">
        <v>682</v>
      </c>
      <c r="Z9" s="71"/>
      <c r="AA9" s="989" t="s">
        <v>682</v>
      </c>
      <c r="AB9" s="71"/>
    </row>
    <row r="10">
      <c r="A10" s="8" t="str">
        <f t="array" ref="A10:A11">{"Уникальные ссылки по проекту";Sort(UNIQUE({N11:N310;P11:P310;Q11:Q310;R11:R310;S11:S310;T11:T310;U11:U310;V11:V310;W11:W310;X11:X310;Y11:Y310;Z11:Z310;AA11:AA310;AB11:AB310}),1,TRUE)}</f>
        <v>Уникальные ссылки по проекту</v>
      </c>
      <c r="B10" s="8"/>
      <c r="C10" s="736" t="str">
        <f>'5-1 Сбор КП Закупки'!C10</f>
        <v>ID_Товара</v>
      </c>
      <c r="D10" s="737" t="str">
        <f t="array" ref="D10:D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исполнение'!$C$10:$C319,{'5-1 Сбор КП Закупки'!$C$10:$C319,'5-1 Сбор КП Закупки'!$D$10:D319}
)</f>
        <v>№</v>
      </c>
      <c r="E10" s="737" t="str">
        <f t="array" ref="E10:E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исполнение'!$C$10:$C319,{'5-1 Сбор КП Закупки'!$C$10:$C319,'5-1 Сбор КП Закупки'!$E$10:E319}
)</f>
        <v>Номенклатура</v>
      </c>
      <c r="F10" s="738" t="str">
        <f t="array" ref="F10:F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исполнение'!$C$10:$C319,{'5-1 Сбор КП Закупки'!$C$10:$C319,'5-1 Сбор КП Закупки'!$F$10:F319}
)</f>
        <v>Название товара по договору</v>
      </c>
      <c r="G10" s="738" t="str">
        <f t="array" ref="G10:G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исполнение'!$C$10:$C319,{'5-1 Сбор КП Закупки'!$C$10:$C319,'5-1 Сбор КП Закупки'!$G$10:G319}
)</f>
        <v>Изготовитель товара по договору</v>
      </c>
      <c r="H10" s="738" t="str">
        <f t="array" ref="H10:H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исполнение'!$C$10:$C319,{'5-1 Сбор КП Закупки'!$C$10:$C319,'5-1 Сбор КП Закупки'!$H$10:H319}
)</f>
        <v>Характеристики</v>
      </c>
      <c r="I10" s="997" t="str">
        <f t="array" ref="I10:I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исполнение'!$C$10:$C319,{'5-1 Сбор КП Закупки'!$C$10:$C319,'5-1 Сбор КП Закупки'!$I$10:I319}
)</f>
        <v>Состав поставляемой с продукцией технической документации</v>
      </c>
      <c r="J10" s="998" t="str">
        <f t="array" ref="J10:J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исполнение'!$C$10:$C319,{'5-1 Сбор КП Закупки'!$C$10:$C319,'5-1 Сбор КП Закупки'!$J$10:J319}
)</f>
        <v>Ед. Изм</v>
      </c>
      <c r="K10" s="998" t="str">
        <f t="array" ref="K10:K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исполнение'!$C$10:$C319,{'5-1 Сбор КП Закупки'!$C$10:$C319,'5-1 Сбор КП Закупки'!$K$10:K319}
)</f>
        <v>Кол-во</v>
      </c>
      <c r="L10" s="738" t="str">
        <f t="array" ref="L10:L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исполнение'!$C$10:$C319,{'5-5 Оформление сделок'!$C$10:$C319,'5-5 Оформление сделок'!$AB$10:$AB319}
)</f>
        <v>Поставщик</v>
      </c>
      <c r="M10" s="738" t="str">
        <f t="array" ref="M10:M319">LAMBDA(doNothing,doFind,doRezolve,theIds,theData,
byrow(doRezolve(doNothing,doFind,theIds,theData),LAMBDA(t,t))
)( 
LAMBDA(theIds,theData,),
LAMBDA(theId,theData, VLOOKUP(theId,theData,2,FALSE) ),
LAMBDA(doNothing,doFind,theIds,theData, ByRow(theIds,LAMBDA(theId,IF(theId&lt;&gt;"",doFind,doNothing)(theId,theData)  ))),
'7-2 Документация исполнение'!$C$10:$C319,{'5-5 Оформление сделок'!$C$10:$C319,'5-5 Оформление сделок'!$BA$10:$BA319}
)</f>
        <v>ИНН Постав-ка</v>
      </c>
      <c r="N10" s="999"/>
      <c r="O10" s="1000" t="s">
        <v>683</v>
      </c>
      <c r="P10" s="1000" t="s">
        <v>684</v>
      </c>
      <c r="Q10" s="1001" t="s">
        <v>683</v>
      </c>
      <c r="R10" s="1001" t="s">
        <v>684</v>
      </c>
      <c r="S10" s="1002" t="s">
        <v>683</v>
      </c>
      <c r="T10" s="1002" t="s">
        <v>684</v>
      </c>
      <c r="U10" s="1003" t="s">
        <v>683</v>
      </c>
      <c r="V10" s="1003" t="s">
        <v>684</v>
      </c>
      <c r="W10" s="1000" t="s">
        <v>683</v>
      </c>
      <c r="X10" s="1000" t="s">
        <v>684</v>
      </c>
      <c r="Y10" s="1001" t="s">
        <v>683</v>
      </c>
      <c r="Z10" s="1001" t="s">
        <v>684</v>
      </c>
      <c r="AA10" s="1003" t="s">
        <v>683</v>
      </c>
      <c r="AB10" s="1003" t="s">
        <v>684</v>
      </c>
    </row>
    <row r="11">
      <c r="A11" s="348"/>
      <c r="B11" s="8"/>
      <c r="C11" s="1004" t="str">
        <f>'5-1 Сбор КП Закупки'!C11</f>
        <v>ID_T001</v>
      </c>
      <c r="D11" s="1005" t="s">
        <v>275</v>
      </c>
      <c r="E11" s="1005" t="s">
        <v>276</v>
      </c>
      <c r="F11" s="1005"/>
      <c r="G11" s="1005"/>
      <c r="H11" s="1005"/>
      <c r="I11" s="1005"/>
      <c r="J11" s="1005" t="s">
        <v>278</v>
      </c>
      <c r="K11" s="1006">
        <v>3.0</v>
      </c>
      <c r="L11" s="1005"/>
      <c r="M11" s="1007"/>
      <c r="N11" s="999"/>
      <c r="O11" s="999"/>
      <c r="P11" s="999"/>
      <c r="Q11" s="999"/>
      <c r="R11" s="999"/>
      <c r="S11" s="999"/>
      <c r="T11" s="999"/>
      <c r="U11" s="999"/>
      <c r="V11" s="999"/>
      <c r="W11" s="999"/>
      <c r="X11" s="999"/>
      <c r="Y11" s="999"/>
      <c r="Z11" s="999"/>
      <c r="AA11" s="999"/>
      <c r="AB11" s="999"/>
    </row>
    <row r="12">
      <c r="A12" s="348"/>
      <c r="B12" s="8"/>
      <c r="C12" s="1004" t="str">
        <f>'5-1 Сбор КП Закупки'!C12</f>
        <v>ID_T002</v>
      </c>
      <c r="D12" s="1005" t="s">
        <v>298</v>
      </c>
      <c r="E12" s="1005" t="s">
        <v>299</v>
      </c>
      <c r="F12" s="1005"/>
      <c r="G12" s="1005"/>
      <c r="H12" s="1005"/>
      <c r="I12" s="1005"/>
      <c r="J12" s="1005" t="s">
        <v>278</v>
      </c>
      <c r="K12" s="1006">
        <v>6.0</v>
      </c>
      <c r="L12" s="1005"/>
      <c r="M12" s="1007"/>
      <c r="N12" s="999"/>
      <c r="O12" s="999"/>
      <c r="P12" s="999"/>
      <c r="Q12" s="999"/>
      <c r="R12" s="999"/>
      <c r="S12" s="999"/>
      <c r="T12" s="999"/>
      <c r="U12" s="999"/>
      <c r="V12" s="999"/>
      <c r="W12" s="999"/>
      <c r="X12" s="999"/>
      <c r="Y12" s="999"/>
      <c r="Z12" s="999"/>
      <c r="AA12" s="999"/>
      <c r="AB12" s="999"/>
    </row>
    <row r="13">
      <c r="A13" s="348"/>
      <c r="B13" s="8"/>
      <c r="C13" s="1004" t="str">
        <f>'5-1 Сбор КП Закупки'!C13</f>
        <v>ID_T003</v>
      </c>
      <c r="D13" s="1005" t="s">
        <v>313</v>
      </c>
      <c r="E13" s="1005" t="s">
        <v>314</v>
      </c>
      <c r="F13" s="1005"/>
      <c r="G13" s="1005"/>
      <c r="H13" s="1005"/>
      <c r="I13" s="1005"/>
      <c r="J13" s="1005" t="s">
        <v>278</v>
      </c>
      <c r="K13" s="1006">
        <v>16.0</v>
      </c>
      <c r="L13" s="1005"/>
      <c r="M13" s="1007"/>
      <c r="N13" s="999"/>
      <c r="O13" s="999"/>
      <c r="P13" s="999"/>
      <c r="Q13" s="999"/>
      <c r="R13" s="999"/>
      <c r="S13" s="999"/>
      <c r="T13" s="999"/>
      <c r="U13" s="999"/>
      <c r="V13" s="999"/>
      <c r="W13" s="999"/>
      <c r="X13" s="999"/>
      <c r="Y13" s="999"/>
      <c r="Z13" s="999"/>
      <c r="AA13" s="999"/>
      <c r="AB13" s="999"/>
    </row>
    <row r="14">
      <c r="A14" s="348"/>
      <c r="B14" s="8"/>
      <c r="C14" s="1004" t="str">
        <f>'5-1 Сбор КП Закупки'!C14</f>
        <v>ID_T004</v>
      </c>
      <c r="D14" s="1005" t="s">
        <v>330</v>
      </c>
      <c r="E14" s="1005" t="s">
        <v>331</v>
      </c>
      <c r="F14" s="1005"/>
      <c r="G14" s="1005"/>
      <c r="H14" s="1005"/>
      <c r="I14" s="1005"/>
      <c r="J14" s="1005" t="s">
        <v>278</v>
      </c>
      <c r="K14" s="1006">
        <v>2.0</v>
      </c>
      <c r="L14" s="1005"/>
      <c r="M14" s="1007"/>
      <c r="N14" s="999"/>
      <c r="O14" s="999"/>
      <c r="P14" s="999"/>
      <c r="Q14" s="999"/>
      <c r="R14" s="999"/>
      <c r="S14" s="999"/>
      <c r="T14" s="999"/>
      <c r="U14" s="999"/>
      <c r="V14" s="999"/>
      <c r="W14" s="999"/>
      <c r="X14" s="999"/>
      <c r="Y14" s="999"/>
      <c r="Z14" s="999"/>
      <c r="AA14" s="999"/>
      <c r="AB14" s="999"/>
    </row>
    <row r="15">
      <c r="A15" s="348"/>
      <c r="B15" s="8"/>
      <c r="C15" s="1004" t="str">
        <f>'5-1 Сбор КП Закупки'!C15</f>
        <v>ID_T005</v>
      </c>
      <c r="D15" s="1005" t="s">
        <v>337</v>
      </c>
      <c r="E15" s="1005" t="s">
        <v>338</v>
      </c>
      <c r="F15" s="1005"/>
      <c r="G15" s="1005"/>
      <c r="H15" s="1005"/>
      <c r="I15" s="1005"/>
      <c r="J15" s="1005" t="s">
        <v>278</v>
      </c>
      <c r="K15" s="1006">
        <v>3.0</v>
      </c>
      <c r="L15" s="1005"/>
      <c r="M15" s="1007"/>
      <c r="N15" s="999"/>
      <c r="O15" s="999"/>
      <c r="P15" s="999"/>
      <c r="Q15" s="999"/>
      <c r="R15" s="999"/>
      <c r="S15" s="999"/>
      <c r="T15" s="999"/>
      <c r="U15" s="999"/>
      <c r="V15" s="999"/>
      <c r="W15" s="999"/>
      <c r="X15" s="999"/>
      <c r="Y15" s="999"/>
      <c r="Z15" s="999"/>
      <c r="AA15" s="999"/>
      <c r="AB15" s="999"/>
    </row>
    <row r="16">
      <c r="A16" s="348"/>
      <c r="B16" s="8"/>
      <c r="C16" s="1004" t="str">
        <f>'5-1 Сбор КП Закупки'!C16</f>
        <v>ID_T006</v>
      </c>
      <c r="D16" s="1005" t="s">
        <v>356</v>
      </c>
      <c r="E16" s="1005" t="s">
        <v>357</v>
      </c>
      <c r="F16" s="1005"/>
      <c r="G16" s="1005"/>
      <c r="H16" s="1005"/>
      <c r="I16" s="1005"/>
      <c r="J16" s="1005" t="s">
        <v>278</v>
      </c>
      <c r="K16" s="1006">
        <v>3.0</v>
      </c>
      <c r="L16" s="1005"/>
      <c r="M16" s="1007"/>
      <c r="N16" s="999"/>
      <c r="O16" s="999"/>
      <c r="P16" s="999"/>
      <c r="Q16" s="999"/>
      <c r="R16" s="999"/>
      <c r="S16" s="999"/>
      <c r="T16" s="999"/>
      <c r="U16" s="999"/>
      <c r="V16" s="999"/>
      <c r="W16" s="999"/>
      <c r="X16" s="999"/>
      <c r="Y16" s="999"/>
      <c r="Z16" s="999"/>
      <c r="AA16" s="999"/>
      <c r="AB16" s="999"/>
    </row>
    <row r="17">
      <c r="A17" s="348"/>
      <c r="B17" s="8"/>
      <c r="C17" s="1004" t="str">
        <f>'5-1 Сбор КП Закупки'!C17</f>
        <v>ID_T007</v>
      </c>
      <c r="D17" s="1005" t="s">
        <v>372</v>
      </c>
      <c r="E17" s="1005" t="s">
        <v>373</v>
      </c>
      <c r="F17" s="1005"/>
      <c r="G17" s="1005"/>
      <c r="H17" s="1005"/>
      <c r="I17" s="1005"/>
      <c r="J17" s="1005" t="s">
        <v>278</v>
      </c>
      <c r="K17" s="1006">
        <v>3.0</v>
      </c>
      <c r="L17" s="1005"/>
      <c r="M17" s="1007"/>
      <c r="N17" s="999"/>
      <c r="O17" s="999"/>
      <c r="P17" s="999"/>
      <c r="Q17" s="999"/>
      <c r="R17" s="999"/>
      <c r="S17" s="999"/>
      <c r="T17" s="999"/>
      <c r="U17" s="999"/>
      <c r="V17" s="999"/>
      <c r="W17" s="999"/>
      <c r="X17" s="999"/>
      <c r="Y17" s="999"/>
      <c r="Z17" s="999"/>
      <c r="AA17" s="999"/>
      <c r="AB17" s="999"/>
    </row>
    <row r="18">
      <c r="A18" s="348"/>
      <c r="B18" s="8"/>
      <c r="C18" s="1004" t="str">
        <f>'5-1 Сбор КП Закупки'!C18</f>
        <v>ID_T008</v>
      </c>
      <c r="D18" s="1005" t="s">
        <v>385</v>
      </c>
      <c r="E18" s="1005" t="s">
        <v>386</v>
      </c>
      <c r="F18" s="1005"/>
      <c r="G18" s="1005"/>
      <c r="H18" s="1005"/>
      <c r="I18" s="1005"/>
      <c r="J18" s="1005" t="s">
        <v>278</v>
      </c>
      <c r="K18" s="1006">
        <v>3.0</v>
      </c>
      <c r="L18" s="1005"/>
      <c r="M18" s="1007"/>
      <c r="N18" s="999"/>
      <c r="O18" s="999"/>
      <c r="P18" s="999"/>
      <c r="Q18" s="999"/>
      <c r="R18" s="999"/>
      <c r="S18" s="999"/>
      <c r="T18" s="999"/>
      <c r="U18" s="999"/>
      <c r="V18" s="999"/>
      <c r="W18" s="999"/>
      <c r="X18" s="999"/>
      <c r="Y18" s="999"/>
      <c r="Z18" s="999"/>
      <c r="AA18" s="999"/>
      <c r="AB18" s="999"/>
    </row>
    <row r="19">
      <c r="A19" s="348"/>
      <c r="B19" s="8"/>
      <c r="C19" s="1004" t="str">
        <f>'5-1 Сбор КП Закупки'!C19</f>
        <v>ID_T009</v>
      </c>
      <c r="D19" s="1005" t="s">
        <v>388</v>
      </c>
      <c r="E19" s="1005" t="s">
        <v>389</v>
      </c>
      <c r="F19" s="1005"/>
      <c r="G19" s="1005"/>
      <c r="H19" s="1005"/>
      <c r="I19" s="1005"/>
      <c r="J19" s="1005" t="s">
        <v>278</v>
      </c>
      <c r="K19" s="1006">
        <v>3.0</v>
      </c>
      <c r="L19" s="1005"/>
      <c r="M19" s="1007"/>
      <c r="N19" s="999"/>
      <c r="O19" s="999"/>
      <c r="P19" s="999"/>
      <c r="Q19" s="999"/>
      <c r="R19" s="999"/>
      <c r="S19" s="999"/>
      <c r="T19" s="999"/>
      <c r="U19" s="999"/>
      <c r="V19" s="999"/>
      <c r="W19" s="999"/>
      <c r="X19" s="999"/>
      <c r="Y19" s="999"/>
      <c r="Z19" s="999"/>
      <c r="AA19" s="999"/>
      <c r="AB19" s="999"/>
    </row>
    <row r="20">
      <c r="A20" s="348"/>
      <c r="B20" s="8"/>
      <c r="C20" s="1004" t="str">
        <f>'5-1 Сбор КП Закупки'!C20</f>
        <v>ID_T010</v>
      </c>
      <c r="D20" s="1005" t="s">
        <v>391</v>
      </c>
      <c r="E20" s="1005" t="s">
        <v>392</v>
      </c>
      <c r="F20" s="1005"/>
      <c r="G20" s="1005"/>
      <c r="H20" s="1005"/>
      <c r="I20" s="1005"/>
      <c r="J20" s="1005" t="s">
        <v>278</v>
      </c>
      <c r="K20" s="1006">
        <v>3.0</v>
      </c>
      <c r="L20" s="1005"/>
      <c r="M20" s="1007"/>
      <c r="N20" s="999"/>
      <c r="O20" s="999"/>
      <c r="P20" s="999"/>
      <c r="Q20" s="999"/>
      <c r="R20" s="999"/>
      <c r="S20" s="999"/>
      <c r="T20" s="999"/>
      <c r="U20" s="999"/>
      <c r="V20" s="999"/>
      <c r="W20" s="999"/>
      <c r="X20" s="999"/>
      <c r="Y20" s="999"/>
      <c r="Z20" s="999"/>
      <c r="AA20" s="999"/>
      <c r="AB20" s="999"/>
    </row>
    <row r="21">
      <c r="A21" s="348"/>
      <c r="B21" s="8"/>
      <c r="C21" s="1004" t="str">
        <f>'5-1 Сбор КП Закупки'!C21</f>
        <v>ID_T011</v>
      </c>
      <c r="D21" s="1005" t="s">
        <v>394</v>
      </c>
      <c r="E21" s="1005" t="s">
        <v>395</v>
      </c>
      <c r="F21" s="1005"/>
      <c r="G21" s="1005"/>
      <c r="H21" s="1005"/>
      <c r="I21" s="1005"/>
      <c r="J21" s="1005" t="s">
        <v>278</v>
      </c>
      <c r="K21" s="1006">
        <v>6.0</v>
      </c>
      <c r="L21" s="1005"/>
      <c r="M21" s="1007"/>
      <c r="N21" s="999"/>
      <c r="O21" s="999"/>
      <c r="P21" s="999"/>
      <c r="Q21" s="999"/>
      <c r="R21" s="999"/>
      <c r="S21" s="999"/>
      <c r="T21" s="999"/>
      <c r="U21" s="999"/>
      <c r="V21" s="999"/>
      <c r="W21" s="999"/>
      <c r="X21" s="999"/>
      <c r="Y21" s="999"/>
      <c r="Z21" s="999"/>
      <c r="AA21" s="999"/>
      <c r="AB21" s="999"/>
    </row>
    <row r="22">
      <c r="A22" s="348"/>
      <c r="B22" s="8"/>
      <c r="C22" s="1004" t="str">
        <f>'5-1 Сбор КП Закупки'!C22</f>
        <v>ID_T012</v>
      </c>
      <c r="D22" s="1005" t="s">
        <v>397</v>
      </c>
      <c r="E22" s="1005" t="s">
        <v>398</v>
      </c>
      <c r="F22" s="1005"/>
      <c r="G22" s="1005"/>
      <c r="H22" s="1005"/>
      <c r="I22" s="1005"/>
      <c r="J22" s="1005" t="s">
        <v>278</v>
      </c>
      <c r="K22" s="1006">
        <v>6.0</v>
      </c>
      <c r="L22" s="1005"/>
      <c r="M22" s="1007"/>
      <c r="N22" s="999"/>
      <c r="O22" s="999"/>
      <c r="P22" s="999"/>
      <c r="Q22" s="999"/>
      <c r="R22" s="999"/>
      <c r="S22" s="999"/>
      <c r="T22" s="999"/>
      <c r="U22" s="999"/>
      <c r="V22" s="999"/>
      <c r="W22" s="999"/>
      <c r="X22" s="999"/>
      <c r="Y22" s="999"/>
      <c r="Z22" s="999"/>
      <c r="AA22" s="999"/>
      <c r="AB22" s="999"/>
    </row>
    <row r="23">
      <c r="A23" s="348"/>
      <c r="B23" s="8"/>
      <c r="C23" s="1004" t="str">
        <f>'5-1 Сбор КП Закупки'!C23</f>
        <v>ID_T013</v>
      </c>
      <c r="D23" s="1005" t="s">
        <v>400</v>
      </c>
      <c r="E23" s="1005" t="s">
        <v>401</v>
      </c>
      <c r="F23" s="1005"/>
      <c r="G23" s="1005"/>
      <c r="H23" s="1005"/>
      <c r="I23" s="1005"/>
      <c r="J23" s="1005" t="s">
        <v>278</v>
      </c>
      <c r="K23" s="1006">
        <v>2.0</v>
      </c>
      <c r="L23" s="1005"/>
      <c r="M23" s="1007"/>
      <c r="N23" s="999"/>
      <c r="O23" s="999"/>
      <c r="P23" s="999"/>
      <c r="Q23" s="999"/>
      <c r="R23" s="999"/>
      <c r="S23" s="999"/>
      <c r="T23" s="999"/>
      <c r="U23" s="999"/>
      <c r="V23" s="999"/>
      <c r="W23" s="999"/>
      <c r="X23" s="999"/>
      <c r="Y23" s="999"/>
      <c r="Z23" s="999"/>
      <c r="AA23" s="999"/>
      <c r="AB23" s="999"/>
    </row>
    <row r="24">
      <c r="A24" s="348"/>
      <c r="B24" s="8"/>
      <c r="C24" s="1004" t="str">
        <f>'5-1 Сбор КП Закупки'!C24</f>
        <v>ID_T014</v>
      </c>
      <c r="D24" s="1005" t="s">
        <v>403</v>
      </c>
      <c r="E24" s="1005" t="s">
        <v>404</v>
      </c>
      <c r="F24" s="1005"/>
      <c r="G24" s="1005"/>
      <c r="H24" s="1005"/>
      <c r="I24" s="1005"/>
      <c r="J24" s="1005" t="s">
        <v>278</v>
      </c>
      <c r="K24" s="1006">
        <v>4.0</v>
      </c>
      <c r="L24" s="1005"/>
      <c r="M24" s="1007"/>
      <c r="N24" s="999"/>
      <c r="O24" s="999"/>
      <c r="P24" s="999"/>
      <c r="Q24" s="999"/>
      <c r="R24" s="999"/>
      <c r="S24" s="999"/>
      <c r="T24" s="999"/>
      <c r="U24" s="999"/>
      <c r="V24" s="999"/>
      <c r="W24" s="999"/>
      <c r="X24" s="999"/>
      <c r="Y24" s="999"/>
      <c r="Z24" s="999"/>
      <c r="AA24" s="999"/>
      <c r="AB24" s="999"/>
    </row>
    <row r="25">
      <c r="A25" s="348"/>
      <c r="B25" s="8"/>
      <c r="C25" s="1004" t="str">
        <f>'5-1 Сбор КП Закупки'!C25</f>
        <v>ID_T015</v>
      </c>
      <c r="D25" s="1005" t="s">
        <v>406</v>
      </c>
      <c r="E25" s="1005" t="s">
        <v>407</v>
      </c>
      <c r="F25" s="1005"/>
      <c r="G25" s="1005"/>
      <c r="H25" s="1005"/>
      <c r="I25" s="1005"/>
      <c r="J25" s="1005" t="s">
        <v>278</v>
      </c>
      <c r="K25" s="1006">
        <v>4.0</v>
      </c>
      <c r="L25" s="1005"/>
      <c r="M25" s="1007"/>
      <c r="N25" s="999"/>
      <c r="O25" s="999"/>
      <c r="P25" s="999"/>
      <c r="Q25" s="999"/>
      <c r="R25" s="999"/>
      <c r="S25" s="999"/>
      <c r="T25" s="999"/>
      <c r="U25" s="999"/>
      <c r="V25" s="999"/>
      <c r="W25" s="999"/>
      <c r="X25" s="999"/>
      <c r="Y25" s="999"/>
      <c r="Z25" s="999"/>
      <c r="AA25" s="999"/>
      <c r="AB25" s="999"/>
    </row>
    <row r="26">
      <c r="A26" s="348"/>
      <c r="B26" s="8"/>
      <c r="C26" s="1004" t="str">
        <f>'5-1 Сбор КП Закупки'!C26</f>
        <v>ID_T016</v>
      </c>
      <c r="D26" s="1005" t="s">
        <v>409</v>
      </c>
      <c r="E26" s="1005"/>
      <c r="F26" s="1005"/>
      <c r="G26" s="1005"/>
      <c r="H26" s="1005"/>
      <c r="I26" s="1005"/>
      <c r="J26" s="1005"/>
      <c r="K26" s="1006"/>
      <c r="L26" s="1005"/>
      <c r="M26" s="1007"/>
      <c r="N26" s="999"/>
      <c r="O26" s="999"/>
      <c r="P26" s="999"/>
      <c r="Q26" s="999"/>
      <c r="R26" s="999"/>
      <c r="S26" s="999"/>
      <c r="T26" s="999"/>
      <c r="U26" s="999"/>
      <c r="V26" s="999"/>
      <c r="W26" s="999"/>
      <c r="X26" s="999"/>
      <c r="Y26" s="999"/>
      <c r="Z26" s="999"/>
      <c r="AA26" s="999"/>
      <c r="AB26" s="999"/>
    </row>
    <row r="27">
      <c r="A27" s="348"/>
      <c r="B27" s="8"/>
      <c r="C27" s="1004" t="str">
        <f>'5-1 Сбор КП Закупки'!C27</f>
        <v>ID_T017</v>
      </c>
      <c r="D27" s="1005" t="s">
        <v>411</v>
      </c>
      <c r="E27" s="1005"/>
      <c r="F27" s="1005"/>
      <c r="G27" s="1005"/>
      <c r="H27" s="1005"/>
      <c r="I27" s="1005"/>
      <c r="J27" s="1005"/>
      <c r="K27" s="1006"/>
      <c r="L27" s="1005"/>
      <c r="M27" s="1007"/>
      <c r="N27" s="999"/>
      <c r="O27" s="999"/>
      <c r="P27" s="999"/>
      <c r="Q27" s="999"/>
      <c r="R27" s="999"/>
      <c r="S27" s="999"/>
      <c r="T27" s="999"/>
      <c r="U27" s="999"/>
      <c r="V27" s="999"/>
      <c r="W27" s="999"/>
      <c r="X27" s="999"/>
      <c r="Y27" s="999"/>
      <c r="Z27" s="999"/>
      <c r="AA27" s="999"/>
      <c r="AB27" s="999"/>
    </row>
    <row r="28">
      <c r="A28" s="348"/>
      <c r="B28" s="8"/>
      <c r="C28" s="1004" t="str">
        <f>'5-1 Сбор КП Закупки'!C28</f>
        <v>ID_T018</v>
      </c>
      <c r="D28" s="1005" t="s">
        <v>413</v>
      </c>
      <c r="E28" s="1005"/>
      <c r="F28" s="1005"/>
      <c r="G28" s="1005"/>
      <c r="H28" s="1005"/>
      <c r="I28" s="1005"/>
      <c r="J28" s="1005"/>
      <c r="K28" s="1006"/>
      <c r="L28" s="1005"/>
      <c r="M28" s="1007"/>
      <c r="N28" s="999"/>
      <c r="O28" s="999"/>
      <c r="P28" s="999"/>
      <c r="Q28" s="999"/>
      <c r="R28" s="999"/>
      <c r="S28" s="999"/>
      <c r="T28" s="999"/>
      <c r="U28" s="999"/>
      <c r="V28" s="999"/>
      <c r="W28" s="999"/>
      <c r="X28" s="999"/>
      <c r="Y28" s="999"/>
      <c r="Z28" s="999"/>
      <c r="AA28" s="999"/>
      <c r="AB28" s="999"/>
    </row>
    <row r="29">
      <c r="A29" s="348"/>
      <c r="B29" s="8"/>
      <c r="C29" s="1004" t="str">
        <f>'5-1 Сбор КП Закупки'!C29</f>
        <v>ID_T019</v>
      </c>
      <c r="D29" s="1005" t="s">
        <v>415</v>
      </c>
      <c r="E29" s="1005"/>
      <c r="F29" s="1005"/>
      <c r="G29" s="1005"/>
      <c r="H29" s="1005"/>
      <c r="I29" s="1005"/>
      <c r="J29" s="1005"/>
      <c r="K29" s="1006"/>
      <c r="L29" s="1005"/>
      <c r="M29" s="1007"/>
      <c r="N29" s="999"/>
      <c r="O29" s="999"/>
      <c r="P29" s="999"/>
      <c r="Q29" s="999"/>
      <c r="R29" s="999"/>
      <c r="S29" s="999"/>
      <c r="T29" s="999"/>
      <c r="U29" s="999"/>
      <c r="V29" s="999"/>
      <c r="W29" s="999"/>
      <c r="X29" s="999"/>
      <c r="Y29" s="999"/>
      <c r="Z29" s="999"/>
      <c r="AA29" s="999"/>
      <c r="AB29" s="999"/>
    </row>
    <row r="30">
      <c r="A30" s="348"/>
      <c r="B30" s="8"/>
      <c r="C30" s="1004" t="str">
        <f>'5-1 Сбор КП Закупки'!C30</f>
        <v>ID_T020</v>
      </c>
      <c r="D30" s="1005" t="s">
        <v>417</v>
      </c>
      <c r="E30" s="1005"/>
      <c r="F30" s="1005"/>
      <c r="G30" s="1005"/>
      <c r="H30" s="1005"/>
      <c r="I30" s="1005"/>
      <c r="J30" s="1005"/>
      <c r="K30" s="1006"/>
      <c r="L30" s="1005"/>
      <c r="M30" s="1007"/>
      <c r="N30" s="999"/>
      <c r="O30" s="999"/>
      <c r="P30" s="999"/>
      <c r="Q30" s="999"/>
      <c r="R30" s="999"/>
      <c r="S30" s="999"/>
      <c r="T30" s="999"/>
      <c r="U30" s="999"/>
      <c r="V30" s="999"/>
      <c r="W30" s="999"/>
      <c r="X30" s="999"/>
      <c r="Y30" s="999"/>
      <c r="Z30" s="999"/>
      <c r="AA30" s="999"/>
      <c r="AB30" s="999"/>
    </row>
    <row r="31">
      <c r="A31" s="348"/>
      <c r="B31" s="8"/>
      <c r="C31" s="1004" t="str">
        <f>'5-1 Сбор КП Закупки'!C31</f>
        <v/>
      </c>
      <c r="D31" s="1005"/>
      <c r="E31" s="1005"/>
      <c r="F31" s="1005"/>
      <c r="G31" s="1005"/>
      <c r="H31" s="1005"/>
      <c r="I31" s="1005"/>
      <c r="J31" s="1005"/>
      <c r="K31" s="1006"/>
      <c r="L31" s="1005"/>
      <c r="M31" s="1007"/>
      <c r="N31" s="999"/>
      <c r="O31" s="999"/>
      <c r="P31" s="999"/>
      <c r="Q31" s="999"/>
      <c r="R31" s="999"/>
      <c r="S31" s="999"/>
      <c r="T31" s="999"/>
      <c r="U31" s="999"/>
      <c r="V31" s="999"/>
      <c r="W31" s="999"/>
      <c r="X31" s="999"/>
      <c r="Y31" s="999"/>
      <c r="Z31" s="999"/>
      <c r="AA31" s="999"/>
      <c r="AB31" s="999"/>
    </row>
    <row r="32">
      <c r="A32" s="348"/>
      <c r="B32" s="8"/>
      <c r="C32" s="1004" t="str">
        <f>'5-1 Сбор КП Закупки'!C32</f>
        <v/>
      </c>
      <c r="D32" s="1005"/>
      <c r="E32" s="1005"/>
      <c r="F32" s="1005"/>
      <c r="G32" s="1005"/>
      <c r="H32" s="1005"/>
      <c r="I32" s="1005"/>
      <c r="J32" s="1005"/>
      <c r="K32" s="1006"/>
      <c r="L32" s="1005"/>
      <c r="M32" s="1007"/>
      <c r="N32" s="999"/>
      <c r="O32" s="999"/>
      <c r="P32" s="999"/>
      <c r="Q32" s="999"/>
      <c r="R32" s="999"/>
      <c r="S32" s="999"/>
      <c r="T32" s="999"/>
      <c r="U32" s="999"/>
      <c r="V32" s="999"/>
      <c r="W32" s="999"/>
      <c r="X32" s="999"/>
      <c r="Y32" s="999"/>
      <c r="Z32" s="999"/>
      <c r="AA32" s="999"/>
      <c r="AB32" s="999"/>
    </row>
    <row r="33">
      <c r="A33" s="348"/>
      <c r="B33" s="8"/>
      <c r="C33" s="1004" t="str">
        <f>'5-1 Сбор КП Закупки'!C33</f>
        <v/>
      </c>
      <c r="D33" s="1005"/>
      <c r="E33" s="1005"/>
      <c r="F33" s="1005"/>
      <c r="G33" s="1005"/>
      <c r="H33" s="1005"/>
      <c r="I33" s="1005"/>
      <c r="J33" s="1005"/>
      <c r="K33" s="1006"/>
      <c r="L33" s="1005"/>
      <c r="M33" s="1007"/>
      <c r="N33" s="999"/>
      <c r="O33" s="999"/>
      <c r="P33" s="999"/>
      <c r="Q33" s="999"/>
      <c r="R33" s="999"/>
      <c r="S33" s="999"/>
      <c r="T33" s="999"/>
      <c r="U33" s="999"/>
      <c r="V33" s="999"/>
      <c r="W33" s="999"/>
      <c r="X33" s="999"/>
      <c r="Y33" s="999"/>
      <c r="Z33" s="999"/>
      <c r="AA33" s="999"/>
      <c r="AB33" s="999"/>
    </row>
    <row r="34">
      <c r="A34" s="348"/>
      <c r="B34" s="8"/>
      <c r="C34" s="1004" t="str">
        <f>'5-1 Сбор КП Закупки'!C34</f>
        <v/>
      </c>
      <c r="D34" s="1005"/>
      <c r="E34" s="1005"/>
      <c r="F34" s="1005"/>
      <c r="G34" s="1005"/>
      <c r="H34" s="1005"/>
      <c r="I34" s="1005"/>
      <c r="J34" s="1005"/>
      <c r="K34" s="1006"/>
      <c r="L34" s="1005"/>
      <c r="M34" s="1007"/>
      <c r="N34" s="999"/>
      <c r="O34" s="999"/>
      <c r="P34" s="999"/>
      <c r="Q34" s="999"/>
      <c r="R34" s="999"/>
      <c r="S34" s="999"/>
      <c r="T34" s="999"/>
      <c r="U34" s="999"/>
      <c r="V34" s="999"/>
      <c r="W34" s="999"/>
      <c r="X34" s="999"/>
      <c r="Y34" s="999"/>
      <c r="Z34" s="999"/>
      <c r="AA34" s="999"/>
      <c r="AB34" s="999"/>
    </row>
    <row r="35">
      <c r="A35" s="348"/>
      <c r="B35" s="8"/>
      <c r="C35" s="1004" t="str">
        <f>'5-1 Сбор КП Закупки'!C35</f>
        <v/>
      </c>
      <c r="D35" s="1005"/>
      <c r="E35" s="1005"/>
      <c r="F35" s="1005"/>
      <c r="G35" s="1005"/>
      <c r="H35" s="1005"/>
      <c r="I35" s="1005"/>
      <c r="J35" s="1005"/>
      <c r="K35" s="1006"/>
      <c r="L35" s="1005"/>
      <c r="M35" s="1007"/>
      <c r="N35" s="999"/>
      <c r="O35" s="999"/>
      <c r="P35" s="999"/>
      <c r="Q35" s="999"/>
      <c r="R35" s="999"/>
      <c r="S35" s="999"/>
      <c r="T35" s="999"/>
      <c r="U35" s="999"/>
      <c r="V35" s="999"/>
      <c r="W35" s="999"/>
      <c r="X35" s="999"/>
      <c r="Y35" s="999"/>
      <c r="Z35" s="999"/>
      <c r="AA35" s="999"/>
      <c r="AB35" s="999"/>
    </row>
    <row r="36">
      <c r="A36" s="348"/>
      <c r="B36" s="8"/>
      <c r="C36" s="1004" t="str">
        <f>'5-1 Сбор КП Закупки'!C36</f>
        <v/>
      </c>
      <c r="D36" s="1005"/>
      <c r="E36" s="1005"/>
      <c r="F36" s="1005"/>
      <c r="G36" s="1005"/>
      <c r="H36" s="1005"/>
      <c r="I36" s="1005"/>
      <c r="J36" s="1005"/>
      <c r="K36" s="1006"/>
      <c r="L36" s="1005"/>
      <c r="M36" s="1007"/>
      <c r="N36" s="999"/>
      <c r="O36" s="999"/>
      <c r="P36" s="999"/>
      <c r="Q36" s="999"/>
      <c r="R36" s="999"/>
      <c r="S36" s="999"/>
      <c r="T36" s="999"/>
      <c r="U36" s="999"/>
      <c r="V36" s="999"/>
      <c r="W36" s="999"/>
      <c r="X36" s="999"/>
      <c r="Y36" s="999"/>
      <c r="Z36" s="999"/>
      <c r="AA36" s="999"/>
      <c r="AB36" s="999"/>
    </row>
    <row r="37">
      <c r="A37" s="348"/>
      <c r="B37" s="8"/>
      <c r="C37" s="1004" t="str">
        <f>'5-1 Сбор КП Закупки'!C37</f>
        <v/>
      </c>
      <c r="D37" s="1005"/>
      <c r="E37" s="1005"/>
      <c r="F37" s="1005"/>
      <c r="G37" s="1005"/>
      <c r="H37" s="1005"/>
      <c r="I37" s="1005"/>
      <c r="J37" s="1005"/>
      <c r="K37" s="1006"/>
      <c r="L37" s="1005"/>
      <c r="M37" s="1007"/>
      <c r="N37" s="999"/>
      <c r="O37" s="999"/>
      <c r="P37" s="999"/>
      <c r="Q37" s="999"/>
      <c r="R37" s="999"/>
      <c r="S37" s="999"/>
      <c r="T37" s="999"/>
      <c r="U37" s="999"/>
      <c r="V37" s="999"/>
      <c r="W37" s="999"/>
      <c r="X37" s="999"/>
      <c r="Y37" s="999"/>
      <c r="Z37" s="999"/>
      <c r="AA37" s="999"/>
      <c r="AB37" s="999"/>
    </row>
    <row r="38">
      <c r="A38" s="348"/>
      <c r="B38" s="8"/>
      <c r="C38" s="1004" t="str">
        <f>'5-1 Сбор КП Закупки'!C38</f>
        <v/>
      </c>
      <c r="D38" s="1005"/>
      <c r="E38" s="1005"/>
      <c r="F38" s="1005"/>
      <c r="G38" s="1005"/>
      <c r="H38" s="1005"/>
      <c r="I38" s="1005"/>
      <c r="J38" s="1005"/>
      <c r="K38" s="1006"/>
      <c r="L38" s="1005"/>
      <c r="M38" s="1007"/>
      <c r="N38" s="999"/>
      <c r="O38" s="999"/>
      <c r="P38" s="999"/>
      <c r="Q38" s="999"/>
      <c r="R38" s="999"/>
      <c r="S38" s="999"/>
      <c r="T38" s="999"/>
      <c r="U38" s="999"/>
      <c r="V38" s="999"/>
      <c r="W38" s="999"/>
      <c r="X38" s="999"/>
      <c r="Y38" s="999"/>
      <c r="Z38" s="999"/>
      <c r="AA38" s="999"/>
      <c r="AB38" s="999"/>
    </row>
    <row r="39">
      <c r="A39" s="348"/>
      <c r="B39" s="8"/>
      <c r="C39" s="1004" t="str">
        <f>'5-1 Сбор КП Закупки'!C39</f>
        <v/>
      </c>
      <c r="D39" s="1005"/>
      <c r="E39" s="1005"/>
      <c r="F39" s="1005"/>
      <c r="G39" s="1005"/>
      <c r="H39" s="1005"/>
      <c r="I39" s="1005"/>
      <c r="J39" s="1005"/>
      <c r="K39" s="1006"/>
      <c r="L39" s="1005"/>
      <c r="M39" s="1007"/>
      <c r="N39" s="999"/>
      <c r="O39" s="999"/>
      <c r="P39" s="999"/>
      <c r="Q39" s="999"/>
      <c r="R39" s="999"/>
      <c r="S39" s="999"/>
      <c r="T39" s="999"/>
      <c r="U39" s="999"/>
      <c r="V39" s="999"/>
      <c r="W39" s="999"/>
      <c r="X39" s="999"/>
      <c r="Y39" s="999"/>
      <c r="Z39" s="999"/>
      <c r="AA39" s="999"/>
      <c r="AB39" s="999"/>
    </row>
    <row r="40">
      <c r="A40" s="348"/>
      <c r="B40" s="8"/>
      <c r="C40" s="1004" t="str">
        <f>'5-1 Сбор КП Закупки'!C40</f>
        <v/>
      </c>
      <c r="D40" s="1005"/>
      <c r="E40" s="1005"/>
      <c r="F40" s="1005"/>
      <c r="G40" s="1005"/>
      <c r="H40" s="1005"/>
      <c r="I40" s="1005"/>
      <c r="J40" s="1005"/>
      <c r="K40" s="1006"/>
      <c r="L40" s="1005"/>
      <c r="M40" s="1007"/>
      <c r="N40" s="999"/>
      <c r="O40" s="999"/>
      <c r="P40" s="999"/>
      <c r="Q40" s="999"/>
      <c r="R40" s="999"/>
      <c r="S40" s="999"/>
      <c r="T40" s="999"/>
      <c r="U40" s="999"/>
      <c r="V40" s="999"/>
      <c r="W40" s="999"/>
      <c r="X40" s="999"/>
      <c r="Y40" s="999"/>
      <c r="Z40" s="999"/>
      <c r="AA40" s="999"/>
      <c r="AB40" s="999"/>
    </row>
    <row r="41">
      <c r="A41" s="348"/>
      <c r="B41" s="8"/>
      <c r="C41" s="1004" t="str">
        <f>'5-1 Сбор КП Закупки'!C41</f>
        <v/>
      </c>
      <c r="D41" s="1005"/>
      <c r="E41" s="1005"/>
      <c r="F41" s="1005"/>
      <c r="G41" s="1005"/>
      <c r="H41" s="1005"/>
      <c r="I41" s="1005"/>
      <c r="J41" s="1005"/>
      <c r="K41" s="1006"/>
      <c r="L41" s="1005"/>
      <c r="M41" s="1007"/>
      <c r="N41" s="999"/>
      <c r="O41" s="999"/>
      <c r="P41" s="999"/>
      <c r="Q41" s="999"/>
      <c r="R41" s="999"/>
      <c r="S41" s="999"/>
      <c r="T41" s="999"/>
      <c r="U41" s="999"/>
      <c r="V41" s="999"/>
      <c r="W41" s="999"/>
      <c r="X41" s="999"/>
      <c r="Y41" s="999"/>
      <c r="Z41" s="999"/>
      <c r="AA41" s="999"/>
      <c r="AB41" s="999"/>
    </row>
    <row r="42">
      <c r="A42" s="348"/>
      <c r="B42" s="8"/>
      <c r="C42" s="1004" t="str">
        <f>'5-1 Сбор КП Закупки'!C42</f>
        <v/>
      </c>
      <c r="D42" s="1005"/>
      <c r="E42" s="1005"/>
      <c r="F42" s="1005"/>
      <c r="G42" s="1005"/>
      <c r="H42" s="1005"/>
      <c r="I42" s="1005"/>
      <c r="J42" s="1005"/>
      <c r="K42" s="1006"/>
      <c r="L42" s="1005"/>
      <c r="M42" s="1007"/>
      <c r="N42" s="999"/>
      <c r="O42" s="999"/>
      <c r="P42" s="999"/>
      <c r="Q42" s="999"/>
      <c r="R42" s="999"/>
      <c r="S42" s="999"/>
      <c r="T42" s="999"/>
      <c r="U42" s="999"/>
      <c r="V42" s="999"/>
      <c r="W42" s="999"/>
      <c r="X42" s="999"/>
      <c r="Y42" s="999"/>
      <c r="Z42" s="999"/>
      <c r="AA42" s="999"/>
      <c r="AB42" s="999"/>
    </row>
    <row r="43">
      <c r="A43" s="348"/>
      <c r="B43" s="8"/>
      <c r="C43" s="1004" t="str">
        <f>'5-1 Сбор КП Закупки'!C43</f>
        <v/>
      </c>
      <c r="D43" s="1005"/>
      <c r="E43" s="1005"/>
      <c r="F43" s="1005"/>
      <c r="G43" s="1005"/>
      <c r="H43" s="1005"/>
      <c r="I43" s="1005"/>
      <c r="J43" s="1005"/>
      <c r="K43" s="1006"/>
      <c r="L43" s="1005"/>
      <c r="M43" s="1007"/>
      <c r="N43" s="999"/>
      <c r="O43" s="999"/>
      <c r="P43" s="999"/>
      <c r="Q43" s="999"/>
      <c r="R43" s="999"/>
      <c r="S43" s="999"/>
      <c r="T43" s="999"/>
      <c r="U43" s="999"/>
      <c r="V43" s="999"/>
      <c r="W43" s="999"/>
      <c r="X43" s="999"/>
      <c r="Y43" s="999"/>
      <c r="Z43" s="999"/>
      <c r="AA43" s="999"/>
      <c r="AB43" s="999"/>
    </row>
    <row r="44">
      <c r="A44" s="348"/>
      <c r="B44" s="8"/>
      <c r="C44" s="1004" t="str">
        <f>'5-1 Сбор КП Закупки'!C44</f>
        <v/>
      </c>
      <c r="D44" s="1005"/>
      <c r="E44" s="1005"/>
      <c r="F44" s="1005"/>
      <c r="G44" s="1005"/>
      <c r="H44" s="1005"/>
      <c r="I44" s="1005"/>
      <c r="J44" s="1005"/>
      <c r="K44" s="1006"/>
      <c r="L44" s="1005"/>
      <c r="M44" s="1007"/>
      <c r="N44" s="999"/>
      <c r="O44" s="999"/>
      <c r="P44" s="999"/>
      <c r="Q44" s="999"/>
      <c r="R44" s="999"/>
      <c r="S44" s="999"/>
      <c r="T44" s="999"/>
      <c r="U44" s="999"/>
      <c r="V44" s="999"/>
      <c r="W44" s="999"/>
      <c r="X44" s="999"/>
      <c r="Y44" s="999"/>
      <c r="Z44" s="999"/>
      <c r="AA44" s="999"/>
      <c r="AB44" s="999"/>
    </row>
    <row r="45">
      <c r="A45" s="348"/>
      <c r="B45" s="8"/>
      <c r="C45" s="1004" t="str">
        <f>'5-1 Сбор КП Закупки'!C45</f>
        <v/>
      </c>
      <c r="D45" s="1005"/>
      <c r="E45" s="1005"/>
      <c r="F45" s="1005"/>
      <c r="G45" s="1005"/>
      <c r="H45" s="1005"/>
      <c r="I45" s="1005"/>
      <c r="J45" s="1005"/>
      <c r="K45" s="1006"/>
      <c r="L45" s="1005"/>
      <c r="M45" s="1007"/>
      <c r="N45" s="999"/>
      <c r="O45" s="999"/>
      <c r="P45" s="999"/>
      <c r="Q45" s="999"/>
      <c r="R45" s="999"/>
      <c r="S45" s="999"/>
      <c r="T45" s="999"/>
      <c r="U45" s="999"/>
      <c r="V45" s="999"/>
      <c r="W45" s="999"/>
      <c r="X45" s="999"/>
      <c r="Y45" s="999"/>
      <c r="Z45" s="999"/>
      <c r="AA45" s="999"/>
      <c r="AB45" s="999"/>
    </row>
    <row r="46">
      <c r="A46" s="348"/>
      <c r="B46" s="8"/>
      <c r="C46" s="1004" t="str">
        <f>'5-1 Сбор КП Закупки'!C46</f>
        <v/>
      </c>
      <c r="D46" s="1005"/>
      <c r="E46" s="1005"/>
      <c r="F46" s="1005"/>
      <c r="G46" s="1005"/>
      <c r="H46" s="1005"/>
      <c r="I46" s="1005"/>
      <c r="J46" s="1005"/>
      <c r="K46" s="1006"/>
      <c r="L46" s="1005"/>
      <c r="M46" s="1007"/>
      <c r="N46" s="999"/>
      <c r="O46" s="999"/>
      <c r="P46" s="999"/>
      <c r="Q46" s="999"/>
      <c r="R46" s="999"/>
      <c r="S46" s="999"/>
      <c r="T46" s="999"/>
      <c r="U46" s="999"/>
      <c r="V46" s="999"/>
      <c r="W46" s="999"/>
      <c r="X46" s="999"/>
      <c r="Y46" s="999"/>
      <c r="Z46" s="999"/>
      <c r="AA46" s="999"/>
      <c r="AB46" s="999"/>
    </row>
    <row r="47">
      <c r="A47" s="348"/>
      <c r="B47" s="8"/>
      <c r="C47" s="1004" t="str">
        <f>'5-1 Сбор КП Закупки'!C47</f>
        <v/>
      </c>
      <c r="D47" s="1005"/>
      <c r="E47" s="1005"/>
      <c r="F47" s="1005"/>
      <c r="G47" s="1005"/>
      <c r="H47" s="1005"/>
      <c r="I47" s="1005"/>
      <c r="J47" s="1005"/>
      <c r="K47" s="1006"/>
      <c r="L47" s="1005"/>
      <c r="M47" s="1007"/>
      <c r="N47" s="999"/>
      <c r="O47" s="999"/>
      <c r="P47" s="999"/>
      <c r="Q47" s="999"/>
      <c r="R47" s="999"/>
      <c r="S47" s="999"/>
      <c r="T47" s="999"/>
      <c r="U47" s="999"/>
      <c r="V47" s="999"/>
      <c r="W47" s="999"/>
      <c r="X47" s="999"/>
      <c r="Y47" s="999"/>
      <c r="Z47" s="999"/>
      <c r="AA47" s="999"/>
      <c r="AB47" s="999"/>
    </row>
    <row r="48">
      <c r="A48" s="348"/>
      <c r="B48" s="8"/>
      <c r="C48" s="1004" t="str">
        <f>'5-1 Сбор КП Закупки'!C48</f>
        <v/>
      </c>
      <c r="D48" s="1005"/>
      <c r="E48" s="1005"/>
      <c r="F48" s="1005"/>
      <c r="G48" s="1005"/>
      <c r="H48" s="1005"/>
      <c r="I48" s="1005"/>
      <c r="J48" s="1005"/>
      <c r="K48" s="1006"/>
      <c r="L48" s="1005"/>
      <c r="M48" s="1007"/>
      <c r="N48" s="999"/>
      <c r="O48" s="999"/>
      <c r="P48" s="999"/>
      <c r="Q48" s="999"/>
      <c r="R48" s="999"/>
      <c r="S48" s="999"/>
      <c r="T48" s="999"/>
      <c r="U48" s="999"/>
      <c r="V48" s="999"/>
      <c r="W48" s="999"/>
      <c r="X48" s="999"/>
      <c r="Y48" s="999"/>
      <c r="Z48" s="999"/>
      <c r="AA48" s="999"/>
      <c r="AB48" s="999"/>
    </row>
    <row r="49">
      <c r="A49" s="348"/>
      <c r="B49" s="8"/>
      <c r="C49" s="1004" t="str">
        <f>'5-1 Сбор КП Закупки'!C49</f>
        <v/>
      </c>
      <c r="D49" s="1005"/>
      <c r="E49" s="1005"/>
      <c r="F49" s="1005"/>
      <c r="G49" s="1005"/>
      <c r="H49" s="1005"/>
      <c r="I49" s="1005"/>
      <c r="J49" s="1005"/>
      <c r="K49" s="1006"/>
      <c r="L49" s="1005"/>
      <c r="M49" s="1007"/>
      <c r="N49" s="999"/>
      <c r="O49" s="999"/>
      <c r="P49" s="999"/>
      <c r="Q49" s="999"/>
      <c r="R49" s="999"/>
      <c r="S49" s="999"/>
      <c r="T49" s="999"/>
      <c r="U49" s="999"/>
      <c r="V49" s="999"/>
      <c r="W49" s="999"/>
      <c r="X49" s="999"/>
      <c r="Y49" s="999"/>
      <c r="Z49" s="999"/>
      <c r="AA49" s="999"/>
      <c r="AB49" s="999"/>
    </row>
    <row r="50">
      <c r="A50" s="348"/>
      <c r="B50" s="8"/>
      <c r="C50" s="1004" t="str">
        <f>'5-1 Сбор КП Закупки'!C50</f>
        <v/>
      </c>
      <c r="D50" s="1005"/>
      <c r="E50" s="1005"/>
      <c r="F50" s="1005"/>
      <c r="G50" s="1005"/>
      <c r="H50" s="1005"/>
      <c r="I50" s="1005"/>
      <c r="J50" s="1005"/>
      <c r="K50" s="1006"/>
      <c r="L50" s="1005"/>
      <c r="M50" s="1007"/>
      <c r="N50" s="999"/>
      <c r="O50" s="999"/>
      <c r="P50" s="999"/>
      <c r="Q50" s="999"/>
      <c r="R50" s="999"/>
      <c r="S50" s="999"/>
      <c r="T50" s="999"/>
      <c r="U50" s="999"/>
      <c r="V50" s="999"/>
      <c r="W50" s="999"/>
      <c r="X50" s="999"/>
      <c r="Y50" s="999"/>
      <c r="Z50" s="999"/>
      <c r="AA50" s="999"/>
      <c r="AB50" s="999"/>
    </row>
    <row r="51">
      <c r="A51" s="348"/>
      <c r="B51" s="8"/>
      <c r="C51" s="1004" t="str">
        <f>'5-1 Сбор КП Закупки'!C51</f>
        <v/>
      </c>
      <c r="D51" s="1005"/>
      <c r="E51" s="1005"/>
      <c r="F51" s="1005"/>
      <c r="G51" s="1005"/>
      <c r="H51" s="1005"/>
      <c r="I51" s="1005"/>
      <c r="J51" s="1005"/>
      <c r="K51" s="1006"/>
      <c r="L51" s="1005"/>
      <c r="M51" s="1007"/>
      <c r="N51" s="999"/>
      <c r="O51" s="999"/>
      <c r="P51" s="999"/>
      <c r="Q51" s="999"/>
      <c r="R51" s="999"/>
      <c r="S51" s="999"/>
      <c r="T51" s="999"/>
      <c r="U51" s="999"/>
      <c r="V51" s="999"/>
      <c r="W51" s="999"/>
      <c r="X51" s="999"/>
      <c r="Y51" s="999"/>
      <c r="Z51" s="999"/>
      <c r="AA51" s="999"/>
      <c r="AB51" s="999"/>
    </row>
    <row r="52">
      <c r="A52" s="348"/>
      <c r="B52" s="8"/>
      <c r="C52" s="1004" t="str">
        <f>'5-1 Сбор КП Закупки'!C52</f>
        <v/>
      </c>
      <c r="D52" s="1005"/>
      <c r="E52" s="1005"/>
      <c r="F52" s="1005"/>
      <c r="G52" s="1005"/>
      <c r="H52" s="1005"/>
      <c r="I52" s="1005"/>
      <c r="J52" s="1005"/>
      <c r="K52" s="1006"/>
      <c r="L52" s="1005"/>
      <c r="M52" s="394"/>
      <c r="N52" s="999"/>
      <c r="O52" s="999"/>
      <c r="P52" s="999"/>
      <c r="Q52" s="999"/>
      <c r="R52" s="999"/>
      <c r="S52" s="999"/>
      <c r="T52" s="999"/>
      <c r="U52" s="999"/>
      <c r="V52" s="999"/>
      <c r="W52" s="999"/>
      <c r="X52" s="999"/>
      <c r="Y52" s="999"/>
      <c r="Z52" s="999"/>
      <c r="AA52" s="999"/>
      <c r="AB52" s="999"/>
    </row>
    <row r="53">
      <c r="A53" s="348"/>
      <c r="B53" s="8"/>
      <c r="C53" s="1004" t="str">
        <f>'5-1 Сбор КП Закупки'!C53</f>
        <v/>
      </c>
      <c r="D53" s="1005"/>
      <c r="E53" s="1005"/>
      <c r="F53" s="1005"/>
      <c r="G53" s="1005"/>
      <c r="H53" s="1005"/>
      <c r="I53" s="1005"/>
      <c r="J53" s="1005"/>
      <c r="K53" s="1006"/>
      <c r="L53" s="1005"/>
      <c r="M53" s="1007"/>
      <c r="N53" s="999"/>
      <c r="O53" s="999"/>
      <c r="P53" s="999"/>
      <c r="Q53" s="999"/>
      <c r="R53" s="999"/>
      <c r="S53" s="999"/>
      <c r="T53" s="999"/>
      <c r="U53" s="999"/>
      <c r="V53" s="999"/>
      <c r="W53" s="999"/>
      <c r="X53" s="999"/>
      <c r="Y53" s="999"/>
      <c r="Z53" s="999"/>
      <c r="AA53" s="999"/>
      <c r="AB53" s="999"/>
    </row>
    <row r="54">
      <c r="A54" s="348"/>
      <c r="B54" s="8"/>
      <c r="C54" s="1004" t="str">
        <f>'5-1 Сбор КП Закупки'!C54</f>
        <v/>
      </c>
      <c r="D54" s="1005"/>
      <c r="E54" s="1005"/>
      <c r="F54" s="1005"/>
      <c r="G54" s="1005"/>
      <c r="H54" s="1005"/>
      <c r="I54" s="1005"/>
      <c r="J54" s="1005"/>
      <c r="K54" s="1006"/>
      <c r="L54" s="1005"/>
      <c r="M54" s="1007"/>
      <c r="N54" s="999"/>
      <c r="O54" s="999"/>
      <c r="P54" s="999"/>
      <c r="Q54" s="999"/>
      <c r="R54" s="999"/>
      <c r="S54" s="999"/>
      <c r="T54" s="999"/>
      <c r="U54" s="999"/>
      <c r="V54" s="999"/>
      <c r="W54" s="999"/>
      <c r="X54" s="999"/>
      <c r="Y54" s="999"/>
      <c r="Z54" s="999"/>
      <c r="AA54" s="999"/>
      <c r="AB54" s="999"/>
    </row>
    <row r="55">
      <c r="A55" s="348"/>
      <c r="B55" s="8"/>
      <c r="C55" s="1004" t="str">
        <f>'5-1 Сбор КП Закупки'!C55</f>
        <v/>
      </c>
      <c r="D55" s="1005"/>
      <c r="E55" s="1005"/>
      <c r="F55" s="1005"/>
      <c r="G55" s="1005"/>
      <c r="H55" s="1005"/>
      <c r="I55" s="1005"/>
      <c r="J55" s="1005"/>
      <c r="K55" s="1006"/>
      <c r="L55" s="1005"/>
      <c r="M55" s="1007"/>
      <c r="N55" s="999"/>
      <c r="O55" s="999"/>
      <c r="P55" s="999"/>
      <c r="Q55" s="999"/>
      <c r="R55" s="999"/>
      <c r="S55" s="999"/>
      <c r="T55" s="999"/>
      <c r="U55" s="999"/>
      <c r="V55" s="999"/>
      <c r="W55" s="999"/>
      <c r="X55" s="999"/>
      <c r="Y55" s="999"/>
      <c r="Z55" s="999"/>
      <c r="AA55" s="999"/>
      <c r="AB55" s="999"/>
    </row>
    <row r="56">
      <c r="A56" s="348"/>
      <c r="B56" s="8"/>
      <c r="C56" s="1004" t="str">
        <f>'5-1 Сбор КП Закупки'!C56</f>
        <v/>
      </c>
      <c r="D56" s="1005"/>
      <c r="E56" s="1005"/>
      <c r="F56" s="1005"/>
      <c r="G56" s="1005"/>
      <c r="H56" s="1005"/>
      <c r="I56" s="1005"/>
      <c r="J56" s="1005"/>
      <c r="K56" s="1006"/>
      <c r="L56" s="1005"/>
      <c r="M56" s="1007"/>
      <c r="N56" s="999"/>
      <c r="O56" s="999"/>
      <c r="P56" s="999"/>
      <c r="Q56" s="999"/>
      <c r="R56" s="999"/>
      <c r="S56" s="999"/>
      <c r="T56" s="999"/>
      <c r="U56" s="999"/>
      <c r="V56" s="999"/>
      <c r="W56" s="999"/>
      <c r="X56" s="999"/>
      <c r="Y56" s="999"/>
      <c r="Z56" s="999"/>
      <c r="AA56" s="999"/>
      <c r="AB56" s="999"/>
    </row>
    <row r="57">
      <c r="A57" s="348"/>
      <c r="B57" s="8"/>
      <c r="C57" s="1004" t="str">
        <f>'5-1 Сбор КП Закупки'!C57</f>
        <v/>
      </c>
      <c r="D57" s="1005"/>
      <c r="E57" s="1005"/>
      <c r="F57" s="1005"/>
      <c r="G57" s="1005"/>
      <c r="H57" s="1005"/>
      <c r="I57" s="1005"/>
      <c r="J57" s="1005"/>
      <c r="K57" s="1006"/>
      <c r="L57" s="1005"/>
      <c r="M57" s="1007"/>
      <c r="N57" s="999"/>
      <c r="O57" s="999"/>
      <c r="P57" s="999"/>
      <c r="Q57" s="999"/>
      <c r="R57" s="999"/>
      <c r="S57" s="999"/>
      <c r="T57" s="999"/>
      <c r="U57" s="999"/>
      <c r="V57" s="999"/>
      <c r="W57" s="999"/>
      <c r="X57" s="999"/>
      <c r="Y57" s="999"/>
      <c r="Z57" s="999"/>
      <c r="AA57" s="999"/>
      <c r="AB57" s="999"/>
    </row>
    <row r="58">
      <c r="A58" s="348"/>
      <c r="B58" s="8"/>
      <c r="C58" s="1004" t="str">
        <f>'5-1 Сбор КП Закупки'!C58</f>
        <v/>
      </c>
      <c r="D58" s="1005"/>
      <c r="E58" s="1005"/>
      <c r="F58" s="1005"/>
      <c r="G58" s="1005"/>
      <c r="H58" s="1005"/>
      <c r="I58" s="1005"/>
      <c r="J58" s="1005"/>
      <c r="K58" s="1006"/>
      <c r="L58" s="1005"/>
      <c r="M58" s="1007"/>
      <c r="N58" s="999"/>
      <c r="O58" s="999"/>
      <c r="P58" s="999"/>
      <c r="Q58" s="999"/>
      <c r="R58" s="999"/>
      <c r="S58" s="999"/>
      <c r="T58" s="999"/>
      <c r="U58" s="999"/>
      <c r="V58" s="999"/>
      <c r="W58" s="999"/>
      <c r="X58" s="999"/>
      <c r="Y58" s="999"/>
      <c r="Z58" s="999"/>
      <c r="AA58" s="999"/>
      <c r="AB58" s="999"/>
    </row>
    <row r="59">
      <c r="A59" s="348"/>
      <c r="B59" s="8"/>
      <c r="C59" s="1004" t="str">
        <f>'5-1 Сбор КП Закупки'!C59</f>
        <v/>
      </c>
      <c r="D59" s="1005"/>
      <c r="E59" s="1005"/>
      <c r="F59" s="1005"/>
      <c r="G59" s="1005"/>
      <c r="H59" s="1005"/>
      <c r="I59" s="1005"/>
      <c r="J59" s="1005"/>
      <c r="K59" s="1006"/>
      <c r="L59" s="1005"/>
      <c r="M59" s="1007"/>
      <c r="N59" s="999"/>
      <c r="O59" s="999"/>
      <c r="P59" s="999"/>
      <c r="Q59" s="999"/>
      <c r="R59" s="999"/>
      <c r="S59" s="999"/>
      <c r="T59" s="999"/>
      <c r="U59" s="999"/>
      <c r="V59" s="999"/>
      <c r="W59" s="999"/>
      <c r="X59" s="999"/>
      <c r="Y59" s="999"/>
      <c r="Z59" s="999"/>
      <c r="AA59" s="999"/>
      <c r="AB59" s="999"/>
    </row>
    <row r="60">
      <c r="A60" s="348"/>
      <c r="B60" s="8"/>
      <c r="C60" s="1004" t="str">
        <f>'5-1 Сбор КП Закупки'!C60</f>
        <v/>
      </c>
      <c r="D60" s="1005"/>
      <c r="E60" s="1005"/>
      <c r="F60" s="1005"/>
      <c r="G60" s="1005"/>
      <c r="H60" s="1005"/>
      <c r="I60" s="1005"/>
      <c r="J60" s="1005"/>
      <c r="K60" s="1006"/>
      <c r="L60" s="1005"/>
      <c r="M60" s="1007"/>
      <c r="N60" s="999"/>
      <c r="O60" s="999"/>
      <c r="P60" s="999"/>
      <c r="Q60" s="999"/>
      <c r="R60" s="999"/>
      <c r="S60" s="999"/>
      <c r="T60" s="999"/>
      <c r="U60" s="999"/>
      <c r="V60" s="999"/>
      <c r="W60" s="999"/>
      <c r="X60" s="999"/>
      <c r="Y60" s="999"/>
      <c r="Z60" s="999"/>
      <c r="AA60" s="999"/>
      <c r="AB60" s="999"/>
    </row>
    <row r="61">
      <c r="A61" s="348"/>
      <c r="B61" s="8"/>
      <c r="C61" s="1004" t="str">
        <f>'5-1 Сбор КП Закупки'!C61</f>
        <v/>
      </c>
      <c r="D61" s="1005"/>
      <c r="E61" s="1005"/>
      <c r="F61" s="1005"/>
      <c r="G61" s="1005"/>
      <c r="H61" s="1005"/>
      <c r="I61" s="1005"/>
      <c r="J61" s="1005"/>
      <c r="K61" s="1006"/>
      <c r="L61" s="1005"/>
      <c r="M61" s="1007"/>
      <c r="N61" s="999"/>
      <c r="O61" s="999"/>
      <c r="P61" s="999"/>
      <c r="Q61" s="999"/>
      <c r="R61" s="999"/>
      <c r="S61" s="999"/>
      <c r="T61" s="999"/>
      <c r="U61" s="999"/>
      <c r="V61" s="999"/>
      <c r="W61" s="999"/>
      <c r="X61" s="999"/>
      <c r="Y61" s="999"/>
      <c r="Z61" s="999"/>
      <c r="AA61" s="999"/>
      <c r="AB61" s="999"/>
    </row>
    <row r="62">
      <c r="A62" s="348"/>
      <c r="B62" s="8"/>
      <c r="C62" s="1004" t="str">
        <f>'5-1 Сбор КП Закупки'!C62</f>
        <v/>
      </c>
      <c r="D62" s="1005"/>
      <c r="E62" s="1005"/>
      <c r="F62" s="1005"/>
      <c r="G62" s="1005"/>
      <c r="H62" s="1005"/>
      <c r="I62" s="1005"/>
      <c r="J62" s="1005"/>
      <c r="K62" s="1006"/>
      <c r="L62" s="1005"/>
      <c r="M62" s="1007"/>
      <c r="N62" s="999"/>
      <c r="O62" s="999"/>
      <c r="P62" s="999"/>
      <c r="Q62" s="999"/>
      <c r="R62" s="999"/>
      <c r="S62" s="999"/>
      <c r="T62" s="999"/>
      <c r="U62" s="999"/>
      <c r="V62" s="999"/>
      <c r="W62" s="999"/>
      <c r="X62" s="999"/>
      <c r="Y62" s="999"/>
      <c r="Z62" s="999"/>
      <c r="AA62" s="999"/>
      <c r="AB62" s="999"/>
    </row>
    <row r="63">
      <c r="A63" s="348"/>
      <c r="B63" s="8"/>
      <c r="C63" s="1004" t="str">
        <f>'5-1 Сбор КП Закупки'!C63</f>
        <v/>
      </c>
      <c r="D63" s="1005"/>
      <c r="E63" s="1005"/>
      <c r="F63" s="1005"/>
      <c r="G63" s="1005"/>
      <c r="H63" s="1005"/>
      <c r="I63" s="1005"/>
      <c r="J63" s="1005"/>
      <c r="K63" s="1006"/>
      <c r="L63" s="1005"/>
      <c r="M63" s="1007"/>
      <c r="N63" s="999"/>
      <c r="O63" s="999"/>
      <c r="P63" s="999"/>
      <c r="Q63" s="999"/>
      <c r="R63" s="999"/>
      <c r="S63" s="999"/>
      <c r="T63" s="999"/>
      <c r="U63" s="999"/>
      <c r="V63" s="999"/>
      <c r="W63" s="999"/>
      <c r="X63" s="999"/>
      <c r="Y63" s="999"/>
      <c r="Z63" s="999"/>
      <c r="AA63" s="999"/>
      <c r="AB63" s="999"/>
    </row>
    <row r="64">
      <c r="A64" s="348"/>
      <c r="B64" s="8"/>
      <c r="C64" s="1004" t="str">
        <f>'5-1 Сбор КП Закупки'!C64</f>
        <v/>
      </c>
      <c r="D64" s="1005"/>
      <c r="E64" s="1005"/>
      <c r="F64" s="1005"/>
      <c r="G64" s="1005"/>
      <c r="H64" s="1005"/>
      <c r="I64" s="1005"/>
      <c r="J64" s="1005"/>
      <c r="K64" s="1006"/>
      <c r="L64" s="1005"/>
      <c r="M64" s="1007"/>
      <c r="N64" s="999"/>
      <c r="O64" s="999"/>
      <c r="P64" s="999"/>
      <c r="Q64" s="999"/>
      <c r="R64" s="999"/>
      <c r="S64" s="999"/>
      <c r="T64" s="999"/>
      <c r="U64" s="999"/>
      <c r="V64" s="999"/>
      <c r="W64" s="999"/>
      <c r="X64" s="999"/>
      <c r="Y64" s="999"/>
      <c r="Z64" s="999"/>
      <c r="AA64" s="999"/>
      <c r="AB64" s="999"/>
    </row>
    <row r="65">
      <c r="A65" s="348"/>
      <c r="B65" s="8"/>
      <c r="C65" s="1004" t="str">
        <f>'5-1 Сбор КП Закупки'!C65</f>
        <v/>
      </c>
      <c r="D65" s="1005"/>
      <c r="E65" s="1005"/>
      <c r="F65" s="1005"/>
      <c r="G65" s="1005"/>
      <c r="H65" s="1005"/>
      <c r="I65" s="1005"/>
      <c r="J65" s="1005"/>
      <c r="K65" s="1006"/>
      <c r="L65" s="1005"/>
      <c r="M65" s="1007"/>
      <c r="N65" s="999"/>
      <c r="O65" s="999"/>
      <c r="P65" s="999"/>
      <c r="Q65" s="999"/>
      <c r="R65" s="999"/>
      <c r="S65" s="999"/>
      <c r="T65" s="999"/>
      <c r="U65" s="999"/>
      <c r="V65" s="999"/>
      <c r="W65" s="999"/>
      <c r="X65" s="999"/>
      <c r="Y65" s="999"/>
      <c r="Z65" s="999"/>
      <c r="AA65" s="999"/>
      <c r="AB65" s="999"/>
    </row>
    <row r="66">
      <c r="A66" s="348"/>
      <c r="B66" s="8"/>
      <c r="C66" s="1004" t="str">
        <f>'5-1 Сбор КП Закупки'!C66</f>
        <v/>
      </c>
      <c r="D66" s="1005"/>
      <c r="E66" s="1005"/>
      <c r="F66" s="1005"/>
      <c r="G66" s="1005"/>
      <c r="H66" s="1005"/>
      <c r="I66" s="1005"/>
      <c r="J66" s="1005"/>
      <c r="K66" s="1006"/>
      <c r="L66" s="1005"/>
      <c r="M66" s="1007"/>
      <c r="N66" s="999"/>
      <c r="O66" s="999"/>
      <c r="P66" s="999"/>
      <c r="Q66" s="999"/>
      <c r="R66" s="999"/>
      <c r="S66" s="999"/>
      <c r="T66" s="999"/>
      <c r="U66" s="999"/>
      <c r="V66" s="999"/>
      <c r="W66" s="999"/>
      <c r="X66" s="999"/>
      <c r="Y66" s="999"/>
      <c r="Z66" s="999"/>
      <c r="AA66" s="999"/>
      <c r="AB66" s="999"/>
    </row>
    <row r="67">
      <c r="A67" s="348"/>
      <c r="B67" s="8"/>
      <c r="C67" s="1004" t="str">
        <f>'5-1 Сбор КП Закупки'!C67</f>
        <v/>
      </c>
      <c r="D67" s="1005"/>
      <c r="E67" s="1005"/>
      <c r="F67" s="1005"/>
      <c r="G67" s="1005"/>
      <c r="H67" s="1005"/>
      <c r="I67" s="1005"/>
      <c r="J67" s="1005"/>
      <c r="K67" s="1006"/>
      <c r="L67" s="1005"/>
      <c r="M67" s="1007"/>
      <c r="N67" s="999"/>
      <c r="O67" s="999"/>
      <c r="P67" s="999"/>
      <c r="Q67" s="999"/>
      <c r="R67" s="999"/>
      <c r="S67" s="999"/>
      <c r="T67" s="999"/>
      <c r="U67" s="999"/>
      <c r="V67" s="999"/>
      <c r="W67" s="999"/>
      <c r="X67" s="999"/>
      <c r="Y67" s="999"/>
      <c r="Z67" s="999"/>
      <c r="AA67" s="999"/>
      <c r="AB67" s="999"/>
    </row>
    <row r="68">
      <c r="A68" s="348"/>
      <c r="B68" s="8"/>
      <c r="C68" s="1004" t="str">
        <f>'5-1 Сбор КП Закупки'!C68</f>
        <v/>
      </c>
      <c r="D68" s="1005"/>
      <c r="E68" s="1005"/>
      <c r="F68" s="1005"/>
      <c r="G68" s="1005"/>
      <c r="H68" s="1005"/>
      <c r="I68" s="1005"/>
      <c r="J68" s="1005"/>
      <c r="K68" s="1006"/>
      <c r="L68" s="1005"/>
      <c r="M68" s="1007"/>
      <c r="N68" s="999"/>
      <c r="O68" s="999"/>
      <c r="P68" s="999"/>
      <c r="Q68" s="999"/>
      <c r="R68" s="999"/>
      <c r="S68" s="999"/>
      <c r="T68" s="999"/>
      <c r="U68" s="999"/>
      <c r="V68" s="999"/>
      <c r="W68" s="999"/>
      <c r="X68" s="999"/>
      <c r="Y68" s="999"/>
      <c r="Z68" s="999"/>
      <c r="AA68" s="999"/>
      <c r="AB68" s="999"/>
    </row>
    <row r="69">
      <c r="A69" s="348"/>
      <c r="B69" s="8"/>
      <c r="C69" s="1004" t="str">
        <f>'5-1 Сбор КП Закупки'!C69</f>
        <v/>
      </c>
      <c r="D69" s="1005"/>
      <c r="E69" s="1005"/>
      <c r="F69" s="1005"/>
      <c r="G69" s="1005"/>
      <c r="H69" s="1005"/>
      <c r="I69" s="1005"/>
      <c r="J69" s="1005"/>
      <c r="K69" s="1006"/>
      <c r="L69" s="1005"/>
      <c r="M69" s="1007"/>
      <c r="N69" s="999"/>
      <c r="O69" s="999"/>
      <c r="P69" s="999"/>
      <c r="Q69" s="999"/>
      <c r="R69" s="999"/>
      <c r="S69" s="999"/>
      <c r="T69" s="999"/>
      <c r="U69" s="999"/>
      <c r="V69" s="999"/>
      <c r="W69" s="999"/>
      <c r="X69" s="999"/>
      <c r="Y69" s="999"/>
      <c r="Z69" s="999"/>
      <c r="AA69" s="999"/>
      <c r="AB69" s="999"/>
    </row>
    <row r="70">
      <c r="A70" s="348"/>
      <c r="B70" s="8"/>
      <c r="C70" s="1004" t="str">
        <f>'5-1 Сбор КП Закупки'!C70</f>
        <v/>
      </c>
      <c r="D70" s="1005"/>
      <c r="E70" s="1005"/>
      <c r="F70" s="1005"/>
      <c r="G70" s="1005"/>
      <c r="H70" s="1005"/>
      <c r="I70" s="1005"/>
      <c r="J70" s="1005"/>
      <c r="K70" s="1006"/>
      <c r="L70" s="1005"/>
      <c r="M70" s="1007"/>
      <c r="N70" s="999"/>
      <c r="O70" s="999"/>
      <c r="P70" s="999"/>
      <c r="Q70" s="999"/>
      <c r="R70" s="999"/>
      <c r="S70" s="999"/>
      <c r="T70" s="999"/>
      <c r="U70" s="999"/>
      <c r="V70" s="999"/>
      <c r="W70" s="999"/>
      <c r="X70" s="999"/>
      <c r="Y70" s="999"/>
      <c r="Z70" s="999"/>
      <c r="AA70" s="999"/>
      <c r="AB70" s="999"/>
    </row>
    <row r="71">
      <c r="A71" s="348"/>
      <c r="B71" s="8"/>
      <c r="C71" s="1004" t="str">
        <f>'5-1 Сбор КП Закупки'!C71</f>
        <v/>
      </c>
      <c r="D71" s="1005"/>
      <c r="E71" s="1005"/>
      <c r="F71" s="1005"/>
      <c r="G71" s="1005"/>
      <c r="H71" s="1005"/>
      <c r="I71" s="1005"/>
      <c r="J71" s="1005"/>
      <c r="K71" s="1006"/>
      <c r="L71" s="1005"/>
      <c r="M71" s="1007"/>
      <c r="N71" s="999"/>
      <c r="O71" s="999"/>
      <c r="P71" s="999"/>
      <c r="Q71" s="999"/>
      <c r="R71" s="999"/>
      <c r="S71" s="999"/>
      <c r="T71" s="999"/>
      <c r="U71" s="999"/>
      <c r="V71" s="999"/>
      <c r="W71" s="999"/>
      <c r="X71" s="999"/>
      <c r="Y71" s="999"/>
      <c r="Z71" s="999"/>
      <c r="AA71" s="999"/>
      <c r="AB71" s="999"/>
    </row>
    <row r="72">
      <c r="A72" s="348"/>
      <c r="B72" s="8"/>
      <c r="C72" s="1004" t="str">
        <f>'5-1 Сбор КП Закупки'!C72</f>
        <v/>
      </c>
      <c r="D72" s="1005"/>
      <c r="E72" s="1005"/>
      <c r="F72" s="1005"/>
      <c r="G72" s="1005"/>
      <c r="H72" s="1005"/>
      <c r="I72" s="1005"/>
      <c r="J72" s="1005"/>
      <c r="K72" s="1006"/>
      <c r="L72" s="1005"/>
      <c r="M72" s="1007"/>
      <c r="N72" s="999"/>
      <c r="O72" s="999"/>
      <c r="P72" s="999"/>
      <c r="Q72" s="999"/>
      <c r="R72" s="999"/>
      <c r="S72" s="999"/>
      <c r="T72" s="999"/>
      <c r="U72" s="999"/>
      <c r="V72" s="999"/>
      <c r="W72" s="999"/>
      <c r="X72" s="999"/>
      <c r="Y72" s="999"/>
      <c r="Z72" s="999"/>
      <c r="AA72" s="999"/>
      <c r="AB72" s="999"/>
    </row>
    <row r="73">
      <c r="A73" s="348"/>
      <c r="B73" s="8"/>
      <c r="C73" s="1004" t="str">
        <f>'5-1 Сбор КП Закупки'!C73</f>
        <v/>
      </c>
      <c r="D73" s="1005"/>
      <c r="E73" s="1005"/>
      <c r="F73" s="1005"/>
      <c r="G73" s="1005"/>
      <c r="H73" s="1005"/>
      <c r="I73" s="1005"/>
      <c r="J73" s="1005"/>
      <c r="K73" s="1006"/>
      <c r="L73" s="1005"/>
      <c r="M73" s="1007"/>
      <c r="N73" s="999"/>
      <c r="O73" s="999"/>
      <c r="P73" s="999"/>
      <c r="Q73" s="999"/>
      <c r="R73" s="999"/>
      <c r="S73" s="999"/>
      <c r="T73" s="999"/>
      <c r="U73" s="999"/>
      <c r="V73" s="999"/>
      <c r="W73" s="999"/>
      <c r="X73" s="999"/>
      <c r="Y73" s="999"/>
      <c r="Z73" s="999"/>
      <c r="AA73" s="999"/>
      <c r="AB73" s="999"/>
    </row>
    <row r="74">
      <c r="A74" s="348"/>
      <c r="B74" s="8"/>
      <c r="C74" s="1004" t="str">
        <f>'5-1 Сбор КП Закупки'!C74</f>
        <v/>
      </c>
      <c r="D74" s="1005"/>
      <c r="E74" s="1005"/>
      <c r="F74" s="1005"/>
      <c r="G74" s="1005"/>
      <c r="H74" s="1005"/>
      <c r="I74" s="1005"/>
      <c r="J74" s="1005"/>
      <c r="K74" s="1006"/>
      <c r="L74" s="1005"/>
      <c r="M74" s="1007"/>
      <c r="N74" s="999"/>
      <c r="O74" s="999"/>
      <c r="P74" s="999"/>
      <c r="Q74" s="999"/>
      <c r="R74" s="999"/>
      <c r="S74" s="999"/>
      <c r="T74" s="999"/>
      <c r="U74" s="999"/>
      <c r="V74" s="999"/>
      <c r="W74" s="999"/>
      <c r="X74" s="999"/>
      <c r="Y74" s="999"/>
      <c r="Z74" s="999"/>
      <c r="AA74" s="999"/>
      <c r="AB74" s="999"/>
    </row>
    <row r="75">
      <c r="A75" s="348"/>
      <c r="B75" s="8"/>
      <c r="C75" s="1004" t="str">
        <f>'5-1 Сбор КП Закупки'!C75</f>
        <v/>
      </c>
      <c r="D75" s="1005"/>
      <c r="E75" s="1005"/>
      <c r="F75" s="1005"/>
      <c r="G75" s="1005"/>
      <c r="H75" s="1005"/>
      <c r="I75" s="1005"/>
      <c r="J75" s="1005"/>
      <c r="K75" s="1006"/>
      <c r="L75" s="1005"/>
      <c r="M75" s="1007"/>
      <c r="N75" s="999"/>
      <c r="O75" s="999"/>
      <c r="P75" s="999"/>
      <c r="Q75" s="999"/>
      <c r="R75" s="999"/>
      <c r="S75" s="999"/>
      <c r="T75" s="999"/>
      <c r="U75" s="999"/>
      <c r="V75" s="999"/>
      <c r="W75" s="999"/>
      <c r="X75" s="999"/>
      <c r="Y75" s="999"/>
      <c r="Z75" s="999"/>
      <c r="AA75" s="999"/>
      <c r="AB75" s="999"/>
    </row>
    <row r="76">
      <c r="A76" s="348"/>
      <c r="B76" s="8"/>
      <c r="C76" s="1004" t="str">
        <f>'5-1 Сбор КП Закупки'!C76</f>
        <v/>
      </c>
      <c r="D76" s="1005"/>
      <c r="E76" s="1005"/>
      <c r="F76" s="1005"/>
      <c r="G76" s="1005"/>
      <c r="H76" s="1005"/>
      <c r="I76" s="1005"/>
      <c r="J76" s="1005"/>
      <c r="K76" s="1006"/>
      <c r="L76" s="1005"/>
      <c r="M76" s="1007"/>
      <c r="N76" s="999"/>
      <c r="O76" s="999"/>
      <c r="P76" s="999"/>
      <c r="Q76" s="999"/>
      <c r="R76" s="999"/>
      <c r="S76" s="999"/>
      <c r="T76" s="999"/>
      <c r="U76" s="999"/>
      <c r="V76" s="999"/>
      <c r="W76" s="999"/>
      <c r="X76" s="999"/>
      <c r="Y76" s="999"/>
      <c r="Z76" s="999"/>
      <c r="AA76" s="999"/>
      <c r="AB76" s="999"/>
    </row>
    <row r="77">
      <c r="A77" s="348"/>
      <c r="B77" s="8"/>
      <c r="C77" s="1004" t="str">
        <f>'5-1 Сбор КП Закупки'!C77</f>
        <v/>
      </c>
      <c r="D77" s="1005"/>
      <c r="E77" s="1005"/>
      <c r="F77" s="1005"/>
      <c r="G77" s="1005"/>
      <c r="H77" s="1005"/>
      <c r="I77" s="1005"/>
      <c r="J77" s="1005"/>
      <c r="K77" s="1006"/>
      <c r="L77" s="1005"/>
      <c r="M77" s="1007"/>
      <c r="N77" s="999"/>
      <c r="O77" s="999"/>
      <c r="P77" s="999"/>
      <c r="Q77" s="999"/>
      <c r="R77" s="999"/>
      <c r="S77" s="999"/>
      <c r="T77" s="999"/>
      <c r="U77" s="999"/>
      <c r="V77" s="999"/>
      <c r="W77" s="999"/>
      <c r="X77" s="999"/>
      <c r="Y77" s="999"/>
      <c r="Z77" s="999"/>
      <c r="AA77" s="999"/>
      <c r="AB77" s="999"/>
    </row>
    <row r="78">
      <c r="A78" s="348"/>
      <c r="B78" s="8"/>
      <c r="C78" s="1004" t="str">
        <f>'5-1 Сбор КП Закупки'!C78</f>
        <v/>
      </c>
      <c r="D78" s="1005"/>
      <c r="E78" s="1005"/>
      <c r="F78" s="1005"/>
      <c r="G78" s="1005"/>
      <c r="H78" s="1005"/>
      <c r="I78" s="1005"/>
      <c r="J78" s="1005"/>
      <c r="K78" s="1006"/>
      <c r="L78" s="1005"/>
      <c r="M78" s="1007"/>
      <c r="N78" s="999"/>
      <c r="O78" s="999"/>
      <c r="P78" s="999"/>
      <c r="Q78" s="999"/>
      <c r="R78" s="999"/>
      <c r="S78" s="999"/>
      <c r="T78" s="999"/>
      <c r="U78" s="999"/>
      <c r="V78" s="999"/>
      <c r="W78" s="999"/>
      <c r="X78" s="999"/>
      <c r="Y78" s="999"/>
      <c r="Z78" s="999"/>
      <c r="AA78" s="999"/>
      <c r="AB78" s="999"/>
    </row>
    <row r="79">
      <c r="A79" s="348"/>
      <c r="B79" s="8"/>
      <c r="C79" s="1004" t="str">
        <f>'5-1 Сбор КП Закупки'!C79</f>
        <v/>
      </c>
      <c r="D79" s="1005"/>
      <c r="E79" s="1005"/>
      <c r="F79" s="1005"/>
      <c r="G79" s="1005"/>
      <c r="H79" s="1005"/>
      <c r="I79" s="1005"/>
      <c r="J79" s="1005"/>
      <c r="K79" s="1006"/>
      <c r="L79" s="1005"/>
      <c r="M79" s="1007"/>
      <c r="N79" s="999"/>
      <c r="O79" s="999"/>
      <c r="P79" s="999"/>
      <c r="Q79" s="999"/>
      <c r="R79" s="999"/>
      <c r="S79" s="999"/>
      <c r="T79" s="999"/>
      <c r="U79" s="999"/>
      <c r="V79" s="999"/>
      <c r="W79" s="999"/>
      <c r="X79" s="999"/>
      <c r="Y79" s="999"/>
      <c r="Z79" s="999"/>
      <c r="AA79" s="999"/>
      <c r="AB79" s="999"/>
    </row>
    <row r="80">
      <c r="A80" s="348"/>
      <c r="B80" s="8"/>
      <c r="C80" s="1004" t="str">
        <f>'5-1 Сбор КП Закупки'!C80</f>
        <v/>
      </c>
      <c r="D80" s="1005"/>
      <c r="E80" s="1005"/>
      <c r="F80" s="1005"/>
      <c r="G80" s="1005"/>
      <c r="H80" s="1005"/>
      <c r="I80" s="1005"/>
      <c r="J80" s="1005"/>
      <c r="K80" s="1006"/>
      <c r="L80" s="1005"/>
      <c r="M80" s="1007"/>
      <c r="N80" s="999"/>
      <c r="O80" s="999"/>
      <c r="P80" s="999"/>
      <c r="Q80" s="999"/>
      <c r="R80" s="999"/>
      <c r="S80" s="999"/>
      <c r="T80" s="999"/>
      <c r="U80" s="999"/>
      <c r="V80" s="999"/>
      <c r="W80" s="999"/>
      <c r="X80" s="999"/>
      <c r="Y80" s="999"/>
      <c r="Z80" s="999"/>
      <c r="AA80" s="999"/>
      <c r="AB80" s="999"/>
    </row>
    <row r="81">
      <c r="A81" s="348"/>
      <c r="B81" s="8"/>
      <c r="C81" s="1004" t="str">
        <f>'5-1 Сбор КП Закупки'!C81</f>
        <v/>
      </c>
      <c r="D81" s="1005"/>
      <c r="E81" s="1005"/>
      <c r="F81" s="1005"/>
      <c r="G81" s="1005"/>
      <c r="H81" s="1005"/>
      <c r="I81" s="1005"/>
      <c r="J81" s="1005"/>
      <c r="K81" s="1006"/>
      <c r="L81" s="1005"/>
      <c r="M81" s="1007"/>
      <c r="N81" s="999"/>
      <c r="O81" s="999"/>
      <c r="P81" s="999"/>
      <c r="Q81" s="999"/>
      <c r="R81" s="999"/>
      <c r="S81" s="999"/>
      <c r="T81" s="999"/>
      <c r="U81" s="999"/>
      <c r="V81" s="999"/>
      <c r="W81" s="999"/>
      <c r="X81" s="999"/>
      <c r="Y81" s="999"/>
      <c r="Z81" s="999"/>
      <c r="AA81" s="999"/>
      <c r="AB81" s="999"/>
    </row>
    <row r="82">
      <c r="A82" s="348"/>
      <c r="B82" s="8"/>
      <c r="C82" s="1004" t="str">
        <f>'5-1 Сбор КП Закупки'!C82</f>
        <v/>
      </c>
      <c r="D82" s="1005"/>
      <c r="E82" s="1005"/>
      <c r="F82" s="1005"/>
      <c r="G82" s="1005"/>
      <c r="H82" s="1005"/>
      <c r="I82" s="1005"/>
      <c r="J82" s="1005"/>
      <c r="K82" s="1006"/>
      <c r="L82" s="1005"/>
      <c r="M82" s="1007"/>
      <c r="N82" s="999"/>
      <c r="O82" s="999"/>
      <c r="P82" s="999"/>
      <c r="Q82" s="999"/>
      <c r="R82" s="999"/>
      <c r="S82" s="999"/>
      <c r="T82" s="999"/>
      <c r="U82" s="999"/>
      <c r="V82" s="999"/>
      <c r="W82" s="999"/>
      <c r="X82" s="999"/>
      <c r="Y82" s="999"/>
      <c r="Z82" s="999"/>
      <c r="AA82" s="999"/>
      <c r="AB82" s="999"/>
    </row>
    <row r="83">
      <c r="A83" s="348"/>
      <c r="B83" s="8"/>
      <c r="C83" s="1004" t="str">
        <f>'5-1 Сбор КП Закупки'!C83</f>
        <v/>
      </c>
      <c r="D83" s="1005"/>
      <c r="E83" s="1005"/>
      <c r="F83" s="1005"/>
      <c r="G83" s="1005"/>
      <c r="H83" s="1005"/>
      <c r="I83" s="1005"/>
      <c r="J83" s="1005"/>
      <c r="K83" s="1006"/>
      <c r="L83" s="1005"/>
      <c r="M83" s="1007"/>
      <c r="N83" s="999"/>
      <c r="O83" s="999"/>
      <c r="P83" s="999"/>
      <c r="Q83" s="999"/>
      <c r="R83" s="999"/>
      <c r="S83" s="999"/>
      <c r="T83" s="999"/>
      <c r="U83" s="999"/>
      <c r="V83" s="999"/>
      <c r="W83" s="999"/>
      <c r="X83" s="999"/>
      <c r="Y83" s="999"/>
      <c r="Z83" s="999"/>
      <c r="AA83" s="999"/>
      <c r="AB83" s="999"/>
    </row>
    <row r="84">
      <c r="A84" s="348"/>
      <c r="B84" s="8"/>
      <c r="C84" s="1004" t="str">
        <f>'5-1 Сбор КП Закупки'!C84</f>
        <v/>
      </c>
      <c r="D84" s="1005"/>
      <c r="E84" s="1005"/>
      <c r="F84" s="1005"/>
      <c r="G84" s="1005"/>
      <c r="H84" s="1005"/>
      <c r="I84" s="1005"/>
      <c r="J84" s="1005"/>
      <c r="K84" s="1006"/>
      <c r="L84" s="1005"/>
      <c r="M84" s="1007"/>
      <c r="N84" s="999"/>
      <c r="O84" s="999"/>
      <c r="P84" s="999"/>
      <c r="Q84" s="999"/>
      <c r="R84" s="999"/>
      <c r="S84" s="999"/>
      <c r="T84" s="999"/>
      <c r="U84" s="999"/>
      <c r="V84" s="999"/>
      <c r="W84" s="999"/>
      <c r="X84" s="999"/>
      <c r="Y84" s="999"/>
      <c r="Z84" s="999"/>
      <c r="AA84" s="999"/>
      <c r="AB84" s="999"/>
    </row>
    <row r="85">
      <c r="A85" s="348"/>
      <c r="B85" s="8"/>
      <c r="C85" s="1004" t="str">
        <f>'5-1 Сбор КП Закупки'!C85</f>
        <v/>
      </c>
      <c r="D85" s="1005"/>
      <c r="E85" s="1005"/>
      <c r="F85" s="1005"/>
      <c r="G85" s="1005"/>
      <c r="H85" s="1005"/>
      <c r="I85" s="1005"/>
      <c r="J85" s="1005"/>
      <c r="K85" s="1006"/>
      <c r="L85" s="1005"/>
      <c r="M85" s="1007"/>
      <c r="N85" s="999"/>
      <c r="O85" s="999"/>
      <c r="P85" s="999"/>
      <c r="Q85" s="999"/>
      <c r="R85" s="999"/>
      <c r="S85" s="999"/>
      <c r="T85" s="999"/>
      <c r="U85" s="999"/>
      <c r="V85" s="999"/>
      <c r="W85" s="999"/>
      <c r="X85" s="999"/>
      <c r="Y85" s="999"/>
      <c r="Z85" s="999"/>
      <c r="AA85" s="999"/>
      <c r="AB85" s="999"/>
    </row>
    <row r="86">
      <c r="A86" s="348"/>
      <c r="B86" s="8"/>
      <c r="C86" s="1004" t="str">
        <f>'5-1 Сбор КП Закупки'!C86</f>
        <v/>
      </c>
      <c r="D86" s="1005"/>
      <c r="E86" s="1005"/>
      <c r="F86" s="1005"/>
      <c r="G86" s="1005"/>
      <c r="H86" s="1005"/>
      <c r="I86" s="1005"/>
      <c r="J86" s="1005"/>
      <c r="K86" s="1006"/>
      <c r="L86" s="1005"/>
      <c r="M86" s="1007"/>
      <c r="N86" s="999"/>
      <c r="O86" s="999"/>
      <c r="P86" s="999"/>
      <c r="Q86" s="999"/>
      <c r="R86" s="999"/>
      <c r="S86" s="999"/>
      <c r="T86" s="999"/>
      <c r="U86" s="999"/>
      <c r="V86" s="999"/>
      <c r="W86" s="999"/>
      <c r="X86" s="999"/>
      <c r="Y86" s="999"/>
      <c r="Z86" s="999"/>
      <c r="AA86" s="999"/>
      <c r="AB86" s="999"/>
    </row>
    <row r="87">
      <c r="A87" s="348"/>
      <c r="B87" s="8"/>
      <c r="C87" s="1004" t="str">
        <f>'5-1 Сбор КП Закупки'!C87</f>
        <v/>
      </c>
      <c r="D87" s="1005"/>
      <c r="E87" s="1005"/>
      <c r="F87" s="1005"/>
      <c r="G87" s="1005"/>
      <c r="H87" s="1005"/>
      <c r="I87" s="1005"/>
      <c r="J87" s="1005"/>
      <c r="K87" s="1006"/>
      <c r="L87" s="1005"/>
      <c r="M87" s="1007"/>
      <c r="N87" s="999"/>
      <c r="O87" s="999"/>
      <c r="P87" s="999"/>
      <c r="Q87" s="999"/>
      <c r="R87" s="999"/>
      <c r="S87" s="999"/>
      <c r="T87" s="999"/>
      <c r="U87" s="999"/>
      <c r="V87" s="999"/>
      <c r="W87" s="999"/>
      <c r="X87" s="999"/>
      <c r="Y87" s="999"/>
      <c r="Z87" s="999"/>
      <c r="AA87" s="999"/>
      <c r="AB87" s="999"/>
    </row>
    <row r="88">
      <c r="A88" s="348"/>
      <c r="B88" s="8"/>
      <c r="C88" s="1004" t="str">
        <f>'5-1 Сбор КП Закупки'!C88</f>
        <v/>
      </c>
      <c r="D88" s="1005"/>
      <c r="E88" s="1005"/>
      <c r="F88" s="1005"/>
      <c r="G88" s="1005"/>
      <c r="H88" s="1005"/>
      <c r="I88" s="1005"/>
      <c r="J88" s="1005"/>
      <c r="K88" s="1006"/>
      <c r="L88" s="1005"/>
      <c r="M88" s="1007"/>
      <c r="N88" s="999"/>
      <c r="O88" s="999"/>
      <c r="P88" s="999"/>
      <c r="Q88" s="999"/>
      <c r="R88" s="999"/>
      <c r="S88" s="999"/>
      <c r="T88" s="999"/>
      <c r="U88" s="999"/>
      <c r="V88" s="999"/>
      <c r="W88" s="999"/>
      <c r="X88" s="999"/>
      <c r="Y88" s="999"/>
      <c r="Z88" s="999"/>
      <c r="AA88" s="999"/>
      <c r="AB88" s="999"/>
    </row>
    <row r="89">
      <c r="A89" s="348"/>
      <c r="B89" s="8"/>
      <c r="C89" s="1004" t="str">
        <f>'5-1 Сбор КП Закупки'!C89</f>
        <v/>
      </c>
      <c r="D89" s="1005"/>
      <c r="E89" s="1005"/>
      <c r="F89" s="1005"/>
      <c r="G89" s="1005"/>
      <c r="H89" s="1005"/>
      <c r="I89" s="1005"/>
      <c r="J89" s="1005"/>
      <c r="K89" s="1006"/>
      <c r="L89" s="1005"/>
      <c r="M89" s="1007"/>
      <c r="N89" s="999"/>
      <c r="O89" s="999"/>
      <c r="P89" s="999"/>
      <c r="Q89" s="999"/>
      <c r="R89" s="999"/>
      <c r="S89" s="999"/>
      <c r="T89" s="999"/>
      <c r="U89" s="999"/>
      <c r="V89" s="999"/>
      <c r="W89" s="999"/>
      <c r="X89" s="999"/>
      <c r="Y89" s="999"/>
      <c r="Z89" s="999"/>
      <c r="AA89" s="999"/>
      <c r="AB89" s="999"/>
    </row>
    <row r="90">
      <c r="A90" s="348"/>
      <c r="B90" s="8"/>
      <c r="C90" s="1004" t="str">
        <f>'5-1 Сбор КП Закупки'!C90</f>
        <v/>
      </c>
      <c r="D90" s="1005"/>
      <c r="E90" s="1005"/>
      <c r="F90" s="1005"/>
      <c r="G90" s="1005"/>
      <c r="H90" s="1005"/>
      <c r="I90" s="1005"/>
      <c r="J90" s="1005"/>
      <c r="K90" s="1006"/>
      <c r="L90" s="1005"/>
      <c r="M90" s="1007"/>
      <c r="N90" s="999"/>
      <c r="O90" s="999"/>
      <c r="P90" s="999"/>
      <c r="Q90" s="999"/>
      <c r="R90" s="999"/>
      <c r="S90" s="999"/>
      <c r="T90" s="999"/>
      <c r="U90" s="999"/>
      <c r="V90" s="999"/>
      <c r="W90" s="999"/>
      <c r="X90" s="999"/>
      <c r="Y90" s="999"/>
      <c r="Z90" s="999"/>
      <c r="AA90" s="999"/>
      <c r="AB90" s="999"/>
    </row>
    <row r="91">
      <c r="A91" s="348"/>
      <c r="B91" s="8"/>
      <c r="C91" s="1004" t="str">
        <f>'5-1 Сбор КП Закупки'!C91</f>
        <v/>
      </c>
      <c r="D91" s="1005"/>
      <c r="E91" s="1005"/>
      <c r="F91" s="1005"/>
      <c r="G91" s="1005"/>
      <c r="H91" s="1005"/>
      <c r="I91" s="1005"/>
      <c r="J91" s="1005"/>
      <c r="K91" s="1006"/>
      <c r="L91" s="1005"/>
      <c r="M91" s="1007"/>
      <c r="N91" s="999"/>
      <c r="O91" s="999"/>
      <c r="P91" s="999"/>
      <c r="Q91" s="999"/>
      <c r="R91" s="999"/>
      <c r="S91" s="999"/>
      <c r="T91" s="999"/>
      <c r="U91" s="999"/>
      <c r="V91" s="999"/>
      <c r="W91" s="999"/>
      <c r="X91" s="999"/>
      <c r="Y91" s="999"/>
      <c r="Z91" s="999"/>
      <c r="AA91" s="999"/>
      <c r="AB91" s="999"/>
    </row>
    <row r="92">
      <c r="A92" s="348"/>
      <c r="B92" s="8"/>
      <c r="C92" s="1004" t="str">
        <f>'5-1 Сбор КП Закупки'!C92</f>
        <v/>
      </c>
      <c r="D92" s="1005"/>
      <c r="E92" s="1005"/>
      <c r="F92" s="1005"/>
      <c r="G92" s="1005"/>
      <c r="H92" s="1005"/>
      <c r="I92" s="1005"/>
      <c r="J92" s="1005"/>
      <c r="K92" s="1006"/>
      <c r="L92" s="1005"/>
      <c r="M92" s="1007"/>
      <c r="N92" s="999"/>
      <c r="O92" s="999"/>
      <c r="P92" s="999"/>
      <c r="Q92" s="999"/>
      <c r="R92" s="999"/>
      <c r="S92" s="999"/>
      <c r="T92" s="999"/>
      <c r="U92" s="999"/>
      <c r="V92" s="999"/>
      <c r="W92" s="999"/>
      <c r="X92" s="999"/>
      <c r="Y92" s="999"/>
      <c r="Z92" s="999"/>
      <c r="AA92" s="999"/>
      <c r="AB92" s="999"/>
    </row>
    <row r="93">
      <c r="A93" s="348"/>
      <c r="B93" s="8"/>
      <c r="C93" s="1004" t="str">
        <f>'5-1 Сбор КП Закупки'!C93</f>
        <v/>
      </c>
      <c r="D93" s="1005"/>
      <c r="E93" s="1005"/>
      <c r="F93" s="1005"/>
      <c r="G93" s="1005"/>
      <c r="H93" s="1005"/>
      <c r="I93" s="1005"/>
      <c r="J93" s="1005"/>
      <c r="K93" s="1006"/>
      <c r="L93" s="1005"/>
      <c r="M93" s="1007"/>
      <c r="N93" s="999"/>
      <c r="O93" s="999"/>
      <c r="P93" s="999"/>
      <c r="Q93" s="999"/>
      <c r="R93" s="999"/>
      <c r="S93" s="999"/>
      <c r="T93" s="999"/>
      <c r="U93" s="999"/>
      <c r="V93" s="999"/>
      <c r="W93" s="999"/>
      <c r="X93" s="999"/>
      <c r="Y93" s="999"/>
      <c r="Z93" s="999"/>
      <c r="AA93" s="999"/>
      <c r="AB93" s="999"/>
    </row>
    <row r="94">
      <c r="A94" s="348"/>
      <c r="B94" s="8"/>
      <c r="C94" s="1004" t="str">
        <f>'5-1 Сбор КП Закупки'!C94</f>
        <v/>
      </c>
      <c r="D94" s="1005"/>
      <c r="E94" s="1005"/>
      <c r="F94" s="1005"/>
      <c r="G94" s="1005"/>
      <c r="H94" s="1005"/>
      <c r="I94" s="1005"/>
      <c r="J94" s="1005"/>
      <c r="K94" s="1006"/>
      <c r="L94" s="1005"/>
      <c r="M94" s="1007"/>
      <c r="N94" s="999"/>
      <c r="O94" s="999"/>
      <c r="P94" s="999"/>
      <c r="Q94" s="999"/>
      <c r="R94" s="999"/>
      <c r="S94" s="999"/>
      <c r="T94" s="999"/>
      <c r="U94" s="999"/>
      <c r="V94" s="999"/>
      <c r="W94" s="999"/>
      <c r="X94" s="999"/>
      <c r="Y94" s="999"/>
      <c r="Z94" s="999"/>
      <c r="AA94" s="999"/>
      <c r="AB94" s="999"/>
    </row>
    <row r="95">
      <c r="A95" s="348"/>
      <c r="B95" s="8"/>
      <c r="C95" s="1004" t="str">
        <f>'5-1 Сбор КП Закупки'!C95</f>
        <v/>
      </c>
      <c r="D95" s="1005"/>
      <c r="E95" s="1005"/>
      <c r="F95" s="1005"/>
      <c r="G95" s="1005"/>
      <c r="H95" s="1005"/>
      <c r="I95" s="1005"/>
      <c r="J95" s="1005"/>
      <c r="K95" s="1006"/>
      <c r="L95" s="1005"/>
      <c r="M95" s="1007"/>
      <c r="N95" s="999"/>
      <c r="O95" s="999"/>
      <c r="P95" s="999"/>
      <c r="Q95" s="999"/>
      <c r="R95" s="999"/>
      <c r="S95" s="999"/>
      <c r="T95" s="999"/>
      <c r="U95" s="999"/>
      <c r="V95" s="999"/>
      <c r="W95" s="999"/>
      <c r="X95" s="999"/>
      <c r="Y95" s="999"/>
      <c r="Z95" s="999"/>
      <c r="AA95" s="999"/>
      <c r="AB95" s="999"/>
    </row>
    <row r="96">
      <c r="A96" s="348"/>
      <c r="B96" s="8"/>
      <c r="C96" s="1004" t="str">
        <f>'5-1 Сбор КП Закупки'!C96</f>
        <v/>
      </c>
      <c r="D96" s="1005"/>
      <c r="E96" s="1005"/>
      <c r="F96" s="1005"/>
      <c r="G96" s="1005"/>
      <c r="H96" s="1005"/>
      <c r="I96" s="1005"/>
      <c r="J96" s="1005"/>
      <c r="K96" s="1006"/>
      <c r="L96" s="1005"/>
      <c r="M96" s="1007"/>
      <c r="N96" s="999"/>
      <c r="O96" s="999"/>
      <c r="P96" s="999"/>
      <c r="Q96" s="999"/>
      <c r="R96" s="999"/>
      <c r="S96" s="999"/>
      <c r="T96" s="999"/>
      <c r="U96" s="999"/>
      <c r="V96" s="999"/>
      <c r="W96" s="999"/>
      <c r="X96" s="999"/>
      <c r="Y96" s="999"/>
      <c r="Z96" s="999"/>
      <c r="AA96" s="999"/>
      <c r="AB96" s="999"/>
    </row>
    <row r="97">
      <c r="A97" s="348"/>
      <c r="B97" s="8"/>
      <c r="C97" s="1004" t="str">
        <f>'5-1 Сбор КП Закупки'!C97</f>
        <v/>
      </c>
      <c r="D97" s="1005"/>
      <c r="E97" s="1005"/>
      <c r="F97" s="1005"/>
      <c r="G97" s="1005"/>
      <c r="H97" s="1005"/>
      <c r="I97" s="1005"/>
      <c r="J97" s="1005"/>
      <c r="K97" s="1006"/>
      <c r="L97" s="1005"/>
      <c r="M97" s="1007"/>
      <c r="N97" s="999"/>
      <c r="O97" s="999"/>
      <c r="P97" s="999"/>
      <c r="Q97" s="999"/>
      <c r="R97" s="999"/>
      <c r="S97" s="999"/>
      <c r="T97" s="999"/>
      <c r="U97" s="999"/>
      <c r="V97" s="999"/>
      <c r="W97" s="999"/>
      <c r="X97" s="999"/>
      <c r="Y97" s="999"/>
      <c r="Z97" s="999"/>
      <c r="AA97" s="999"/>
      <c r="AB97" s="999"/>
    </row>
    <row r="98">
      <c r="A98" s="348"/>
      <c r="B98" s="8"/>
      <c r="C98" s="1004" t="str">
        <f>'5-1 Сбор КП Закупки'!C98</f>
        <v/>
      </c>
      <c r="D98" s="1005"/>
      <c r="E98" s="1005"/>
      <c r="F98" s="1005"/>
      <c r="G98" s="1005"/>
      <c r="H98" s="1005"/>
      <c r="I98" s="1005"/>
      <c r="J98" s="1005"/>
      <c r="K98" s="1006"/>
      <c r="L98" s="1005"/>
      <c r="M98" s="1007"/>
      <c r="N98" s="999"/>
      <c r="O98" s="999"/>
      <c r="P98" s="999"/>
      <c r="Q98" s="999"/>
      <c r="R98" s="999"/>
      <c r="S98" s="999"/>
      <c r="T98" s="999"/>
      <c r="U98" s="999"/>
      <c r="V98" s="999"/>
      <c r="W98" s="999"/>
      <c r="X98" s="999"/>
      <c r="Y98" s="999"/>
      <c r="Z98" s="999"/>
      <c r="AA98" s="999"/>
      <c r="AB98" s="999"/>
    </row>
    <row r="99">
      <c r="A99" s="348"/>
      <c r="B99" s="8"/>
      <c r="C99" s="1004" t="str">
        <f>'5-1 Сбор КП Закупки'!C99</f>
        <v/>
      </c>
      <c r="D99" s="1005"/>
      <c r="E99" s="1005"/>
      <c r="F99" s="1005"/>
      <c r="G99" s="1005"/>
      <c r="H99" s="1005"/>
      <c r="I99" s="1005"/>
      <c r="J99" s="1005"/>
      <c r="K99" s="1005"/>
      <c r="L99" s="1005"/>
      <c r="M99" s="394"/>
      <c r="N99" s="999"/>
      <c r="O99" s="999"/>
      <c r="P99" s="999"/>
      <c r="Q99" s="999"/>
      <c r="R99" s="999"/>
      <c r="S99" s="999"/>
      <c r="T99" s="999"/>
      <c r="U99" s="999"/>
      <c r="V99" s="999"/>
      <c r="W99" s="999"/>
      <c r="X99" s="999"/>
      <c r="Y99" s="999"/>
      <c r="Z99" s="999"/>
      <c r="AA99" s="999"/>
      <c r="AB99" s="999"/>
    </row>
    <row r="100">
      <c r="A100" s="348"/>
      <c r="B100" s="8"/>
      <c r="C100" s="1004" t="str">
        <f>'5-1 Сбор КП Закупки'!C100</f>
        <v/>
      </c>
      <c r="D100" s="1005"/>
      <c r="E100" s="1005"/>
      <c r="F100" s="1005"/>
      <c r="G100" s="1005"/>
      <c r="H100" s="1005"/>
      <c r="I100" s="1005"/>
      <c r="J100" s="1005"/>
      <c r="K100" s="1005"/>
      <c r="L100" s="1005"/>
      <c r="M100" s="394"/>
      <c r="N100" s="999"/>
      <c r="O100" s="999"/>
      <c r="P100" s="999"/>
      <c r="Q100" s="999"/>
      <c r="R100" s="999"/>
      <c r="S100" s="999"/>
      <c r="T100" s="999"/>
      <c r="U100" s="999"/>
      <c r="V100" s="999"/>
      <c r="W100" s="999"/>
      <c r="X100" s="999"/>
      <c r="Y100" s="999"/>
      <c r="Z100" s="999"/>
      <c r="AA100" s="999"/>
      <c r="AB100" s="999"/>
    </row>
    <row r="101">
      <c r="A101" s="348"/>
      <c r="B101" s="8"/>
      <c r="C101" s="1004" t="str">
        <f>'5-1 Сбор КП Закупки'!C101</f>
        <v/>
      </c>
      <c r="D101" s="1005"/>
      <c r="E101" s="1005"/>
      <c r="F101" s="1005"/>
      <c r="G101" s="1005"/>
      <c r="H101" s="1005"/>
      <c r="I101" s="1005"/>
      <c r="J101" s="1005"/>
      <c r="K101" s="1005"/>
      <c r="L101" s="1005"/>
      <c r="M101" s="394"/>
      <c r="N101" s="999"/>
      <c r="O101" s="999"/>
      <c r="P101" s="999"/>
      <c r="Q101" s="999"/>
      <c r="R101" s="999"/>
      <c r="S101" s="999"/>
      <c r="T101" s="999"/>
      <c r="U101" s="999"/>
      <c r="V101" s="999"/>
      <c r="W101" s="999"/>
      <c r="X101" s="999"/>
      <c r="Y101" s="999"/>
      <c r="Z101" s="999"/>
      <c r="AA101" s="999"/>
      <c r="AB101" s="999"/>
    </row>
    <row r="102">
      <c r="A102" s="348"/>
      <c r="B102" s="8"/>
      <c r="C102" s="1004" t="str">
        <f>'5-1 Сбор КП Закупки'!C102</f>
        <v/>
      </c>
      <c r="D102" s="1005"/>
      <c r="E102" s="1005"/>
      <c r="F102" s="1005"/>
      <c r="G102" s="1005"/>
      <c r="H102" s="1005"/>
      <c r="I102" s="1005"/>
      <c r="J102" s="1005"/>
      <c r="K102" s="1005"/>
      <c r="L102" s="1005"/>
      <c r="M102" s="394"/>
      <c r="N102" s="999"/>
      <c r="O102" s="999"/>
      <c r="P102" s="999"/>
      <c r="Q102" s="999"/>
      <c r="R102" s="999"/>
      <c r="S102" s="999"/>
      <c r="T102" s="999"/>
      <c r="U102" s="999"/>
      <c r="V102" s="999"/>
      <c r="W102" s="999"/>
      <c r="X102" s="999"/>
      <c r="Y102" s="999"/>
      <c r="Z102" s="999"/>
      <c r="AA102" s="999"/>
      <c r="AB102" s="999"/>
    </row>
    <row r="103">
      <c r="A103" s="348"/>
      <c r="B103" s="8"/>
      <c r="C103" s="1004" t="str">
        <f>'5-1 Сбор КП Закупки'!C103</f>
        <v/>
      </c>
      <c r="D103" s="1005"/>
      <c r="E103" s="1005"/>
      <c r="F103" s="1005"/>
      <c r="G103" s="1005"/>
      <c r="H103" s="1005"/>
      <c r="I103" s="1005"/>
      <c r="J103" s="1005"/>
      <c r="K103" s="1005"/>
      <c r="L103" s="1005"/>
      <c r="M103" s="394"/>
      <c r="N103" s="999"/>
      <c r="O103" s="999"/>
      <c r="P103" s="999"/>
      <c r="Q103" s="999"/>
      <c r="R103" s="999"/>
      <c r="S103" s="999"/>
      <c r="T103" s="999"/>
      <c r="U103" s="999"/>
      <c r="V103" s="999"/>
      <c r="W103" s="999"/>
      <c r="X103" s="999"/>
      <c r="Y103" s="999"/>
      <c r="Z103" s="999"/>
      <c r="AA103" s="999"/>
      <c r="AB103" s="999"/>
    </row>
    <row r="104">
      <c r="A104" s="348"/>
      <c r="B104" s="8"/>
      <c r="C104" s="1004" t="str">
        <f>'5-1 Сбор КП Закупки'!C104</f>
        <v/>
      </c>
      <c r="D104" s="1005"/>
      <c r="E104" s="1005"/>
      <c r="F104" s="1005"/>
      <c r="G104" s="1005"/>
      <c r="H104" s="1005"/>
      <c r="I104" s="1005"/>
      <c r="J104" s="1005"/>
      <c r="K104" s="1005"/>
      <c r="L104" s="1005"/>
      <c r="M104" s="394"/>
      <c r="N104" s="999"/>
      <c r="O104" s="999"/>
      <c r="P104" s="999"/>
      <c r="Q104" s="999"/>
      <c r="R104" s="999"/>
      <c r="S104" s="999"/>
      <c r="T104" s="999"/>
      <c r="U104" s="999"/>
      <c r="V104" s="999"/>
      <c r="W104" s="999"/>
      <c r="X104" s="999"/>
      <c r="Y104" s="999"/>
      <c r="Z104" s="999"/>
      <c r="AA104" s="999"/>
      <c r="AB104" s="999"/>
    </row>
    <row r="105">
      <c r="A105" s="348"/>
      <c r="B105" s="8"/>
      <c r="C105" s="1004" t="str">
        <f>'5-1 Сбор КП Закупки'!C105</f>
        <v/>
      </c>
      <c r="D105" s="1005"/>
      <c r="E105" s="1005"/>
      <c r="F105" s="1005"/>
      <c r="G105" s="1005"/>
      <c r="H105" s="1005"/>
      <c r="I105" s="1005"/>
      <c r="J105" s="1005"/>
      <c r="K105" s="1005"/>
      <c r="L105" s="1005"/>
      <c r="M105" s="394"/>
      <c r="N105" s="999"/>
      <c r="O105" s="999"/>
      <c r="P105" s="999"/>
      <c r="Q105" s="999"/>
      <c r="R105" s="999"/>
      <c r="S105" s="999"/>
      <c r="T105" s="999"/>
      <c r="U105" s="999"/>
      <c r="V105" s="999"/>
      <c r="W105" s="999"/>
      <c r="X105" s="999"/>
      <c r="Y105" s="999"/>
      <c r="Z105" s="999"/>
      <c r="AA105" s="999"/>
      <c r="AB105" s="999"/>
    </row>
    <row r="106">
      <c r="A106" s="348"/>
      <c r="B106" s="8"/>
      <c r="C106" s="1004" t="str">
        <f>'5-1 Сбор КП Закупки'!C106</f>
        <v/>
      </c>
      <c r="D106" s="1005"/>
      <c r="E106" s="1005"/>
      <c r="F106" s="1005"/>
      <c r="G106" s="1005"/>
      <c r="H106" s="1005"/>
      <c r="I106" s="1005"/>
      <c r="J106" s="1005"/>
      <c r="K106" s="1005"/>
      <c r="L106" s="1005"/>
      <c r="M106" s="394"/>
      <c r="N106" s="999"/>
      <c r="O106" s="999"/>
      <c r="P106" s="999"/>
      <c r="Q106" s="999"/>
      <c r="R106" s="999"/>
      <c r="S106" s="999"/>
      <c r="T106" s="999"/>
      <c r="U106" s="999"/>
      <c r="V106" s="999"/>
      <c r="W106" s="999"/>
      <c r="X106" s="999"/>
      <c r="Y106" s="999"/>
      <c r="Z106" s="999"/>
      <c r="AA106" s="999"/>
      <c r="AB106" s="999"/>
    </row>
    <row r="107">
      <c r="A107" s="348"/>
      <c r="B107" s="8"/>
      <c r="C107" s="1004" t="str">
        <f>'5-1 Сбор КП Закупки'!C107</f>
        <v/>
      </c>
      <c r="D107" s="1005"/>
      <c r="E107" s="1005"/>
      <c r="F107" s="1005"/>
      <c r="G107" s="1005"/>
      <c r="H107" s="1005"/>
      <c r="I107" s="1005"/>
      <c r="J107" s="1005"/>
      <c r="K107" s="1005"/>
      <c r="L107" s="1005"/>
      <c r="M107" s="394"/>
      <c r="N107" s="999"/>
      <c r="O107" s="999"/>
      <c r="P107" s="999"/>
      <c r="Q107" s="999"/>
      <c r="R107" s="999"/>
      <c r="S107" s="999"/>
      <c r="T107" s="999"/>
      <c r="U107" s="999"/>
      <c r="V107" s="999"/>
      <c r="W107" s="999"/>
      <c r="X107" s="999"/>
      <c r="Y107" s="999"/>
      <c r="Z107" s="999"/>
      <c r="AA107" s="999"/>
      <c r="AB107" s="999"/>
    </row>
    <row r="108">
      <c r="A108" s="348"/>
      <c r="B108" s="8"/>
      <c r="C108" s="1004" t="str">
        <f>'5-1 Сбор КП Закупки'!C108</f>
        <v/>
      </c>
      <c r="D108" s="1005"/>
      <c r="E108" s="1005"/>
      <c r="F108" s="1005"/>
      <c r="G108" s="1005"/>
      <c r="H108" s="1005"/>
      <c r="I108" s="1005"/>
      <c r="J108" s="1005"/>
      <c r="K108" s="1005"/>
      <c r="L108" s="1005"/>
      <c r="M108" s="394"/>
      <c r="N108" s="999"/>
      <c r="O108" s="999"/>
      <c r="P108" s="999"/>
      <c r="Q108" s="999"/>
      <c r="R108" s="999"/>
      <c r="S108" s="999"/>
      <c r="T108" s="999"/>
      <c r="U108" s="999"/>
      <c r="V108" s="999"/>
      <c r="W108" s="999"/>
      <c r="X108" s="999"/>
      <c r="Y108" s="999"/>
      <c r="Z108" s="999"/>
      <c r="AA108" s="999"/>
      <c r="AB108" s="999"/>
    </row>
    <row r="109">
      <c r="A109" s="348"/>
      <c r="B109" s="8"/>
      <c r="C109" s="1004" t="str">
        <f>'5-1 Сбор КП Закупки'!C109</f>
        <v/>
      </c>
      <c r="D109" s="1005"/>
      <c r="E109" s="1005"/>
      <c r="F109" s="1005"/>
      <c r="G109" s="1005"/>
      <c r="H109" s="1005"/>
      <c r="I109" s="1005"/>
      <c r="J109" s="1005"/>
      <c r="K109" s="1005"/>
      <c r="L109" s="1005"/>
      <c r="M109" s="394"/>
      <c r="N109" s="999"/>
      <c r="O109" s="999"/>
      <c r="P109" s="999"/>
      <c r="Q109" s="999"/>
      <c r="R109" s="999"/>
      <c r="S109" s="999"/>
      <c r="T109" s="999"/>
      <c r="U109" s="999"/>
      <c r="V109" s="999"/>
      <c r="W109" s="999"/>
      <c r="X109" s="999"/>
      <c r="Y109" s="999"/>
      <c r="Z109" s="999"/>
      <c r="AA109" s="999"/>
      <c r="AB109" s="999"/>
    </row>
    <row r="110">
      <c r="A110" s="348"/>
      <c r="B110" s="8"/>
      <c r="C110" s="1004" t="str">
        <f>'5-1 Сбор КП Закупки'!C110</f>
        <v/>
      </c>
      <c r="D110" s="1005"/>
      <c r="E110" s="1005"/>
      <c r="F110" s="1005"/>
      <c r="G110" s="1005"/>
      <c r="H110" s="1005"/>
      <c r="I110" s="1005"/>
      <c r="J110" s="1005"/>
      <c r="K110" s="1005"/>
      <c r="L110" s="1005"/>
      <c r="M110" s="394"/>
      <c r="N110" s="999"/>
      <c r="O110" s="999"/>
      <c r="P110" s="999"/>
      <c r="Q110" s="999"/>
      <c r="R110" s="999"/>
      <c r="S110" s="999"/>
      <c r="T110" s="999"/>
      <c r="U110" s="999"/>
      <c r="V110" s="999"/>
      <c r="W110" s="999"/>
      <c r="X110" s="999"/>
      <c r="Y110" s="999"/>
      <c r="Z110" s="999"/>
      <c r="AA110" s="999"/>
      <c r="AB110" s="999"/>
    </row>
    <row r="111">
      <c r="A111" s="348"/>
      <c r="B111" s="8"/>
      <c r="C111" s="1004" t="str">
        <f>'5-1 Сбор КП Закупки'!C111</f>
        <v/>
      </c>
      <c r="D111" s="1005"/>
      <c r="E111" s="1005"/>
      <c r="F111" s="1005"/>
      <c r="G111" s="1005"/>
      <c r="H111" s="1005"/>
      <c r="I111" s="1005"/>
      <c r="J111" s="1005"/>
      <c r="K111" s="1005"/>
      <c r="L111" s="1005"/>
      <c r="M111" s="394"/>
      <c r="N111" s="999"/>
      <c r="O111" s="999"/>
      <c r="P111" s="999"/>
      <c r="Q111" s="999"/>
      <c r="R111" s="999"/>
      <c r="S111" s="999"/>
      <c r="T111" s="999"/>
      <c r="U111" s="999"/>
      <c r="V111" s="999"/>
      <c r="W111" s="999"/>
      <c r="X111" s="999"/>
      <c r="Y111" s="999"/>
      <c r="Z111" s="999"/>
      <c r="AA111" s="999"/>
      <c r="AB111" s="999"/>
    </row>
    <row r="112">
      <c r="A112" s="348"/>
      <c r="B112" s="8"/>
      <c r="C112" s="1004" t="str">
        <f>'5-1 Сбор КП Закупки'!C112</f>
        <v/>
      </c>
      <c r="D112" s="1005"/>
      <c r="E112" s="1005"/>
      <c r="F112" s="1005"/>
      <c r="G112" s="1005"/>
      <c r="H112" s="1005"/>
      <c r="I112" s="1005"/>
      <c r="J112" s="1005"/>
      <c r="K112" s="1005"/>
      <c r="L112" s="1005"/>
      <c r="M112" s="394"/>
      <c r="N112" s="999"/>
      <c r="O112" s="999"/>
      <c r="P112" s="999"/>
      <c r="Q112" s="999"/>
      <c r="R112" s="999"/>
      <c r="S112" s="999"/>
      <c r="T112" s="999"/>
      <c r="U112" s="999"/>
      <c r="V112" s="999"/>
      <c r="W112" s="999"/>
      <c r="X112" s="999"/>
      <c r="Y112" s="999"/>
      <c r="Z112" s="999"/>
      <c r="AA112" s="999"/>
      <c r="AB112" s="999"/>
    </row>
    <row r="113">
      <c r="A113" s="348"/>
      <c r="B113" s="8"/>
      <c r="C113" s="1004" t="str">
        <f>'5-1 Сбор КП Закупки'!C113</f>
        <v/>
      </c>
      <c r="D113" s="1005"/>
      <c r="E113" s="1005"/>
      <c r="F113" s="1005"/>
      <c r="G113" s="1005"/>
      <c r="H113" s="1005"/>
      <c r="I113" s="1005"/>
      <c r="J113" s="1005"/>
      <c r="K113" s="1005"/>
      <c r="L113" s="1005"/>
      <c r="M113" s="394"/>
      <c r="N113" s="999"/>
      <c r="O113" s="999"/>
      <c r="P113" s="999"/>
      <c r="Q113" s="999"/>
      <c r="R113" s="999"/>
      <c r="S113" s="999"/>
      <c r="T113" s="999"/>
      <c r="U113" s="999"/>
      <c r="V113" s="999"/>
      <c r="W113" s="999"/>
      <c r="X113" s="999"/>
      <c r="Y113" s="999"/>
      <c r="Z113" s="999"/>
      <c r="AA113" s="999"/>
      <c r="AB113" s="999"/>
    </row>
    <row r="114">
      <c r="A114" s="348"/>
      <c r="B114" s="8"/>
      <c r="C114" s="1004" t="str">
        <f>'5-1 Сбор КП Закупки'!C114</f>
        <v/>
      </c>
      <c r="D114" s="1005"/>
      <c r="E114" s="1005"/>
      <c r="F114" s="1005"/>
      <c r="G114" s="1005"/>
      <c r="H114" s="1005"/>
      <c r="I114" s="1005"/>
      <c r="J114" s="1005"/>
      <c r="K114" s="1005"/>
      <c r="L114" s="1005"/>
      <c r="M114" s="394"/>
      <c r="N114" s="999"/>
      <c r="O114" s="999"/>
      <c r="P114" s="999"/>
      <c r="Q114" s="999"/>
      <c r="R114" s="999"/>
      <c r="S114" s="999"/>
      <c r="T114" s="999"/>
      <c r="U114" s="999"/>
      <c r="V114" s="999"/>
      <c r="W114" s="999"/>
      <c r="X114" s="999"/>
      <c r="Y114" s="999"/>
      <c r="Z114" s="999"/>
      <c r="AA114" s="999"/>
      <c r="AB114" s="999"/>
    </row>
    <row r="115">
      <c r="A115" s="348"/>
      <c r="B115" s="8"/>
      <c r="C115" s="1004" t="str">
        <f>'5-1 Сбор КП Закупки'!C115</f>
        <v/>
      </c>
      <c r="D115" s="1005"/>
      <c r="E115" s="1005"/>
      <c r="F115" s="1005"/>
      <c r="G115" s="1005"/>
      <c r="H115" s="1005"/>
      <c r="I115" s="1005"/>
      <c r="J115" s="1005"/>
      <c r="K115" s="1005"/>
      <c r="L115" s="1005"/>
      <c r="M115" s="394"/>
      <c r="N115" s="999"/>
      <c r="O115" s="999"/>
      <c r="P115" s="999"/>
      <c r="Q115" s="999"/>
      <c r="R115" s="999"/>
      <c r="S115" s="999"/>
      <c r="T115" s="999"/>
      <c r="U115" s="999"/>
      <c r="V115" s="999"/>
      <c r="W115" s="999"/>
      <c r="X115" s="999"/>
      <c r="Y115" s="999"/>
      <c r="Z115" s="999"/>
      <c r="AA115" s="999"/>
      <c r="AB115" s="999"/>
    </row>
    <row r="116">
      <c r="A116" s="348"/>
      <c r="B116" s="8"/>
      <c r="C116" s="1004" t="str">
        <f>'5-1 Сбор КП Закупки'!C116</f>
        <v/>
      </c>
      <c r="D116" s="1005"/>
      <c r="E116" s="1005"/>
      <c r="F116" s="1005"/>
      <c r="G116" s="1005"/>
      <c r="H116" s="1005"/>
      <c r="I116" s="1005"/>
      <c r="J116" s="1005"/>
      <c r="K116" s="1005"/>
      <c r="L116" s="1005"/>
      <c r="M116" s="394"/>
      <c r="N116" s="999"/>
      <c r="O116" s="999"/>
      <c r="P116" s="999"/>
      <c r="Q116" s="999"/>
      <c r="R116" s="999"/>
      <c r="S116" s="999"/>
      <c r="T116" s="999"/>
      <c r="U116" s="999"/>
      <c r="V116" s="999"/>
      <c r="W116" s="999"/>
      <c r="X116" s="999"/>
      <c r="Y116" s="999"/>
      <c r="Z116" s="999"/>
      <c r="AA116" s="999"/>
      <c r="AB116" s="999"/>
    </row>
    <row r="117">
      <c r="A117" s="348"/>
      <c r="B117" s="8"/>
      <c r="C117" s="1004" t="str">
        <f>'5-1 Сбор КП Закупки'!C117</f>
        <v/>
      </c>
      <c r="D117" s="1005"/>
      <c r="E117" s="1005"/>
      <c r="F117" s="1005"/>
      <c r="G117" s="1005"/>
      <c r="H117" s="1005"/>
      <c r="I117" s="1005"/>
      <c r="J117" s="1005"/>
      <c r="K117" s="1005"/>
      <c r="L117" s="1005"/>
      <c r="M117" s="394"/>
      <c r="N117" s="999"/>
      <c r="O117" s="999"/>
      <c r="P117" s="999"/>
      <c r="Q117" s="999"/>
      <c r="R117" s="999"/>
      <c r="S117" s="999"/>
      <c r="T117" s="999"/>
      <c r="U117" s="999"/>
      <c r="V117" s="999"/>
      <c r="W117" s="999"/>
      <c r="X117" s="999"/>
      <c r="Y117" s="999"/>
      <c r="Z117" s="999"/>
      <c r="AA117" s="999"/>
      <c r="AB117" s="999"/>
    </row>
    <row r="118">
      <c r="A118" s="348"/>
      <c r="B118" s="8"/>
      <c r="C118" s="1004" t="str">
        <f>'5-1 Сбор КП Закупки'!C118</f>
        <v/>
      </c>
      <c r="D118" s="1005"/>
      <c r="E118" s="1005"/>
      <c r="F118" s="1005"/>
      <c r="G118" s="1005"/>
      <c r="H118" s="1005"/>
      <c r="I118" s="1005"/>
      <c r="J118" s="1005"/>
      <c r="K118" s="1005"/>
      <c r="L118" s="1005"/>
      <c r="M118" s="394"/>
      <c r="N118" s="999"/>
      <c r="O118" s="999"/>
      <c r="P118" s="999"/>
      <c r="Q118" s="999"/>
      <c r="R118" s="999"/>
      <c r="S118" s="999"/>
      <c r="T118" s="999"/>
      <c r="U118" s="999"/>
      <c r="V118" s="999"/>
      <c r="W118" s="999"/>
      <c r="X118" s="999"/>
      <c r="Y118" s="999"/>
      <c r="Z118" s="999"/>
      <c r="AA118" s="999"/>
      <c r="AB118" s="999"/>
    </row>
    <row r="119">
      <c r="A119" s="348"/>
      <c r="B119" s="8"/>
      <c r="C119" s="1004" t="str">
        <f>'5-1 Сбор КП Закупки'!C119</f>
        <v/>
      </c>
      <c r="D119" s="1005"/>
      <c r="E119" s="1005"/>
      <c r="F119" s="1005"/>
      <c r="G119" s="1005"/>
      <c r="H119" s="1005"/>
      <c r="I119" s="1005"/>
      <c r="J119" s="1005"/>
      <c r="K119" s="1005"/>
      <c r="L119" s="1005"/>
      <c r="M119" s="394"/>
      <c r="N119" s="999"/>
      <c r="O119" s="999"/>
      <c r="P119" s="999"/>
      <c r="Q119" s="999"/>
      <c r="R119" s="999"/>
      <c r="S119" s="999"/>
      <c r="T119" s="999"/>
      <c r="U119" s="999"/>
      <c r="V119" s="999"/>
      <c r="W119" s="999"/>
      <c r="X119" s="999"/>
      <c r="Y119" s="999"/>
      <c r="Z119" s="999"/>
      <c r="AA119" s="999"/>
      <c r="AB119" s="999"/>
    </row>
    <row r="120">
      <c r="A120" s="348"/>
      <c r="B120" s="8"/>
      <c r="C120" s="1004" t="str">
        <f>'5-1 Сбор КП Закупки'!C120</f>
        <v/>
      </c>
      <c r="D120" s="1005"/>
      <c r="E120" s="1005"/>
      <c r="F120" s="1005"/>
      <c r="G120" s="1005"/>
      <c r="H120" s="1005"/>
      <c r="I120" s="1005"/>
      <c r="J120" s="1005"/>
      <c r="K120" s="1005"/>
      <c r="L120" s="1005"/>
      <c r="M120" s="394"/>
      <c r="N120" s="999"/>
      <c r="O120" s="999"/>
      <c r="P120" s="999"/>
      <c r="Q120" s="999"/>
      <c r="R120" s="999"/>
      <c r="S120" s="999"/>
      <c r="T120" s="999"/>
      <c r="U120" s="999"/>
      <c r="V120" s="999"/>
      <c r="W120" s="999"/>
      <c r="X120" s="999"/>
      <c r="Y120" s="999"/>
      <c r="Z120" s="999"/>
      <c r="AA120" s="999"/>
      <c r="AB120" s="999"/>
    </row>
    <row r="121">
      <c r="A121" s="348"/>
      <c r="B121" s="8"/>
      <c r="C121" s="1004" t="str">
        <f>'5-1 Сбор КП Закупки'!C121</f>
        <v/>
      </c>
      <c r="D121" s="1005"/>
      <c r="E121" s="1005"/>
      <c r="F121" s="1005"/>
      <c r="G121" s="1005"/>
      <c r="H121" s="1005"/>
      <c r="I121" s="1005"/>
      <c r="J121" s="1005"/>
      <c r="K121" s="1005"/>
      <c r="L121" s="1005"/>
      <c r="M121" s="394"/>
      <c r="N121" s="999"/>
      <c r="O121" s="999"/>
      <c r="P121" s="999"/>
      <c r="Q121" s="999"/>
      <c r="R121" s="999"/>
      <c r="S121" s="999"/>
      <c r="T121" s="999"/>
      <c r="U121" s="999"/>
      <c r="V121" s="999"/>
      <c r="W121" s="999"/>
      <c r="X121" s="999"/>
      <c r="Y121" s="999"/>
      <c r="Z121" s="999"/>
      <c r="AA121" s="999"/>
      <c r="AB121" s="999"/>
    </row>
    <row r="122">
      <c r="A122" s="348"/>
      <c r="B122" s="8"/>
      <c r="C122" s="1004" t="str">
        <f>'5-1 Сбор КП Закупки'!C122</f>
        <v/>
      </c>
      <c r="D122" s="1005"/>
      <c r="E122" s="1005"/>
      <c r="F122" s="1005"/>
      <c r="G122" s="1005"/>
      <c r="H122" s="1005"/>
      <c r="I122" s="1005"/>
      <c r="J122" s="1005"/>
      <c r="K122" s="1005"/>
      <c r="L122" s="1005"/>
      <c r="M122" s="394"/>
      <c r="N122" s="999"/>
      <c r="O122" s="999"/>
      <c r="P122" s="999"/>
      <c r="Q122" s="999"/>
      <c r="R122" s="999"/>
      <c r="S122" s="999"/>
      <c r="T122" s="999"/>
      <c r="U122" s="999"/>
      <c r="V122" s="999"/>
      <c r="W122" s="999"/>
      <c r="X122" s="999"/>
      <c r="Y122" s="999"/>
      <c r="Z122" s="999"/>
      <c r="AA122" s="999"/>
      <c r="AB122" s="999"/>
    </row>
    <row r="123">
      <c r="A123" s="348"/>
      <c r="B123" s="8"/>
      <c r="C123" s="1004" t="str">
        <f>'5-1 Сбор КП Закупки'!C123</f>
        <v/>
      </c>
      <c r="D123" s="1005"/>
      <c r="E123" s="1005"/>
      <c r="F123" s="1005"/>
      <c r="G123" s="1005"/>
      <c r="H123" s="1005"/>
      <c r="I123" s="1005"/>
      <c r="J123" s="1005"/>
      <c r="K123" s="1005"/>
      <c r="L123" s="1005"/>
      <c r="M123" s="394"/>
      <c r="N123" s="999"/>
      <c r="O123" s="999"/>
      <c r="P123" s="999"/>
      <c r="Q123" s="999"/>
      <c r="R123" s="999"/>
      <c r="S123" s="999"/>
      <c r="T123" s="999"/>
      <c r="U123" s="999"/>
      <c r="V123" s="999"/>
      <c r="W123" s="999"/>
      <c r="X123" s="999"/>
      <c r="Y123" s="999"/>
      <c r="Z123" s="999"/>
      <c r="AA123" s="999"/>
      <c r="AB123" s="999"/>
    </row>
    <row r="124">
      <c r="A124" s="348"/>
      <c r="B124" s="8"/>
      <c r="C124" s="1004" t="str">
        <f>'5-1 Сбор КП Закупки'!C124</f>
        <v/>
      </c>
      <c r="D124" s="1005"/>
      <c r="E124" s="1005"/>
      <c r="F124" s="1005"/>
      <c r="G124" s="1005"/>
      <c r="H124" s="1005"/>
      <c r="I124" s="1005"/>
      <c r="J124" s="1005"/>
      <c r="K124" s="1005"/>
      <c r="L124" s="1005"/>
      <c r="M124" s="394"/>
      <c r="N124" s="999"/>
      <c r="O124" s="999"/>
      <c r="P124" s="999"/>
      <c r="Q124" s="999"/>
      <c r="R124" s="999"/>
      <c r="S124" s="999"/>
      <c r="T124" s="999"/>
      <c r="U124" s="999"/>
      <c r="V124" s="999"/>
      <c r="W124" s="999"/>
      <c r="X124" s="999"/>
      <c r="Y124" s="999"/>
      <c r="Z124" s="999"/>
      <c r="AA124" s="999"/>
      <c r="AB124" s="999"/>
    </row>
    <row r="125">
      <c r="A125" s="348"/>
      <c r="B125" s="8"/>
      <c r="C125" s="1004" t="str">
        <f>'5-1 Сбор КП Закупки'!C125</f>
        <v/>
      </c>
      <c r="D125" s="1005"/>
      <c r="E125" s="1005"/>
      <c r="F125" s="1005"/>
      <c r="G125" s="1005"/>
      <c r="H125" s="1005"/>
      <c r="I125" s="1005"/>
      <c r="J125" s="1005"/>
      <c r="K125" s="1005"/>
      <c r="L125" s="1005"/>
      <c r="M125" s="394"/>
      <c r="N125" s="999"/>
      <c r="O125" s="999"/>
      <c r="P125" s="999"/>
      <c r="Q125" s="999"/>
      <c r="R125" s="999"/>
      <c r="S125" s="999"/>
      <c r="T125" s="999"/>
      <c r="U125" s="999"/>
      <c r="V125" s="999"/>
      <c r="W125" s="999"/>
      <c r="X125" s="999"/>
      <c r="Y125" s="999"/>
      <c r="Z125" s="999"/>
      <c r="AA125" s="999"/>
      <c r="AB125" s="999"/>
    </row>
    <row r="126">
      <c r="A126" s="348"/>
      <c r="B126" s="8"/>
      <c r="C126" s="1004" t="str">
        <f>'5-1 Сбор КП Закупки'!C126</f>
        <v/>
      </c>
      <c r="D126" s="1005"/>
      <c r="E126" s="1005"/>
      <c r="F126" s="1005"/>
      <c r="G126" s="1005"/>
      <c r="H126" s="1005"/>
      <c r="I126" s="1005"/>
      <c r="J126" s="1005"/>
      <c r="K126" s="1005"/>
      <c r="L126" s="1005"/>
      <c r="M126" s="394"/>
      <c r="N126" s="999"/>
      <c r="O126" s="999"/>
      <c r="P126" s="999"/>
      <c r="Q126" s="999"/>
      <c r="R126" s="999"/>
      <c r="S126" s="999"/>
      <c r="T126" s="999"/>
      <c r="U126" s="999"/>
      <c r="V126" s="999"/>
      <c r="W126" s="999"/>
      <c r="X126" s="999"/>
      <c r="Y126" s="999"/>
      <c r="Z126" s="999"/>
      <c r="AA126" s="999"/>
      <c r="AB126" s="999"/>
    </row>
    <row r="127">
      <c r="A127" s="348"/>
      <c r="B127" s="8"/>
      <c r="C127" s="1004" t="str">
        <f>'5-1 Сбор КП Закупки'!C127</f>
        <v/>
      </c>
      <c r="D127" s="1005"/>
      <c r="E127" s="1005"/>
      <c r="F127" s="1005"/>
      <c r="G127" s="1005"/>
      <c r="H127" s="1005"/>
      <c r="I127" s="1005"/>
      <c r="J127" s="1005"/>
      <c r="K127" s="1005"/>
      <c r="L127" s="1005"/>
      <c r="M127" s="394"/>
      <c r="N127" s="999"/>
      <c r="O127" s="999"/>
      <c r="P127" s="999"/>
      <c r="Q127" s="999"/>
      <c r="R127" s="999"/>
      <c r="S127" s="999"/>
      <c r="T127" s="999"/>
      <c r="U127" s="999"/>
      <c r="V127" s="999"/>
      <c r="W127" s="999"/>
      <c r="X127" s="999"/>
      <c r="Y127" s="999"/>
      <c r="Z127" s="999"/>
      <c r="AA127" s="999"/>
      <c r="AB127" s="999"/>
    </row>
    <row r="128">
      <c r="A128" s="348"/>
      <c r="B128" s="8"/>
      <c r="C128" s="1004" t="str">
        <f>'5-1 Сбор КП Закупки'!C128</f>
        <v/>
      </c>
      <c r="D128" s="1005"/>
      <c r="E128" s="1005"/>
      <c r="F128" s="1005"/>
      <c r="G128" s="1005"/>
      <c r="H128" s="1005"/>
      <c r="I128" s="1005"/>
      <c r="J128" s="1005"/>
      <c r="K128" s="1005"/>
      <c r="L128" s="1005"/>
      <c r="M128" s="394"/>
      <c r="N128" s="999"/>
      <c r="O128" s="999"/>
      <c r="P128" s="999"/>
      <c r="Q128" s="999"/>
      <c r="R128" s="999"/>
      <c r="S128" s="999"/>
      <c r="T128" s="999"/>
      <c r="U128" s="999"/>
      <c r="V128" s="999"/>
      <c r="W128" s="999"/>
      <c r="X128" s="999"/>
      <c r="Y128" s="999"/>
      <c r="Z128" s="999"/>
      <c r="AA128" s="999"/>
      <c r="AB128" s="999"/>
    </row>
    <row r="129">
      <c r="A129" s="348"/>
      <c r="B129" s="8"/>
      <c r="C129" s="1004" t="str">
        <f>'5-1 Сбор КП Закупки'!C129</f>
        <v/>
      </c>
      <c r="D129" s="1005"/>
      <c r="E129" s="1005"/>
      <c r="F129" s="1005"/>
      <c r="G129" s="1005"/>
      <c r="H129" s="1005"/>
      <c r="I129" s="1005"/>
      <c r="J129" s="1005"/>
      <c r="K129" s="1005"/>
      <c r="L129" s="1005"/>
      <c r="M129" s="394"/>
      <c r="N129" s="999"/>
      <c r="O129" s="999"/>
      <c r="P129" s="999"/>
      <c r="Q129" s="999"/>
      <c r="R129" s="999"/>
      <c r="S129" s="999"/>
      <c r="T129" s="999"/>
      <c r="U129" s="999"/>
      <c r="V129" s="999"/>
      <c r="W129" s="999"/>
      <c r="X129" s="999"/>
      <c r="Y129" s="999"/>
      <c r="Z129" s="999"/>
      <c r="AA129" s="999"/>
      <c r="AB129" s="999"/>
    </row>
    <row r="130">
      <c r="A130" s="348"/>
      <c r="B130" s="8"/>
      <c r="C130" s="1004" t="str">
        <f>'5-1 Сбор КП Закупки'!C130</f>
        <v/>
      </c>
      <c r="D130" s="1005"/>
      <c r="E130" s="1005"/>
      <c r="F130" s="1005"/>
      <c r="G130" s="1005"/>
      <c r="H130" s="1005"/>
      <c r="I130" s="1005"/>
      <c r="J130" s="1005"/>
      <c r="K130" s="1005"/>
      <c r="L130" s="1005"/>
      <c r="M130" s="394"/>
      <c r="N130" s="999"/>
      <c r="O130" s="999"/>
      <c r="P130" s="999"/>
      <c r="Q130" s="999"/>
      <c r="R130" s="999"/>
      <c r="S130" s="999"/>
      <c r="T130" s="999"/>
      <c r="U130" s="999"/>
      <c r="V130" s="999"/>
      <c r="W130" s="999"/>
      <c r="X130" s="999"/>
      <c r="Y130" s="999"/>
      <c r="Z130" s="999"/>
      <c r="AA130" s="999"/>
      <c r="AB130" s="999"/>
    </row>
    <row r="131">
      <c r="A131" s="348"/>
      <c r="B131" s="8"/>
      <c r="C131" s="1004" t="str">
        <f>'5-1 Сбор КП Закупки'!C131</f>
        <v/>
      </c>
      <c r="D131" s="1005"/>
      <c r="E131" s="1005"/>
      <c r="F131" s="1005"/>
      <c r="G131" s="1005"/>
      <c r="H131" s="1005"/>
      <c r="I131" s="1005"/>
      <c r="J131" s="1005"/>
      <c r="K131" s="1005"/>
      <c r="L131" s="1005"/>
      <c r="M131" s="394"/>
      <c r="N131" s="999"/>
      <c r="O131" s="999"/>
      <c r="P131" s="999"/>
      <c r="Q131" s="999"/>
      <c r="R131" s="999"/>
      <c r="S131" s="999"/>
      <c r="T131" s="999"/>
      <c r="U131" s="999"/>
      <c r="V131" s="999"/>
      <c r="W131" s="999"/>
      <c r="X131" s="999"/>
      <c r="Y131" s="999"/>
      <c r="Z131" s="999"/>
      <c r="AA131" s="999"/>
      <c r="AB131" s="999"/>
    </row>
    <row r="132">
      <c r="A132" s="348"/>
      <c r="B132" s="8"/>
      <c r="C132" s="1004" t="str">
        <f>'5-1 Сбор КП Закупки'!C132</f>
        <v/>
      </c>
      <c r="D132" s="1005"/>
      <c r="E132" s="1005"/>
      <c r="F132" s="1005"/>
      <c r="G132" s="1005"/>
      <c r="H132" s="1005"/>
      <c r="I132" s="1005"/>
      <c r="J132" s="1005"/>
      <c r="K132" s="1005"/>
      <c r="L132" s="1005"/>
      <c r="M132" s="394"/>
      <c r="N132" s="999"/>
      <c r="O132" s="999"/>
      <c r="P132" s="999"/>
      <c r="Q132" s="999"/>
      <c r="R132" s="999"/>
      <c r="S132" s="999"/>
      <c r="T132" s="999"/>
      <c r="U132" s="999"/>
      <c r="V132" s="999"/>
      <c r="W132" s="999"/>
      <c r="X132" s="999"/>
      <c r="Y132" s="999"/>
      <c r="Z132" s="999"/>
      <c r="AA132" s="999"/>
      <c r="AB132" s="999"/>
    </row>
    <row r="133">
      <c r="A133" s="348"/>
      <c r="B133" s="8"/>
      <c r="C133" s="1004" t="str">
        <f>'5-1 Сбор КП Закупки'!C133</f>
        <v/>
      </c>
      <c r="D133" s="1005"/>
      <c r="E133" s="1005"/>
      <c r="F133" s="1005"/>
      <c r="G133" s="1005"/>
      <c r="H133" s="1005"/>
      <c r="I133" s="1005"/>
      <c r="J133" s="1005"/>
      <c r="K133" s="1005"/>
      <c r="L133" s="1005"/>
      <c r="M133" s="394"/>
      <c r="N133" s="999"/>
      <c r="O133" s="999"/>
      <c r="P133" s="999"/>
      <c r="Q133" s="999"/>
      <c r="R133" s="999"/>
      <c r="S133" s="999"/>
      <c r="T133" s="999"/>
      <c r="U133" s="999"/>
      <c r="V133" s="999"/>
      <c r="W133" s="999"/>
      <c r="X133" s="999"/>
      <c r="Y133" s="999"/>
      <c r="Z133" s="999"/>
      <c r="AA133" s="999"/>
      <c r="AB133" s="999"/>
    </row>
    <row r="134">
      <c r="A134" s="348"/>
      <c r="B134" s="8"/>
      <c r="C134" s="1004" t="str">
        <f>'5-1 Сбор КП Закупки'!C134</f>
        <v/>
      </c>
      <c r="D134" s="1005"/>
      <c r="E134" s="1005"/>
      <c r="F134" s="1005"/>
      <c r="G134" s="1005"/>
      <c r="H134" s="1005"/>
      <c r="I134" s="1005"/>
      <c r="J134" s="1005"/>
      <c r="K134" s="1005"/>
      <c r="L134" s="1005"/>
      <c r="M134" s="394"/>
      <c r="N134" s="999"/>
      <c r="O134" s="999"/>
      <c r="P134" s="999"/>
      <c r="Q134" s="999"/>
      <c r="R134" s="999"/>
      <c r="S134" s="999"/>
      <c r="T134" s="999"/>
      <c r="U134" s="999"/>
      <c r="V134" s="999"/>
      <c r="W134" s="999"/>
      <c r="X134" s="999"/>
      <c r="Y134" s="999"/>
      <c r="Z134" s="999"/>
      <c r="AA134" s="999"/>
      <c r="AB134" s="999"/>
    </row>
    <row r="135">
      <c r="A135" s="348"/>
      <c r="B135" s="8"/>
      <c r="C135" s="1004" t="str">
        <f>'5-1 Сбор КП Закупки'!C135</f>
        <v/>
      </c>
      <c r="D135" s="1005"/>
      <c r="E135" s="1005"/>
      <c r="F135" s="1005"/>
      <c r="G135" s="1005"/>
      <c r="H135" s="1005"/>
      <c r="I135" s="1005"/>
      <c r="J135" s="1005"/>
      <c r="K135" s="1005"/>
      <c r="L135" s="1005"/>
      <c r="M135" s="394"/>
      <c r="N135" s="999"/>
      <c r="O135" s="999"/>
      <c r="P135" s="999"/>
      <c r="Q135" s="999"/>
      <c r="R135" s="999"/>
      <c r="S135" s="999"/>
      <c r="T135" s="999"/>
      <c r="U135" s="999"/>
      <c r="V135" s="999"/>
      <c r="W135" s="999"/>
      <c r="X135" s="999"/>
      <c r="Y135" s="999"/>
      <c r="Z135" s="999"/>
      <c r="AA135" s="999"/>
      <c r="AB135" s="999"/>
    </row>
    <row r="136">
      <c r="A136" s="348"/>
      <c r="B136" s="8"/>
      <c r="C136" s="1004" t="str">
        <f>'5-1 Сбор КП Закупки'!C136</f>
        <v/>
      </c>
      <c r="D136" s="1005"/>
      <c r="E136" s="1005"/>
      <c r="F136" s="1005"/>
      <c r="G136" s="1005"/>
      <c r="H136" s="1005"/>
      <c r="I136" s="1005"/>
      <c r="J136" s="1005"/>
      <c r="K136" s="1005"/>
      <c r="L136" s="1005"/>
      <c r="M136" s="394"/>
      <c r="N136" s="999"/>
      <c r="O136" s="999"/>
      <c r="P136" s="999"/>
      <c r="Q136" s="999"/>
      <c r="R136" s="999"/>
      <c r="S136" s="999"/>
      <c r="T136" s="999"/>
      <c r="U136" s="999"/>
      <c r="V136" s="999"/>
      <c r="W136" s="999"/>
      <c r="X136" s="999"/>
      <c r="Y136" s="999"/>
      <c r="Z136" s="999"/>
      <c r="AA136" s="999"/>
      <c r="AB136" s="999"/>
    </row>
    <row r="137">
      <c r="A137" s="348"/>
      <c r="B137" s="8"/>
      <c r="C137" s="1004" t="str">
        <f>'5-1 Сбор КП Закупки'!C137</f>
        <v/>
      </c>
      <c r="D137" s="1005"/>
      <c r="E137" s="1005"/>
      <c r="F137" s="1005"/>
      <c r="G137" s="1005"/>
      <c r="H137" s="1005"/>
      <c r="I137" s="1005"/>
      <c r="J137" s="1005"/>
      <c r="K137" s="1005"/>
      <c r="L137" s="1005"/>
      <c r="M137" s="394"/>
      <c r="N137" s="999"/>
      <c r="O137" s="999"/>
      <c r="P137" s="999"/>
      <c r="Q137" s="999"/>
      <c r="R137" s="999"/>
      <c r="S137" s="999"/>
      <c r="T137" s="999"/>
      <c r="U137" s="999"/>
      <c r="V137" s="999"/>
      <c r="W137" s="999"/>
      <c r="X137" s="999"/>
      <c r="Y137" s="999"/>
      <c r="Z137" s="999"/>
      <c r="AA137" s="999"/>
      <c r="AB137" s="999"/>
    </row>
    <row r="138">
      <c r="A138" s="348"/>
      <c r="B138" s="8"/>
      <c r="C138" s="1004" t="str">
        <f>'5-1 Сбор КП Закупки'!C138</f>
        <v/>
      </c>
      <c r="D138" s="1005"/>
      <c r="E138" s="1005"/>
      <c r="F138" s="1005"/>
      <c r="G138" s="1005"/>
      <c r="H138" s="1005"/>
      <c r="I138" s="1005"/>
      <c r="J138" s="1005"/>
      <c r="K138" s="1005"/>
      <c r="L138" s="1005"/>
      <c r="M138" s="394"/>
      <c r="N138" s="999"/>
      <c r="O138" s="999"/>
      <c r="P138" s="999"/>
      <c r="Q138" s="999"/>
      <c r="R138" s="999"/>
      <c r="S138" s="999"/>
      <c r="T138" s="999"/>
      <c r="U138" s="999"/>
      <c r="V138" s="999"/>
      <c r="W138" s="999"/>
      <c r="X138" s="999"/>
      <c r="Y138" s="999"/>
      <c r="Z138" s="999"/>
      <c r="AA138" s="999"/>
      <c r="AB138" s="999"/>
    </row>
    <row r="139">
      <c r="A139" s="348"/>
      <c r="B139" s="8"/>
      <c r="C139" s="1004" t="str">
        <f>'5-1 Сбор КП Закупки'!C139</f>
        <v/>
      </c>
      <c r="D139" s="1005"/>
      <c r="E139" s="1005"/>
      <c r="F139" s="1005"/>
      <c r="G139" s="1005"/>
      <c r="H139" s="1005"/>
      <c r="I139" s="1005"/>
      <c r="J139" s="1005"/>
      <c r="K139" s="1005"/>
      <c r="L139" s="1005"/>
      <c r="M139" s="394"/>
      <c r="N139" s="999"/>
      <c r="O139" s="999"/>
      <c r="P139" s="999"/>
      <c r="Q139" s="999"/>
      <c r="R139" s="999"/>
      <c r="S139" s="999"/>
      <c r="T139" s="999"/>
      <c r="U139" s="999"/>
      <c r="V139" s="999"/>
      <c r="W139" s="999"/>
      <c r="X139" s="999"/>
      <c r="Y139" s="999"/>
      <c r="Z139" s="999"/>
      <c r="AA139" s="999"/>
      <c r="AB139" s="999"/>
    </row>
    <row r="140">
      <c r="A140" s="348"/>
      <c r="B140" s="8"/>
      <c r="C140" s="1004" t="str">
        <f>'5-1 Сбор КП Закупки'!C140</f>
        <v/>
      </c>
      <c r="D140" s="1005"/>
      <c r="E140" s="1005"/>
      <c r="F140" s="1005"/>
      <c r="G140" s="1005"/>
      <c r="H140" s="1005"/>
      <c r="I140" s="1005"/>
      <c r="J140" s="1005"/>
      <c r="K140" s="1005"/>
      <c r="L140" s="1005"/>
      <c r="M140" s="394"/>
      <c r="N140" s="999"/>
      <c r="O140" s="999"/>
      <c r="P140" s="999"/>
      <c r="Q140" s="999"/>
      <c r="R140" s="999"/>
      <c r="S140" s="999"/>
      <c r="T140" s="999"/>
      <c r="U140" s="999"/>
      <c r="V140" s="999"/>
      <c r="W140" s="999"/>
      <c r="X140" s="999"/>
      <c r="Y140" s="999"/>
      <c r="Z140" s="999"/>
      <c r="AA140" s="999"/>
      <c r="AB140" s="999"/>
    </row>
    <row r="141">
      <c r="A141" s="348"/>
      <c r="B141" s="8"/>
      <c r="C141" s="1004" t="str">
        <f>'5-1 Сбор КП Закупки'!C141</f>
        <v/>
      </c>
      <c r="D141" s="1005"/>
      <c r="E141" s="1005"/>
      <c r="F141" s="1005"/>
      <c r="G141" s="1005"/>
      <c r="H141" s="1005"/>
      <c r="I141" s="1005"/>
      <c r="J141" s="1005"/>
      <c r="K141" s="1005"/>
      <c r="L141" s="1005"/>
      <c r="M141" s="394"/>
      <c r="N141" s="999"/>
      <c r="O141" s="999"/>
      <c r="P141" s="999"/>
      <c r="Q141" s="999"/>
      <c r="R141" s="999"/>
      <c r="S141" s="999"/>
      <c r="T141" s="999"/>
      <c r="U141" s="999"/>
      <c r="V141" s="999"/>
      <c r="W141" s="999"/>
      <c r="X141" s="999"/>
      <c r="Y141" s="999"/>
      <c r="Z141" s="999"/>
      <c r="AA141" s="999"/>
      <c r="AB141" s="999"/>
    </row>
    <row r="142">
      <c r="A142" s="348"/>
      <c r="B142" s="8"/>
      <c r="C142" s="1004" t="str">
        <f>'5-1 Сбор КП Закупки'!C142</f>
        <v/>
      </c>
      <c r="D142" s="1005"/>
      <c r="E142" s="1005"/>
      <c r="F142" s="1005"/>
      <c r="G142" s="1005"/>
      <c r="H142" s="1005"/>
      <c r="I142" s="1005"/>
      <c r="J142" s="1005"/>
      <c r="K142" s="1005"/>
      <c r="L142" s="1005"/>
      <c r="M142" s="394"/>
      <c r="N142" s="999"/>
      <c r="O142" s="999"/>
      <c r="P142" s="999"/>
      <c r="Q142" s="999"/>
      <c r="R142" s="999"/>
      <c r="S142" s="999"/>
      <c r="T142" s="999"/>
      <c r="U142" s="999"/>
      <c r="V142" s="999"/>
      <c r="W142" s="999"/>
      <c r="X142" s="999"/>
      <c r="Y142" s="999"/>
      <c r="Z142" s="999"/>
      <c r="AA142" s="999"/>
      <c r="AB142" s="999"/>
    </row>
    <row r="143">
      <c r="A143" s="348"/>
      <c r="B143" s="8"/>
      <c r="C143" s="1004" t="str">
        <f>'5-1 Сбор КП Закупки'!C143</f>
        <v/>
      </c>
      <c r="D143" s="1005"/>
      <c r="E143" s="1005"/>
      <c r="F143" s="1005"/>
      <c r="G143" s="1005"/>
      <c r="H143" s="1005"/>
      <c r="I143" s="1005"/>
      <c r="J143" s="1005"/>
      <c r="K143" s="1005"/>
      <c r="L143" s="1005"/>
      <c r="M143" s="394"/>
      <c r="N143" s="999"/>
      <c r="O143" s="999"/>
      <c r="P143" s="999"/>
      <c r="Q143" s="999"/>
      <c r="R143" s="999"/>
      <c r="S143" s="999"/>
      <c r="T143" s="999"/>
      <c r="U143" s="999"/>
      <c r="V143" s="999"/>
      <c r="W143" s="999"/>
      <c r="X143" s="999"/>
      <c r="Y143" s="999"/>
      <c r="Z143" s="999"/>
      <c r="AA143" s="999"/>
      <c r="AB143" s="999"/>
    </row>
    <row r="144">
      <c r="A144" s="348"/>
      <c r="B144" s="8"/>
      <c r="C144" s="1004" t="str">
        <f>'5-1 Сбор КП Закупки'!C144</f>
        <v/>
      </c>
      <c r="D144" s="1005"/>
      <c r="E144" s="1005"/>
      <c r="F144" s="1005"/>
      <c r="G144" s="1005"/>
      <c r="H144" s="1005"/>
      <c r="I144" s="1005"/>
      <c r="J144" s="1005"/>
      <c r="K144" s="1005"/>
      <c r="L144" s="1005"/>
      <c r="M144" s="394"/>
      <c r="N144" s="999"/>
      <c r="O144" s="999"/>
      <c r="P144" s="999"/>
      <c r="Q144" s="999"/>
      <c r="R144" s="999"/>
      <c r="S144" s="999"/>
      <c r="T144" s="999"/>
      <c r="U144" s="999"/>
      <c r="V144" s="999"/>
      <c r="W144" s="999"/>
      <c r="X144" s="999"/>
      <c r="Y144" s="999"/>
      <c r="Z144" s="999"/>
      <c r="AA144" s="999"/>
      <c r="AB144" s="999"/>
    </row>
    <row r="145">
      <c r="A145" s="348"/>
      <c r="B145" s="8"/>
      <c r="C145" s="1004" t="str">
        <f>'5-1 Сбор КП Закупки'!C145</f>
        <v/>
      </c>
      <c r="D145" s="1005"/>
      <c r="E145" s="1005"/>
      <c r="F145" s="1005"/>
      <c r="G145" s="1005"/>
      <c r="H145" s="1005"/>
      <c r="I145" s="1005"/>
      <c r="J145" s="1005"/>
      <c r="K145" s="1005"/>
      <c r="L145" s="1005"/>
      <c r="M145" s="394"/>
      <c r="N145" s="999"/>
      <c r="O145" s="999"/>
      <c r="P145" s="999"/>
      <c r="Q145" s="999"/>
      <c r="R145" s="999"/>
      <c r="S145" s="999"/>
      <c r="T145" s="999"/>
      <c r="U145" s="999"/>
      <c r="V145" s="999"/>
      <c r="W145" s="999"/>
      <c r="X145" s="999"/>
      <c r="Y145" s="999"/>
      <c r="Z145" s="999"/>
      <c r="AA145" s="999"/>
      <c r="AB145" s="999"/>
    </row>
    <row r="146">
      <c r="A146" s="348"/>
      <c r="B146" s="8"/>
      <c r="C146" s="1004" t="str">
        <f>'5-1 Сбор КП Закупки'!C146</f>
        <v/>
      </c>
      <c r="D146" s="1005"/>
      <c r="E146" s="1005"/>
      <c r="F146" s="1005"/>
      <c r="G146" s="1005"/>
      <c r="H146" s="1005"/>
      <c r="I146" s="1005"/>
      <c r="J146" s="1005"/>
      <c r="K146" s="1005"/>
      <c r="L146" s="1005"/>
      <c r="M146" s="394"/>
      <c r="N146" s="999"/>
      <c r="O146" s="999"/>
      <c r="P146" s="999"/>
      <c r="Q146" s="999"/>
      <c r="R146" s="999"/>
      <c r="S146" s="999"/>
      <c r="T146" s="999"/>
      <c r="U146" s="999"/>
      <c r="V146" s="999"/>
      <c r="W146" s="999"/>
      <c r="X146" s="999"/>
      <c r="Y146" s="999"/>
      <c r="Z146" s="999"/>
      <c r="AA146" s="999"/>
      <c r="AB146" s="999"/>
    </row>
    <row r="147">
      <c r="A147" s="348"/>
      <c r="B147" s="8"/>
      <c r="C147" s="1004" t="str">
        <f>'5-1 Сбор КП Закупки'!C147</f>
        <v/>
      </c>
      <c r="D147" s="1005"/>
      <c r="E147" s="1005"/>
      <c r="F147" s="1005"/>
      <c r="G147" s="1005"/>
      <c r="H147" s="1005"/>
      <c r="I147" s="1005"/>
      <c r="J147" s="1005"/>
      <c r="K147" s="1005"/>
      <c r="L147" s="1005"/>
      <c r="M147" s="394"/>
      <c r="N147" s="999"/>
      <c r="O147" s="999"/>
      <c r="P147" s="999"/>
      <c r="Q147" s="999"/>
      <c r="R147" s="999"/>
      <c r="S147" s="999"/>
      <c r="T147" s="999"/>
      <c r="U147" s="999"/>
      <c r="V147" s="999"/>
      <c r="W147" s="999"/>
      <c r="X147" s="999"/>
      <c r="Y147" s="999"/>
      <c r="Z147" s="999"/>
      <c r="AA147" s="999"/>
      <c r="AB147" s="999"/>
    </row>
    <row r="148">
      <c r="A148" s="348"/>
      <c r="B148" s="8"/>
      <c r="C148" s="1004" t="str">
        <f>'5-1 Сбор КП Закупки'!C148</f>
        <v/>
      </c>
      <c r="D148" s="1005"/>
      <c r="E148" s="1005"/>
      <c r="F148" s="1005"/>
      <c r="G148" s="1005"/>
      <c r="H148" s="1005"/>
      <c r="I148" s="1005"/>
      <c r="J148" s="1005"/>
      <c r="K148" s="1005"/>
      <c r="L148" s="1005"/>
      <c r="M148" s="394"/>
      <c r="N148" s="999"/>
      <c r="O148" s="999"/>
      <c r="P148" s="999"/>
      <c r="Q148" s="999"/>
      <c r="R148" s="999"/>
      <c r="S148" s="999"/>
      <c r="T148" s="999"/>
      <c r="U148" s="999"/>
      <c r="V148" s="999"/>
      <c r="W148" s="999"/>
      <c r="X148" s="999"/>
      <c r="Y148" s="999"/>
      <c r="Z148" s="999"/>
      <c r="AA148" s="999"/>
      <c r="AB148" s="999"/>
    </row>
    <row r="149">
      <c r="A149" s="348"/>
      <c r="B149" s="8"/>
      <c r="C149" s="1004" t="str">
        <f>'5-1 Сбор КП Закупки'!C149</f>
        <v/>
      </c>
      <c r="D149" s="1005"/>
      <c r="E149" s="1005"/>
      <c r="F149" s="1005"/>
      <c r="G149" s="1005"/>
      <c r="H149" s="1005"/>
      <c r="I149" s="1005"/>
      <c r="J149" s="1005"/>
      <c r="K149" s="1005"/>
      <c r="L149" s="1005"/>
      <c r="M149" s="394"/>
      <c r="N149" s="999"/>
      <c r="O149" s="999"/>
      <c r="P149" s="999"/>
      <c r="Q149" s="999"/>
      <c r="R149" s="999"/>
      <c r="S149" s="999"/>
      <c r="T149" s="999"/>
      <c r="U149" s="999"/>
      <c r="V149" s="999"/>
      <c r="W149" s="999"/>
      <c r="X149" s="999"/>
      <c r="Y149" s="999"/>
      <c r="Z149" s="999"/>
      <c r="AA149" s="999"/>
      <c r="AB149" s="999"/>
    </row>
    <row r="150">
      <c r="A150" s="348"/>
      <c r="B150" s="8"/>
      <c r="C150" s="1004" t="str">
        <f>'5-1 Сбор КП Закупки'!C150</f>
        <v/>
      </c>
      <c r="D150" s="1005"/>
      <c r="E150" s="1005"/>
      <c r="F150" s="1005"/>
      <c r="G150" s="1005"/>
      <c r="H150" s="1005"/>
      <c r="I150" s="1005"/>
      <c r="J150" s="1005"/>
      <c r="K150" s="1005"/>
      <c r="L150" s="1005"/>
      <c r="M150" s="394"/>
      <c r="N150" s="999"/>
      <c r="O150" s="999"/>
      <c r="P150" s="999"/>
      <c r="Q150" s="999"/>
      <c r="R150" s="999"/>
      <c r="S150" s="999"/>
      <c r="T150" s="999"/>
      <c r="U150" s="999"/>
      <c r="V150" s="999"/>
      <c r="W150" s="999"/>
      <c r="X150" s="999"/>
      <c r="Y150" s="999"/>
      <c r="Z150" s="999"/>
      <c r="AA150" s="999"/>
      <c r="AB150" s="999"/>
    </row>
    <row r="151">
      <c r="A151" s="348"/>
      <c r="B151" s="8"/>
      <c r="C151" s="1004" t="str">
        <f>'5-1 Сбор КП Закупки'!C151</f>
        <v/>
      </c>
      <c r="D151" s="1005"/>
      <c r="E151" s="1005"/>
      <c r="F151" s="1005"/>
      <c r="G151" s="1005"/>
      <c r="H151" s="1005"/>
      <c r="I151" s="1005"/>
      <c r="J151" s="1005"/>
      <c r="K151" s="1005"/>
      <c r="L151" s="1005"/>
      <c r="M151" s="394"/>
      <c r="N151" s="999"/>
      <c r="O151" s="999"/>
      <c r="P151" s="999"/>
      <c r="Q151" s="999"/>
      <c r="R151" s="999"/>
      <c r="S151" s="999"/>
      <c r="T151" s="999"/>
      <c r="U151" s="999"/>
      <c r="V151" s="999"/>
      <c r="W151" s="999"/>
      <c r="X151" s="999"/>
      <c r="Y151" s="999"/>
      <c r="Z151" s="999"/>
      <c r="AA151" s="999"/>
      <c r="AB151" s="999"/>
    </row>
    <row r="152">
      <c r="A152" s="348"/>
      <c r="B152" s="8"/>
      <c r="C152" s="1004" t="str">
        <f>'5-1 Сбор КП Закупки'!C152</f>
        <v/>
      </c>
      <c r="D152" s="1005"/>
      <c r="E152" s="1005"/>
      <c r="F152" s="1005"/>
      <c r="G152" s="1005"/>
      <c r="H152" s="1005"/>
      <c r="I152" s="1005"/>
      <c r="J152" s="1005"/>
      <c r="K152" s="1005"/>
      <c r="L152" s="1005"/>
      <c r="M152" s="394"/>
      <c r="N152" s="999"/>
      <c r="O152" s="999"/>
      <c r="P152" s="999"/>
      <c r="Q152" s="999"/>
      <c r="R152" s="999"/>
      <c r="S152" s="999"/>
      <c r="T152" s="999"/>
      <c r="U152" s="999"/>
      <c r="V152" s="999"/>
      <c r="W152" s="999"/>
      <c r="X152" s="999"/>
      <c r="Y152" s="999"/>
      <c r="Z152" s="999"/>
      <c r="AA152" s="999"/>
      <c r="AB152" s="999"/>
    </row>
    <row r="153">
      <c r="A153" s="348"/>
      <c r="B153" s="8"/>
      <c r="C153" s="1004" t="str">
        <f>'5-1 Сбор КП Закупки'!C153</f>
        <v/>
      </c>
      <c r="D153" s="1005"/>
      <c r="E153" s="1005"/>
      <c r="F153" s="1005"/>
      <c r="G153" s="1005"/>
      <c r="H153" s="1005"/>
      <c r="I153" s="1005"/>
      <c r="J153" s="1005"/>
      <c r="K153" s="1005"/>
      <c r="L153" s="1005"/>
      <c r="M153" s="394"/>
      <c r="N153" s="999"/>
      <c r="O153" s="999"/>
      <c r="P153" s="999"/>
      <c r="Q153" s="999"/>
      <c r="R153" s="999"/>
      <c r="S153" s="999"/>
      <c r="T153" s="999"/>
      <c r="U153" s="999"/>
      <c r="V153" s="999"/>
      <c r="W153" s="999"/>
      <c r="X153" s="999"/>
      <c r="Y153" s="999"/>
      <c r="Z153" s="999"/>
      <c r="AA153" s="999"/>
      <c r="AB153" s="999"/>
    </row>
    <row r="154">
      <c r="A154" s="348"/>
      <c r="B154" s="8"/>
      <c r="C154" s="1004" t="str">
        <f>'5-1 Сбор КП Закупки'!C154</f>
        <v/>
      </c>
      <c r="D154" s="1005"/>
      <c r="E154" s="1005"/>
      <c r="F154" s="1005"/>
      <c r="G154" s="1005"/>
      <c r="H154" s="1005"/>
      <c r="I154" s="1005"/>
      <c r="J154" s="1005"/>
      <c r="K154" s="1005"/>
      <c r="L154" s="1005"/>
      <c r="M154" s="394"/>
      <c r="N154" s="999"/>
      <c r="O154" s="999"/>
      <c r="P154" s="999"/>
      <c r="Q154" s="999"/>
      <c r="R154" s="999"/>
      <c r="S154" s="999"/>
      <c r="T154" s="999"/>
      <c r="U154" s="999"/>
      <c r="V154" s="999"/>
      <c r="W154" s="999"/>
      <c r="X154" s="999"/>
      <c r="Y154" s="999"/>
      <c r="Z154" s="999"/>
      <c r="AA154" s="999"/>
      <c r="AB154" s="999"/>
    </row>
    <row r="155">
      <c r="A155" s="348"/>
      <c r="B155" s="8"/>
      <c r="C155" s="1004" t="str">
        <f>'5-1 Сбор КП Закупки'!C155</f>
        <v/>
      </c>
      <c r="D155" s="1005"/>
      <c r="E155" s="1005"/>
      <c r="F155" s="1005"/>
      <c r="G155" s="1005"/>
      <c r="H155" s="1005"/>
      <c r="I155" s="1005"/>
      <c r="J155" s="1005"/>
      <c r="K155" s="1005"/>
      <c r="L155" s="1005"/>
      <c r="M155" s="394"/>
      <c r="N155" s="999"/>
      <c r="O155" s="999"/>
      <c r="P155" s="999"/>
      <c r="Q155" s="999"/>
      <c r="R155" s="999"/>
      <c r="S155" s="999"/>
      <c r="T155" s="999"/>
      <c r="U155" s="999"/>
      <c r="V155" s="999"/>
      <c r="W155" s="999"/>
      <c r="X155" s="999"/>
      <c r="Y155" s="999"/>
      <c r="Z155" s="999"/>
      <c r="AA155" s="999"/>
      <c r="AB155" s="999"/>
    </row>
    <row r="156">
      <c r="A156" s="348"/>
      <c r="B156" s="8"/>
      <c r="C156" s="1004" t="str">
        <f>'5-1 Сбор КП Закупки'!C156</f>
        <v/>
      </c>
      <c r="D156" s="1005"/>
      <c r="E156" s="1005"/>
      <c r="F156" s="1005"/>
      <c r="G156" s="1005"/>
      <c r="H156" s="1005"/>
      <c r="I156" s="1005"/>
      <c r="J156" s="1005"/>
      <c r="K156" s="1005"/>
      <c r="L156" s="1005"/>
      <c r="M156" s="394"/>
      <c r="N156" s="999"/>
      <c r="O156" s="999"/>
      <c r="P156" s="999"/>
      <c r="Q156" s="999"/>
      <c r="R156" s="999"/>
      <c r="S156" s="999"/>
      <c r="T156" s="999"/>
      <c r="U156" s="999"/>
      <c r="V156" s="999"/>
      <c r="W156" s="999"/>
      <c r="X156" s="999"/>
      <c r="Y156" s="999"/>
      <c r="Z156" s="999"/>
      <c r="AA156" s="999"/>
      <c r="AB156" s="999"/>
    </row>
    <row r="157">
      <c r="A157" s="348"/>
      <c r="B157" s="8"/>
      <c r="C157" s="1004" t="str">
        <f>'5-1 Сбор КП Закупки'!C157</f>
        <v/>
      </c>
      <c r="D157" s="1005"/>
      <c r="E157" s="1005"/>
      <c r="F157" s="1005"/>
      <c r="G157" s="1005"/>
      <c r="H157" s="1005"/>
      <c r="I157" s="1005"/>
      <c r="J157" s="1005"/>
      <c r="K157" s="1005"/>
      <c r="L157" s="1005"/>
      <c r="M157" s="394"/>
      <c r="N157" s="999"/>
      <c r="O157" s="999"/>
      <c r="P157" s="999"/>
      <c r="Q157" s="999"/>
      <c r="R157" s="999"/>
      <c r="S157" s="999"/>
      <c r="T157" s="999"/>
      <c r="U157" s="999"/>
      <c r="V157" s="999"/>
      <c r="W157" s="999"/>
      <c r="X157" s="999"/>
      <c r="Y157" s="999"/>
      <c r="Z157" s="999"/>
      <c r="AA157" s="999"/>
      <c r="AB157" s="999"/>
    </row>
    <row r="158">
      <c r="A158" s="348"/>
      <c r="B158" s="8"/>
      <c r="C158" s="1004" t="str">
        <f>'5-1 Сбор КП Закупки'!C158</f>
        <v/>
      </c>
      <c r="D158" s="1005"/>
      <c r="E158" s="1005"/>
      <c r="F158" s="1005"/>
      <c r="G158" s="1005"/>
      <c r="H158" s="1005"/>
      <c r="I158" s="1005"/>
      <c r="J158" s="1005"/>
      <c r="K158" s="1005"/>
      <c r="L158" s="1005"/>
      <c r="M158" s="394"/>
      <c r="N158" s="999"/>
      <c r="O158" s="999"/>
      <c r="P158" s="999"/>
      <c r="Q158" s="999"/>
      <c r="R158" s="999"/>
      <c r="S158" s="999"/>
      <c r="T158" s="999"/>
      <c r="U158" s="999"/>
      <c r="V158" s="999"/>
      <c r="W158" s="999"/>
      <c r="X158" s="999"/>
      <c r="Y158" s="999"/>
      <c r="Z158" s="999"/>
      <c r="AA158" s="999"/>
      <c r="AB158" s="999"/>
    </row>
    <row r="159">
      <c r="A159" s="348"/>
      <c r="B159" s="8"/>
      <c r="C159" s="1004" t="str">
        <f>'5-1 Сбор КП Закупки'!C159</f>
        <v/>
      </c>
      <c r="D159" s="1005"/>
      <c r="E159" s="1005"/>
      <c r="F159" s="1005"/>
      <c r="G159" s="1005"/>
      <c r="H159" s="1005"/>
      <c r="I159" s="1005"/>
      <c r="J159" s="1005"/>
      <c r="K159" s="1005"/>
      <c r="L159" s="1005"/>
      <c r="M159" s="394"/>
      <c r="N159" s="999"/>
      <c r="O159" s="999"/>
      <c r="P159" s="999"/>
      <c r="Q159" s="999"/>
      <c r="R159" s="999"/>
      <c r="S159" s="999"/>
      <c r="T159" s="999"/>
      <c r="U159" s="999"/>
      <c r="V159" s="999"/>
      <c r="W159" s="999"/>
      <c r="X159" s="999"/>
      <c r="Y159" s="999"/>
      <c r="Z159" s="999"/>
      <c r="AA159" s="999"/>
      <c r="AB159" s="999"/>
    </row>
    <row r="160">
      <c r="A160" s="348"/>
      <c r="B160" s="8"/>
      <c r="C160" s="1004" t="str">
        <f>'5-1 Сбор КП Закупки'!C160</f>
        <v/>
      </c>
      <c r="D160" s="1005"/>
      <c r="E160" s="1005"/>
      <c r="F160" s="1005"/>
      <c r="G160" s="1005"/>
      <c r="H160" s="1005"/>
      <c r="I160" s="1005"/>
      <c r="J160" s="1005"/>
      <c r="K160" s="1005"/>
      <c r="L160" s="1005"/>
      <c r="M160" s="394"/>
      <c r="N160" s="999"/>
      <c r="O160" s="999"/>
      <c r="P160" s="999"/>
      <c r="Q160" s="999"/>
      <c r="R160" s="999"/>
      <c r="S160" s="999"/>
      <c r="T160" s="999"/>
      <c r="U160" s="999"/>
      <c r="V160" s="999"/>
      <c r="W160" s="999"/>
      <c r="X160" s="999"/>
      <c r="Y160" s="999"/>
      <c r="Z160" s="999"/>
      <c r="AA160" s="999"/>
      <c r="AB160" s="999"/>
    </row>
    <row r="161">
      <c r="A161" s="348"/>
      <c r="B161" s="8"/>
      <c r="C161" s="1004" t="str">
        <f>'5-1 Сбор КП Закупки'!C161</f>
        <v/>
      </c>
      <c r="D161" s="1005"/>
      <c r="E161" s="1005"/>
      <c r="F161" s="1005"/>
      <c r="G161" s="1005"/>
      <c r="H161" s="1005"/>
      <c r="I161" s="1005"/>
      <c r="J161" s="1005"/>
      <c r="K161" s="1005"/>
      <c r="L161" s="1005"/>
      <c r="M161" s="394"/>
      <c r="N161" s="999"/>
      <c r="O161" s="999"/>
      <c r="P161" s="999"/>
      <c r="Q161" s="999"/>
      <c r="R161" s="999"/>
      <c r="S161" s="999"/>
      <c r="T161" s="999"/>
      <c r="U161" s="999"/>
      <c r="V161" s="999"/>
      <c r="W161" s="999"/>
      <c r="X161" s="999"/>
      <c r="Y161" s="999"/>
      <c r="Z161" s="999"/>
      <c r="AA161" s="999"/>
      <c r="AB161" s="999"/>
    </row>
    <row r="162">
      <c r="A162" s="348"/>
      <c r="B162" s="8"/>
      <c r="C162" s="1004" t="str">
        <f>'5-1 Сбор КП Закупки'!C162</f>
        <v/>
      </c>
      <c r="D162" s="1005"/>
      <c r="E162" s="1005"/>
      <c r="F162" s="1005"/>
      <c r="G162" s="1005"/>
      <c r="H162" s="1005"/>
      <c r="I162" s="1005"/>
      <c r="J162" s="1005"/>
      <c r="K162" s="1005"/>
      <c r="L162" s="1005"/>
      <c r="M162" s="394"/>
      <c r="N162" s="999"/>
      <c r="O162" s="999"/>
      <c r="P162" s="999"/>
      <c r="Q162" s="999"/>
      <c r="R162" s="999"/>
      <c r="S162" s="999"/>
      <c r="T162" s="999"/>
      <c r="U162" s="999"/>
      <c r="V162" s="999"/>
      <c r="W162" s="999"/>
      <c r="X162" s="999"/>
      <c r="Y162" s="999"/>
      <c r="Z162" s="999"/>
      <c r="AA162" s="999"/>
      <c r="AB162" s="999"/>
    </row>
    <row r="163">
      <c r="A163" s="348"/>
      <c r="B163" s="8"/>
      <c r="C163" s="1004" t="str">
        <f>'5-1 Сбор КП Закупки'!C163</f>
        <v/>
      </c>
      <c r="D163" s="1005"/>
      <c r="E163" s="1005"/>
      <c r="F163" s="1005"/>
      <c r="G163" s="1005"/>
      <c r="H163" s="1005"/>
      <c r="I163" s="1005"/>
      <c r="J163" s="1005"/>
      <c r="K163" s="1005"/>
      <c r="L163" s="1005"/>
      <c r="M163" s="394"/>
      <c r="N163" s="999"/>
      <c r="O163" s="999"/>
      <c r="P163" s="999"/>
      <c r="Q163" s="999"/>
      <c r="R163" s="999"/>
      <c r="S163" s="999"/>
      <c r="T163" s="999"/>
      <c r="U163" s="999"/>
      <c r="V163" s="999"/>
      <c r="W163" s="999"/>
      <c r="X163" s="999"/>
      <c r="Y163" s="999"/>
      <c r="Z163" s="999"/>
      <c r="AA163" s="999"/>
      <c r="AB163" s="999"/>
    </row>
    <row r="164">
      <c r="A164" s="348"/>
      <c r="B164" s="8"/>
      <c r="C164" s="1004" t="str">
        <f>'5-1 Сбор КП Закупки'!C164</f>
        <v/>
      </c>
      <c r="D164" s="1005"/>
      <c r="E164" s="1005"/>
      <c r="F164" s="1005"/>
      <c r="G164" s="1005"/>
      <c r="H164" s="1005"/>
      <c r="I164" s="1005"/>
      <c r="J164" s="1005"/>
      <c r="K164" s="1005"/>
      <c r="L164" s="1005"/>
      <c r="M164" s="394"/>
      <c r="N164" s="999"/>
      <c r="O164" s="999"/>
      <c r="P164" s="999"/>
      <c r="Q164" s="999"/>
      <c r="R164" s="999"/>
      <c r="S164" s="999"/>
      <c r="T164" s="999"/>
      <c r="U164" s="999"/>
      <c r="V164" s="999"/>
      <c r="W164" s="999"/>
      <c r="X164" s="999"/>
      <c r="Y164" s="999"/>
      <c r="Z164" s="999"/>
      <c r="AA164" s="999"/>
      <c r="AB164" s="999"/>
    </row>
    <row r="165">
      <c r="A165" s="348"/>
      <c r="B165" s="8"/>
      <c r="C165" s="1004" t="str">
        <f>'5-1 Сбор КП Закупки'!C165</f>
        <v/>
      </c>
      <c r="D165" s="1005"/>
      <c r="E165" s="1005"/>
      <c r="F165" s="1005"/>
      <c r="G165" s="1005"/>
      <c r="H165" s="1005"/>
      <c r="I165" s="1005"/>
      <c r="J165" s="1005"/>
      <c r="K165" s="1005"/>
      <c r="L165" s="1005"/>
      <c r="M165" s="394"/>
      <c r="N165" s="999"/>
      <c r="O165" s="999"/>
      <c r="P165" s="999"/>
      <c r="Q165" s="999"/>
      <c r="R165" s="999"/>
      <c r="S165" s="999"/>
      <c r="T165" s="999"/>
      <c r="U165" s="999"/>
      <c r="V165" s="999"/>
      <c r="W165" s="999"/>
      <c r="X165" s="999"/>
      <c r="Y165" s="999"/>
      <c r="Z165" s="999"/>
      <c r="AA165" s="999"/>
      <c r="AB165" s="999"/>
    </row>
    <row r="166">
      <c r="A166" s="348"/>
      <c r="B166" s="8"/>
      <c r="C166" s="1004" t="str">
        <f>'5-1 Сбор КП Закупки'!C166</f>
        <v/>
      </c>
      <c r="D166" s="1005"/>
      <c r="E166" s="1005"/>
      <c r="F166" s="1005"/>
      <c r="G166" s="1005"/>
      <c r="H166" s="1005"/>
      <c r="I166" s="1005"/>
      <c r="J166" s="1005"/>
      <c r="K166" s="1005"/>
      <c r="L166" s="1005"/>
      <c r="M166" s="394"/>
      <c r="N166" s="999"/>
      <c r="O166" s="999"/>
      <c r="P166" s="999"/>
      <c r="Q166" s="999"/>
      <c r="R166" s="999"/>
      <c r="S166" s="999"/>
      <c r="T166" s="999"/>
      <c r="U166" s="999"/>
      <c r="V166" s="999"/>
      <c r="W166" s="999"/>
      <c r="X166" s="999"/>
      <c r="Y166" s="999"/>
      <c r="Z166" s="999"/>
      <c r="AA166" s="999"/>
      <c r="AB166" s="999"/>
    </row>
    <row r="167">
      <c r="A167" s="348"/>
      <c r="B167" s="8"/>
      <c r="C167" s="1004" t="str">
        <f>'5-1 Сбор КП Закупки'!C167</f>
        <v/>
      </c>
      <c r="D167" s="1005"/>
      <c r="E167" s="1005"/>
      <c r="F167" s="1005"/>
      <c r="G167" s="1005"/>
      <c r="H167" s="1005"/>
      <c r="I167" s="1005"/>
      <c r="J167" s="1005"/>
      <c r="K167" s="1005"/>
      <c r="L167" s="1005"/>
      <c r="M167" s="394"/>
      <c r="N167" s="999"/>
      <c r="O167" s="999"/>
      <c r="P167" s="999"/>
      <c r="Q167" s="999"/>
      <c r="R167" s="999"/>
      <c r="S167" s="999"/>
      <c r="T167" s="999"/>
      <c r="U167" s="999"/>
      <c r="V167" s="999"/>
      <c r="W167" s="999"/>
      <c r="X167" s="999"/>
      <c r="Y167" s="999"/>
      <c r="Z167" s="999"/>
      <c r="AA167" s="999"/>
      <c r="AB167" s="999"/>
    </row>
    <row r="168">
      <c r="A168" s="348"/>
      <c r="B168" s="8"/>
      <c r="C168" s="1004" t="str">
        <f>'5-1 Сбор КП Закупки'!C168</f>
        <v/>
      </c>
      <c r="D168" s="1005"/>
      <c r="E168" s="1005"/>
      <c r="F168" s="1005"/>
      <c r="G168" s="1005"/>
      <c r="H168" s="1005"/>
      <c r="I168" s="1005"/>
      <c r="J168" s="1005"/>
      <c r="K168" s="1005"/>
      <c r="L168" s="1005"/>
      <c r="M168" s="394"/>
      <c r="N168" s="999"/>
      <c r="O168" s="999"/>
      <c r="P168" s="999"/>
      <c r="Q168" s="999"/>
      <c r="R168" s="999"/>
      <c r="S168" s="999"/>
      <c r="T168" s="999"/>
      <c r="U168" s="999"/>
      <c r="V168" s="999"/>
      <c r="W168" s="999"/>
      <c r="X168" s="999"/>
      <c r="Y168" s="999"/>
      <c r="Z168" s="999"/>
      <c r="AA168" s="999"/>
      <c r="AB168" s="999"/>
    </row>
    <row r="169">
      <c r="A169" s="348"/>
      <c r="B169" s="8"/>
      <c r="C169" s="1004" t="str">
        <f>'5-1 Сбор КП Закупки'!C169</f>
        <v/>
      </c>
      <c r="D169" s="1005"/>
      <c r="E169" s="1005"/>
      <c r="F169" s="1005"/>
      <c r="G169" s="1005"/>
      <c r="H169" s="1005"/>
      <c r="I169" s="1005"/>
      <c r="J169" s="1005"/>
      <c r="K169" s="1005"/>
      <c r="L169" s="1005"/>
      <c r="M169" s="394"/>
      <c r="N169" s="999"/>
      <c r="O169" s="999"/>
      <c r="P169" s="999"/>
      <c r="Q169" s="999"/>
      <c r="R169" s="999"/>
      <c r="S169" s="999"/>
      <c r="T169" s="999"/>
      <c r="U169" s="999"/>
      <c r="V169" s="999"/>
      <c r="W169" s="999"/>
      <c r="X169" s="999"/>
      <c r="Y169" s="999"/>
      <c r="Z169" s="999"/>
      <c r="AA169" s="999"/>
      <c r="AB169" s="999"/>
    </row>
    <row r="170">
      <c r="A170" s="348"/>
      <c r="B170" s="8"/>
      <c r="C170" s="1004" t="str">
        <f>'5-1 Сбор КП Закупки'!C170</f>
        <v/>
      </c>
      <c r="D170" s="1005"/>
      <c r="E170" s="1005"/>
      <c r="F170" s="1005"/>
      <c r="G170" s="1005"/>
      <c r="H170" s="1005"/>
      <c r="I170" s="1005"/>
      <c r="J170" s="1005"/>
      <c r="K170" s="1005"/>
      <c r="L170" s="1005"/>
      <c r="M170" s="394"/>
      <c r="N170" s="999"/>
      <c r="O170" s="999"/>
      <c r="P170" s="999"/>
      <c r="Q170" s="999"/>
      <c r="R170" s="999"/>
      <c r="S170" s="999"/>
      <c r="T170" s="999"/>
      <c r="U170" s="999"/>
      <c r="V170" s="999"/>
      <c r="W170" s="999"/>
      <c r="X170" s="999"/>
      <c r="Y170" s="999"/>
      <c r="Z170" s="999"/>
      <c r="AA170" s="999"/>
      <c r="AB170" s="999"/>
    </row>
    <row r="171">
      <c r="A171" s="348"/>
      <c r="B171" s="8"/>
      <c r="C171" s="1004" t="str">
        <f>'5-1 Сбор КП Закупки'!C171</f>
        <v/>
      </c>
      <c r="D171" s="1005"/>
      <c r="E171" s="1005"/>
      <c r="F171" s="1005"/>
      <c r="G171" s="1005"/>
      <c r="H171" s="1005"/>
      <c r="I171" s="1005"/>
      <c r="J171" s="1005"/>
      <c r="K171" s="1005"/>
      <c r="L171" s="1005"/>
      <c r="M171" s="394"/>
      <c r="N171" s="999"/>
      <c r="O171" s="999"/>
      <c r="P171" s="999"/>
      <c r="Q171" s="999"/>
      <c r="R171" s="999"/>
      <c r="S171" s="999"/>
      <c r="T171" s="999"/>
      <c r="U171" s="999"/>
      <c r="V171" s="999"/>
      <c r="W171" s="999"/>
      <c r="X171" s="999"/>
      <c r="Y171" s="999"/>
      <c r="Z171" s="999"/>
      <c r="AA171" s="999"/>
      <c r="AB171" s="999"/>
    </row>
    <row r="172">
      <c r="A172" s="348"/>
      <c r="B172" s="8"/>
      <c r="C172" s="1004" t="str">
        <f>'5-1 Сбор КП Закупки'!C172</f>
        <v/>
      </c>
      <c r="D172" s="1005"/>
      <c r="E172" s="1005"/>
      <c r="F172" s="1005"/>
      <c r="G172" s="1005"/>
      <c r="H172" s="1005"/>
      <c r="I172" s="1005"/>
      <c r="J172" s="1005"/>
      <c r="K172" s="1005"/>
      <c r="L172" s="1005"/>
      <c r="M172" s="394"/>
      <c r="N172" s="999"/>
      <c r="O172" s="999"/>
      <c r="P172" s="999"/>
      <c r="Q172" s="999"/>
      <c r="R172" s="999"/>
      <c r="S172" s="999"/>
      <c r="T172" s="999"/>
      <c r="U172" s="999"/>
      <c r="V172" s="999"/>
      <c r="W172" s="999"/>
      <c r="X172" s="999"/>
      <c r="Y172" s="999"/>
      <c r="Z172" s="999"/>
      <c r="AA172" s="999"/>
      <c r="AB172" s="999"/>
    </row>
    <row r="173">
      <c r="A173" s="348"/>
      <c r="B173" s="8"/>
      <c r="C173" s="1004" t="str">
        <f>'5-1 Сбор КП Закупки'!C173</f>
        <v/>
      </c>
      <c r="D173" s="1005"/>
      <c r="E173" s="1005"/>
      <c r="F173" s="1005"/>
      <c r="G173" s="1005"/>
      <c r="H173" s="1005"/>
      <c r="I173" s="1005"/>
      <c r="J173" s="1005"/>
      <c r="K173" s="1005"/>
      <c r="L173" s="1005"/>
      <c r="M173" s="394"/>
      <c r="N173" s="999"/>
      <c r="O173" s="999"/>
      <c r="P173" s="999"/>
      <c r="Q173" s="999"/>
      <c r="R173" s="999"/>
      <c r="S173" s="999"/>
      <c r="T173" s="999"/>
      <c r="U173" s="999"/>
      <c r="V173" s="999"/>
      <c r="W173" s="999"/>
      <c r="X173" s="999"/>
      <c r="Y173" s="999"/>
      <c r="Z173" s="999"/>
      <c r="AA173" s="999"/>
      <c r="AB173" s="999"/>
    </row>
    <row r="174">
      <c r="A174" s="348"/>
      <c r="B174" s="8"/>
      <c r="C174" s="1004" t="str">
        <f>'5-1 Сбор КП Закупки'!C174</f>
        <v/>
      </c>
      <c r="D174" s="1005"/>
      <c r="E174" s="1005"/>
      <c r="F174" s="1005"/>
      <c r="G174" s="1005"/>
      <c r="H174" s="1005"/>
      <c r="I174" s="1005"/>
      <c r="J174" s="1005"/>
      <c r="K174" s="1005"/>
      <c r="L174" s="1005"/>
      <c r="M174" s="394"/>
      <c r="N174" s="999"/>
      <c r="O174" s="999"/>
      <c r="P174" s="999"/>
      <c r="Q174" s="999"/>
      <c r="R174" s="999"/>
      <c r="S174" s="999"/>
      <c r="T174" s="999"/>
      <c r="U174" s="999"/>
      <c r="V174" s="999"/>
      <c r="W174" s="999"/>
      <c r="X174" s="999"/>
      <c r="Y174" s="999"/>
      <c r="Z174" s="999"/>
      <c r="AA174" s="999"/>
      <c r="AB174" s="999"/>
    </row>
    <row r="175">
      <c r="A175" s="348"/>
      <c r="B175" s="8"/>
      <c r="C175" s="1004" t="str">
        <f>'5-1 Сбор КП Закупки'!C175</f>
        <v/>
      </c>
      <c r="D175" s="1005"/>
      <c r="E175" s="1005"/>
      <c r="F175" s="1005"/>
      <c r="G175" s="1005"/>
      <c r="H175" s="1005"/>
      <c r="I175" s="1005"/>
      <c r="J175" s="1005"/>
      <c r="K175" s="1005"/>
      <c r="L175" s="1005"/>
      <c r="M175" s="394"/>
      <c r="N175" s="999"/>
      <c r="O175" s="999"/>
      <c r="P175" s="999"/>
      <c r="Q175" s="999"/>
      <c r="R175" s="999"/>
      <c r="S175" s="999"/>
      <c r="T175" s="999"/>
      <c r="U175" s="999"/>
      <c r="V175" s="999"/>
      <c r="W175" s="999"/>
      <c r="X175" s="999"/>
      <c r="Y175" s="999"/>
      <c r="Z175" s="999"/>
      <c r="AA175" s="999"/>
      <c r="AB175" s="999"/>
    </row>
    <row r="176">
      <c r="A176" s="348"/>
      <c r="B176" s="8"/>
      <c r="C176" s="1004" t="str">
        <f>'5-1 Сбор КП Закупки'!C176</f>
        <v/>
      </c>
      <c r="D176" s="1005"/>
      <c r="E176" s="1005"/>
      <c r="F176" s="1005"/>
      <c r="G176" s="1005"/>
      <c r="H176" s="1005"/>
      <c r="I176" s="1005"/>
      <c r="J176" s="1005"/>
      <c r="K176" s="1005"/>
      <c r="L176" s="1005"/>
      <c r="M176" s="394"/>
      <c r="N176" s="999"/>
      <c r="O176" s="999"/>
      <c r="P176" s="999"/>
      <c r="Q176" s="999"/>
      <c r="R176" s="999"/>
      <c r="S176" s="999"/>
      <c r="T176" s="999"/>
      <c r="U176" s="999"/>
      <c r="V176" s="999"/>
      <c r="W176" s="999"/>
      <c r="X176" s="999"/>
      <c r="Y176" s="999"/>
      <c r="Z176" s="999"/>
      <c r="AA176" s="999"/>
      <c r="AB176" s="999"/>
    </row>
    <row r="177">
      <c r="A177" s="348"/>
      <c r="B177" s="8"/>
      <c r="C177" s="1004" t="str">
        <f>'5-1 Сбор КП Закупки'!C177</f>
        <v/>
      </c>
      <c r="D177" s="1005"/>
      <c r="E177" s="1005"/>
      <c r="F177" s="1005"/>
      <c r="G177" s="1005"/>
      <c r="H177" s="1005"/>
      <c r="I177" s="1005"/>
      <c r="J177" s="1005"/>
      <c r="K177" s="1005"/>
      <c r="L177" s="1005"/>
      <c r="M177" s="394"/>
      <c r="N177" s="999"/>
      <c r="O177" s="999"/>
      <c r="P177" s="999"/>
      <c r="Q177" s="999"/>
      <c r="R177" s="999"/>
      <c r="S177" s="999"/>
      <c r="T177" s="999"/>
      <c r="U177" s="999"/>
      <c r="V177" s="999"/>
      <c r="W177" s="999"/>
      <c r="X177" s="999"/>
      <c r="Y177" s="999"/>
      <c r="Z177" s="999"/>
      <c r="AA177" s="999"/>
      <c r="AB177" s="999"/>
    </row>
    <row r="178">
      <c r="A178" s="348"/>
      <c r="B178" s="8"/>
      <c r="C178" s="1004" t="str">
        <f>'5-1 Сбор КП Закупки'!C178</f>
        <v/>
      </c>
      <c r="D178" s="1005"/>
      <c r="E178" s="1005"/>
      <c r="F178" s="1005"/>
      <c r="G178" s="1005"/>
      <c r="H178" s="1005"/>
      <c r="I178" s="1005"/>
      <c r="J178" s="1005"/>
      <c r="K178" s="1005"/>
      <c r="L178" s="1005"/>
      <c r="M178" s="394"/>
      <c r="N178" s="999"/>
      <c r="O178" s="999"/>
      <c r="P178" s="999"/>
      <c r="Q178" s="999"/>
      <c r="R178" s="999"/>
      <c r="S178" s="999"/>
      <c r="T178" s="999"/>
      <c r="U178" s="999"/>
      <c r="V178" s="999"/>
      <c r="W178" s="999"/>
      <c r="X178" s="999"/>
      <c r="Y178" s="999"/>
      <c r="Z178" s="999"/>
      <c r="AA178" s="999"/>
      <c r="AB178" s="999"/>
    </row>
    <row r="179">
      <c r="A179" s="348"/>
      <c r="B179" s="8"/>
      <c r="C179" s="1004" t="str">
        <f>'5-1 Сбор КП Закупки'!C179</f>
        <v/>
      </c>
      <c r="D179" s="1005"/>
      <c r="E179" s="1005"/>
      <c r="F179" s="1005"/>
      <c r="G179" s="1005"/>
      <c r="H179" s="1005"/>
      <c r="I179" s="1005"/>
      <c r="J179" s="1005"/>
      <c r="K179" s="1005"/>
      <c r="L179" s="1005"/>
      <c r="M179" s="394"/>
      <c r="N179" s="999"/>
      <c r="O179" s="999"/>
      <c r="P179" s="999"/>
      <c r="Q179" s="999"/>
      <c r="R179" s="999"/>
      <c r="S179" s="999"/>
      <c r="T179" s="999"/>
      <c r="U179" s="999"/>
      <c r="V179" s="999"/>
      <c r="W179" s="999"/>
      <c r="X179" s="999"/>
      <c r="Y179" s="999"/>
      <c r="Z179" s="999"/>
      <c r="AA179" s="999"/>
      <c r="AB179" s="999"/>
    </row>
    <row r="180">
      <c r="A180" s="348"/>
      <c r="B180" s="8"/>
      <c r="C180" s="1004" t="str">
        <f>'5-1 Сбор КП Закупки'!C180</f>
        <v/>
      </c>
      <c r="D180" s="1005"/>
      <c r="E180" s="1005"/>
      <c r="F180" s="1005"/>
      <c r="G180" s="1005"/>
      <c r="H180" s="1005"/>
      <c r="I180" s="1005"/>
      <c r="J180" s="1005"/>
      <c r="K180" s="1005"/>
      <c r="L180" s="1005"/>
      <c r="M180" s="394"/>
      <c r="N180" s="999"/>
      <c r="O180" s="999"/>
      <c r="P180" s="999"/>
      <c r="Q180" s="999"/>
      <c r="R180" s="999"/>
      <c r="S180" s="999"/>
      <c r="T180" s="999"/>
      <c r="U180" s="999"/>
      <c r="V180" s="999"/>
      <c r="W180" s="999"/>
      <c r="X180" s="999"/>
      <c r="Y180" s="999"/>
      <c r="Z180" s="999"/>
      <c r="AA180" s="999"/>
      <c r="AB180" s="999"/>
    </row>
    <row r="181">
      <c r="A181" s="348"/>
      <c r="B181" s="8"/>
      <c r="C181" s="1004" t="str">
        <f>'5-1 Сбор КП Закупки'!C181</f>
        <v/>
      </c>
      <c r="D181" s="1005"/>
      <c r="E181" s="1005"/>
      <c r="F181" s="1005"/>
      <c r="G181" s="1005"/>
      <c r="H181" s="1005"/>
      <c r="I181" s="1005"/>
      <c r="J181" s="1005"/>
      <c r="K181" s="1005"/>
      <c r="L181" s="1005"/>
      <c r="M181" s="394"/>
      <c r="N181" s="999"/>
      <c r="O181" s="999"/>
      <c r="P181" s="999"/>
      <c r="Q181" s="999"/>
      <c r="R181" s="999"/>
      <c r="S181" s="999"/>
      <c r="T181" s="999"/>
      <c r="U181" s="999"/>
      <c r="V181" s="999"/>
      <c r="W181" s="999"/>
      <c r="X181" s="999"/>
      <c r="Y181" s="999"/>
      <c r="Z181" s="999"/>
      <c r="AA181" s="999"/>
      <c r="AB181" s="999"/>
    </row>
    <row r="182">
      <c r="A182" s="348"/>
      <c r="B182" s="8"/>
      <c r="C182" s="1004" t="str">
        <f>'5-1 Сбор КП Закупки'!C182</f>
        <v/>
      </c>
      <c r="D182" s="1005"/>
      <c r="E182" s="1005"/>
      <c r="F182" s="1005"/>
      <c r="G182" s="1005"/>
      <c r="H182" s="1005"/>
      <c r="I182" s="1005"/>
      <c r="J182" s="1005"/>
      <c r="K182" s="1005"/>
      <c r="L182" s="1005"/>
      <c r="M182" s="394"/>
      <c r="N182" s="999"/>
      <c r="O182" s="999"/>
      <c r="P182" s="999"/>
      <c r="Q182" s="999"/>
      <c r="R182" s="999"/>
      <c r="S182" s="999"/>
      <c r="T182" s="999"/>
      <c r="U182" s="999"/>
      <c r="V182" s="999"/>
      <c r="W182" s="999"/>
      <c r="X182" s="999"/>
      <c r="Y182" s="999"/>
      <c r="Z182" s="999"/>
      <c r="AA182" s="999"/>
      <c r="AB182" s="999"/>
    </row>
    <row r="183">
      <c r="A183" s="348"/>
      <c r="B183" s="8"/>
      <c r="C183" s="1004" t="str">
        <f>'5-1 Сбор КП Закупки'!C183</f>
        <v/>
      </c>
      <c r="D183" s="1005"/>
      <c r="E183" s="1005"/>
      <c r="F183" s="1005"/>
      <c r="G183" s="1005"/>
      <c r="H183" s="1005"/>
      <c r="I183" s="1005"/>
      <c r="J183" s="1005"/>
      <c r="K183" s="1005"/>
      <c r="L183" s="1005"/>
      <c r="M183" s="394"/>
      <c r="N183" s="999"/>
      <c r="O183" s="999"/>
      <c r="P183" s="999"/>
      <c r="Q183" s="999"/>
      <c r="R183" s="999"/>
      <c r="S183" s="999"/>
      <c r="T183" s="999"/>
      <c r="U183" s="999"/>
      <c r="V183" s="999"/>
      <c r="W183" s="999"/>
      <c r="X183" s="999"/>
      <c r="Y183" s="999"/>
      <c r="Z183" s="999"/>
      <c r="AA183" s="999"/>
      <c r="AB183" s="999"/>
    </row>
    <row r="184">
      <c r="A184" s="348"/>
      <c r="B184" s="8"/>
      <c r="C184" s="1004" t="str">
        <f>'5-1 Сбор КП Закупки'!C184</f>
        <v/>
      </c>
      <c r="D184" s="1005"/>
      <c r="E184" s="1005"/>
      <c r="F184" s="1005"/>
      <c r="G184" s="1005"/>
      <c r="H184" s="1005"/>
      <c r="I184" s="1005"/>
      <c r="J184" s="1005"/>
      <c r="K184" s="1005"/>
      <c r="L184" s="1005"/>
      <c r="M184" s="394"/>
      <c r="N184" s="999"/>
      <c r="O184" s="999"/>
      <c r="P184" s="999"/>
      <c r="Q184" s="999"/>
      <c r="R184" s="999"/>
      <c r="S184" s="999"/>
      <c r="T184" s="999"/>
      <c r="U184" s="999"/>
      <c r="V184" s="999"/>
      <c r="W184" s="999"/>
      <c r="X184" s="999"/>
      <c r="Y184" s="999"/>
      <c r="Z184" s="999"/>
      <c r="AA184" s="999"/>
      <c r="AB184" s="999"/>
    </row>
    <row r="185">
      <c r="A185" s="348"/>
      <c r="B185" s="8"/>
      <c r="C185" s="1004" t="str">
        <f>'5-1 Сбор КП Закупки'!C185</f>
        <v/>
      </c>
      <c r="D185" s="1005"/>
      <c r="E185" s="1005"/>
      <c r="F185" s="1005"/>
      <c r="G185" s="1005"/>
      <c r="H185" s="1005"/>
      <c r="I185" s="1005"/>
      <c r="J185" s="1005"/>
      <c r="K185" s="1005"/>
      <c r="L185" s="1005"/>
      <c r="M185" s="394"/>
      <c r="N185" s="999"/>
      <c r="O185" s="999"/>
      <c r="P185" s="999"/>
      <c r="Q185" s="999"/>
      <c r="R185" s="999"/>
      <c r="S185" s="999"/>
      <c r="T185" s="999"/>
      <c r="U185" s="999"/>
      <c r="V185" s="999"/>
      <c r="W185" s="999"/>
      <c r="X185" s="999"/>
      <c r="Y185" s="999"/>
      <c r="Z185" s="999"/>
      <c r="AA185" s="999"/>
      <c r="AB185" s="999"/>
    </row>
    <row r="186">
      <c r="A186" s="348"/>
      <c r="B186" s="8"/>
      <c r="C186" s="1004" t="str">
        <f>'5-1 Сбор КП Закупки'!C186</f>
        <v/>
      </c>
      <c r="D186" s="1005"/>
      <c r="E186" s="1005"/>
      <c r="F186" s="1005"/>
      <c r="G186" s="1005"/>
      <c r="H186" s="1005"/>
      <c r="I186" s="1005"/>
      <c r="J186" s="1005"/>
      <c r="K186" s="1005"/>
      <c r="L186" s="1005"/>
      <c r="M186" s="394"/>
      <c r="N186" s="999"/>
      <c r="O186" s="999"/>
      <c r="P186" s="999"/>
      <c r="Q186" s="999"/>
      <c r="R186" s="999"/>
      <c r="S186" s="999"/>
      <c r="T186" s="999"/>
      <c r="U186" s="999"/>
      <c r="V186" s="999"/>
      <c r="W186" s="999"/>
      <c r="X186" s="999"/>
      <c r="Y186" s="999"/>
      <c r="Z186" s="999"/>
      <c r="AA186" s="999"/>
      <c r="AB186" s="999"/>
    </row>
    <row r="187">
      <c r="A187" s="348"/>
      <c r="B187" s="8"/>
      <c r="C187" s="1004" t="str">
        <f>'5-1 Сбор КП Закупки'!C187</f>
        <v/>
      </c>
      <c r="D187" s="1005"/>
      <c r="E187" s="1005"/>
      <c r="F187" s="1005"/>
      <c r="G187" s="1005"/>
      <c r="H187" s="1005"/>
      <c r="I187" s="1005"/>
      <c r="J187" s="1005"/>
      <c r="K187" s="1005"/>
      <c r="L187" s="1005"/>
      <c r="M187" s="394"/>
      <c r="N187" s="999"/>
      <c r="O187" s="999"/>
      <c r="P187" s="999"/>
      <c r="Q187" s="999"/>
      <c r="R187" s="999"/>
      <c r="S187" s="999"/>
      <c r="T187" s="999"/>
      <c r="U187" s="999"/>
      <c r="V187" s="999"/>
      <c r="W187" s="999"/>
      <c r="X187" s="999"/>
      <c r="Y187" s="999"/>
      <c r="Z187" s="999"/>
      <c r="AA187" s="999"/>
      <c r="AB187" s="999"/>
    </row>
    <row r="188">
      <c r="A188" s="348"/>
      <c r="B188" s="8"/>
      <c r="C188" s="1004" t="str">
        <f>'5-1 Сбор КП Закупки'!C188</f>
        <v/>
      </c>
      <c r="D188" s="1005"/>
      <c r="E188" s="1005"/>
      <c r="F188" s="1005"/>
      <c r="G188" s="1005"/>
      <c r="H188" s="1005"/>
      <c r="I188" s="1005"/>
      <c r="J188" s="1005"/>
      <c r="K188" s="1005"/>
      <c r="L188" s="1005"/>
      <c r="M188" s="394"/>
      <c r="N188" s="999"/>
      <c r="O188" s="999"/>
      <c r="P188" s="999"/>
      <c r="Q188" s="999"/>
      <c r="R188" s="999"/>
      <c r="S188" s="999"/>
      <c r="T188" s="999"/>
      <c r="U188" s="999"/>
      <c r="V188" s="999"/>
      <c r="W188" s="999"/>
      <c r="X188" s="999"/>
      <c r="Y188" s="999"/>
      <c r="Z188" s="999"/>
      <c r="AA188" s="999"/>
      <c r="AB188" s="999"/>
    </row>
    <row r="189">
      <c r="A189" s="348"/>
      <c r="B189" s="8"/>
      <c r="C189" s="1004" t="str">
        <f>'5-1 Сбор КП Закупки'!C189</f>
        <v/>
      </c>
      <c r="D189" s="1005"/>
      <c r="E189" s="1005"/>
      <c r="F189" s="1005"/>
      <c r="G189" s="1005"/>
      <c r="H189" s="1005"/>
      <c r="I189" s="1005"/>
      <c r="J189" s="1005"/>
      <c r="K189" s="1005"/>
      <c r="L189" s="1005"/>
      <c r="M189" s="394"/>
      <c r="N189" s="999"/>
      <c r="O189" s="999"/>
      <c r="P189" s="999"/>
      <c r="Q189" s="999"/>
      <c r="R189" s="999"/>
      <c r="S189" s="999"/>
      <c r="T189" s="999"/>
      <c r="U189" s="999"/>
      <c r="V189" s="999"/>
      <c r="W189" s="999"/>
      <c r="X189" s="999"/>
      <c r="Y189" s="999"/>
      <c r="Z189" s="999"/>
      <c r="AA189" s="999"/>
      <c r="AB189" s="999"/>
    </row>
    <row r="190">
      <c r="A190" s="348"/>
      <c r="B190" s="8"/>
      <c r="C190" s="1004" t="str">
        <f>'5-1 Сбор КП Закупки'!C190</f>
        <v/>
      </c>
      <c r="D190" s="1005"/>
      <c r="E190" s="1005"/>
      <c r="F190" s="1005"/>
      <c r="G190" s="1005"/>
      <c r="H190" s="1005"/>
      <c r="I190" s="1005"/>
      <c r="J190" s="1005"/>
      <c r="K190" s="1005"/>
      <c r="L190" s="1005"/>
      <c r="M190" s="394"/>
      <c r="N190" s="999"/>
      <c r="O190" s="999"/>
      <c r="P190" s="999"/>
      <c r="Q190" s="999"/>
      <c r="R190" s="999"/>
      <c r="S190" s="999"/>
      <c r="T190" s="999"/>
      <c r="U190" s="999"/>
      <c r="V190" s="999"/>
      <c r="W190" s="999"/>
      <c r="X190" s="999"/>
      <c r="Y190" s="999"/>
      <c r="Z190" s="999"/>
      <c r="AA190" s="999"/>
      <c r="AB190" s="999"/>
    </row>
    <row r="191">
      <c r="A191" s="348"/>
      <c r="B191" s="8"/>
      <c r="C191" s="1004" t="str">
        <f>'5-1 Сбор КП Закупки'!C191</f>
        <v/>
      </c>
      <c r="D191" s="1005"/>
      <c r="E191" s="1005"/>
      <c r="F191" s="1005"/>
      <c r="G191" s="1005"/>
      <c r="H191" s="1005"/>
      <c r="I191" s="1005"/>
      <c r="J191" s="1005"/>
      <c r="K191" s="1005"/>
      <c r="L191" s="1005"/>
      <c r="M191" s="394"/>
      <c r="N191" s="999"/>
      <c r="O191" s="999"/>
      <c r="P191" s="999"/>
      <c r="Q191" s="999"/>
      <c r="R191" s="999"/>
      <c r="S191" s="999"/>
      <c r="T191" s="999"/>
      <c r="U191" s="999"/>
      <c r="V191" s="999"/>
      <c r="W191" s="999"/>
      <c r="X191" s="999"/>
      <c r="Y191" s="999"/>
      <c r="Z191" s="999"/>
      <c r="AA191" s="999"/>
      <c r="AB191" s="999"/>
    </row>
    <row r="192">
      <c r="A192" s="348"/>
      <c r="B192" s="8"/>
      <c r="C192" s="1004" t="str">
        <f>'5-1 Сбор КП Закупки'!C192</f>
        <v/>
      </c>
      <c r="D192" s="1005"/>
      <c r="E192" s="1005"/>
      <c r="F192" s="1005"/>
      <c r="G192" s="1005"/>
      <c r="H192" s="1005"/>
      <c r="I192" s="1005"/>
      <c r="J192" s="1005"/>
      <c r="K192" s="1005"/>
      <c r="L192" s="1005"/>
      <c r="M192" s="394"/>
      <c r="N192" s="999"/>
      <c r="O192" s="999"/>
      <c r="P192" s="999"/>
      <c r="Q192" s="999"/>
      <c r="R192" s="999"/>
      <c r="S192" s="999"/>
      <c r="T192" s="999"/>
      <c r="U192" s="999"/>
      <c r="V192" s="999"/>
      <c r="W192" s="999"/>
      <c r="X192" s="999"/>
      <c r="Y192" s="999"/>
      <c r="Z192" s="999"/>
      <c r="AA192" s="999"/>
      <c r="AB192" s="999"/>
    </row>
    <row r="193">
      <c r="A193" s="348"/>
      <c r="B193" s="8"/>
      <c r="C193" s="1004" t="str">
        <f>'5-1 Сбор КП Закупки'!C193</f>
        <v/>
      </c>
      <c r="D193" s="1005"/>
      <c r="E193" s="1005"/>
      <c r="F193" s="1005"/>
      <c r="G193" s="1005"/>
      <c r="H193" s="1005"/>
      <c r="I193" s="1005"/>
      <c r="J193" s="1005"/>
      <c r="K193" s="1005"/>
      <c r="L193" s="1005"/>
      <c r="M193" s="394"/>
      <c r="N193" s="999"/>
      <c r="O193" s="999"/>
      <c r="P193" s="999"/>
      <c r="Q193" s="999"/>
      <c r="R193" s="999"/>
      <c r="S193" s="999"/>
      <c r="T193" s="999"/>
      <c r="U193" s="999"/>
      <c r="V193" s="999"/>
      <c r="W193" s="999"/>
      <c r="X193" s="999"/>
      <c r="Y193" s="999"/>
      <c r="Z193" s="999"/>
      <c r="AA193" s="999"/>
      <c r="AB193" s="999"/>
    </row>
    <row r="194">
      <c r="A194" s="348"/>
      <c r="B194" s="8"/>
      <c r="C194" s="1004" t="str">
        <f>'5-1 Сбор КП Закупки'!C194</f>
        <v/>
      </c>
      <c r="D194" s="1005"/>
      <c r="E194" s="1005"/>
      <c r="F194" s="1005"/>
      <c r="G194" s="1005"/>
      <c r="H194" s="1005"/>
      <c r="I194" s="1005"/>
      <c r="J194" s="1005"/>
      <c r="K194" s="1005"/>
      <c r="L194" s="1005"/>
      <c r="M194" s="394"/>
      <c r="N194" s="999"/>
      <c r="O194" s="999"/>
      <c r="P194" s="999"/>
      <c r="Q194" s="999"/>
      <c r="R194" s="999"/>
      <c r="S194" s="999"/>
      <c r="T194" s="999"/>
      <c r="U194" s="999"/>
      <c r="V194" s="999"/>
      <c r="W194" s="999"/>
      <c r="X194" s="999"/>
      <c r="Y194" s="999"/>
      <c r="Z194" s="999"/>
      <c r="AA194" s="999"/>
      <c r="AB194" s="999"/>
    </row>
    <row r="195">
      <c r="A195" s="348"/>
      <c r="B195" s="8"/>
      <c r="C195" s="1004" t="str">
        <f>'5-1 Сбор КП Закупки'!C195</f>
        <v/>
      </c>
      <c r="D195" s="1005"/>
      <c r="E195" s="1005"/>
      <c r="F195" s="1005"/>
      <c r="G195" s="1005"/>
      <c r="H195" s="1005"/>
      <c r="I195" s="1005"/>
      <c r="J195" s="1005"/>
      <c r="K195" s="1005"/>
      <c r="L195" s="1005"/>
      <c r="M195" s="394"/>
      <c r="N195" s="999"/>
      <c r="O195" s="999"/>
      <c r="P195" s="999"/>
      <c r="Q195" s="999"/>
      <c r="R195" s="999"/>
      <c r="S195" s="999"/>
      <c r="T195" s="999"/>
      <c r="U195" s="999"/>
      <c r="V195" s="999"/>
      <c r="W195" s="999"/>
      <c r="X195" s="999"/>
      <c r="Y195" s="999"/>
      <c r="Z195" s="999"/>
      <c r="AA195" s="999"/>
      <c r="AB195" s="999"/>
    </row>
    <row r="196">
      <c r="A196" s="348"/>
      <c r="B196" s="8"/>
      <c r="C196" s="1004" t="str">
        <f>'5-1 Сбор КП Закупки'!C196</f>
        <v/>
      </c>
      <c r="D196" s="1005"/>
      <c r="E196" s="1005"/>
      <c r="F196" s="1005"/>
      <c r="G196" s="1005"/>
      <c r="H196" s="1005"/>
      <c r="I196" s="1005"/>
      <c r="J196" s="1005"/>
      <c r="K196" s="1005"/>
      <c r="L196" s="1005"/>
      <c r="M196" s="394"/>
      <c r="N196" s="999"/>
      <c r="O196" s="999"/>
      <c r="P196" s="999"/>
      <c r="Q196" s="999"/>
      <c r="R196" s="999"/>
      <c r="S196" s="999"/>
      <c r="T196" s="999"/>
      <c r="U196" s="999"/>
      <c r="V196" s="999"/>
      <c r="W196" s="999"/>
      <c r="X196" s="999"/>
      <c r="Y196" s="999"/>
      <c r="Z196" s="999"/>
      <c r="AA196" s="999"/>
      <c r="AB196" s="999"/>
    </row>
    <row r="197">
      <c r="A197" s="348"/>
      <c r="B197" s="8"/>
      <c r="C197" s="1004" t="str">
        <f>'5-1 Сбор КП Закупки'!C197</f>
        <v/>
      </c>
      <c r="D197" s="1005"/>
      <c r="E197" s="1005"/>
      <c r="F197" s="1005"/>
      <c r="G197" s="1005"/>
      <c r="H197" s="1005"/>
      <c r="I197" s="1005"/>
      <c r="J197" s="1005"/>
      <c r="K197" s="1005"/>
      <c r="L197" s="1005"/>
      <c r="M197" s="394"/>
      <c r="N197" s="999"/>
      <c r="O197" s="999"/>
      <c r="P197" s="999"/>
      <c r="Q197" s="999"/>
      <c r="R197" s="999"/>
      <c r="S197" s="999"/>
      <c r="T197" s="999"/>
      <c r="U197" s="999"/>
      <c r="V197" s="999"/>
      <c r="W197" s="999"/>
      <c r="X197" s="999"/>
      <c r="Y197" s="999"/>
      <c r="Z197" s="999"/>
      <c r="AA197" s="999"/>
      <c r="AB197" s="999"/>
    </row>
    <row r="198">
      <c r="A198" s="348"/>
      <c r="B198" s="8"/>
      <c r="C198" s="1004" t="str">
        <f>'5-1 Сбор КП Закупки'!C198</f>
        <v/>
      </c>
      <c r="D198" s="1005"/>
      <c r="E198" s="1005"/>
      <c r="F198" s="1005"/>
      <c r="G198" s="1005"/>
      <c r="H198" s="1005"/>
      <c r="I198" s="1005"/>
      <c r="J198" s="1005"/>
      <c r="K198" s="1005"/>
      <c r="L198" s="1005"/>
      <c r="M198" s="394"/>
      <c r="N198" s="999"/>
      <c r="O198" s="999"/>
      <c r="P198" s="999"/>
      <c r="Q198" s="999"/>
      <c r="R198" s="999"/>
      <c r="S198" s="999"/>
      <c r="T198" s="999"/>
      <c r="U198" s="999"/>
      <c r="V198" s="999"/>
      <c r="W198" s="999"/>
      <c r="X198" s="999"/>
      <c r="Y198" s="999"/>
      <c r="Z198" s="999"/>
      <c r="AA198" s="999"/>
      <c r="AB198" s="999"/>
    </row>
    <row r="199">
      <c r="A199" s="348"/>
      <c r="B199" s="8"/>
      <c r="C199" s="1004" t="str">
        <f>'5-1 Сбор КП Закупки'!C199</f>
        <v/>
      </c>
      <c r="D199" s="1005"/>
      <c r="E199" s="1005"/>
      <c r="F199" s="1005"/>
      <c r="G199" s="1005"/>
      <c r="H199" s="1005"/>
      <c r="I199" s="1005"/>
      <c r="J199" s="1005"/>
      <c r="K199" s="1005"/>
      <c r="L199" s="1005"/>
      <c r="M199" s="394"/>
      <c r="N199" s="999"/>
      <c r="O199" s="999"/>
      <c r="P199" s="999"/>
      <c r="Q199" s="999"/>
      <c r="R199" s="999"/>
      <c r="S199" s="999"/>
      <c r="T199" s="999"/>
      <c r="U199" s="999"/>
      <c r="V199" s="999"/>
      <c r="W199" s="999"/>
      <c r="X199" s="999"/>
      <c r="Y199" s="999"/>
      <c r="Z199" s="999"/>
      <c r="AA199" s="999"/>
      <c r="AB199" s="999"/>
    </row>
    <row r="200">
      <c r="A200" s="348"/>
      <c r="B200" s="8"/>
      <c r="C200" s="1004" t="str">
        <f>'5-1 Сбор КП Закупки'!C200</f>
        <v/>
      </c>
      <c r="D200" s="1005"/>
      <c r="E200" s="1005"/>
      <c r="F200" s="1005"/>
      <c r="G200" s="1005"/>
      <c r="H200" s="1005"/>
      <c r="I200" s="1005"/>
      <c r="J200" s="1005"/>
      <c r="K200" s="1005"/>
      <c r="L200" s="1005"/>
      <c r="M200" s="394"/>
      <c r="N200" s="999"/>
      <c r="O200" s="999"/>
      <c r="P200" s="999"/>
      <c r="Q200" s="999"/>
      <c r="R200" s="999"/>
      <c r="S200" s="999"/>
      <c r="T200" s="999"/>
      <c r="U200" s="999"/>
      <c r="V200" s="999"/>
      <c r="W200" s="999"/>
      <c r="X200" s="999"/>
      <c r="Y200" s="999"/>
      <c r="Z200" s="999"/>
      <c r="AA200" s="999"/>
      <c r="AB200" s="999"/>
    </row>
    <row r="201">
      <c r="A201" s="348"/>
      <c r="B201" s="8"/>
      <c r="C201" s="1004" t="str">
        <f>'5-1 Сбор КП Закупки'!C201</f>
        <v/>
      </c>
      <c r="D201" s="1005"/>
      <c r="E201" s="1005"/>
      <c r="F201" s="1005"/>
      <c r="G201" s="1005"/>
      <c r="H201" s="1005"/>
      <c r="I201" s="1005"/>
      <c r="J201" s="1005"/>
      <c r="K201" s="1005"/>
      <c r="L201" s="1005"/>
      <c r="M201" s="394"/>
      <c r="N201" s="999"/>
      <c r="O201" s="999"/>
      <c r="P201" s="999"/>
      <c r="Q201" s="999"/>
      <c r="R201" s="999"/>
      <c r="S201" s="999"/>
      <c r="T201" s="999"/>
      <c r="U201" s="999"/>
      <c r="V201" s="999"/>
      <c r="W201" s="999"/>
      <c r="X201" s="999"/>
      <c r="Y201" s="999"/>
      <c r="Z201" s="999"/>
      <c r="AA201" s="999"/>
      <c r="AB201" s="999"/>
    </row>
    <row r="202">
      <c r="A202" s="348"/>
      <c r="B202" s="8"/>
      <c r="C202" s="1004" t="str">
        <f>'5-1 Сбор КП Закупки'!C202</f>
        <v/>
      </c>
      <c r="D202" s="1005"/>
      <c r="E202" s="1005"/>
      <c r="F202" s="1005"/>
      <c r="G202" s="1005"/>
      <c r="H202" s="1005"/>
      <c r="I202" s="1005"/>
      <c r="J202" s="1005"/>
      <c r="K202" s="1005"/>
      <c r="L202" s="1005"/>
      <c r="M202" s="394"/>
      <c r="N202" s="999"/>
      <c r="O202" s="999"/>
      <c r="P202" s="999"/>
      <c r="Q202" s="999"/>
      <c r="R202" s="999"/>
      <c r="S202" s="999"/>
      <c r="T202" s="999"/>
      <c r="U202" s="999"/>
      <c r="V202" s="999"/>
      <c r="W202" s="999"/>
      <c r="X202" s="999"/>
      <c r="Y202" s="999"/>
      <c r="Z202" s="999"/>
      <c r="AA202" s="999"/>
      <c r="AB202" s="999"/>
    </row>
    <row r="203">
      <c r="A203" s="348"/>
      <c r="B203" s="8"/>
      <c r="C203" s="1004" t="str">
        <f>'5-1 Сбор КП Закупки'!C203</f>
        <v/>
      </c>
      <c r="D203" s="1005"/>
      <c r="E203" s="1005"/>
      <c r="F203" s="1005"/>
      <c r="G203" s="1005"/>
      <c r="H203" s="1005"/>
      <c r="I203" s="1005"/>
      <c r="J203" s="1005"/>
      <c r="K203" s="1005"/>
      <c r="L203" s="1005"/>
      <c r="M203" s="394"/>
      <c r="N203" s="999"/>
      <c r="O203" s="999"/>
      <c r="P203" s="999"/>
      <c r="Q203" s="999"/>
      <c r="R203" s="999"/>
      <c r="S203" s="999"/>
      <c r="T203" s="999"/>
      <c r="U203" s="999"/>
      <c r="V203" s="999"/>
      <c r="W203" s="999"/>
      <c r="X203" s="999"/>
      <c r="Y203" s="999"/>
      <c r="Z203" s="999"/>
      <c r="AA203" s="999"/>
      <c r="AB203" s="999"/>
    </row>
    <row r="204">
      <c r="A204" s="348"/>
      <c r="B204" s="8"/>
      <c r="C204" s="1004" t="str">
        <f>'5-1 Сбор КП Закупки'!C204</f>
        <v/>
      </c>
      <c r="D204" s="1005"/>
      <c r="E204" s="1005"/>
      <c r="F204" s="1005"/>
      <c r="G204" s="1005"/>
      <c r="H204" s="1005"/>
      <c r="I204" s="1005"/>
      <c r="J204" s="1005"/>
      <c r="K204" s="1005"/>
      <c r="L204" s="1005"/>
      <c r="M204" s="394"/>
      <c r="N204" s="999"/>
      <c r="O204" s="999"/>
      <c r="P204" s="999"/>
      <c r="Q204" s="999"/>
      <c r="R204" s="999"/>
      <c r="S204" s="999"/>
      <c r="T204" s="999"/>
      <c r="U204" s="999"/>
      <c r="V204" s="999"/>
      <c r="W204" s="999"/>
      <c r="X204" s="999"/>
      <c r="Y204" s="999"/>
      <c r="Z204" s="999"/>
      <c r="AA204" s="999"/>
      <c r="AB204" s="999"/>
    </row>
    <row r="205">
      <c r="A205" s="348"/>
      <c r="B205" s="8"/>
      <c r="C205" s="1004" t="str">
        <f>'5-1 Сбор КП Закупки'!C205</f>
        <v/>
      </c>
      <c r="D205" s="1005"/>
      <c r="E205" s="1005"/>
      <c r="F205" s="1005"/>
      <c r="G205" s="1005"/>
      <c r="H205" s="1005"/>
      <c r="I205" s="1005"/>
      <c r="J205" s="1005"/>
      <c r="K205" s="1005"/>
      <c r="L205" s="1005"/>
      <c r="M205" s="394"/>
      <c r="N205" s="999"/>
      <c r="O205" s="999"/>
      <c r="P205" s="999"/>
      <c r="Q205" s="999"/>
      <c r="R205" s="999"/>
      <c r="S205" s="999"/>
      <c r="T205" s="999"/>
      <c r="U205" s="999"/>
      <c r="V205" s="999"/>
      <c r="W205" s="999"/>
      <c r="X205" s="999"/>
      <c r="Y205" s="999"/>
      <c r="Z205" s="999"/>
      <c r="AA205" s="999"/>
      <c r="AB205" s="999"/>
    </row>
    <row r="206">
      <c r="A206" s="348"/>
      <c r="B206" s="8"/>
      <c r="C206" s="1004" t="str">
        <f>'5-1 Сбор КП Закупки'!C206</f>
        <v/>
      </c>
      <c r="D206" s="1005"/>
      <c r="E206" s="1005"/>
      <c r="F206" s="1005"/>
      <c r="G206" s="1005"/>
      <c r="H206" s="1005"/>
      <c r="I206" s="1005"/>
      <c r="J206" s="1005"/>
      <c r="K206" s="1005"/>
      <c r="L206" s="1005"/>
      <c r="M206" s="394"/>
      <c r="N206" s="999"/>
      <c r="O206" s="999"/>
      <c r="P206" s="999"/>
      <c r="Q206" s="999"/>
      <c r="R206" s="999"/>
      <c r="S206" s="999"/>
      <c r="T206" s="999"/>
      <c r="U206" s="999"/>
      <c r="V206" s="999"/>
      <c r="W206" s="999"/>
      <c r="X206" s="999"/>
      <c r="Y206" s="999"/>
      <c r="Z206" s="999"/>
      <c r="AA206" s="999"/>
      <c r="AB206" s="999"/>
    </row>
    <row r="207">
      <c r="A207" s="348"/>
      <c r="B207" s="8"/>
      <c r="C207" s="1004" t="str">
        <f>'5-1 Сбор КП Закупки'!C207</f>
        <v/>
      </c>
      <c r="D207" s="1005"/>
      <c r="E207" s="1005"/>
      <c r="F207" s="1005"/>
      <c r="G207" s="1005"/>
      <c r="H207" s="1005"/>
      <c r="I207" s="1005"/>
      <c r="J207" s="1005"/>
      <c r="K207" s="1005"/>
      <c r="L207" s="1005"/>
      <c r="M207" s="394"/>
      <c r="N207" s="999"/>
      <c r="O207" s="999"/>
      <c r="P207" s="999"/>
      <c r="Q207" s="999"/>
      <c r="R207" s="999"/>
      <c r="S207" s="999"/>
      <c r="T207" s="999"/>
      <c r="U207" s="999"/>
      <c r="V207" s="999"/>
      <c r="W207" s="999"/>
      <c r="X207" s="999"/>
      <c r="Y207" s="999"/>
      <c r="Z207" s="999"/>
      <c r="AA207" s="999"/>
      <c r="AB207" s="999"/>
    </row>
    <row r="208">
      <c r="A208" s="348"/>
      <c r="B208" s="8"/>
      <c r="C208" s="1004" t="str">
        <f>'5-1 Сбор КП Закупки'!C208</f>
        <v/>
      </c>
      <c r="D208" s="1005"/>
      <c r="E208" s="1005"/>
      <c r="F208" s="1005"/>
      <c r="G208" s="1005"/>
      <c r="H208" s="1005"/>
      <c r="I208" s="1005"/>
      <c r="J208" s="1005"/>
      <c r="K208" s="1005"/>
      <c r="L208" s="1005"/>
      <c r="M208" s="394"/>
      <c r="N208" s="999"/>
      <c r="O208" s="999"/>
      <c r="P208" s="999"/>
      <c r="Q208" s="999"/>
      <c r="R208" s="999"/>
      <c r="S208" s="999"/>
      <c r="T208" s="999"/>
      <c r="U208" s="999"/>
      <c r="V208" s="999"/>
      <c r="W208" s="999"/>
      <c r="X208" s="999"/>
      <c r="Y208" s="999"/>
      <c r="Z208" s="999"/>
      <c r="AA208" s="999"/>
      <c r="AB208" s="999"/>
    </row>
    <row r="209">
      <c r="A209" s="348"/>
      <c r="B209" s="8"/>
      <c r="C209" s="1004" t="str">
        <f>'5-1 Сбор КП Закупки'!C209</f>
        <v/>
      </c>
      <c r="D209" s="1005"/>
      <c r="E209" s="1005"/>
      <c r="F209" s="1005"/>
      <c r="G209" s="1005"/>
      <c r="H209" s="1005"/>
      <c r="I209" s="1005"/>
      <c r="J209" s="1005"/>
      <c r="K209" s="1005"/>
      <c r="L209" s="1005"/>
      <c r="M209" s="394"/>
      <c r="N209" s="999"/>
      <c r="O209" s="999"/>
      <c r="P209" s="999"/>
      <c r="Q209" s="999"/>
      <c r="R209" s="999"/>
      <c r="S209" s="999"/>
      <c r="T209" s="999"/>
      <c r="U209" s="999"/>
      <c r="V209" s="999"/>
      <c r="W209" s="999"/>
      <c r="X209" s="999"/>
      <c r="Y209" s="999"/>
      <c r="Z209" s="999"/>
      <c r="AA209" s="999"/>
      <c r="AB209" s="999"/>
    </row>
    <row r="210">
      <c r="A210" s="348"/>
      <c r="B210" s="8"/>
      <c r="C210" s="1004" t="str">
        <f>'5-1 Сбор КП Закупки'!C210</f>
        <v/>
      </c>
      <c r="D210" s="1005"/>
      <c r="E210" s="1005"/>
      <c r="F210" s="1005"/>
      <c r="G210" s="1005"/>
      <c r="H210" s="1005"/>
      <c r="I210" s="1005"/>
      <c r="J210" s="1005"/>
      <c r="K210" s="1005"/>
      <c r="L210" s="1005"/>
      <c r="M210" s="394"/>
      <c r="N210" s="999"/>
      <c r="O210" s="999"/>
      <c r="P210" s="999"/>
      <c r="Q210" s="999"/>
      <c r="R210" s="999"/>
      <c r="S210" s="999"/>
      <c r="T210" s="999"/>
      <c r="U210" s="999"/>
      <c r="V210" s="999"/>
      <c r="W210" s="999"/>
      <c r="X210" s="999"/>
      <c r="Y210" s="999"/>
      <c r="Z210" s="999"/>
      <c r="AA210" s="999"/>
      <c r="AB210" s="999"/>
    </row>
    <row r="211">
      <c r="A211" s="348"/>
      <c r="B211" s="8"/>
      <c r="C211" s="1004" t="str">
        <f>'5-1 Сбор КП Закупки'!C211</f>
        <v/>
      </c>
      <c r="D211" s="1005"/>
      <c r="E211" s="1005"/>
      <c r="F211" s="1005"/>
      <c r="G211" s="1005"/>
      <c r="H211" s="1005"/>
      <c r="I211" s="1005"/>
      <c r="J211" s="1005"/>
      <c r="K211" s="1005"/>
      <c r="L211" s="1005"/>
      <c r="M211" s="394"/>
      <c r="N211" s="999"/>
      <c r="O211" s="999"/>
      <c r="P211" s="999"/>
      <c r="Q211" s="999"/>
      <c r="R211" s="999"/>
      <c r="S211" s="999"/>
      <c r="T211" s="999"/>
      <c r="U211" s="999"/>
      <c r="V211" s="999"/>
      <c r="W211" s="999"/>
      <c r="X211" s="999"/>
      <c r="Y211" s="999"/>
      <c r="Z211" s="999"/>
      <c r="AA211" s="999"/>
      <c r="AB211" s="999"/>
    </row>
    <row r="212">
      <c r="A212" s="348"/>
      <c r="B212" s="8"/>
      <c r="C212" s="1004" t="str">
        <f>'5-1 Сбор КП Закупки'!C212</f>
        <v/>
      </c>
      <c r="D212" s="1005"/>
      <c r="E212" s="1005"/>
      <c r="F212" s="1005"/>
      <c r="G212" s="1005"/>
      <c r="H212" s="1005"/>
      <c r="I212" s="1005"/>
      <c r="J212" s="1005"/>
      <c r="K212" s="1005"/>
      <c r="L212" s="1005"/>
      <c r="M212" s="394"/>
      <c r="N212" s="999"/>
      <c r="O212" s="999"/>
      <c r="P212" s="999"/>
      <c r="Q212" s="999"/>
      <c r="R212" s="999"/>
      <c r="S212" s="999"/>
      <c r="T212" s="999"/>
      <c r="U212" s="999"/>
      <c r="V212" s="999"/>
      <c r="W212" s="999"/>
      <c r="X212" s="999"/>
      <c r="Y212" s="999"/>
      <c r="Z212" s="999"/>
      <c r="AA212" s="999"/>
      <c r="AB212" s="999"/>
    </row>
    <row r="213">
      <c r="A213" s="348"/>
      <c r="B213" s="8"/>
      <c r="C213" s="1004" t="str">
        <f>'5-1 Сбор КП Закупки'!C213</f>
        <v/>
      </c>
      <c r="D213" s="1005"/>
      <c r="E213" s="1005"/>
      <c r="F213" s="1005"/>
      <c r="G213" s="1005"/>
      <c r="H213" s="1005"/>
      <c r="I213" s="1005"/>
      <c r="J213" s="1005"/>
      <c r="K213" s="1005"/>
      <c r="L213" s="1005"/>
      <c r="M213" s="394"/>
      <c r="N213" s="999"/>
      <c r="O213" s="999"/>
      <c r="P213" s="999"/>
      <c r="Q213" s="999"/>
      <c r="R213" s="999"/>
      <c r="S213" s="999"/>
      <c r="T213" s="999"/>
      <c r="U213" s="999"/>
      <c r="V213" s="999"/>
      <c r="W213" s="999"/>
      <c r="X213" s="999"/>
      <c r="Y213" s="999"/>
      <c r="Z213" s="999"/>
      <c r="AA213" s="999"/>
      <c r="AB213" s="999"/>
    </row>
    <row r="214">
      <c r="A214" s="348"/>
      <c r="B214" s="8"/>
      <c r="C214" s="1004" t="str">
        <f>'5-1 Сбор КП Закупки'!C214</f>
        <v/>
      </c>
      <c r="D214" s="1005"/>
      <c r="E214" s="1005"/>
      <c r="F214" s="1005"/>
      <c r="G214" s="1005"/>
      <c r="H214" s="1005"/>
      <c r="I214" s="1005"/>
      <c r="J214" s="1005"/>
      <c r="K214" s="1005"/>
      <c r="L214" s="1005"/>
      <c r="M214" s="394"/>
      <c r="N214" s="999"/>
      <c r="O214" s="999"/>
      <c r="P214" s="999"/>
      <c r="Q214" s="999"/>
      <c r="R214" s="999"/>
      <c r="S214" s="999"/>
      <c r="T214" s="999"/>
      <c r="U214" s="999"/>
      <c r="V214" s="999"/>
      <c r="W214" s="999"/>
      <c r="X214" s="999"/>
      <c r="Y214" s="999"/>
      <c r="Z214" s="999"/>
      <c r="AA214" s="999"/>
      <c r="AB214" s="999"/>
    </row>
    <row r="215">
      <c r="A215" s="348"/>
      <c r="B215" s="8"/>
      <c r="C215" s="1004" t="str">
        <f>'5-1 Сбор КП Закупки'!C215</f>
        <v/>
      </c>
      <c r="D215" s="1005"/>
      <c r="E215" s="1005"/>
      <c r="F215" s="1005"/>
      <c r="G215" s="1005"/>
      <c r="H215" s="1005"/>
      <c r="I215" s="1005"/>
      <c r="J215" s="1005"/>
      <c r="K215" s="1005"/>
      <c r="L215" s="1005"/>
      <c r="M215" s="394"/>
      <c r="N215" s="999"/>
      <c r="O215" s="999"/>
      <c r="P215" s="999"/>
      <c r="Q215" s="999"/>
      <c r="R215" s="999"/>
      <c r="S215" s="999"/>
      <c r="T215" s="999"/>
      <c r="U215" s="999"/>
      <c r="V215" s="999"/>
      <c r="W215" s="999"/>
      <c r="X215" s="999"/>
      <c r="Y215" s="999"/>
      <c r="Z215" s="999"/>
      <c r="AA215" s="999"/>
      <c r="AB215" s="999"/>
    </row>
    <row r="216">
      <c r="A216" s="348"/>
      <c r="B216" s="8"/>
      <c r="C216" s="1004" t="str">
        <f>'5-1 Сбор КП Закупки'!C216</f>
        <v/>
      </c>
      <c r="D216" s="1005"/>
      <c r="E216" s="1005"/>
      <c r="F216" s="1005"/>
      <c r="G216" s="1005"/>
      <c r="H216" s="1005"/>
      <c r="I216" s="1005"/>
      <c r="J216" s="1005"/>
      <c r="K216" s="1005"/>
      <c r="L216" s="1005"/>
      <c r="M216" s="394"/>
      <c r="N216" s="999"/>
      <c r="O216" s="999"/>
      <c r="P216" s="999"/>
      <c r="Q216" s="999"/>
      <c r="R216" s="999"/>
      <c r="S216" s="999"/>
      <c r="T216" s="999"/>
      <c r="U216" s="999"/>
      <c r="V216" s="999"/>
      <c r="W216" s="999"/>
      <c r="X216" s="999"/>
      <c r="Y216" s="999"/>
      <c r="Z216" s="999"/>
      <c r="AA216" s="999"/>
      <c r="AB216" s="999"/>
    </row>
    <row r="217">
      <c r="A217" s="348"/>
      <c r="B217" s="8"/>
      <c r="C217" s="1004" t="str">
        <f>'5-1 Сбор КП Закупки'!C217</f>
        <v/>
      </c>
      <c r="D217" s="1005"/>
      <c r="E217" s="1005"/>
      <c r="F217" s="1005"/>
      <c r="G217" s="1005"/>
      <c r="H217" s="1005"/>
      <c r="I217" s="1005"/>
      <c r="J217" s="1005"/>
      <c r="K217" s="1005"/>
      <c r="L217" s="1005"/>
      <c r="M217" s="394"/>
      <c r="N217" s="999"/>
      <c r="O217" s="999"/>
      <c r="P217" s="999"/>
      <c r="Q217" s="999"/>
      <c r="R217" s="999"/>
      <c r="S217" s="999"/>
      <c r="T217" s="999"/>
      <c r="U217" s="999"/>
      <c r="V217" s="999"/>
      <c r="W217" s="999"/>
      <c r="X217" s="999"/>
      <c r="Y217" s="999"/>
      <c r="Z217" s="999"/>
      <c r="AA217" s="999"/>
      <c r="AB217" s="999"/>
    </row>
    <row r="218">
      <c r="A218" s="348"/>
      <c r="B218" s="8"/>
      <c r="C218" s="1004" t="str">
        <f>'5-1 Сбор КП Закупки'!C218</f>
        <v/>
      </c>
      <c r="D218" s="1005"/>
      <c r="E218" s="1005"/>
      <c r="F218" s="1005"/>
      <c r="G218" s="1005"/>
      <c r="H218" s="1005"/>
      <c r="I218" s="1005"/>
      <c r="J218" s="1005"/>
      <c r="K218" s="1005"/>
      <c r="L218" s="1005"/>
      <c r="M218" s="394"/>
      <c r="N218" s="999"/>
      <c r="O218" s="999"/>
      <c r="P218" s="999"/>
      <c r="Q218" s="999"/>
      <c r="R218" s="999"/>
      <c r="S218" s="999"/>
      <c r="T218" s="999"/>
      <c r="U218" s="999"/>
      <c r="V218" s="999"/>
      <c r="W218" s="999"/>
      <c r="X218" s="999"/>
      <c r="Y218" s="999"/>
      <c r="Z218" s="999"/>
      <c r="AA218" s="999"/>
      <c r="AB218" s="999"/>
    </row>
    <row r="219">
      <c r="A219" s="348"/>
      <c r="B219" s="8"/>
      <c r="C219" s="1004" t="str">
        <f>'5-1 Сбор КП Закупки'!C219</f>
        <v/>
      </c>
      <c r="D219" s="1005"/>
      <c r="E219" s="1005"/>
      <c r="F219" s="1005"/>
      <c r="G219" s="1005"/>
      <c r="H219" s="1005"/>
      <c r="I219" s="1005"/>
      <c r="J219" s="1005"/>
      <c r="K219" s="1005"/>
      <c r="L219" s="1005"/>
      <c r="M219" s="394"/>
      <c r="N219" s="999"/>
      <c r="O219" s="999"/>
      <c r="P219" s="999"/>
      <c r="Q219" s="999"/>
      <c r="R219" s="999"/>
      <c r="S219" s="999"/>
      <c r="T219" s="999"/>
      <c r="U219" s="999"/>
      <c r="V219" s="999"/>
      <c r="W219" s="999"/>
      <c r="X219" s="999"/>
      <c r="Y219" s="999"/>
      <c r="Z219" s="999"/>
      <c r="AA219" s="999"/>
      <c r="AB219" s="999"/>
    </row>
    <row r="220">
      <c r="A220" s="348"/>
      <c r="B220" s="8"/>
      <c r="C220" s="1004" t="str">
        <f>'5-1 Сбор КП Закупки'!C220</f>
        <v/>
      </c>
      <c r="D220" s="1005"/>
      <c r="E220" s="1005"/>
      <c r="F220" s="1005"/>
      <c r="G220" s="1005"/>
      <c r="H220" s="1005"/>
      <c r="I220" s="1005"/>
      <c r="J220" s="1005"/>
      <c r="K220" s="1005"/>
      <c r="L220" s="1005"/>
      <c r="M220" s="394"/>
      <c r="N220" s="999"/>
      <c r="O220" s="999"/>
      <c r="P220" s="999"/>
      <c r="Q220" s="999"/>
      <c r="R220" s="999"/>
      <c r="S220" s="999"/>
      <c r="T220" s="999"/>
      <c r="U220" s="999"/>
      <c r="V220" s="999"/>
      <c r="W220" s="999"/>
      <c r="X220" s="999"/>
      <c r="Y220" s="999"/>
      <c r="Z220" s="999"/>
      <c r="AA220" s="999"/>
      <c r="AB220" s="999"/>
    </row>
    <row r="221">
      <c r="A221" s="348"/>
      <c r="B221" s="8"/>
      <c r="C221" s="1004" t="str">
        <f>'5-1 Сбор КП Закупки'!C221</f>
        <v/>
      </c>
      <c r="D221" s="1005"/>
      <c r="E221" s="1005"/>
      <c r="F221" s="1005"/>
      <c r="G221" s="1005"/>
      <c r="H221" s="1005"/>
      <c r="I221" s="1005"/>
      <c r="J221" s="1005"/>
      <c r="K221" s="1005"/>
      <c r="L221" s="1005"/>
      <c r="M221" s="394"/>
      <c r="N221" s="999"/>
      <c r="O221" s="999"/>
      <c r="P221" s="999"/>
      <c r="Q221" s="999"/>
      <c r="R221" s="999"/>
      <c r="S221" s="999"/>
      <c r="T221" s="999"/>
      <c r="U221" s="999"/>
      <c r="V221" s="999"/>
      <c r="W221" s="999"/>
      <c r="X221" s="999"/>
      <c r="Y221" s="999"/>
      <c r="Z221" s="999"/>
      <c r="AA221" s="999"/>
      <c r="AB221" s="999"/>
    </row>
    <row r="222">
      <c r="A222" s="348"/>
      <c r="B222" s="8"/>
      <c r="C222" s="1004" t="str">
        <f>'5-1 Сбор КП Закупки'!C222</f>
        <v/>
      </c>
      <c r="D222" s="1005"/>
      <c r="E222" s="1005"/>
      <c r="F222" s="1005"/>
      <c r="G222" s="1005"/>
      <c r="H222" s="1005"/>
      <c r="I222" s="1005"/>
      <c r="J222" s="1005"/>
      <c r="K222" s="1005"/>
      <c r="L222" s="1005"/>
      <c r="M222" s="394"/>
      <c r="N222" s="999"/>
      <c r="O222" s="999"/>
      <c r="P222" s="999"/>
      <c r="Q222" s="999"/>
      <c r="R222" s="999"/>
      <c r="S222" s="999"/>
      <c r="T222" s="999"/>
      <c r="U222" s="999"/>
      <c r="V222" s="999"/>
      <c r="W222" s="999"/>
      <c r="X222" s="999"/>
      <c r="Y222" s="999"/>
      <c r="Z222" s="999"/>
      <c r="AA222" s="999"/>
      <c r="AB222" s="999"/>
    </row>
    <row r="223">
      <c r="A223" s="348"/>
      <c r="B223" s="8"/>
      <c r="C223" s="1004" t="str">
        <f>'5-1 Сбор КП Закупки'!C223</f>
        <v/>
      </c>
      <c r="D223" s="1005"/>
      <c r="E223" s="1005"/>
      <c r="F223" s="1005"/>
      <c r="G223" s="1005"/>
      <c r="H223" s="1005"/>
      <c r="I223" s="1005"/>
      <c r="J223" s="1005"/>
      <c r="K223" s="1005"/>
      <c r="L223" s="1005"/>
      <c r="M223" s="394"/>
      <c r="N223" s="999"/>
      <c r="O223" s="999"/>
      <c r="P223" s="999"/>
      <c r="Q223" s="999"/>
      <c r="R223" s="999"/>
      <c r="S223" s="999"/>
      <c r="T223" s="999"/>
      <c r="U223" s="999"/>
      <c r="V223" s="999"/>
      <c r="W223" s="999"/>
      <c r="X223" s="999"/>
      <c r="Y223" s="999"/>
      <c r="Z223" s="999"/>
      <c r="AA223" s="999"/>
      <c r="AB223" s="999"/>
    </row>
    <row r="224">
      <c r="A224" s="348"/>
      <c r="B224" s="8"/>
      <c r="C224" s="1004" t="str">
        <f>'5-1 Сбор КП Закупки'!C224</f>
        <v/>
      </c>
      <c r="D224" s="1005"/>
      <c r="E224" s="1005"/>
      <c r="F224" s="1005"/>
      <c r="G224" s="1005"/>
      <c r="H224" s="1005"/>
      <c r="I224" s="1005"/>
      <c r="J224" s="1005"/>
      <c r="K224" s="1005"/>
      <c r="L224" s="1005"/>
      <c r="M224" s="394"/>
      <c r="N224" s="999"/>
      <c r="O224" s="999"/>
      <c r="P224" s="999"/>
      <c r="Q224" s="999"/>
      <c r="R224" s="999"/>
      <c r="S224" s="999"/>
      <c r="T224" s="999"/>
      <c r="U224" s="999"/>
      <c r="V224" s="999"/>
      <c r="W224" s="999"/>
      <c r="X224" s="999"/>
      <c r="Y224" s="999"/>
      <c r="Z224" s="999"/>
      <c r="AA224" s="999"/>
      <c r="AB224" s="999"/>
    </row>
    <row r="225">
      <c r="A225" s="348"/>
      <c r="B225" s="8"/>
      <c r="C225" s="1004" t="str">
        <f>'5-1 Сбор КП Закупки'!C225</f>
        <v/>
      </c>
      <c r="D225" s="1005"/>
      <c r="E225" s="1005"/>
      <c r="F225" s="1005"/>
      <c r="G225" s="1005"/>
      <c r="H225" s="1005"/>
      <c r="I225" s="1005"/>
      <c r="J225" s="1005"/>
      <c r="K225" s="1005"/>
      <c r="L225" s="1005"/>
      <c r="M225" s="394"/>
      <c r="N225" s="999"/>
      <c r="O225" s="999"/>
      <c r="P225" s="999"/>
      <c r="Q225" s="999"/>
      <c r="R225" s="999"/>
      <c r="S225" s="999"/>
      <c r="T225" s="999"/>
      <c r="U225" s="999"/>
      <c r="V225" s="999"/>
      <c r="W225" s="999"/>
      <c r="X225" s="999"/>
      <c r="Y225" s="999"/>
      <c r="Z225" s="999"/>
      <c r="AA225" s="999"/>
      <c r="AB225" s="999"/>
    </row>
    <row r="226">
      <c r="A226" s="348"/>
      <c r="B226" s="8"/>
      <c r="C226" s="1004" t="str">
        <f>'5-1 Сбор КП Закупки'!C226</f>
        <v/>
      </c>
      <c r="D226" s="1005"/>
      <c r="E226" s="1005"/>
      <c r="F226" s="1005"/>
      <c r="G226" s="1005"/>
      <c r="H226" s="1005"/>
      <c r="I226" s="1005"/>
      <c r="J226" s="1005"/>
      <c r="K226" s="1005"/>
      <c r="L226" s="1005"/>
      <c r="M226" s="394"/>
      <c r="N226" s="999"/>
      <c r="O226" s="999"/>
      <c r="P226" s="999"/>
      <c r="Q226" s="999"/>
      <c r="R226" s="999"/>
      <c r="S226" s="999"/>
      <c r="T226" s="999"/>
      <c r="U226" s="999"/>
      <c r="V226" s="999"/>
      <c r="W226" s="999"/>
      <c r="X226" s="999"/>
      <c r="Y226" s="999"/>
      <c r="Z226" s="999"/>
      <c r="AA226" s="999"/>
      <c r="AB226" s="999"/>
    </row>
    <row r="227">
      <c r="A227" s="348"/>
      <c r="B227" s="8"/>
      <c r="C227" s="1004" t="str">
        <f>'5-1 Сбор КП Закупки'!C227</f>
        <v/>
      </c>
      <c r="D227" s="1005"/>
      <c r="E227" s="1005"/>
      <c r="F227" s="1005"/>
      <c r="G227" s="1005"/>
      <c r="H227" s="1005"/>
      <c r="I227" s="1005"/>
      <c r="J227" s="1005"/>
      <c r="K227" s="1005"/>
      <c r="L227" s="1005"/>
      <c r="M227" s="394"/>
      <c r="N227" s="999"/>
      <c r="O227" s="999"/>
      <c r="P227" s="999"/>
      <c r="Q227" s="999"/>
      <c r="R227" s="999"/>
      <c r="S227" s="999"/>
      <c r="T227" s="999"/>
      <c r="U227" s="999"/>
      <c r="V227" s="999"/>
      <c r="W227" s="999"/>
      <c r="X227" s="999"/>
      <c r="Y227" s="999"/>
      <c r="Z227" s="999"/>
      <c r="AA227" s="999"/>
      <c r="AB227" s="999"/>
    </row>
    <row r="228">
      <c r="A228" s="348"/>
      <c r="B228" s="8"/>
      <c r="C228" s="1004" t="str">
        <f>'5-1 Сбор КП Закупки'!C228</f>
        <v/>
      </c>
      <c r="D228" s="1005"/>
      <c r="E228" s="1005"/>
      <c r="F228" s="1005"/>
      <c r="G228" s="1005"/>
      <c r="H228" s="1005"/>
      <c r="I228" s="1005"/>
      <c r="J228" s="1005"/>
      <c r="K228" s="1005"/>
      <c r="L228" s="1005"/>
      <c r="M228" s="394"/>
      <c r="N228" s="999"/>
      <c r="O228" s="999"/>
      <c r="P228" s="999"/>
      <c r="Q228" s="999"/>
      <c r="R228" s="999"/>
      <c r="S228" s="999"/>
      <c r="T228" s="999"/>
      <c r="U228" s="999"/>
      <c r="V228" s="999"/>
      <c r="W228" s="999"/>
      <c r="X228" s="999"/>
      <c r="Y228" s="999"/>
      <c r="Z228" s="999"/>
      <c r="AA228" s="999"/>
      <c r="AB228" s="999"/>
    </row>
    <row r="229">
      <c r="A229" s="348"/>
      <c r="B229" s="8"/>
      <c r="C229" s="1004" t="str">
        <f>'5-1 Сбор КП Закупки'!C229</f>
        <v/>
      </c>
      <c r="D229" s="1005"/>
      <c r="E229" s="1005"/>
      <c r="F229" s="1005"/>
      <c r="G229" s="1005"/>
      <c r="H229" s="1005"/>
      <c r="I229" s="1005"/>
      <c r="J229" s="1005"/>
      <c r="K229" s="1005"/>
      <c r="L229" s="1005"/>
      <c r="M229" s="394"/>
      <c r="N229" s="999"/>
      <c r="O229" s="999"/>
      <c r="P229" s="999"/>
      <c r="Q229" s="999"/>
      <c r="R229" s="999"/>
      <c r="S229" s="999"/>
      <c r="T229" s="999"/>
      <c r="U229" s="999"/>
      <c r="V229" s="999"/>
      <c r="W229" s="999"/>
      <c r="X229" s="999"/>
      <c r="Y229" s="999"/>
      <c r="Z229" s="999"/>
      <c r="AA229" s="999"/>
      <c r="AB229" s="999"/>
    </row>
    <row r="230">
      <c r="A230" s="348"/>
      <c r="B230" s="8"/>
      <c r="C230" s="1004" t="str">
        <f>'5-1 Сбор КП Закупки'!C230</f>
        <v/>
      </c>
      <c r="D230" s="1005"/>
      <c r="E230" s="1005"/>
      <c r="F230" s="1005"/>
      <c r="G230" s="1005"/>
      <c r="H230" s="1005"/>
      <c r="I230" s="1005"/>
      <c r="J230" s="1005"/>
      <c r="K230" s="1005"/>
      <c r="L230" s="1005"/>
      <c r="M230" s="394"/>
      <c r="N230" s="999"/>
      <c r="O230" s="999"/>
      <c r="P230" s="999"/>
      <c r="Q230" s="999"/>
      <c r="R230" s="999"/>
      <c r="S230" s="999"/>
      <c r="T230" s="999"/>
      <c r="U230" s="999"/>
      <c r="V230" s="999"/>
      <c r="W230" s="999"/>
      <c r="X230" s="999"/>
      <c r="Y230" s="999"/>
      <c r="Z230" s="999"/>
      <c r="AA230" s="999"/>
      <c r="AB230" s="999"/>
    </row>
    <row r="231">
      <c r="A231" s="348"/>
      <c r="B231" s="8"/>
      <c r="C231" s="1004" t="str">
        <f>'5-1 Сбор КП Закупки'!C231</f>
        <v/>
      </c>
      <c r="D231" s="1005"/>
      <c r="E231" s="1005"/>
      <c r="F231" s="1005"/>
      <c r="G231" s="1005"/>
      <c r="H231" s="1005"/>
      <c r="I231" s="1005"/>
      <c r="J231" s="1005"/>
      <c r="K231" s="1005"/>
      <c r="L231" s="1005"/>
      <c r="M231" s="394"/>
      <c r="N231" s="999"/>
      <c r="O231" s="999"/>
      <c r="P231" s="999"/>
      <c r="Q231" s="999"/>
      <c r="R231" s="999"/>
      <c r="S231" s="999"/>
      <c r="T231" s="999"/>
      <c r="U231" s="999"/>
      <c r="V231" s="999"/>
      <c r="W231" s="999"/>
      <c r="X231" s="999"/>
      <c r="Y231" s="999"/>
      <c r="Z231" s="999"/>
      <c r="AA231" s="999"/>
      <c r="AB231" s="999"/>
    </row>
    <row r="232">
      <c r="A232" s="348"/>
      <c r="B232" s="8"/>
      <c r="C232" s="1004" t="str">
        <f>'5-1 Сбор КП Закупки'!C232</f>
        <v/>
      </c>
      <c r="D232" s="1005"/>
      <c r="E232" s="1005"/>
      <c r="F232" s="1005"/>
      <c r="G232" s="1005"/>
      <c r="H232" s="1005"/>
      <c r="I232" s="1005"/>
      <c r="J232" s="1005"/>
      <c r="K232" s="1005"/>
      <c r="L232" s="1005"/>
      <c r="M232" s="394"/>
      <c r="N232" s="999"/>
      <c r="O232" s="999"/>
      <c r="P232" s="999"/>
      <c r="Q232" s="999"/>
      <c r="R232" s="999"/>
      <c r="S232" s="999"/>
      <c r="T232" s="999"/>
      <c r="U232" s="999"/>
      <c r="V232" s="999"/>
      <c r="W232" s="999"/>
      <c r="X232" s="999"/>
      <c r="Y232" s="999"/>
      <c r="Z232" s="999"/>
      <c r="AA232" s="999"/>
      <c r="AB232" s="999"/>
    </row>
    <row r="233">
      <c r="A233" s="348"/>
      <c r="B233" s="8"/>
      <c r="C233" s="1004" t="str">
        <f>'5-1 Сбор КП Закупки'!C233</f>
        <v/>
      </c>
      <c r="D233" s="1005"/>
      <c r="E233" s="1005"/>
      <c r="F233" s="1005"/>
      <c r="G233" s="1005"/>
      <c r="H233" s="1005"/>
      <c r="I233" s="1005"/>
      <c r="J233" s="1005"/>
      <c r="K233" s="1005"/>
      <c r="L233" s="1005"/>
      <c r="M233" s="394"/>
      <c r="N233" s="999"/>
      <c r="O233" s="999"/>
      <c r="P233" s="999"/>
      <c r="Q233" s="999"/>
      <c r="R233" s="999"/>
      <c r="S233" s="999"/>
      <c r="T233" s="999"/>
      <c r="U233" s="999"/>
      <c r="V233" s="999"/>
      <c r="W233" s="999"/>
      <c r="X233" s="999"/>
      <c r="Y233" s="999"/>
      <c r="Z233" s="999"/>
      <c r="AA233" s="999"/>
      <c r="AB233" s="999"/>
    </row>
    <row r="234">
      <c r="A234" s="348"/>
      <c r="B234" s="8"/>
      <c r="C234" s="1004" t="str">
        <f>'5-1 Сбор КП Закупки'!C234</f>
        <v/>
      </c>
      <c r="D234" s="1005"/>
      <c r="E234" s="1005"/>
      <c r="F234" s="1005"/>
      <c r="G234" s="1005"/>
      <c r="H234" s="1005"/>
      <c r="I234" s="1005"/>
      <c r="J234" s="1005"/>
      <c r="K234" s="1005"/>
      <c r="L234" s="1005"/>
      <c r="M234" s="394"/>
      <c r="N234" s="999"/>
      <c r="O234" s="999"/>
      <c r="P234" s="999"/>
      <c r="Q234" s="999"/>
      <c r="R234" s="999"/>
      <c r="S234" s="999"/>
      <c r="T234" s="999"/>
      <c r="U234" s="999"/>
      <c r="V234" s="999"/>
      <c r="W234" s="999"/>
      <c r="X234" s="999"/>
      <c r="Y234" s="999"/>
      <c r="Z234" s="999"/>
      <c r="AA234" s="999"/>
      <c r="AB234" s="999"/>
    </row>
    <row r="235">
      <c r="A235" s="348"/>
      <c r="B235" s="8"/>
      <c r="C235" s="1004" t="str">
        <f>'5-1 Сбор КП Закупки'!C235</f>
        <v/>
      </c>
      <c r="D235" s="1005"/>
      <c r="E235" s="1005"/>
      <c r="F235" s="1005"/>
      <c r="G235" s="1005"/>
      <c r="H235" s="1005"/>
      <c r="I235" s="1005"/>
      <c r="J235" s="1005"/>
      <c r="K235" s="1005"/>
      <c r="L235" s="1005"/>
      <c r="M235" s="394"/>
      <c r="N235" s="999"/>
      <c r="O235" s="999"/>
      <c r="P235" s="999"/>
      <c r="Q235" s="999"/>
      <c r="R235" s="999"/>
      <c r="S235" s="999"/>
      <c r="T235" s="999"/>
      <c r="U235" s="999"/>
      <c r="V235" s="999"/>
      <c r="W235" s="999"/>
      <c r="X235" s="999"/>
      <c r="Y235" s="999"/>
      <c r="Z235" s="999"/>
      <c r="AA235" s="999"/>
      <c r="AB235" s="999"/>
    </row>
    <row r="236">
      <c r="A236" s="348"/>
      <c r="B236" s="8"/>
      <c r="C236" s="1004" t="str">
        <f>'5-1 Сбор КП Закупки'!C236</f>
        <v/>
      </c>
      <c r="D236" s="1005"/>
      <c r="E236" s="1005"/>
      <c r="F236" s="1005"/>
      <c r="G236" s="1005"/>
      <c r="H236" s="1005"/>
      <c r="I236" s="1005"/>
      <c r="J236" s="1005"/>
      <c r="K236" s="1005"/>
      <c r="L236" s="1005"/>
      <c r="M236" s="394"/>
      <c r="N236" s="999"/>
      <c r="O236" s="999"/>
      <c r="P236" s="999"/>
      <c r="Q236" s="999"/>
      <c r="R236" s="999"/>
      <c r="S236" s="999"/>
      <c r="T236" s="999"/>
      <c r="U236" s="999"/>
      <c r="V236" s="999"/>
      <c r="W236" s="999"/>
      <c r="X236" s="999"/>
      <c r="Y236" s="999"/>
      <c r="Z236" s="999"/>
      <c r="AA236" s="999"/>
      <c r="AB236" s="999"/>
    </row>
    <row r="237">
      <c r="A237" s="348"/>
      <c r="B237" s="8"/>
      <c r="C237" s="1004" t="str">
        <f>'5-1 Сбор КП Закупки'!C237</f>
        <v/>
      </c>
      <c r="D237" s="1005"/>
      <c r="E237" s="1005"/>
      <c r="F237" s="1005"/>
      <c r="G237" s="1005"/>
      <c r="H237" s="1005"/>
      <c r="I237" s="1005"/>
      <c r="J237" s="1005"/>
      <c r="K237" s="1005"/>
      <c r="L237" s="1005"/>
      <c r="M237" s="394"/>
      <c r="N237" s="999"/>
      <c r="O237" s="999"/>
      <c r="P237" s="999"/>
      <c r="Q237" s="999"/>
      <c r="R237" s="999"/>
      <c r="S237" s="999"/>
      <c r="T237" s="999"/>
      <c r="U237" s="999"/>
      <c r="V237" s="999"/>
      <c r="W237" s="999"/>
      <c r="X237" s="999"/>
      <c r="Y237" s="999"/>
      <c r="Z237" s="999"/>
      <c r="AA237" s="999"/>
      <c r="AB237" s="999"/>
    </row>
    <row r="238">
      <c r="A238" s="348"/>
      <c r="B238" s="8"/>
      <c r="C238" s="1004" t="str">
        <f>'5-1 Сбор КП Закупки'!C238</f>
        <v/>
      </c>
      <c r="D238" s="1005"/>
      <c r="E238" s="1005"/>
      <c r="F238" s="1005"/>
      <c r="G238" s="1005"/>
      <c r="H238" s="1005"/>
      <c r="I238" s="1005"/>
      <c r="J238" s="1005"/>
      <c r="K238" s="1005"/>
      <c r="L238" s="1005"/>
      <c r="M238" s="394"/>
      <c r="N238" s="999"/>
      <c r="O238" s="999"/>
      <c r="P238" s="999"/>
      <c r="Q238" s="999"/>
      <c r="R238" s="999"/>
      <c r="S238" s="999"/>
      <c r="T238" s="999"/>
      <c r="U238" s="999"/>
      <c r="V238" s="999"/>
      <c r="W238" s="999"/>
      <c r="X238" s="999"/>
      <c r="Y238" s="999"/>
      <c r="Z238" s="999"/>
      <c r="AA238" s="999"/>
      <c r="AB238" s="999"/>
    </row>
    <row r="239">
      <c r="A239" s="348"/>
      <c r="B239" s="8"/>
      <c r="C239" s="1004" t="str">
        <f>'5-1 Сбор КП Закупки'!C239</f>
        <v/>
      </c>
      <c r="D239" s="1005"/>
      <c r="E239" s="1005"/>
      <c r="F239" s="1005"/>
      <c r="G239" s="1005"/>
      <c r="H239" s="1005"/>
      <c r="I239" s="1005"/>
      <c r="J239" s="1005"/>
      <c r="K239" s="1005"/>
      <c r="L239" s="1005"/>
      <c r="M239" s="394"/>
      <c r="N239" s="999"/>
      <c r="O239" s="999"/>
      <c r="P239" s="999"/>
      <c r="Q239" s="999"/>
      <c r="R239" s="999"/>
      <c r="S239" s="999"/>
      <c r="T239" s="999"/>
      <c r="U239" s="999"/>
      <c r="V239" s="999"/>
      <c r="W239" s="999"/>
      <c r="X239" s="999"/>
      <c r="Y239" s="999"/>
      <c r="Z239" s="999"/>
      <c r="AA239" s="999"/>
      <c r="AB239" s="999"/>
    </row>
    <row r="240">
      <c r="A240" s="348"/>
      <c r="B240" s="8"/>
      <c r="C240" s="1004" t="str">
        <f>'5-1 Сбор КП Закупки'!C240</f>
        <v/>
      </c>
      <c r="D240" s="1005"/>
      <c r="E240" s="1005"/>
      <c r="F240" s="1005"/>
      <c r="G240" s="1005"/>
      <c r="H240" s="1005"/>
      <c r="I240" s="1005"/>
      <c r="J240" s="1005"/>
      <c r="K240" s="1005"/>
      <c r="L240" s="1005"/>
      <c r="M240" s="394"/>
      <c r="N240" s="999"/>
      <c r="O240" s="999"/>
      <c r="P240" s="999"/>
      <c r="Q240" s="999"/>
      <c r="R240" s="999"/>
      <c r="S240" s="999"/>
      <c r="T240" s="999"/>
      <c r="U240" s="999"/>
      <c r="V240" s="999"/>
      <c r="W240" s="999"/>
      <c r="X240" s="999"/>
      <c r="Y240" s="999"/>
      <c r="Z240" s="999"/>
      <c r="AA240" s="999"/>
      <c r="AB240" s="999"/>
    </row>
    <row r="241">
      <c r="A241" s="348"/>
      <c r="B241" s="8"/>
      <c r="C241" s="1004" t="str">
        <f>'5-1 Сбор КП Закупки'!C241</f>
        <v/>
      </c>
      <c r="D241" s="1005"/>
      <c r="E241" s="1005"/>
      <c r="F241" s="1005"/>
      <c r="G241" s="1005"/>
      <c r="H241" s="1005"/>
      <c r="I241" s="1005"/>
      <c r="J241" s="1005"/>
      <c r="K241" s="1005"/>
      <c r="L241" s="1005"/>
      <c r="M241" s="394"/>
      <c r="N241" s="999"/>
      <c r="O241" s="999"/>
      <c r="P241" s="999"/>
      <c r="Q241" s="999"/>
      <c r="R241" s="999"/>
      <c r="S241" s="999"/>
      <c r="T241" s="999"/>
      <c r="U241" s="999"/>
      <c r="V241" s="999"/>
      <c r="W241" s="999"/>
      <c r="X241" s="999"/>
      <c r="Y241" s="999"/>
      <c r="Z241" s="999"/>
      <c r="AA241" s="999"/>
      <c r="AB241" s="999"/>
    </row>
    <row r="242">
      <c r="A242" s="348"/>
      <c r="B242" s="8"/>
      <c r="C242" s="1004" t="str">
        <f>'5-1 Сбор КП Закупки'!C242</f>
        <v/>
      </c>
      <c r="D242" s="1005"/>
      <c r="E242" s="1005"/>
      <c r="F242" s="1005"/>
      <c r="G242" s="1005"/>
      <c r="H242" s="1005"/>
      <c r="I242" s="1005"/>
      <c r="J242" s="1005"/>
      <c r="K242" s="1005"/>
      <c r="L242" s="1005"/>
      <c r="M242" s="394"/>
      <c r="N242" s="999"/>
      <c r="O242" s="999"/>
      <c r="P242" s="999"/>
      <c r="Q242" s="999"/>
      <c r="R242" s="999"/>
      <c r="S242" s="999"/>
      <c r="T242" s="999"/>
      <c r="U242" s="999"/>
      <c r="V242" s="999"/>
      <c r="W242" s="999"/>
      <c r="X242" s="999"/>
      <c r="Y242" s="999"/>
      <c r="Z242" s="999"/>
      <c r="AA242" s="999"/>
      <c r="AB242" s="999"/>
    </row>
    <row r="243">
      <c r="A243" s="348"/>
      <c r="B243" s="8"/>
      <c r="C243" s="1004" t="str">
        <f>'5-1 Сбор КП Закупки'!C243</f>
        <v/>
      </c>
      <c r="D243" s="1005"/>
      <c r="E243" s="1005"/>
      <c r="F243" s="1005"/>
      <c r="G243" s="1005"/>
      <c r="H243" s="1005"/>
      <c r="I243" s="1005"/>
      <c r="J243" s="1005"/>
      <c r="K243" s="1005"/>
      <c r="L243" s="1005"/>
      <c r="M243" s="394"/>
      <c r="N243" s="999"/>
      <c r="O243" s="999"/>
      <c r="P243" s="999"/>
      <c r="Q243" s="999"/>
      <c r="R243" s="999"/>
      <c r="S243" s="999"/>
      <c r="T243" s="999"/>
      <c r="U243" s="999"/>
      <c r="V243" s="999"/>
      <c r="W243" s="999"/>
      <c r="X243" s="999"/>
      <c r="Y243" s="999"/>
      <c r="Z243" s="999"/>
      <c r="AA243" s="999"/>
      <c r="AB243" s="999"/>
    </row>
    <row r="244">
      <c r="A244" s="348"/>
      <c r="B244" s="8"/>
      <c r="C244" s="1004" t="str">
        <f>'5-1 Сбор КП Закупки'!C244</f>
        <v/>
      </c>
      <c r="D244" s="1005"/>
      <c r="E244" s="1005"/>
      <c r="F244" s="1005"/>
      <c r="G244" s="1005"/>
      <c r="H244" s="1005"/>
      <c r="I244" s="1005"/>
      <c r="J244" s="1005"/>
      <c r="K244" s="1005"/>
      <c r="L244" s="1005"/>
      <c r="M244" s="394"/>
      <c r="N244" s="999"/>
      <c r="O244" s="999"/>
      <c r="P244" s="999"/>
      <c r="Q244" s="999"/>
      <c r="R244" s="999"/>
      <c r="S244" s="999"/>
      <c r="T244" s="999"/>
      <c r="U244" s="999"/>
      <c r="V244" s="999"/>
      <c r="W244" s="999"/>
      <c r="X244" s="999"/>
      <c r="Y244" s="999"/>
      <c r="Z244" s="999"/>
      <c r="AA244" s="999"/>
      <c r="AB244" s="999"/>
    </row>
    <row r="245">
      <c r="A245" s="348"/>
      <c r="B245" s="8"/>
      <c r="C245" s="1004" t="str">
        <f>'5-1 Сбор КП Закупки'!C245</f>
        <v/>
      </c>
      <c r="D245" s="1005"/>
      <c r="E245" s="1005"/>
      <c r="F245" s="1005"/>
      <c r="G245" s="1005"/>
      <c r="H245" s="1005"/>
      <c r="I245" s="1005"/>
      <c r="J245" s="1005"/>
      <c r="K245" s="1005"/>
      <c r="L245" s="1005"/>
      <c r="M245" s="394"/>
      <c r="N245" s="999"/>
      <c r="O245" s="999"/>
      <c r="P245" s="999"/>
      <c r="Q245" s="999"/>
      <c r="R245" s="999"/>
      <c r="S245" s="999"/>
      <c r="T245" s="999"/>
      <c r="U245" s="999"/>
      <c r="V245" s="999"/>
      <c r="W245" s="999"/>
      <c r="X245" s="999"/>
      <c r="Y245" s="999"/>
      <c r="Z245" s="999"/>
      <c r="AA245" s="999"/>
      <c r="AB245" s="999"/>
    </row>
    <row r="246">
      <c r="A246" s="348"/>
      <c r="B246" s="8"/>
      <c r="C246" s="1004" t="str">
        <f>'5-1 Сбор КП Закупки'!C246</f>
        <v/>
      </c>
      <c r="D246" s="1005"/>
      <c r="E246" s="1005"/>
      <c r="F246" s="1005"/>
      <c r="G246" s="1005"/>
      <c r="H246" s="1005"/>
      <c r="I246" s="1005"/>
      <c r="J246" s="1005"/>
      <c r="K246" s="1005"/>
      <c r="L246" s="1005"/>
      <c r="M246" s="394"/>
      <c r="N246" s="999"/>
      <c r="O246" s="999"/>
      <c r="P246" s="999"/>
      <c r="Q246" s="999"/>
      <c r="R246" s="999"/>
      <c r="S246" s="999"/>
      <c r="T246" s="999"/>
      <c r="U246" s="999"/>
      <c r="V246" s="999"/>
      <c r="W246" s="999"/>
      <c r="X246" s="999"/>
      <c r="Y246" s="999"/>
      <c r="Z246" s="999"/>
      <c r="AA246" s="999"/>
      <c r="AB246" s="999"/>
    </row>
    <row r="247">
      <c r="A247" s="348"/>
      <c r="B247" s="8"/>
      <c r="C247" s="1004" t="str">
        <f>'5-1 Сбор КП Закупки'!C247</f>
        <v/>
      </c>
      <c r="D247" s="1005"/>
      <c r="E247" s="1005"/>
      <c r="F247" s="1005"/>
      <c r="G247" s="1005"/>
      <c r="H247" s="1005"/>
      <c r="I247" s="1005"/>
      <c r="J247" s="1005"/>
      <c r="K247" s="1005"/>
      <c r="L247" s="1005"/>
      <c r="M247" s="394"/>
      <c r="N247" s="999"/>
      <c r="O247" s="999"/>
      <c r="P247" s="999"/>
      <c r="Q247" s="999"/>
      <c r="R247" s="999"/>
      <c r="S247" s="999"/>
      <c r="T247" s="999"/>
      <c r="U247" s="999"/>
      <c r="V247" s="999"/>
      <c r="W247" s="999"/>
      <c r="X247" s="999"/>
      <c r="Y247" s="999"/>
      <c r="Z247" s="999"/>
      <c r="AA247" s="999"/>
      <c r="AB247" s="999"/>
    </row>
    <row r="248">
      <c r="A248" s="348"/>
      <c r="B248" s="8"/>
      <c r="C248" s="1004" t="str">
        <f>'5-1 Сбор КП Закупки'!C248</f>
        <v/>
      </c>
      <c r="D248" s="1005"/>
      <c r="E248" s="1005"/>
      <c r="F248" s="1005"/>
      <c r="G248" s="1005"/>
      <c r="H248" s="1005"/>
      <c r="I248" s="1005"/>
      <c r="J248" s="1005"/>
      <c r="K248" s="1005"/>
      <c r="L248" s="1005"/>
      <c r="M248" s="394"/>
      <c r="N248" s="999"/>
      <c r="O248" s="999"/>
      <c r="P248" s="999"/>
      <c r="Q248" s="999"/>
      <c r="R248" s="999"/>
      <c r="S248" s="999"/>
      <c r="T248" s="999"/>
      <c r="U248" s="999"/>
      <c r="V248" s="999"/>
      <c r="W248" s="999"/>
      <c r="X248" s="999"/>
      <c r="Y248" s="999"/>
      <c r="Z248" s="999"/>
      <c r="AA248" s="999"/>
      <c r="AB248" s="999"/>
    </row>
    <row r="249">
      <c r="A249" s="348"/>
      <c r="B249" s="8"/>
      <c r="C249" s="1004" t="str">
        <f>'5-1 Сбор КП Закупки'!C249</f>
        <v/>
      </c>
      <c r="D249" s="1005"/>
      <c r="E249" s="1005"/>
      <c r="F249" s="1005"/>
      <c r="G249" s="1005"/>
      <c r="H249" s="1005"/>
      <c r="I249" s="1005"/>
      <c r="J249" s="1005"/>
      <c r="K249" s="1005"/>
      <c r="L249" s="1005"/>
      <c r="M249" s="394"/>
      <c r="N249" s="999"/>
      <c r="O249" s="999"/>
      <c r="P249" s="999"/>
      <c r="Q249" s="999"/>
      <c r="R249" s="999"/>
      <c r="S249" s="999"/>
      <c r="T249" s="999"/>
      <c r="U249" s="999"/>
      <c r="V249" s="999"/>
      <c r="W249" s="999"/>
      <c r="X249" s="999"/>
      <c r="Y249" s="999"/>
      <c r="Z249" s="999"/>
      <c r="AA249" s="999"/>
      <c r="AB249" s="999"/>
    </row>
    <row r="250">
      <c r="A250" s="348"/>
      <c r="B250" s="8"/>
      <c r="C250" s="1004" t="str">
        <f>'5-1 Сбор КП Закупки'!C250</f>
        <v/>
      </c>
      <c r="D250" s="1005"/>
      <c r="E250" s="1005"/>
      <c r="F250" s="1005"/>
      <c r="G250" s="1005"/>
      <c r="H250" s="1005"/>
      <c r="I250" s="1005"/>
      <c r="J250" s="1005"/>
      <c r="K250" s="1005"/>
      <c r="L250" s="1005"/>
      <c r="M250" s="394"/>
      <c r="N250" s="999"/>
      <c r="O250" s="999"/>
      <c r="P250" s="999"/>
      <c r="Q250" s="999"/>
      <c r="R250" s="999"/>
      <c r="S250" s="999"/>
      <c r="T250" s="999"/>
      <c r="U250" s="999"/>
      <c r="V250" s="999"/>
      <c r="W250" s="999"/>
      <c r="X250" s="999"/>
      <c r="Y250" s="999"/>
      <c r="Z250" s="999"/>
      <c r="AA250" s="999"/>
      <c r="AB250" s="999"/>
    </row>
    <row r="251">
      <c r="A251" s="348"/>
      <c r="B251" s="8"/>
      <c r="C251" s="1004" t="str">
        <f>'5-1 Сбор КП Закупки'!C251</f>
        <v/>
      </c>
      <c r="D251" s="1005"/>
      <c r="E251" s="1005"/>
      <c r="F251" s="1005"/>
      <c r="G251" s="1005"/>
      <c r="H251" s="1005"/>
      <c r="I251" s="1005"/>
      <c r="J251" s="1005"/>
      <c r="K251" s="1005"/>
      <c r="L251" s="1005"/>
      <c r="M251" s="394"/>
      <c r="N251" s="999"/>
      <c r="O251" s="999"/>
      <c r="P251" s="999"/>
      <c r="Q251" s="999"/>
      <c r="R251" s="999"/>
      <c r="S251" s="999"/>
      <c r="T251" s="999"/>
      <c r="U251" s="999"/>
      <c r="V251" s="999"/>
      <c r="W251" s="999"/>
      <c r="X251" s="999"/>
      <c r="Y251" s="999"/>
      <c r="Z251" s="999"/>
      <c r="AA251" s="999"/>
      <c r="AB251" s="999"/>
    </row>
    <row r="252">
      <c r="A252" s="348"/>
      <c r="B252" s="8"/>
      <c r="C252" s="1004" t="str">
        <f>'5-1 Сбор КП Закупки'!C252</f>
        <v/>
      </c>
      <c r="D252" s="1005"/>
      <c r="E252" s="1005"/>
      <c r="F252" s="1005"/>
      <c r="G252" s="1005"/>
      <c r="H252" s="1005"/>
      <c r="I252" s="1005"/>
      <c r="J252" s="1005"/>
      <c r="K252" s="1005"/>
      <c r="L252" s="1005"/>
      <c r="M252" s="394"/>
      <c r="N252" s="999"/>
      <c r="O252" s="999"/>
      <c r="P252" s="999"/>
      <c r="Q252" s="999"/>
      <c r="R252" s="999"/>
      <c r="S252" s="999"/>
      <c r="T252" s="999"/>
      <c r="U252" s="999"/>
      <c r="V252" s="999"/>
      <c r="W252" s="999"/>
      <c r="X252" s="999"/>
      <c r="Y252" s="999"/>
      <c r="Z252" s="999"/>
      <c r="AA252" s="999"/>
      <c r="AB252" s="999"/>
    </row>
    <row r="253">
      <c r="A253" s="348"/>
      <c r="B253" s="8"/>
      <c r="C253" s="1004" t="str">
        <f>'5-1 Сбор КП Закупки'!C253</f>
        <v/>
      </c>
      <c r="D253" s="1005"/>
      <c r="E253" s="1005"/>
      <c r="F253" s="1005"/>
      <c r="G253" s="1005"/>
      <c r="H253" s="1005"/>
      <c r="I253" s="1005"/>
      <c r="J253" s="1005"/>
      <c r="K253" s="1005"/>
      <c r="L253" s="1005"/>
      <c r="M253" s="394"/>
      <c r="N253" s="999"/>
      <c r="O253" s="999"/>
      <c r="P253" s="999"/>
      <c r="Q253" s="999"/>
      <c r="R253" s="999"/>
      <c r="S253" s="999"/>
      <c r="T253" s="999"/>
      <c r="U253" s="999"/>
      <c r="V253" s="999"/>
      <c r="W253" s="999"/>
      <c r="X253" s="999"/>
      <c r="Y253" s="999"/>
      <c r="Z253" s="999"/>
      <c r="AA253" s="999"/>
      <c r="AB253" s="999"/>
    </row>
    <row r="254">
      <c r="A254" s="348"/>
      <c r="B254" s="8"/>
      <c r="C254" s="1004" t="str">
        <f>'5-1 Сбор КП Закупки'!C254</f>
        <v/>
      </c>
      <c r="D254" s="1005"/>
      <c r="E254" s="1005"/>
      <c r="F254" s="1005"/>
      <c r="G254" s="1005"/>
      <c r="H254" s="1005"/>
      <c r="I254" s="1005"/>
      <c r="J254" s="1005"/>
      <c r="K254" s="1005"/>
      <c r="L254" s="1005"/>
      <c r="M254" s="394"/>
      <c r="N254" s="999"/>
      <c r="O254" s="999"/>
      <c r="P254" s="999"/>
      <c r="Q254" s="999"/>
      <c r="R254" s="999"/>
      <c r="S254" s="999"/>
      <c r="T254" s="999"/>
      <c r="U254" s="999"/>
      <c r="V254" s="999"/>
      <c r="W254" s="999"/>
      <c r="X254" s="999"/>
      <c r="Y254" s="999"/>
      <c r="Z254" s="999"/>
      <c r="AA254" s="999"/>
      <c r="AB254" s="999"/>
    </row>
    <row r="255">
      <c r="A255" s="348"/>
      <c r="B255" s="8"/>
      <c r="C255" s="1004" t="str">
        <f>'5-1 Сбор КП Закупки'!C255</f>
        <v/>
      </c>
      <c r="D255" s="1005"/>
      <c r="E255" s="1005"/>
      <c r="F255" s="1005"/>
      <c r="G255" s="1005"/>
      <c r="H255" s="1005"/>
      <c r="I255" s="1005"/>
      <c r="J255" s="1005"/>
      <c r="K255" s="1005"/>
      <c r="L255" s="1005"/>
      <c r="M255" s="394"/>
      <c r="N255" s="999"/>
      <c r="O255" s="999"/>
      <c r="P255" s="999"/>
      <c r="Q255" s="999"/>
      <c r="R255" s="999"/>
      <c r="S255" s="999"/>
      <c r="T255" s="999"/>
      <c r="U255" s="999"/>
      <c r="V255" s="999"/>
      <c r="W255" s="999"/>
      <c r="X255" s="999"/>
      <c r="Y255" s="999"/>
      <c r="Z255" s="999"/>
      <c r="AA255" s="999"/>
      <c r="AB255" s="999"/>
    </row>
    <row r="256">
      <c r="A256" s="348"/>
      <c r="B256" s="8"/>
      <c r="C256" s="1004" t="str">
        <f>'5-1 Сбор КП Закупки'!C256</f>
        <v/>
      </c>
      <c r="D256" s="1005"/>
      <c r="E256" s="1005"/>
      <c r="F256" s="1005"/>
      <c r="G256" s="1005"/>
      <c r="H256" s="1005"/>
      <c r="I256" s="1005"/>
      <c r="J256" s="1005"/>
      <c r="K256" s="1005"/>
      <c r="L256" s="1005"/>
      <c r="M256" s="394"/>
      <c r="N256" s="999"/>
      <c r="O256" s="999"/>
      <c r="P256" s="999"/>
      <c r="Q256" s="999"/>
      <c r="R256" s="999"/>
      <c r="S256" s="999"/>
      <c r="T256" s="999"/>
      <c r="U256" s="999"/>
      <c r="V256" s="999"/>
      <c r="W256" s="999"/>
      <c r="X256" s="999"/>
      <c r="Y256" s="999"/>
      <c r="Z256" s="999"/>
      <c r="AA256" s="999"/>
      <c r="AB256" s="999"/>
    </row>
    <row r="257">
      <c r="A257" s="348"/>
      <c r="B257" s="8"/>
      <c r="C257" s="1004" t="str">
        <f>'5-1 Сбор КП Закупки'!C257</f>
        <v/>
      </c>
      <c r="D257" s="1005"/>
      <c r="E257" s="1005"/>
      <c r="F257" s="1005"/>
      <c r="G257" s="1005"/>
      <c r="H257" s="1005"/>
      <c r="I257" s="1005"/>
      <c r="J257" s="1005"/>
      <c r="K257" s="1005"/>
      <c r="L257" s="1005"/>
      <c r="M257" s="394"/>
      <c r="N257" s="999"/>
      <c r="O257" s="999"/>
      <c r="P257" s="999"/>
      <c r="Q257" s="999"/>
      <c r="R257" s="999"/>
      <c r="S257" s="999"/>
      <c r="T257" s="999"/>
      <c r="U257" s="999"/>
      <c r="V257" s="999"/>
      <c r="W257" s="999"/>
      <c r="X257" s="999"/>
      <c r="Y257" s="999"/>
      <c r="Z257" s="999"/>
      <c r="AA257" s="999"/>
      <c r="AB257" s="999"/>
    </row>
    <row r="258">
      <c r="A258" s="348"/>
      <c r="B258" s="8"/>
      <c r="C258" s="1004" t="str">
        <f>'5-1 Сбор КП Закупки'!C258</f>
        <v/>
      </c>
      <c r="D258" s="1005"/>
      <c r="E258" s="1005"/>
      <c r="F258" s="1005"/>
      <c r="G258" s="1005"/>
      <c r="H258" s="1005"/>
      <c r="I258" s="1005"/>
      <c r="J258" s="1005"/>
      <c r="K258" s="1005"/>
      <c r="L258" s="1005"/>
      <c r="M258" s="394"/>
      <c r="N258" s="999"/>
      <c r="O258" s="999"/>
      <c r="P258" s="999"/>
      <c r="Q258" s="999"/>
      <c r="R258" s="999"/>
      <c r="S258" s="999"/>
      <c r="T258" s="999"/>
      <c r="U258" s="999"/>
      <c r="V258" s="999"/>
      <c r="W258" s="999"/>
      <c r="X258" s="999"/>
      <c r="Y258" s="999"/>
      <c r="Z258" s="999"/>
      <c r="AA258" s="999"/>
      <c r="AB258" s="999"/>
    </row>
    <row r="259">
      <c r="A259" s="348"/>
      <c r="B259" s="8"/>
      <c r="C259" s="1004" t="str">
        <f>'5-1 Сбор КП Закупки'!C259</f>
        <v/>
      </c>
      <c r="D259" s="1005"/>
      <c r="E259" s="1005"/>
      <c r="F259" s="1005"/>
      <c r="G259" s="1005"/>
      <c r="H259" s="1005"/>
      <c r="I259" s="1005"/>
      <c r="J259" s="1005"/>
      <c r="K259" s="1005"/>
      <c r="L259" s="1005"/>
      <c r="M259" s="394"/>
      <c r="N259" s="999"/>
      <c r="O259" s="999"/>
      <c r="P259" s="999"/>
      <c r="Q259" s="999"/>
      <c r="R259" s="999"/>
      <c r="S259" s="999"/>
      <c r="T259" s="999"/>
      <c r="U259" s="999"/>
      <c r="V259" s="999"/>
      <c r="W259" s="999"/>
      <c r="X259" s="999"/>
      <c r="Y259" s="999"/>
      <c r="Z259" s="999"/>
      <c r="AA259" s="999"/>
      <c r="AB259" s="999"/>
    </row>
    <row r="260">
      <c r="A260" s="348"/>
      <c r="B260" s="8"/>
      <c r="C260" s="1004" t="str">
        <f>'5-1 Сбор КП Закупки'!C260</f>
        <v/>
      </c>
      <c r="D260" s="1005"/>
      <c r="E260" s="1005"/>
      <c r="F260" s="1005"/>
      <c r="G260" s="1005"/>
      <c r="H260" s="1005"/>
      <c r="I260" s="1005"/>
      <c r="J260" s="1005"/>
      <c r="K260" s="1005"/>
      <c r="L260" s="1005"/>
      <c r="M260" s="394"/>
      <c r="N260" s="999"/>
      <c r="O260" s="999"/>
      <c r="P260" s="999"/>
      <c r="Q260" s="999"/>
      <c r="R260" s="999"/>
      <c r="S260" s="999"/>
      <c r="T260" s="999"/>
      <c r="U260" s="999"/>
      <c r="V260" s="999"/>
      <c r="W260" s="999"/>
      <c r="X260" s="999"/>
      <c r="Y260" s="999"/>
      <c r="Z260" s="999"/>
      <c r="AA260" s="999"/>
      <c r="AB260" s="999"/>
    </row>
    <row r="261">
      <c r="A261" s="348"/>
      <c r="B261" s="8"/>
      <c r="C261" s="1004" t="str">
        <f>'5-1 Сбор КП Закупки'!C261</f>
        <v/>
      </c>
      <c r="D261" s="1005"/>
      <c r="E261" s="1005"/>
      <c r="F261" s="1005"/>
      <c r="G261" s="1005"/>
      <c r="H261" s="1005"/>
      <c r="I261" s="1005"/>
      <c r="J261" s="1005"/>
      <c r="K261" s="1005"/>
      <c r="L261" s="1005"/>
      <c r="M261" s="394"/>
      <c r="N261" s="999"/>
      <c r="O261" s="999"/>
      <c r="P261" s="999"/>
      <c r="Q261" s="999"/>
      <c r="R261" s="999"/>
      <c r="S261" s="999"/>
      <c r="T261" s="999"/>
      <c r="U261" s="999"/>
      <c r="V261" s="999"/>
      <c r="W261" s="999"/>
      <c r="X261" s="999"/>
      <c r="Y261" s="999"/>
      <c r="Z261" s="999"/>
      <c r="AA261" s="999"/>
      <c r="AB261" s="999"/>
    </row>
    <row r="262">
      <c r="A262" s="348"/>
      <c r="B262" s="8"/>
      <c r="C262" s="1004" t="str">
        <f>'5-1 Сбор КП Закупки'!C262</f>
        <v/>
      </c>
      <c r="D262" s="1005"/>
      <c r="E262" s="1005"/>
      <c r="F262" s="1005"/>
      <c r="G262" s="1005"/>
      <c r="H262" s="1005"/>
      <c r="I262" s="1005"/>
      <c r="J262" s="1005"/>
      <c r="K262" s="1005"/>
      <c r="L262" s="1005"/>
      <c r="M262" s="394"/>
      <c r="N262" s="999"/>
      <c r="O262" s="999"/>
      <c r="P262" s="999"/>
      <c r="Q262" s="999"/>
      <c r="R262" s="999"/>
      <c r="S262" s="999"/>
      <c r="T262" s="999"/>
      <c r="U262" s="999"/>
      <c r="V262" s="999"/>
      <c r="W262" s="999"/>
      <c r="X262" s="999"/>
      <c r="Y262" s="999"/>
      <c r="Z262" s="999"/>
      <c r="AA262" s="999"/>
      <c r="AB262" s="999"/>
    </row>
    <row r="263">
      <c r="A263" s="348"/>
      <c r="B263" s="8"/>
      <c r="C263" s="1004" t="str">
        <f>'5-1 Сбор КП Закупки'!C263</f>
        <v/>
      </c>
      <c r="D263" s="1005"/>
      <c r="E263" s="1005"/>
      <c r="F263" s="1005"/>
      <c r="G263" s="1005"/>
      <c r="H263" s="1005"/>
      <c r="I263" s="1005"/>
      <c r="J263" s="1005"/>
      <c r="K263" s="1005"/>
      <c r="L263" s="1005"/>
      <c r="M263" s="394"/>
      <c r="N263" s="999"/>
      <c r="O263" s="999"/>
      <c r="P263" s="999"/>
      <c r="Q263" s="999"/>
      <c r="R263" s="999"/>
      <c r="S263" s="999"/>
      <c r="T263" s="999"/>
      <c r="U263" s="999"/>
      <c r="V263" s="999"/>
      <c r="W263" s="999"/>
      <c r="X263" s="999"/>
      <c r="Y263" s="999"/>
      <c r="Z263" s="999"/>
      <c r="AA263" s="999"/>
      <c r="AB263" s="999"/>
    </row>
    <row r="264">
      <c r="A264" s="348"/>
      <c r="B264" s="8"/>
      <c r="C264" s="1004" t="str">
        <f>'5-1 Сбор КП Закупки'!C264</f>
        <v/>
      </c>
      <c r="D264" s="1005"/>
      <c r="E264" s="1005"/>
      <c r="F264" s="1005"/>
      <c r="G264" s="1005"/>
      <c r="H264" s="1005"/>
      <c r="I264" s="1005"/>
      <c r="J264" s="1005"/>
      <c r="K264" s="1005"/>
      <c r="L264" s="1005"/>
      <c r="M264" s="394"/>
      <c r="N264" s="999"/>
      <c r="O264" s="999"/>
      <c r="P264" s="999"/>
      <c r="Q264" s="999"/>
      <c r="R264" s="999"/>
      <c r="S264" s="999"/>
      <c r="T264" s="999"/>
      <c r="U264" s="999"/>
      <c r="V264" s="999"/>
      <c r="W264" s="999"/>
      <c r="X264" s="999"/>
      <c r="Y264" s="999"/>
      <c r="Z264" s="999"/>
      <c r="AA264" s="999"/>
      <c r="AB264" s="999"/>
    </row>
    <row r="265">
      <c r="A265" s="348"/>
      <c r="B265" s="8"/>
      <c r="C265" s="1004" t="str">
        <f>'5-1 Сбор КП Закупки'!C265</f>
        <v/>
      </c>
      <c r="D265" s="1005"/>
      <c r="E265" s="1005"/>
      <c r="F265" s="1005"/>
      <c r="G265" s="1005"/>
      <c r="H265" s="1005"/>
      <c r="I265" s="1005"/>
      <c r="J265" s="1005"/>
      <c r="K265" s="1005"/>
      <c r="L265" s="1005"/>
      <c r="M265" s="394"/>
      <c r="N265" s="999"/>
      <c r="O265" s="999"/>
      <c r="P265" s="999"/>
      <c r="Q265" s="999"/>
      <c r="R265" s="999"/>
      <c r="S265" s="999"/>
      <c r="T265" s="999"/>
      <c r="U265" s="999"/>
      <c r="V265" s="999"/>
      <c r="W265" s="999"/>
      <c r="X265" s="999"/>
      <c r="Y265" s="999"/>
      <c r="Z265" s="999"/>
      <c r="AA265" s="999"/>
      <c r="AB265" s="999"/>
    </row>
    <row r="266">
      <c r="A266" s="348"/>
      <c r="B266" s="8"/>
      <c r="C266" s="1004" t="str">
        <f>'5-1 Сбор КП Закупки'!C266</f>
        <v/>
      </c>
      <c r="D266" s="1005"/>
      <c r="E266" s="1005"/>
      <c r="F266" s="1005"/>
      <c r="G266" s="1005"/>
      <c r="H266" s="1005"/>
      <c r="I266" s="1005"/>
      <c r="J266" s="1005"/>
      <c r="K266" s="1005"/>
      <c r="L266" s="1005"/>
      <c r="M266" s="394"/>
      <c r="N266" s="999"/>
      <c r="O266" s="999"/>
      <c r="P266" s="999"/>
      <c r="Q266" s="999"/>
      <c r="R266" s="999"/>
      <c r="S266" s="999"/>
      <c r="T266" s="999"/>
      <c r="U266" s="999"/>
      <c r="V266" s="999"/>
      <c r="W266" s="999"/>
      <c r="X266" s="999"/>
      <c r="Y266" s="999"/>
      <c r="Z266" s="999"/>
      <c r="AA266" s="999"/>
      <c r="AB266" s="999"/>
    </row>
    <row r="267">
      <c r="A267" s="348"/>
      <c r="B267" s="8"/>
      <c r="C267" s="1004" t="str">
        <f>'5-1 Сбор КП Закупки'!C267</f>
        <v/>
      </c>
      <c r="D267" s="1005"/>
      <c r="E267" s="1005"/>
      <c r="F267" s="1005"/>
      <c r="G267" s="1005"/>
      <c r="H267" s="1005"/>
      <c r="I267" s="1005"/>
      <c r="J267" s="1005"/>
      <c r="K267" s="1005"/>
      <c r="L267" s="1005"/>
      <c r="M267" s="394"/>
      <c r="N267" s="999"/>
      <c r="O267" s="999"/>
      <c r="P267" s="999"/>
      <c r="Q267" s="999"/>
      <c r="R267" s="999"/>
      <c r="S267" s="999"/>
      <c r="T267" s="999"/>
      <c r="U267" s="999"/>
      <c r="V267" s="999"/>
      <c r="W267" s="999"/>
      <c r="X267" s="999"/>
      <c r="Y267" s="999"/>
      <c r="Z267" s="999"/>
      <c r="AA267" s="999"/>
      <c r="AB267" s="999"/>
    </row>
    <row r="268">
      <c r="A268" s="348"/>
      <c r="B268" s="8"/>
      <c r="C268" s="1004" t="str">
        <f>'5-1 Сбор КП Закупки'!C268</f>
        <v/>
      </c>
      <c r="D268" s="1005"/>
      <c r="E268" s="1005"/>
      <c r="F268" s="1005"/>
      <c r="G268" s="1005"/>
      <c r="H268" s="1005"/>
      <c r="I268" s="1005"/>
      <c r="J268" s="1005"/>
      <c r="K268" s="1005"/>
      <c r="L268" s="1005"/>
      <c r="M268" s="394"/>
      <c r="N268" s="999"/>
      <c r="O268" s="999"/>
      <c r="P268" s="999"/>
      <c r="Q268" s="999"/>
      <c r="R268" s="999"/>
      <c r="S268" s="999"/>
      <c r="T268" s="999"/>
      <c r="U268" s="999"/>
      <c r="V268" s="999"/>
      <c r="W268" s="999"/>
      <c r="X268" s="999"/>
      <c r="Y268" s="999"/>
      <c r="Z268" s="999"/>
      <c r="AA268" s="999"/>
      <c r="AB268" s="999"/>
    </row>
    <row r="269">
      <c r="A269" s="348"/>
      <c r="B269" s="8"/>
      <c r="C269" s="1004" t="str">
        <f>'5-1 Сбор КП Закупки'!C269</f>
        <v/>
      </c>
      <c r="D269" s="1005"/>
      <c r="E269" s="1005"/>
      <c r="F269" s="1005"/>
      <c r="G269" s="1005"/>
      <c r="H269" s="1005"/>
      <c r="I269" s="1005"/>
      <c r="J269" s="1005"/>
      <c r="K269" s="1005"/>
      <c r="L269" s="1005"/>
      <c r="M269" s="394"/>
      <c r="N269" s="999"/>
      <c r="O269" s="999"/>
      <c r="P269" s="999"/>
      <c r="Q269" s="999"/>
      <c r="R269" s="999"/>
      <c r="S269" s="999"/>
      <c r="T269" s="999"/>
      <c r="U269" s="999"/>
      <c r="V269" s="999"/>
      <c r="W269" s="999"/>
      <c r="X269" s="999"/>
      <c r="Y269" s="999"/>
      <c r="Z269" s="999"/>
      <c r="AA269" s="999"/>
      <c r="AB269" s="999"/>
    </row>
    <row r="270">
      <c r="A270" s="348"/>
      <c r="B270" s="8"/>
      <c r="C270" s="1004" t="str">
        <f>'5-1 Сбор КП Закупки'!C270</f>
        <v/>
      </c>
      <c r="D270" s="1005"/>
      <c r="E270" s="1005"/>
      <c r="F270" s="1005"/>
      <c r="G270" s="1005"/>
      <c r="H270" s="1005"/>
      <c r="I270" s="1005"/>
      <c r="J270" s="1005"/>
      <c r="K270" s="1005"/>
      <c r="L270" s="1005"/>
      <c r="M270" s="394"/>
      <c r="N270" s="999"/>
      <c r="O270" s="999"/>
      <c r="P270" s="999"/>
      <c r="Q270" s="999"/>
      <c r="R270" s="999"/>
      <c r="S270" s="999"/>
      <c r="T270" s="999"/>
      <c r="U270" s="999"/>
      <c r="V270" s="999"/>
      <c r="W270" s="999"/>
      <c r="X270" s="999"/>
      <c r="Y270" s="999"/>
      <c r="Z270" s="999"/>
      <c r="AA270" s="999"/>
      <c r="AB270" s="999"/>
    </row>
    <row r="271">
      <c r="A271" s="348"/>
      <c r="B271" s="8"/>
      <c r="C271" s="1004" t="str">
        <f>'5-1 Сбор КП Закупки'!C271</f>
        <v/>
      </c>
      <c r="D271" s="1005"/>
      <c r="E271" s="1005"/>
      <c r="F271" s="1005"/>
      <c r="G271" s="1005"/>
      <c r="H271" s="1005"/>
      <c r="I271" s="1005"/>
      <c r="J271" s="1005"/>
      <c r="K271" s="1005"/>
      <c r="L271" s="1005"/>
      <c r="M271" s="394"/>
      <c r="N271" s="999"/>
      <c r="O271" s="999"/>
      <c r="P271" s="999"/>
      <c r="Q271" s="999"/>
      <c r="R271" s="999"/>
      <c r="S271" s="999"/>
      <c r="T271" s="999"/>
      <c r="U271" s="999"/>
      <c r="V271" s="999"/>
      <c r="W271" s="999"/>
      <c r="X271" s="999"/>
      <c r="Y271" s="999"/>
      <c r="Z271" s="999"/>
      <c r="AA271" s="999"/>
      <c r="AB271" s="999"/>
    </row>
    <row r="272">
      <c r="A272" s="348"/>
      <c r="B272" s="8"/>
      <c r="C272" s="1004" t="str">
        <f>'5-1 Сбор КП Закупки'!C272</f>
        <v/>
      </c>
      <c r="D272" s="1005"/>
      <c r="E272" s="1005"/>
      <c r="F272" s="1005"/>
      <c r="G272" s="1005"/>
      <c r="H272" s="1005"/>
      <c r="I272" s="1005"/>
      <c r="J272" s="1005"/>
      <c r="K272" s="1005"/>
      <c r="L272" s="1005"/>
      <c r="M272" s="394"/>
      <c r="N272" s="999"/>
      <c r="O272" s="999"/>
      <c r="P272" s="999"/>
      <c r="Q272" s="999"/>
      <c r="R272" s="999"/>
      <c r="S272" s="999"/>
      <c r="T272" s="999"/>
      <c r="U272" s="999"/>
      <c r="V272" s="999"/>
      <c r="W272" s="999"/>
      <c r="X272" s="999"/>
      <c r="Y272" s="999"/>
      <c r="Z272" s="999"/>
      <c r="AA272" s="999"/>
      <c r="AB272" s="999"/>
    </row>
    <row r="273">
      <c r="A273" s="348"/>
      <c r="B273" s="8"/>
      <c r="C273" s="1004" t="str">
        <f>'5-1 Сбор КП Закупки'!C273</f>
        <v/>
      </c>
      <c r="D273" s="1005"/>
      <c r="E273" s="1005"/>
      <c r="F273" s="1005"/>
      <c r="G273" s="1005"/>
      <c r="H273" s="1005"/>
      <c r="I273" s="1005"/>
      <c r="J273" s="1005"/>
      <c r="K273" s="1005"/>
      <c r="L273" s="1005"/>
      <c r="M273" s="394"/>
      <c r="N273" s="999"/>
      <c r="O273" s="999"/>
      <c r="P273" s="999"/>
      <c r="Q273" s="999"/>
      <c r="R273" s="999"/>
      <c r="S273" s="999"/>
      <c r="T273" s="999"/>
      <c r="U273" s="999"/>
      <c r="V273" s="999"/>
      <c r="W273" s="999"/>
      <c r="X273" s="999"/>
      <c r="Y273" s="999"/>
      <c r="Z273" s="999"/>
      <c r="AA273" s="999"/>
      <c r="AB273" s="999"/>
    </row>
    <row r="274">
      <c r="A274" s="348"/>
      <c r="B274" s="8"/>
      <c r="C274" s="1004" t="str">
        <f>'5-1 Сбор КП Закупки'!C274</f>
        <v/>
      </c>
      <c r="D274" s="1005"/>
      <c r="E274" s="1005"/>
      <c r="F274" s="1005"/>
      <c r="G274" s="1005"/>
      <c r="H274" s="1005"/>
      <c r="I274" s="1005"/>
      <c r="J274" s="1005"/>
      <c r="K274" s="1005"/>
      <c r="L274" s="1005"/>
      <c r="M274" s="394"/>
      <c r="N274" s="999"/>
      <c r="O274" s="999"/>
      <c r="P274" s="999"/>
      <c r="Q274" s="999"/>
      <c r="R274" s="999"/>
      <c r="S274" s="999"/>
      <c r="T274" s="999"/>
      <c r="U274" s="999"/>
      <c r="V274" s="999"/>
      <c r="W274" s="999"/>
      <c r="X274" s="999"/>
      <c r="Y274" s="999"/>
      <c r="Z274" s="999"/>
      <c r="AA274" s="999"/>
      <c r="AB274" s="999"/>
    </row>
    <row r="275">
      <c r="A275" s="348"/>
      <c r="B275" s="8"/>
      <c r="C275" s="1004" t="str">
        <f>'5-1 Сбор КП Закупки'!C275</f>
        <v/>
      </c>
      <c r="D275" s="1005"/>
      <c r="E275" s="1005"/>
      <c r="F275" s="1005"/>
      <c r="G275" s="1005"/>
      <c r="H275" s="1005"/>
      <c r="I275" s="1005"/>
      <c r="J275" s="1005"/>
      <c r="K275" s="1005"/>
      <c r="L275" s="1005"/>
      <c r="M275" s="394"/>
      <c r="N275" s="999"/>
      <c r="O275" s="999"/>
      <c r="P275" s="999"/>
      <c r="Q275" s="999"/>
      <c r="R275" s="999"/>
      <c r="S275" s="999"/>
      <c r="T275" s="999"/>
      <c r="U275" s="999"/>
      <c r="V275" s="999"/>
      <c r="W275" s="999"/>
      <c r="X275" s="999"/>
      <c r="Y275" s="999"/>
      <c r="Z275" s="999"/>
      <c r="AA275" s="999"/>
      <c r="AB275" s="999"/>
    </row>
    <row r="276">
      <c r="A276" s="348"/>
      <c r="B276" s="8"/>
      <c r="C276" s="1004" t="str">
        <f>'5-1 Сбор КП Закупки'!C276</f>
        <v/>
      </c>
      <c r="D276" s="1005"/>
      <c r="E276" s="1005"/>
      <c r="F276" s="1005"/>
      <c r="G276" s="1005"/>
      <c r="H276" s="1005"/>
      <c r="I276" s="1005"/>
      <c r="J276" s="1005"/>
      <c r="K276" s="1005"/>
      <c r="L276" s="1005"/>
      <c r="M276" s="394"/>
      <c r="N276" s="999"/>
      <c r="O276" s="999"/>
      <c r="P276" s="999"/>
      <c r="Q276" s="999"/>
      <c r="R276" s="999"/>
      <c r="S276" s="999"/>
      <c r="T276" s="999"/>
      <c r="U276" s="999"/>
      <c r="V276" s="999"/>
      <c r="W276" s="999"/>
      <c r="X276" s="999"/>
      <c r="Y276" s="999"/>
      <c r="Z276" s="999"/>
      <c r="AA276" s="999"/>
      <c r="AB276" s="999"/>
    </row>
    <row r="277">
      <c r="A277" s="348"/>
      <c r="B277" s="8"/>
      <c r="C277" s="1004" t="str">
        <f>'5-1 Сбор КП Закупки'!C277</f>
        <v/>
      </c>
      <c r="D277" s="1005"/>
      <c r="E277" s="1005"/>
      <c r="F277" s="1005"/>
      <c r="G277" s="1005"/>
      <c r="H277" s="1005"/>
      <c r="I277" s="1005"/>
      <c r="J277" s="1005"/>
      <c r="K277" s="1005"/>
      <c r="L277" s="1005"/>
      <c r="M277" s="394"/>
      <c r="N277" s="999"/>
      <c r="O277" s="999"/>
      <c r="P277" s="999"/>
      <c r="Q277" s="999"/>
      <c r="R277" s="999"/>
      <c r="S277" s="999"/>
      <c r="T277" s="999"/>
      <c r="U277" s="999"/>
      <c r="V277" s="999"/>
      <c r="W277" s="999"/>
      <c r="X277" s="999"/>
      <c r="Y277" s="999"/>
      <c r="Z277" s="999"/>
      <c r="AA277" s="999"/>
      <c r="AB277" s="999"/>
    </row>
    <row r="278">
      <c r="A278" s="348"/>
      <c r="B278" s="8"/>
      <c r="C278" s="1004" t="str">
        <f>'5-1 Сбор КП Закупки'!C278</f>
        <v/>
      </c>
      <c r="D278" s="1005"/>
      <c r="E278" s="1005"/>
      <c r="F278" s="1005"/>
      <c r="G278" s="1005"/>
      <c r="H278" s="1005"/>
      <c r="I278" s="1005"/>
      <c r="J278" s="1005"/>
      <c r="K278" s="1005"/>
      <c r="L278" s="1005"/>
      <c r="M278" s="394"/>
      <c r="N278" s="999"/>
      <c r="O278" s="999"/>
      <c r="P278" s="999"/>
      <c r="Q278" s="999"/>
      <c r="R278" s="999"/>
      <c r="S278" s="999"/>
      <c r="T278" s="999"/>
      <c r="U278" s="999"/>
      <c r="V278" s="999"/>
      <c r="W278" s="999"/>
      <c r="X278" s="999"/>
      <c r="Y278" s="999"/>
      <c r="Z278" s="999"/>
      <c r="AA278" s="999"/>
      <c r="AB278" s="999"/>
    </row>
    <row r="279">
      <c r="A279" s="348"/>
      <c r="B279" s="8"/>
      <c r="C279" s="1004" t="str">
        <f>'5-1 Сбор КП Закупки'!C279</f>
        <v/>
      </c>
      <c r="D279" s="1005"/>
      <c r="E279" s="1005"/>
      <c r="F279" s="1005"/>
      <c r="G279" s="1005"/>
      <c r="H279" s="1005"/>
      <c r="I279" s="1005"/>
      <c r="J279" s="1005"/>
      <c r="K279" s="1005"/>
      <c r="L279" s="1005"/>
      <c r="M279" s="394"/>
      <c r="N279" s="999"/>
      <c r="O279" s="999"/>
      <c r="P279" s="999"/>
      <c r="Q279" s="999"/>
      <c r="R279" s="999"/>
      <c r="S279" s="999"/>
      <c r="T279" s="999"/>
      <c r="U279" s="999"/>
      <c r="V279" s="999"/>
      <c r="W279" s="999"/>
      <c r="X279" s="999"/>
      <c r="Y279" s="999"/>
      <c r="Z279" s="999"/>
      <c r="AA279" s="999"/>
      <c r="AB279" s="999"/>
    </row>
    <row r="280">
      <c r="A280" s="348"/>
      <c r="B280" s="8"/>
      <c r="C280" s="1004" t="str">
        <f>'5-1 Сбор КП Закупки'!C280</f>
        <v/>
      </c>
      <c r="D280" s="1005"/>
      <c r="E280" s="1005"/>
      <c r="F280" s="1005"/>
      <c r="G280" s="1005"/>
      <c r="H280" s="1005"/>
      <c r="I280" s="1005"/>
      <c r="J280" s="1005"/>
      <c r="K280" s="1005"/>
      <c r="L280" s="1005"/>
      <c r="M280" s="394"/>
      <c r="N280" s="999"/>
      <c r="O280" s="999"/>
      <c r="P280" s="999"/>
      <c r="Q280" s="999"/>
      <c r="R280" s="999"/>
      <c r="S280" s="999"/>
      <c r="T280" s="999"/>
      <c r="U280" s="999"/>
      <c r="V280" s="999"/>
      <c r="W280" s="999"/>
      <c r="X280" s="999"/>
      <c r="Y280" s="999"/>
      <c r="Z280" s="999"/>
      <c r="AA280" s="999"/>
      <c r="AB280" s="999"/>
    </row>
    <row r="281">
      <c r="A281" s="348"/>
      <c r="B281" s="8"/>
      <c r="C281" s="1004" t="str">
        <f>'5-1 Сбор КП Закупки'!C281</f>
        <v/>
      </c>
      <c r="D281" s="1005"/>
      <c r="E281" s="1005"/>
      <c r="F281" s="1005"/>
      <c r="G281" s="1005"/>
      <c r="H281" s="1005"/>
      <c r="I281" s="1005"/>
      <c r="J281" s="1005"/>
      <c r="K281" s="1005"/>
      <c r="L281" s="1005"/>
      <c r="M281" s="394"/>
      <c r="N281" s="999"/>
      <c r="O281" s="999"/>
      <c r="P281" s="999"/>
      <c r="Q281" s="999"/>
      <c r="R281" s="999"/>
      <c r="S281" s="999"/>
      <c r="T281" s="999"/>
      <c r="U281" s="999"/>
      <c r="V281" s="999"/>
      <c r="W281" s="999"/>
      <c r="X281" s="999"/>
      <c r="Y281" s="999"/>
      <c r="Z281" s="999"/>
      <c r="AA281" s="999"/>
      <c r="AB281" s="999"/>
    </row>
    <row r="282">
      <c r="A282" s="348"/>
      <c r="B282" s="8"/>
      <c r="C282" s="1004" t="str">
        <f>'5-1 Сбор КП Закупки'!C282</f>
        <v/>
      </c>
      <c r="D282" s="1005"/>
      <c r="E282" s="1005"/>
      <c r="F282" s="1005"/>
      <c r="G282" s="1005"/>
      <c r="H282" s="1005"/>
      <c r="I282" s="1005"/>
      <c r="J282" s="1005"/>
      <c r="K282" s="1005"/>
      <c r="L282" s="1005"/>
      <c r="M282" s="394"/>
      <c r="N282" s="999"/>
      <c r="O282" s="999"/>
      <c r="P282" s="999"/>
      <c r="Q282" s="999"/>
      <c r="R282" s="999"/>
      <c r="S282" s="999"/>
      <c r="T282" s="999"/>
      <c r="U282" s="999"/>
      <c r="V282" s="999"/>
      <c r="W282" s="999"/>
      <c r="X282" s="999"/>
      <c r="Y282" s="999"/>
      <c r="Z282" s="999"/>
      <c r="AA282" s="999"/>
      <c r="AB282" s="999"/>
    </row>
    <row r="283">
      <c r="A283" s="348"/>
      <c r="B283" s="8"/>
      <c r="C283" s="1004" t="str">
        <f>'5-1 Сбор КП Закупки'!C283</f>
        <v/>
      </c>
      <c r="D283" s="1005"/>
      <c r="E283" s="1005"/>
      <c r="F283" s="1005"/>
      <c r="G283" s="1005"/>
      <c r="H283" s="1005"/>
      <c r="I283" s="1005"/>
      <c r="J283" s="1005"/>
      <c r="K283" s="1005"/>
      <c r="L283" s="1005"/>
      <c r="M283" s="394"/>
      <c r="N283" s="999"/>
      <c r="O283" s="999"/>
      <c r="P283" s="999"/>
      <c r="Q283" s="999"/>
      <c r="R283" s="999"/>
      <c r="S283" s="999"/>
      <c r="T283" s="999"/>
      <c r="U283" s="999"/>
      <c r="V283" s="999"/>
      <c r="W283" s="999"/>
      <c r="X283" s="999"/>
      <c r="Y283" s="999"/>
      <c r="Z283" s="999"/>
      <c r="AA283" s="999"/>
      <c r="AB283" s="999"/>
    </row>
    <row r="284">
      <c r="A284" s="348"/>
      <c r="B284" s="8"/>
      <c r="C284" s="1004" t="str">
        <f>'5-1 Сбор КП Закупки'!C284</f>
        <v/>
      </c>
      <c r="D284" s="1005"/>
      <c r="E284" s="1005"/>
      <c r="F284" s="1005"/>
      <c r="G284" s="1005"/>
      <c r="H284" s="1005"/>
      <c r="I284" s="1005"/>
      <c r="J284" s="1005"/>
      <c r="K284" s="1005"/>
      <c r="L284" s="1005"/>
      <c r="M284" s="394"/>
      <c r="N284" s="999"/>
      <c r="O284" s="999"/>
      <c r="P284" s="999"/>
      <c r="Q284" s="999"/>
      <c r="R284" s="999"/>
      <c r="S284" s="999"/>
      <c r="T284" s="999"/>
      <c r="U284" s="999"/>
      <c r="V284" s="999"/>
      <c r="W284" s="999"/>
      <c r="X284" s="999"/>
      <c r="Y284" s="999"/>
      <c r="Z284" s="999"/>
      <c r="AA284" s="999"/>
      <c r="AB284" s="999"/>
    </row>
    <row r="285">
      <c r="A285" s="348"/>
      <c r="B285" s="8"/>
      <c r="C285" s="1004" t="str">
        <f>'5-1 Сбор КП Закупки'!C285</f>
        <v/>
      </c>
      <c r="D285" s="1005"/>
      <c r="E285" s="1005"/>
      <c r="F285" s="1005"/>
      <c r="G285" s="1005"/>
      <c r="H285" s="1005"/>
      <c r="I285" s="1005"/>
      <c r="J285" s="1005"/>
      <c r="K285" s="1005"/>
      <c r="L285" s="1005"/>
      <c r="M285" s="394"/>
      <c r="N285" s="999"/>
      <c r="O285" s="999"/>
      <c r="P285" s="999"/>
      <c r="Q285" s="999"/>
      <c r="R285" s="999"/>
      <c r="S285" s="999"/>
      <c r="T285" s="999"/>
      <c r="U285" s="999"/>
      <c r="V285" s="999"/>
      <c r="W285" s="999"/>
      <c r="X285" s="999"/>
      <c r="Y285" s="999"/>
      <c r="Z285" s="999"/>
      <c r="AA285" s="999"/>
      <c r="AB285" s="999"/>
    </row>
    <row r="286">
      <c r="A286" s="348"/>
      <c r="B286" s="8"/>
      <c r="C286" s="1004" t="str">
        <f>'5-1 Сбор КП Закупки'!C286</f>
        <v/>
      </c>
      <c r="D286" s="1005"/>
      <c r="E286" s="1005"/>
      <c r="F286" s="1005"/>
      <c r="G286" s="1005"/>
      <c r="H286" s="1005"/>
      <c r="I286" s="1005"/>
      <c r="J286" s="1005"/>
      <c r="K286" s="1005"/>
      <c r="L286" s="1005"/>
      <c r="M286" s="394"/>
      <c r="N286" s="999"/>
      <c r="O286" s="999"/>
      <c r="P286" s="999"/>
      <c r="Q286" s="999"/>
      <c r="R286" s="999"/>
      <c r="S286" s="999"/>
      <c r="T286" s="999"/>
      <c r="U286" s="999"/>
      <c r="V286" s="999"/>
      <c r="W286" s="999"/>
      <c r="X286" s="999"/>
      <c r="Y286" s="999"/>
      <c r="Z286" s="999"/>
      <c r="AA286" s="999"/>
      <c r="AB286" s="999"/>
    </row>
    <row r="287">
      <c r="A287" s="348"/>
      <c r="B287" s="8"/>
      <c r="C287" s="1004" t="str">
        <f>'5-1 Сбор КП Закупки'!C287</f>
        <v/>
      </c>
      <c r="D287" s="1005"/>
      <c r="E287" s="1005"/>
      <c r="F287" s="1005"/>
      <c r="G287" s="1005"/>
      <c r="H287" s="1005"/>
      <c r="I287" s="1005"/>
      <c r="J287" s="1005"/>
      <c r="K287" s="1005"/>
      <c r="L287" s="1005"/>
      <c r="M287" s="394"/>
      <c r="N287" s="999"/>
      <c r="O287" s="999"/>
      <c r="P287" s="999"/>
      <c r="Q287" s="999"/>
      <c r="R287" s="999"/>
      <c r="S287" s="999"/>
      <c r="T287" s="999"/>
      <c r="U287" s="999"/>
      <c r="V287" s="999"/>
      <c r="W287" s="999"/>
      <c r="X287" s="999"/>
      <c r="Y287" s="999"/>
      <c r="Z287" s="999"/>
      <c r="AA287" s="999"/>
      <c r="AB287" s="999"/>
    </row>
    <row r="288">
      <c r="A288" s="348"/>
      <c r="B288" s="8"/>
      <c r="C288" s="1004" t="str">
        <f>'5-1 Сбор КП Закупки'!C288</f>
        <v/>
      </c>
      <c r="D288" s="1005"/>
      <c r="E288" s="1005"/>
      <c r="F288" s="1005"/>
      <c r="G288" s="1005"/>
      <c r="H288" s="1005"/>
      <c r="I288" s="1005"/>
      <c r="J288" s="1005"/>
      <c r="K288" s="1005"/>
      <c r="L288" s="1005"/>
      <c r="M288" s="394"/>
      <c r="N288" s="999"/>
      <c r="O288" s="999"/>
      <c r="P288" s="999"/>
      <c r="Q288" s="999"/>
      <c r="R288" s="999"/>
      <c r="S288" s="999"/>
      <c r="T288" s="999"/>
      <c r="U288" s="999"/>
      <c r="V288" s="999"/>
      <c r="W288" s="999"/>
      <c r="X288" s="999"/>
      <c r="Y288" s="999"/>
      <c r="Z288" s="999"/>
      <c r="AA288" s="999"/>
      <c r="AB288" s="999"/>
    </row>
    <row r="289">
      <c r="A289" s="348"/>
      <c r="B289" s="8"/>
      <c r="C289" s="1004" t="str">
        <f>'5-1 Сбор КП Закупки'!C289</f>
        <v/>
      </c>
      <c r="D289" s="1005"/>
      <c r="E289" s="1005"/>
      <c r="F289" s="1005"/>
      <c r="G289" s="1005"/>
      <c r="H289" s="1005"/>
      <c r="I289" s="1005"/>
      <c r="J289" s="1005"/>
      <c r="K289" s="1005"/>
      <c r="L289" s="1005"/>
      <c r="M289" s="394"/>
      <c r="N289" s="999"/>
      <c r="O289" s="999"/>
      <c r="P289" s="999"/>
      <c r="Q289" s="999"/>
      <c r="R289" s="999"/>
      <c r="S289" s="999"/>
      <c r="T289" s="999"/>
      <c r="U289" s="999"/>
      <c r="V289" s="999"/>
      <c r="W289" s="999"/>
      <c r="X289" s="999"/>
      <c r="Y289" s="999"/>
      <c r="Z289" s="999"/>
      <c r="AA289" s="999"/>
      <c r="AB289" s="999"/>
    </row>
    <row r="290">
      <c r="A290" s="348"/>
      <c r="B290" s="8"/>
      <c r="C290" s="1004" t="str">
        <f>'5-1 Сбор КП Закупки'!C290</f>
        <v/>
      </c>
      <c r="D290" s="1005"/>
      <c r="E290" s="1005"/>
      <c r="F290" s="1005"/>
      <c r="G290" s="1005"/>
      <c r="H290" s="1005"/>
      <c r="I290" s="1005"/>
      <c r="J290" s="1005"/>
      <c r="K290" s="1005"/>
      <c r="L290" s="1005"/>
      <c r="M290" s="394"/>
      <c r="N290" s="999"/>
      <c r="O290" s="999"/>
      <c r="P290" s="999"/>
      <c r="Q290" s="999"/>
      <c r="R290" s="999"/>
      <c r="S290" s="999"/>
      <c r="T290" s="999"/>
      <c r="U290" s="999"/>
      <c r="V290" s="999"/>
      <c r="W290" s="999"/>
      <c r="X290" s="999"/>
      <c r="Y290" s="999"/>
      <c r="Z290" s="999"/>
      <c r="AA290" s="999"/>
      <c r="AB290" s="999"/>
    </row>
    <row r="291">
      <c r="A291" s="348"/>
      <c r="B291" s="8"/>
      <c r="C291" s="1004" t="str">
        <f>'5-1 Сбор КП Закупки'!C291</f>
        <v/>
      </c>
      <c r="D291" s="1005"/>
      <c r="E291" s="1005"/>
      <c r="F291" s="1005"/>
      <c r="G291" s="1005"/>
      <c r="H291" s="1005"/>
      <c r="I291" s="1005"/>
      <c r="J291" s="1005"/>
      <c r="K291" s="1005"/>
      <c r="L291" s="1005"/>
      <c r="M291" s="394"/>
      <c r="N291" s="999"/>
      <c r="O291" s="999"/>
      <c r="P291" s="999"/>
      <c r="Q291" s="999"/>
      <c r="R291" s="999"/>
      <c r="S291" s="999"/>
      <c r="T291" s="999"/>
      <c r="U291" s="999"/>
      <c r="V291" s="999"/>
      <c r="W291" s="999"/>
      <c r="X291" s="999"/>
      <c r="Y291" s="999"/>
      <c r="Z291" s="999"/>
      <c r="AA291" s="999"/>
      <c r="AB291" s="999"/>
    </row>
    <row r="292">
      <c r="A292" s="348"/>
      <c r="B292" s="8"/>
      <c r="C292" s="1004" t="str">
        <f>'5-1 Сбор КП Закупки'!C292</f>
        <v/>
      </c>
      <c r="D292" s="1005"/>
      <c r="E292" s="1005"/>
      <c r="F292" s="1005"/>
      <c r="G292" s="1005"/>
      <c r="H292" s="1005"/>
      <c r="I292" s="1005"/>
      <c r="J292" s="1005"/>
      <c r="K292" s="1005"/>
      <c r="L292" s="1005"/>
      <c r="M292" s="394"/>
      <c r="N292" s="999"/>
      <c r="O292" s="999"/>
      <c r="P292" s="999"/>
      <c r="Q292" s="999"/>
      <c r="R292" s="999"/>
      <c r="S292" s="999"/>
      <c r="T292" s="999"/>
      <c r="U292" s="999"/>
      <c r="V292" s="999"/>
      <c r="W292" s="999"/>
      <c r="X292" s="999"/>
      <c r="Y292" s="999"/>
      <c r="Z292" s="999"/>
      <c r="AA292" s="999"/>
      <c r="AB292" s="999"/>
    </row>
    <row r="293">
      <c r="A293" s="348"/>
      <c r="B293" s="8"/>
      <c r="C293" s="1004" t="str">
        <f>'5-1 Сбор КП Закупки'!C293</f>
        <v/>
      </c>
      <c r="D293" s="1005"/>
      <c r="E293" s="1005"/>
      <c r="F293" s="1005"/>
      <c r="G293" s="1005"/>
      <c r="H293" s="1005"/>
      <c r="I293" s="1005"/>
      <c r="J293" s="1005"/>
      <c r="K293" s="1005"/>
      <c r="L293" s="1005"/>
      <c r="M293" s="394"/>
      <c r="N293" s="999"/>
      <c r="O293" s="999"/>
      <c r="P293" s="999"/>
      <c r="Q293" s="999"/>
      <c r="R293" s="999"/>
      <c r="S293" s="999"/>
      <c r="T293" s="999"/>
      <c r="U293" s="999"/>
      <c r="V293" s="999"/>
      <c r="W293" s="999"/>
      <c r="X293" s="999"/>
      <c r="Y293" s="999"/>
      <c r="Z293" s="999"/>
      <c r="AA293" s="999"/>
      <c r="AB293" s="999"/>
    </row>
    <row r="294">
      <c r="A294" s="348"/>
      <c r="B294" s="8"/>
      <c r="C294" s="1004" t="str">
        <f>'5-1 Сбор КП Закупки'!C294</f>
        <v/>
      </c>
      <c r="D294" s="1005"/>
      <c r="E294" s="1005"/>
      <c r="F294" s="1005"/>
      <c r="G294" s="1005"/>
      <c r="H294" s="1005"/>
      <c r="I294" s="1005"/>
      <c r="J294" s="1005"/>
      <c r="K294" s="1005"/>
      <c r="L294" s="1005"/>
      <c r="M294" s="394"/>
      <c r="N294" s="999"/>
      <c r="O294" s="999"/>
      <c r="P294" s="999"/>
      <c r="Q294" s="999"/>
      <c r="R294" s="999"/>
      <c r="S294" s="999"/>
      <c r="T294" s="999"/>
      <c r="U294" s="999"/>
      <c r="V294" s="999"/>
      <c r="W294" s="999"/>
      <c r="X294" s="999"/>
      <c r="Y294" s="999"/>
      <c r="Z294" s="999"/>
      <c r="AA294" s="999"/>
      <c r="AB294" s="999"/>
    </row>
    <row r="295">
      <c r="A295" s="348"/>
      <c r="B295" s="8"/>
      <c r="C295" s="1004" t="str">
        <f>'5-1 Сбор КП Закупки'!C295</f>
        <v/>
      </c>
      <c r="D295" s="1005"/>
      <c r="E295" s="1005"/>
      <c r="F295" s="1005"/>
      <c r="G295" s="1005"/>
      <c r="H295" s="1005"/>
      <c r="I295" s="1005"/>
      <c r="J295" s="1005"/>
      <c r="K295" s="1005"/>
      <c r="L295" s="1005"/>
      <c r="M295" s="394"/>
      <c r="N295" s="999"/>
      <c r="O295" s="999"/>
      <c r="P295" s="999"/>
      <c r="Q295" s="999"/>
      <c r="R295" s="999"/>
      <c r="S295" s="999"/>
      <c r="T295" s="999"/>
      <c r="U295" s="999"/>
      <c r="V295" s="999"/>
      <c r="W295" s="999"/>
      <c r="X295" s="999"/>
      <c r="Y295" s="999"/>
      <c r="Z295" s="999"/>
      <c r="AA295" s="999"/>
      <c r="AB295" s="999"/>
    </row>
    <row r="296">
      <c r="A296" s="348"/>
      <c r="B296" s="8"/>
      <c r="C296" s="1004" t="str">
        <f>'5-1 Сбор КП Закупки'!C296</f>
        <v/>
      </c>
      <c r="D296" s="1005"/>
      <c r="E296" s="1005"/>
      <c r="F296" s="1005"/>
      <c r="G296" s="1005"/>
      <c r="H296" s="1005"/>
      <c r="I296" s="1005"/>
      <c r="J296" s="1005"/>
      <c r="K296" s="1005"/>
      <c r="L296" s="1005"/>
      <c r="M296" s="394"/>
      <c r="N296" s="999"/>
      <c r="O296" s="999"/>
      <c r="P296" s="999"/>
      <c r="Q296" s="999"/>
      <c r="R296" s="999"/>
      <c r="S296" s="999"/>
      <c r="T296" s="999"/>
      <c r="U296" s="999"/>
      <c r="V296" s="999"/>
      <c r="W296" s="999"/>
      <c r="X296" s="999"/>
      <c r="Y296" s="999"/>
      <c r="Z296" s="999"/>
      <c r="AA296" s="999"/>
      <c r="AB296" s="999"/>
    </row>
    <row r="297">
      <c r="A297" s="348"/>
      <c r="B297" s="8"/>
      <c r="C297" s="1004" t="str">
        <f>'5-1 Сбор КП Закупки'!C297</f>
        <v/>
      </c>
      <c r="D297" s="1005"/>
      <c r="E297" s="1005"/>
      <c r="F297" s="1005"/>
      <c r="G297" s="1005"/>
      <c r="H297" s="1005"/>
      <c r="I297" s="1005"/>
      <c r="J297" s="1005"/>
      <c r="K297" s="1005"/>
      <c r="L297" s="1005"/>
      <c r="M297" s="394"/>
      <c r="N297" s="999"/>
      <c r="O297" s="999"/>
      <c r="P297" s="999"/>
      <c r="Q297" s="999"/>
      <c r="R297" s="999"/>
      <c r="S297" s="999"/>
      <c r="T297" s="999"/>
      <c r="U297" s="999"/>
      <c r="V297" s="999"/>
      <c r="W297" s="999"/>
      <c r="X297" s="999"/>
      <c r="Y297" s="999"/>
      <c r="Z297" s="999"/>
      <c r="AA297" s="999"/>
      <c r="AB297" s="999"/>
    </row>
    <row r="298">
      <c r="A298" s="348"/>
      <c r="B298" s="8"/>
      <c r="C298" s="1004" t="str">
        <f>'5-1 Сбор КП Закупки'!C298</f>
        <v/>
      </c>
      <c r="D298" s="1005"/>
      <c r="E298" s="1005"/>
      <c r="F298" s="1005"/>
      <c r="G298" s="1005"/>
      <c r="H298" s="1005"/>
      <c r="I298" s="1005"/>
      <c r="J298" s="1005"/>
      <c r="K298" s="1005"/>
      <c r="L298" s="1005"/>
      <c r="M298" s="394"/>
      <c r="N298" s="999"/>
      <c r="O298" s="999"/>
      <c r="P298" s="999"/>
      <c r="Q298" s="999"/>
      <c r="R298" s="999"/>
      <c r="S298" s="999"/>
      <c r="T298" s="999"/>
      <c r="U298" s="999"/>
      <c r="V298" s="999"/>
      <c r="W298" s="999"/>
      <c r="X298" s="999"/>
      <c r="Y298" s="999"/>
      <c r="Z298" s="999"/>
      <c r="AA298" s="999"/>
      <c r="AB298" s="999"/>
    </row>
    <row r="299">
      <c r="A299" s="348"/>
      <c r="B299" s="8"/>
      <c r="C299" s="1004" t="str">
        <f>'5-1 Сбор КП Закупки'!C299</f>
        <v/>
      </c>
      <c r="D299" s="1005"/>
      <c r="E299" s="1005"/>
      <c r="F299" s="1005"/>
      <c r="G299" s="1005"/>
      <c r="H299" s="1005"/>
      <c r="I299" s="1005"/>
      <c r="J299" s="1005"/>
      <c r="K299" s="1005"/>
      <c r="L299" s="1005"/>
      <c r="M299" s="394"/>
      <c r="N299" s="999"/>
      <c r="O299" s="999"/>
      <c r="P299" s="999"/>
      <c r="Q299" s="999"/>
      <c r="R299" s="999"/>
      <c r="S299" s="999"/>
      <c r="T299" s="999"/>
      <c r="U299" s="999"/>
      <c r="V299" s="999"/>
      <c r="W299" s="999"/>
      <c r="X299" s="999"/>
      <c r="Y299" s="999"/>
      <c r="Z299" s="999"/>
      <c r="AA299" s="999"/>
      <c r="AB299" s="999"/>
    </row>
    <row r="300">
      <c r="A300" s="348"/>
      <c r="B300" s="8"/>
      <c r="C300" s="1004" t="str">
        <f>'5-1 Сбор КП Закупки'!C300</f>
        <v/>
      </c>
      <c r="D300" s="1005"/>
      <c r="E300" s="1005"/>
      <c r="F300" s="1005"/>
      <c r="G300" s="1005"/>
      <c r="H300" s="1005"/>
      <c r="I300" s="1005"/>
      <c r="J300" s="1005"/>
      <c r="K300" s="1005"/>
      <c r="L300" s="1005"/>
      <c r="M300" s="394"/>
      <c r="N300" s="999"/>
      <c r="O300" s="999"/>
      <c r="P300" s="999"/>
      <c r="Q300" s="999"/>
      <c r="R300" s="999"/>
      <c r="S300" s="999"/>
      <c r="T300" s="999"/>
      <c r="U300" s="999"/>
      <c r="V300" s="999"/>
      <c r="W300" s="999"/>
      <c r="X300" s="999"/>
      <c r="Y300" s="999"/>
      <c r="Z300" s="999"/>
      <c r="AA300" s="999"/>
      <c r="AB300" s="999"/>
    </row>
    <row r="301">
      <c r="A301" s="348"/>
      <c r="B301" s="8"/>
      <c r="C301" s="1004" t="str">
        <f>'5-1 Сбор КП Закупки'!C301</f>
        <v/>
      </c>
      <c r="D301" s="1005"/>
      <c r="E301" s="1005"/>
      <c r="F301" s="1005"/>
      <c r="G301" s="1005"/>
      <c r="H301" s="1005"/>
      <c r="I301" s="1005"/>
      <c r="J301" s="1005"/>
      <c r="K301" s="1005"/>
      <c r="L301" s="1005"/>
      <c r="M301" s="394"/>
      <c r="N301" s="999"/>
      <c r="O301" s="999"/>
      <c r="P301" s="999"/>
      <c r="Q301" s="999"/>
      <c r="R301" s="999"/>
      <c r="S301" s="999"/>
      <c r="T301" s="999"/>
      <c r="U301" s="999"/>
      <c r="V301" s="999"/>
      <c r="W301" s="999"/>
      <c r="X301" s="999"/>
      <c r="Y301" s="999"/>
      <c r="Z301" s="999"/>
      <c r="AA301" s="999"/>
      <c r="AB301" s="999"/>
    </row>
    <row r="302">
      <c r="A302" s="348"/>
      <c r="B302" s="8"/>
      <c r="C302" s="1004" t="str">
        <f>'5-1 Сбор КП Закупки'!C302</f>
        <v/>
      </c>
      <c r="D302" s="1005"/>
      <c r="E302" s="1005"/>
      <c r="F302" s="1005"/>
      <c r="G302" s="1005"/>
      <c r="H302" s="1005"/>
      <c r="I302" s="1005"/>
      <c r="J302" s="1005"/>
      <c r="K302" s="1005"/>
      <c r="L302" s="1005"/>
      <c r="M302" s="394"/>
      <c r="N302" s="999"/>
      <c r="O302" s="999"/>
      <c r="P302" s="999"/>
      <c r="Q302" s="999"/>
      <c r="R302" s="999"/>
      <c r="S302" s="999"/>
      <c r="T302" s="999"/>
      <c r="U302" s="999"/>
      <c r="V302" s="999"/>
      <c r="W302" s="999"/>
      <c r="X302" s="999"/>
      <c r="Y302" s="999"/>
      <c r="Z302" s="999"/>
      <c r="AA302" s="999"/>
      <c r="AB302" s="999"/>
    </row>
    <row r="303">
      <c r="A303" s="348"/>
      <c r="B303" s="8"/>
      <c r="C303" s="1004" t="str">
        <f>'5-1 Сбор КП Закупки'!C303</f>
        <v/>
      </c>
      <c r="D303" s="1005"/>
      <c r="E303" s="1005"/>
      <c r="F303" s="1005"/>
      <c r="G303" s="1005"/>
      <c r="H303" s="1005"/>
      <c r="I303" s="1005"/>
      <c r="J303" s="1005"/>
      <c r="K303" s="1005"/>
      <c r="L303" s="1005"/>
      <c r="M303" s="394"/>
      <c r="N303" s="999"/>
      <c r="O303" s="999"/>
      <c r="P303" s="999"/>
      <c r="Q303" s="999"/>
      <c r="R303" s="999"/>
      <c r="S303" s="999"/>
      <c r="T303" s="999"/>
      <c r="U303" s="999"/>
      <c r="V303" s="999"/>
      <c r="W303" s="999"/>
      <c r="X303" s="999"/>
      <c r="Y303" s="999"/>
      <c r="Z303" s="999"/>
      <c r="AA303" s="999"/>
      <c r="AB303" s="999"/>
    </row>
    <row r="304">
      <c r="A304" s="348"/>
      <c r="B304" s="8"/>
      <c r="C304" s="1004" t="str">
        <f>'5-1 Сбор КП Закупки'!C304</f>
        <v/>
      </c>
      <c r="D304" s="1005"/>
      <c r="E304" s="1005"/>
      <c r="F304" s="1005"/>
      <c r="G304" s="1005"/>
      <c r="H304" s="1005"/>
      <c r="I304" s="1005"/>
      <c r="J304" s="1005"/>
      <c r="K304" s="1005"/>
      <c r="L304" s="1005"/>
      <c r="M304" s="394"/>
      <c r="N304" s="999"/>
      <c r="O304" s="999"/>
      <c r="P304" s="999"/>
      <c r="Q304" s="999"/>
      <c r="R304" s="999"/>
      <c r="S304" s="999"/>
      <c r="T304" s="999"/>
      <c r="U304" s="999"/>
      <c r="V304" s="999"/>
      <c r="W304" s="999"/>
      <c r="X304" s="999"/>
      <c r="Y304" s="999"/>
      <c r="Z304" s="999"/>
      <c r="AA304" s="999"/>
      <c r="AB304" s="999"/>
    </row>
    <row r="305">
      <c r="A305" s="348"/>
      <c r="B305" s="8"/>
      <c r="C305" s="1004" t="str">
        <f>'5-1 Сбор КП Закупки'!C305</f>
        <v/>
      </c>
      <c r="D305" s="1005"/>
      <c r="E305" s="1005"/>
      <c r="F305" s="1005"/>
      <c r="G305" s="1005"/>
      <c r="H305" s="1005"/>
      <c r="I305" s="1005"/>
      <c r="J305" s="1005"/>
      <c r="K305" s="1005"/>
      <c r="L305" s="1005"/>
      <c r="M305" s="394"/>
      <c r="N305" s="999"/>
      <c r="O305" s="999"/>
      <c r="P305" s="999"/>
      <c r="Q305" s="999"/>
      <c r="R305" s="999"/>
      <c r="S305" s="999"/>
      <c r="T305" s="999"/>
      <c r="U305" s="999"/>
      <c r="V305" s="999"/>
      <c r="W305" s="999"/>
      <c r="X305" s="999"/>
      <c r="Y305" s="999"/>
      <c r="Z305" s="999"/>
      <c r="AA305" s="999"/>
      <c r="AB305" s="999"/>
    </row>
    <row r="306">
      <c r="A306" s="348"/>
      <c r="B306" s="8"/>
      <c r="C306" s="1004" t="str">
        <f>'5-1 Сбор КП Закупки'!C306</f>
        <v/>
      </c>
      <c r="D306" s="1005"/>
      <c r="E306" s="1005"/>
      <c r="F306" s="1005"/>
      <c r="G306" s="1005"/>
      <c r="H306" s="1005"/>
      <c r="I306" s="1005"/>
      <c r="J306" s="1005"/>
      <c r="K306" s="1005"/>
      <c r="L306" s="1005"/>
      <c r="M306" s="394"/>
      <c r="N306" s="999"/>
      <c r="O306" s="999"/>
      <c r="P306" s="999"/>
      <c r="Q306" s="999"/>
      <c r="R306" s="999"/>
      <c r="S306" s="999"/>
      <c r="T306" s="999"/>
      <c r="U306" s="999"/>
      <c r="V306" s="999"/>
      <c r="W306" s="999"/>
      <c r="X306" s="999"/>
      <c r="Y306" s="999"/>
      <c r="Z306" s="999"/>
      <c r="AA306" s="999"/>
      <c r="AB306" s="999"/>
    </row>
    <row r="307">
      <c r="A307" s="348"/>
      <c r="B307" s="8"/>
      <c r="C307" s="1004" t="str">
        <f>'5-1 Сбор КП Закупки'!C307</f>
        <v/>
      </c>
      <c r="D307" s="1005"/>
      <c r="E307" s="1005"/>
      <c r="F307" s="1005"/>
      <c r="G307" s="1005"/>
      <c r="H307" s="1005"/>
      <c r="I307" s="1005"/>
      <c r="J307" s="1005"/>
      <c r="K307" s="1005"/>
      <c r="L307" s="1005"/>
      <c r="M307" s="394"/>
      <c r="N307" s="999"/>
      <c r="O307" s="999"/>
      <c r="P307" s="999"/>
      <c r="Q307" s="999"/>
      <c r="R307" s="999"/>
      <c r="S307" s="999"/>
      <c r="T307" s="999"/>
      <c r="U307" s="999"/>
      <c r="V307" s="999"/>
      <c r="W307" s="999"/>
      <c r="X307" s="999"/>
      <c r="Y307" s="999"/>
      <c r="Z307" s="999"/>
      <c r="AA307" s="999"/>
      <c r="AB307" s="999"/>
    </row>
    <row r="308">
      <c r="A308" s="348"/>
      <c r="B308" s="8"/>
      <c r="C308" s="1004" t="str">
        <f>'5-1 Сбор КП Закупки'!C308</f>
        <v/>
      </c>
      <c r="D308" s="1005"/>
      <c r="E308" s="1005"/>
      <c r="F308" s="1005"/>
      <c r="G308" s="1005"/>
      <c r="H308" s="1005"/>
      <c r="I308" s="1005"/>
      <c r="J308" s="1005"/>
      <c r="K308" s="1005"/>
      <c r="L308" s="1005"/>
      <c r="M308" s="394"/>
      <c r="N308" s="999"/>
      <c r="O308" s="999"/>
      <c r="P308" s="999"/>
      <c r="Q308" s="999"/>
      <c r="R308" s="999"/>
      <c r="S308" s="999"/>
      <c r="T308" s="999"/>
      <c r="U308" s="999"/>
      <c r="V308" s="999"/>
      <c r="W308" s="999"/>
      <c r="X308" s="999"/>
      <c r="Y308" s="999"/>
      <c r="Z308" s="999"/>
      <c r="AA308" s="999"/>
      <c r="AB308" s="999"/>
    </row>
    <row r="309">
      <c r="A309" s="348"/>
      <c r="B309" s="8"/>
      <c r="C309" s="1004" t="str">
        <f>'5-1 Сбор КП Закупки'!C309</f>
        <v/>
      </c>
      <c r="D309" s="1005"/>
      <c r="E309" s="1005"/>
      <c r="F309" s="1005"/>
      <c r="G309" s="1005"/>
      <c r="H309" s="1005"/>
      <c r="I309" s="1005"/>
      <c r="J309" s="1005"/>
      <c r="K309" s="1005"/>
      <c r="L309" s="1005"/>
      <c r="M309" s="394"/>
      <c r="N309" s="999"/>
      <c r="O309" s="999"/>
      <c r="P309" s="999"/>
      <c r="Q309" s="999"/>
      <c r="R309" s="999"/>
      <c r="S309" s="999"/>
      <c r="T309" s="999"/>
      <c r="U309" s="999"/>
      <c r="V309" s="999"/>
      <c r="W309" s="999"/>
      <c r="X309" s="999"/>
      <c r="Y309" s="999"/>
      <c r="Z309" s="999"/>
      <c r="AA309" s="999"/>
      <c r="AB309" s="999"/>
    </row>
    <row r="310">
      <c r="A310" s="348"/>
      <c r="B310" s="8"/>
      <c r="C310" s="1004" t="str">
        <f>'5-1 Сбор КП Закупки'!C310</f>
        <v/>
      </c>
      <c r="D310" s="1005"/>
      <c r="E310" s="1005"/>
      <c r="F310" s="1005"/>
      <c r="G310" s="1005"/>
      <c r="H310" s="1005"/>
      <c r="I310" s="1005"/>
      <c r="J310" s="1005"/>
      <c r="K310" s="1005"/>
      <c r="L310" s="1005"/>
      <c r="M310" s="394"/>
      <c r="N310" s="999"/>
      <c r="O310" s="999"/>
      <c r="P310" s="999"/>
      <c r="Q310" s="999"/>
      <c r="R310" s="999"/>
      <c r="S310" s="999"/>
      <c r="T310" s="999"/>
      <c r="U310" s="999"/>
      <c r="V310" s="999"/>
      <c r="W310" s="999"/>
      <c r="X310" s="999"/>
      <c r="Y310" s="999"/>
      <c r="Z310" s="999"/>
      <c r="AA310" s="999"/>
      <c r="AB310" s="999"/>
    </row>
    <row r="311">
      <c r="A311" s="348"/>
      <c r="B311" s="8"/>
      <c r="C311" s="1004" t="str">
        <f>'5-1 Сбор КП Закупки'!C311</f>
        <v>footer_first</v>
      </c>
      <c r="D311" s="84"/>
      <c r="E311" s="84"/>
      <c r="F311" s="84"/>
      <c r="G311" s="84"/>
      <c r="H311" s="84"/>
      <c r="I311" s="84"/>
      <c r="J311" s="84"/>
      <c r="K311" s="84"/>
      <c r="L311" s="84"/>
      <c r="M311" s="433"/>
      <c r="N311" s="8"/>
      <c r="O311" s="8"/>
      <c r="P311" s="8"/>
      <c r="Q311" s="8"/>
      <c r="R311" s="8"/>
      <c r="S311" s="8"/>
      <c r="T311" s="8"/>
      <c r="U311" s="8"/>
      <c r="V311" s="8"/>
      <c r="W311" s="8"/>
      <c r="X311" s="8"/>
      <c r="Y311" s="8"/>
      <c r="Z311" s="8"/>
      <c r="AA311" s="8"/>
      <c r="AB311" s="8"/>
    </row>
    <row r="312">
      <c r="A312" s="348"/>
      <c r="B312" s="8"/>
      <c r="C312" s="1004" t="str">
        <f>'5-1 Сбор КП Закупки'!C312</f>
        <v>footer_00</v>
      </c>
      <c r="D312" s="84"/>
      <c r="E312" s="84"/>
      <c r="F312" s="84"/>
      <c r="G312" s="84"/>
      <c r="H312" s="84"/>
      <c r="I312" s="84"/>
      <c r="J312" s="84"/>
      <c r="K312" s="84"/>
      <c r="L312" s="84"/>
      <c r="M312" s="433"/>
      <c r="N312" s="8"/>
      <c r="O312" s="8"/>
      <c r="P312" s="8"/>
      <c r="Q312" s="8"/>
      <c r="R312" s="8"/>
      <c r="S312" s="8"/>
      <c r="T312" s="8"/>
      <c r="U312" s="8"/>
      <c r="V312" s="8"/>
      <c r="W312" s="8"/>
      <c r="X312" s="8"/>
      <c r="Y312" s="8"/>
      <c r="Z312" s="8"/>
      <c r="AA312" s="8"/>
      <c r="AB312" s="8"/>
    </row>
    <row r="313">
      <c r="A313" s="348"/>
      <c r="B313" s="8"/>
      <c r="C313" s="1004" t="str">
        <f>'5-1 Сбор КП Закупки'!C313</f>
        <v>footer_01</v>
      </c>
      <c r="D313" s="84"/>
      <c r="E313" s="84"/>
      <c r="F313" s="84"/>
      <c r="G313" s="84"/>
      <c r="H313" s="84"/>
      <c r="I313" s="84"/>
      <c r="J313" s="84"/>
      <c r="K313" s="84"/>
      <c r="L313" s="84"/>
      <c r="M313" s="433"/>
      <c r="N313" s="8"/>
      <c r="O313" s="8"/>
      <c r="P313" s="8"/>
      <c r="Q313" s="8"/>
      <c r="R313" s="8"/>
      <c r="S313" s="8"/>
      <c r="T313" s="8"/>
      <c r="U313" s="8"/>
      <c r="V313" s="8"/>
      <c r="W313" s="8"/>
      <c r="X313" s="8"/>
      <c r="Y313" s="8"/>
      <c r="Z313" s="8"/>
      <c r="AA313" s="8"/>
      <c r="AB313" s="8"/>
    </row>
    <row r="314">
      <c r="A314" s="348"/>
      <c r="B314" s="8"/>
      <c r="C314" s="1004" t="str">
        <f>'5-1 Сбор КП Закупки'!C314</f>
        <v>footer_02</v>
      </c>
      <c r="D314" s="84"/>
      <c r="E314" s="84"/>
      <c r="F314" s="84"/>
      <c r="G314" s="84"/>
      <c r="H314" s="84"/>
      <c r="I314" s="84"/>
      <c r="J314" s="84"/>
      <c r="K314" s="84"/>
      <c r="L314" s="84"/>
      <c r="M314" s="433"/>
      <c r="N314" s="8"/>
      <c r="O314" s="8"/>
      <c r="P314" s="8"/>
      <c r="Q314" s="8"/>
      <c r="R314" s="8"/>
      <c r="S314" s="8"/>
      <c r="T314" s="8"/>
      <c r="U314" s="8"/>
      <c r="V314" s="8"/>
      <c r="W314" s="8"/>
      <c r="X314" s="8"/>
      <c r="Y314" s="8"/>
      <c r="Z314" s="8"/>
      <c r="AA314" s="8"/>
      <c r="AB314" s="8"/>
    </row>
    <row r="315">
      <c r="A315" s="348"/>
      <c r="B315" s="8"/>
      <c r="C315" s="1004" t="str">
        <f>'5-1 Сбор КП Закупки'!C315</f>
        <v>footer_03</v>
      </c>
      <c r="D315" s="84"/>
      <c r="E315" s="84"/>
      <c r="F315" s="84"/>
      <c r="G315" s="84"/>
      <c r="H315" s="84"/>
      <c r="I315" s="84"/>
      <c r="J315" s="84"/>
      <c r="K315" s="84"/>
      <c r="L315" s="84"/>
      <c r="M315" s="433"/>
      <c r="N315" s="8"/>
      <c r="O315" s="8"/>
      <c r="P315" s="8"/>
      <c r="Q315" s="8"/>
      <c r="R315" s="8"/>
      <c r="S315" s="8"/>
      <c r="T315" s="8"/>
      <c r="U315" s="8"/>
      <c r="V315" s="8"/>
      <c r="W315" s="8"/>
      <c r="X315" s="8"/>
      <c r="Y315" s="8"/>
      <c r="Z315" s="8"/>
      <c r="AA315" s="8"/>
      <c r="AB315" s="8"/>
    </row>
    <row r="316">
      <c r="A316" s="348"/>
      <c r="B316" s="8"/>
      <c r="C316" s="1004" t="str">
        <f>'5-1 Сбор КП Закупки'!C316</f>
        <v>footer_04</v>
      </c>
      <c r="D316" s="84"/>
      <c r="E316" s="84"/>
      <c r="F316" s="84"/>
      <c r="G316" s="84"/>
      <c r="H316" s="84"/>
      <c r="I316" s="84"/>
      <c r="J316" s="84"/>
      <c r="K316" s="84"/>
      <c r="L316" s="84"/>
      <c r="M316" s="433"/>
      <c r="N316" s="8"/>
      <c r="O316" s="8"/>
      <c r="P316" s="8"/>
      <c r="Q316" s="8"/>
      <c r="R316" s="8"/>
      <c r="S316" s="8"/>
      <c r="T316" s="8"/>
      <c r="U316" s="8"/>
      <c r="V316" s="8"/>
      <c r="W316" s="8"/>
      <c r="X316" s="8"/>
      <c r="Y316" s="8"/>
      <c r="Z316" s="8"/>
      <c r="AA316" s="8"/>
      <c r="AB316" s="8"/>
    </row>
    <row r="317">
      <c r="A317" s="348"/>
      <c r="B317" s="8"/>
      <c r="C317" s="1004" t="str">
        <f>'5-1 Сбор КП Закупки'!C317</f>
        <v>footer_05</v>
      </c>
      <c r="D317" s="84"/>
      <c r="E317" s="84"/>
      <c r="F317" s="84"/>
      <c r="G317" s="84"/>
      <c r="H317" s="84"/>
      <c r="I317" s="84"/>
      <c r="J317" s="84"/>
      <c r="K317" s="84"/>
      <c r="L317" s="84"/>
      <c r="M317" s="433"/>
      <c r="N317" s="8"/>
      <c r="O317" s="8"/>
      <c r="P317" s="8"/>
      <c r="Q317" s="8"/>
      <c r="R317" s="8"/>
      <c r="S317" s="8"/>
      <c r="T317" s="8"/>
      <c r="U317" s="8"/>
      <c r="V317" s="8"/>
      <c r="W317" s="8"/>
      <c r="X317" s="8"/>
      <c r="Y317" s="8"/>
      <c r="Z317" s="8"/>
      <c r="AA317" s="8"/>
      <c r="AB317" s="8"/>
    </row>
    <row r="318">
      <c r="A318" s="348"/>
      <c r="B318" s="8"/>
      <c r="C318" s="1004" t="str">
        <f>'5-1 Сбор КП Закупки'!C318</f>
        <v>footer_06</v>
      </c>
      <c r="D318" s="84"/>
      <c r="E318" s="84"/>
      <c r="F318" s="84"/>
      <c r="G318" s="84"/>
      <c r="H318" s="84"/>
      <c r="I318" s="84"/>
      <c r="J318" s="84"/>
      <c r="K318" s="84"/>
      <c r="L318" s="84"/>
      <c r="M318" s="433"/>
      <c r="N318" s="8"/>
      <c r="O318" s="8"/>
      <c r="P318" s="8"/>
      <c r="Q318" s="8"/>
      <c r="R318" s="8"/>
      <c r="S318" s="8"/>
      <c r="T318" s="8"/>
      <c r="U318" s="8"/>
      <c r="V318" s="8"/>
      <c r="W318" s="8"/>
      <c r="X318" s="8"/>
      <c r="Y318" s="8"/>
      <c r="Z318" s="8"/>
      <c r="AA318" s="8"/>
      <c r="AB318" s="8"/>
    </row>
    <row r="319">
      <c r="A319" s="348"/>
      <c r="B319" s="8"/>
      <c r="C319" s="1004" t="str">
        <f>'5-1 Сбор КП Закупки'!C319</f>
        <v>footer_last</v>
      </c>
      <c r="D319" s="84"/>
      <c r="E319" s="84"/>
      <c r="F319" s="84"/>
      <c r="G319" s="84"/>
      <c r="H319" s="84"/>
      <c r="I319" s="84"/>
      <c r="J319" s="84"/>
      <c r="K319" s="84"/>
      <c r="L319" s="84"/>
      <c r="M319" s="433"/>
      <c r="N319" s="8"/>
      <c r="O319" s="8"/>
      <c r="P319" s="8"/>
      <c r="Q319" s="8"/>
      <c r="R319" s="8"/>
      <c r="S319" s="8"/>
      <c r="T319" s="8"/>
      <c r="U319" s="8"/>
      <c r="V319" s="8"/>
      <c r="W319" s="8"/>
      <c r="X319" s="8"/>
      <c r="Y319" s="8"/>
      <c r="Z319" s="8"/>
      <c r="AA319" s="8"/>
      <c r="AB319" s="8"/>
    </row>
  </sheetData>
  <autoFilter ref="$D$10:$AB$310"/>
  <mergeCells count="7">
    <mergeCell ref="O9:P9"/>
    <mergeCell ref="Q9:R9"/>
    <mergeCell ref="S9:T9"/>
    <mergeCell ref="U9:V9"/>
    <mergeCell ref="W9:X9"/>
    <mergeCell ref="Y9:Z9"/>
    <mergeCell ref="AA9:AB9"/>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0.0" topLeftCell="A11" activePane="bottomLeft" state="frozen"/>
      <selection activeCell="B12" sqref="B12" pane="bottomLeft"/>
    </sheetView>
  </sheetViews>
  <sheetFormatPr customHeight="1" defaultColWidth="12.63" defaultRowHeight="15.75" outlineLevelRow="1"/>
  <sheetData>
    <row r="1" outlineLevel="1">
      <c r="A1" s="656" t="s">
        <v>685</v>
      </c>
      <c r="B1" s="647"/>
      <c r="C1" s="648" t="s">
        <v>0</v>
      </c>
      <c r="D1" s="656" t="s">
        <v>41</v>
      </c>
      <c r="E1" s="1008" t="s">
        <v>8</v>
      </c>
      <c r="F1" s="8"/>
      <c r="G1" s="8"/>
      <c r="H1" s="8"/>
      <c r="I1" s="8"/>
      <c r="J1" s="1008" t="s">
        <v>686</v>
      </c>
      <c r="K1" s="1008" t="s">
        <v>687</v>
      </c>
      <c r="L1" s="17" t="s">
        <v>56</v>
      </c>
      <c r="M1" s="17" t="s">
        <v>542</v>
      </c>
      <c r="N1" s="17" t="s">
        <v>436</v>
      </c>
      <c r="O1" s="17" t="s">
        <v>543</v>
      </c>
      <c r="P1" s="17" t="s">
        <v>24</v>
      </c>
      <c r="Q1" s="17" t="s">
        <v>579</v>
      </c>
      <c r="R1" s="1009" t="s">
        <v>595</v>
      </c>
      <c r="S1" s="8"/>
      <c r="T1" s="8"/>
      <c r="U1" s="17" t="s">
        <v>551</v>
      </c>
      <c r="V1" s="8"/>
      <c r="W1" s="8"/>
      <c r="X1" s="8"/>
      <c r="Y1" s="8"/>
      <c r="Z1" s="8"/>
      <c r="AA1" s="147" t="s">
        <v>592</v>
      </c>
      <c r="AB1" s="8"/>
      <c r="AC1" s="8"/>
      <c r="AD1" s="8"/>
      <c r="AE1" s="8"/>
      <c r="AF1" s="8"/>
      <c r="AG1" s="8"/>
    </row>
    <row r="2" outlineLevel="1">
      <c r="A2" s="468" t="s">
        <v>5</v>
      </c>
      <c r="B2" s="468" t="s">
        <v>6</v>
      </c>
      <c r="C2" s="1010" t="s">
        <v>7</v>
      </c>
      <c r="D2" s="1010" t="s">
        <v>2</v>
      </c>
      <c r="E2" s="1010" t="s">
        <v>8</v>
      </c>
      <c r="F2" s="1010" t="s">
        <v>17</v>
      </c>
      <c r="G2" s="1010" t="s">
        <v>20</v>
      </c>
      <c r="H2" s="1011" t="s">
        <v>10</v>
      </c>
      <c r="I2" s="1011" t="s">
        <v>235</v>
      </c>
      <c r="J2" s="1012" t="s">
        <v>12</v>
      </c>
      <c r="K2" s="1012" t="s">
        <v>13</v>
      </c>
      <c r="L2" s="1013" t="s">
        <v>588</v>
      </c>
      <c r="M2" s="1013" t="s">
        <v>589</v>
      </c>
      <c r="N2" s="1010" t="s">
        <v>436</v>
      </c>
      <c r="O2" s="1010" t="s">
        <v>590</v>
      </c>
      <c r="P2" s="1014" t="s">
        <v>24</v>
      </c>
      <c r="Q2" s="1010" t="s">
        <v>579</v>
      </c>
      <c r="R2" s="1015" t="s">
        <v>595</v>
      </c>
      <c r="S2" s="1010" t="s">
        <v>212</v>
      </c>
      <c r="T2" s="1011" t="s">
        <v>586</v>
      </c>
      <c r="U2" s="1010" t="s">
        <v>551</v>
      </c>
      <c r="V2" s="1010" t="s">
        <v>581</v>
      </c>
      <c r="W2" s="1016" t="s">
        <v>582</v>
      </c>
      <c r="X2" s="1016" t="s">
        <v>583</v>
      </c>
      <c r="Y2" s="1016" t="s">
        <v>584</v>
      </c>
      <c r="Z2" s="1013" t="s">
        <v>591</v>
      </c>
      <c r="AA2" s="1017" t="s">
        <v>592</v>
      </c>
      <c r="AB2" s="1018" t="s">
        <v>596</v>
      </c>
      <c r="AC2" s="1013" t="s">
        <v>597</v>
      </c>
      <c r="AD2" s="1019" t="s">
        <v>598</v>
      </c>
      <c r="AE2" s="1019" t="s">
        <v>599</v>
      </c>
      <c r="AF2" s="1016" t="s">
        <v>600</v>
      </c>
      <c r="AG2" s="1019" t="s">
        <v>601</v>
      </c>
    </row>
    <row r="3" outlineLevel="1">
      <c r="A3" s="310"/>
      <c r="B3" s="310"/>
      <c r="C3" s="685" t="s">
        <v>25</v>
      </c>
      <c r="D3" s="685" t="s">
        <v>25</v>
      </c>
      <c r="E3" s="685" t="s">
        <v>25</v>
      </c>
      <c r="F3" s="685" t="s">
        <v>25</v>
      </c>
      <c r="G3" s="685" t="s">
        <v>25</v>
      </c>
      <c r="H3" s="685"/>
      <c r="I3" s="685"/>
      <c r="J3" s="685" t="s">
        <v>25</v>
      </c>
      <c r="K3" s="685" t="s">
        <v>25</v>
      </c>
      <c r="L3" s="685" t="s">
        <v>25</v>
      </c>
      <c r="M3" s="685" t="s">
        <v>25</v>
      </c>
      <c r="N3" s="685" t="s">
        <v>25</v>
      </c>
      <c r="O3" s="685" t="s">
        <v>25</v>
      </c>
      <c r="P3" s="685" t="s">
        <v>25</v>
      </c>
      <c r="Q3" s="685" t="s">
        <v>25</v>
      </c>
      <c r="R3" s="692" t="s">
        <v>25</v>
      </c>
      <c r="S3" s="685" t="s">
        <v>25</v>
      </c>
      <c r="T3" s="685" t="s">
        <v>25</v>
      </c>
      <c r="U3" s="685" t="s">
        <v>25</v>
      </c>
      <c r="V3" s="685" t="s">
        <v>25</v>
      </c>
      <c r="W3" s="685" t="s">
        <v>25</v>
      </c>
      <c r="X3" s="685" t="s">
        <v>25</v>
      </c>
      <c r="Y3" s="685" t="s">
        <v>25</v>
      </c>
      <c r="Z3" s="685" t="s">
        <v>25</v>
      </c>
      <c r="AA3" s="685" t="s">
        <v>25</v>
      </c>
      <c r="AB3" s="685" t="s">
        <v>25</v>
      </c>
      <c r="AC3" s="685" t="s">
        <v>25</v>
      </c>
      <c r="AD3" s="1020" t="s">
        <v>32</v>
      </c>
      <c r="AE3" s="1020" t="s">
        <v>32</v>
      </c>
      <c r="AF3" s="685" t="s">
        <v>25</v>
      </c>
      <c r="AG3" s="685" t="s">
        <v>25</v>
      </c>
    </row>
    <row r="4" outlineLevel="1">
      <c r="A4" s="310"/>
      <c r="B4" s="310"/>
      <c r="C4" s="698" t="s">
        <v>28</v>
      </c>
      <c r="D4" s="310" t="s">
        <v>688</v>
      </c>
      <c r="E4" s="310" t="s">
        <v>689</v>
      </c>
      <c r="F4" s="310" t="s">
        <v>690</v>
      </c>
      <c r="G4" s="144"/>
      <c r="H4" s="144"/>
      <c r="I4" s="144"/>
      <c r="J4" s="8"/>
      <c r="K4" s="8"/>
      <c r="L4" s="8"/>
      <c r="M4" s="8"/>
      <c r="N4" s="8"/>
      <c r="O4" s="8"/>
      <c r="P4" s="286"/>
      <c r="Q4" s="8"/>
      <c r="R4" s="434"/>
      <c r="S4" s="8"/>
      <c r="T4" s="8"/>
      <c r="U4" s="8"/>
      <c r="V4" s="8"/>
      <c r="W4" s="8"/>
      <c r="X4" s="8"/>
      <c r="Y4" s="8"/>
      <c r="Z4" s="8"/>
      <c r="AA4" s="8"/>
      <c r="AB4" s="8"/>
      <c r="AC4" s="8"/>
      <c r="AD4" s="8"/>
      <c r="AE4" s="8"/>
      <c r="AF4" s="8"/>
      <c r="AG4" s="17"/>
    </row>
    <row r="5" outlineLevel="1">
      <c r="A5" s="310"/>
      <c r="B5" s="310"/>
      <c r="C5" s="698" t="s">
        <v>31</v>
      </c>
      <c r="D5" s="310" t="s">
        <v>691</v>
      </c>
      <c r="E5" s="310" t="s">
        <v>692</v>
      </c>
      <c r="F5" s="154" t="s">
        <v>693</v>
      </c>
      <c r="G5" s="310" t="s">
        <v>694</v>
      </c>
      <c r="H5" s="310" t="s">
        <v>695</v>
      </c>
      <c r="I5" s="310" t="s">
        <v>696</v>
      </c>
      <c r="J5" s="310" t="s">
        <v>697</v>
      </c>
      <c r="K5" s="310" t="s">
        <v>698</v>
      </c>
      <c r="L5" s="310" t="s">
        <v>699</v>
      </c>
      <c r="M5" s="310" t="s">
        <v>700</v>
      </c>
      <c r="N5" s="310" t="str">
        <f t="array" ref="N5:N6">LAMBDA(theStr,{"0-Паспорт проекта - "&amp;theStr ;IFERROR( VLOOKUP(theStr,'0-Паспорт проекта'!$B$1:$C30,2,FALSE) ,) } )("Срок поставки по договору (справочно), календарные дни")</f>
        <v>0-Паспорт проекта - Срок поставки по договору (справочно), календарные дни</v>
      </c>
      <c r="O5" s="310" t="str">
        <f t="array" ref="O5:O6">LAMBDA(theStr,{"0-Паспорт проекта - "&amp;theStr ;IFERROR( VLOOKUP(theStr,'0-Паспорт проекта'!$B$1:$C30,2,FALSE) ,) } )("Срок доставки, календарные дни")</f>
        <v>0-Паспорт проекта - Срок доставки, календарные дни</v>
      </c>
      <c r="P5" s="310" t="str">
        <f t="array" ref="P5:P6">LAMBDA(theStr,{"0-Паспорт проекта - "&amp;theStr ;IFERROR( VLOOKUP(theStr,'0-Паспорт проекта'!$B$1:$C30,2,FALSE) ,) } )("Срок приемки, календарные дни")</f>
        <v>0-Паспорт проекта - Срок приемки, календарные дни</v>
      </c>
      <c r="Q5" s="310" t="str">
        <f t="array" ref="Q5:Q6">LAMBDA(theStr,{"0-Паспорт проекта - "&amp;theStr ;IFERROR( VLOOKUP(theStr,'0-Паспорт проекта'!$B$1:$C30,2,FALSE) ,) } )("Срок оплаты, календарные дни")</f>
        <v>0-Паспорт проекта - Срок оплаты, календарные дни</v>
      </c>
      <c r="R5" s="310" t="str">
        <f t="array" ref="R5:R6">{"Триггеры оплат";'S-10 Триггеры'!$G$6}</f>
        <v>Триггеры оплат</v>
      </c>
      <c r="S5" s="310"/>
      <c r="T5" s="8"/>
      <c r="U5" s="8"/>
      <c r="V5" s="8"/>
      <c r="W5" s="8"/>
      <c r="X5" s="8"/>
      <c r="Y5" s="8"/>
      <c r="Z5" s="8"/>
      <c r="AA5" s="8"/>
      <c r="AB5" s="8"/>
      <c r="AC5" s="8"/>
      <c r="AD5" s="8"/>
      <c r="AE5" s="8"/>
      <c r="AF5" s="8"/>
      <c r="AG5" s="8"/>
    </row>
    <row r="6" outlineLevel="1">
      <c r="A6" s="152"/>
      <c r="B6" s="310"/>
      <c r="C6" s="698" t="s">
        <v>35</v>
      </c>
      <c r="D6" s="1021" t="str">
        <f>"'6 Оплаты Внешняя'!G1:BZ"</f>
        <v>'6 Оплаты Внешняя'!G1:BZ</v>
      </c>
      <c r="E6" s="144" t="str">
        <f>'5-5 Оформление сделок'!$D$9</f>
        <v/>
      </c>
      <c r="F6" s="19"/>
      <c r="G6" s="1022" t="str">
        <f>LAMBDA(doFind,theWord,theData, doFind(theWord,theData))( 
LAMBDA(theWord,theData,IFERROR(VLOOKUP(theWord,theData,2,FALSE),)),
'S-10 Для Внешней Оплаты'!G$5,'10 - Настройки проекта'!$B:$C)</f>
        <v/>
      </c>
      <c r="H6" s="1023" t="str">
        <f>LAMBDA(doFind,theWord,theData, doFind(theWord,theData))( 
LAMBDA(theWord,theData,IFERROR(VLOOKUP(theWord,theData,2,FALSE),)),
'S-10 Для Внешней Оплаты'!H$5,'0-Паспорт проекта'!$B:$C)</f>
        <v>PTZ-А-1480</v>
      </c>
      <c r="I6" s="144" t="str">
        <f>LAMBDA(doFind,theWord,theData, doFind(theWord,theData))( 
LAMBDA(theWord,theData,IFERROR(VLOOKUP(theWord,theData,2,FALSE),)),
'S-10 Для Внешней Оплаты'!I$5,'10 - Настройки проекта'!$B:$C)</f>
        <v/>
      </c>
      <c r="J6" s="144" t="str">
        <f>LAMBDA(doFind,theWord,theData, doFind(theWord,theData))( 
LAMBDA(theWord,theData,IFERROR(VLOOKUP(theWord,theData,2,FALSE),)),
'S-10 Для Внешней Оплаты'!J$5,'10 - Настройки проекта'!$B:$C)</f>
        <v/>
      </c>
      <c r="K6" s="144" t="str">
        <f>LAMBDA(doFind,theWord,theData, doFind(theWord,theData))( 
LAMBDA(theWord,theData,IFERROR(VLOOKUP(theWord,theData,2,FALSE),)),
'S-10 Для Внешней Оплаты'!K$5,'10 - Настройки проекта'!$B:$C)</f>
        <v/>
      </c>
      <c r="L6" s="144" t="str">
        <f>LAMBDA(doFind,theWord,theData, doFind(theWord,theData))( 
LAMBDA(theWord,theData,IFERROR(VLOOKUP(theWord,theData,2,FALSE),)),
'S-10 Для Внешней Оплаты'!L$5,'10 - Настройки проекта'!$B:$C)</f>
        <v/>
      </c>
      <c r="M6" s="1024" t="str">
        <f>LAMBDA(doFind,theWord,theData, doFind(theWord,theData))( 
LAMBDA(theWord,theData,IFERROR(VLOOKUP(theWord,theData,2,FALSE),)),
'S-10 Для Внешней Оплаты'!M$5,'10 - Настройки проекта'!$B:$C)</f>
        <v/>
      </c>
      <c r="N6" s="1023"/>
      <c r="O6" s="1023"/>
      <c r="P6" s="1023">
        <v>7.0</v>
      </c>
      <c r="Q6" s="253">
        <v>30.0</v>
      </c>
      <c r="R6" s="434" t="s">
        <v>701</v>
      </c>
      <c r="S6" s="8"/>
      <c r="T6" s="8"/>
      <c r="U6" s="8"/>
      <c r="V6" s="8"/>
      <c r="W6" s="8"/>
      <c r="X6" s="8"/>
      <c r="Y6" s="8"/>
      <c r="Z6" s="8"/>
      <c r="AA6" s="8"/>
      <c r="AB6" s="8"/>
      <c r="AC6" s="123"/>
      <c r="AD6" s="8"/>
      <c r="AE6" s="8"/>
      <c r="AF6" s="8"/>
      <c r="AG6" s="8"/>
    </row>
    <row r="7" outlineLevel="1">
      <c r="A7" s="669" t="s">
        <v>237</v>
      </c>
      <c r="B7" s="669" t="s">
        <v>237</v>
      </c>
      <c r="C7" s="468" t="s">
        <v>37</v>
      </c>
      <c r="D7" s="724"/>
      <c r="E7" s="724"/>
      <c r="F7" s="344" t="s">
        <v>702</v>
      </c>
      <c r="G7" s="344" t="s">
        <v>702</v>
      </c>
      <c r="H7" s="344" t="s">
        <v>702</v>
      </c>
      <c r="I7" s="344" t="s">
        <v>702</v>
      </c>
      <c r="J7" s="8"/>
      <c r="K7" s="8"/>
      <c r="L7" s="8"/>
      <c r="M7" s="8"/>
      <c r="N7" s="344" t="s">
        <v>702</v>
      </c>
      <c r="O7" s="8"/>
      <c r="P7" s="344" t="s">
        <v>702</v>
      </c>
      <c r="Q7" s="344" t="s">
        <v>702</v>
      </c>
      <c r="R7" s="1025" t="s">
        <v>702</v>
      </c>
      <c r="S7" s="344" t="s">
        <v>702</v>
      </c>
      <c r="T7" s="344" t="s">
        <v>702</v>
      </c>
      <c r="U7" s="8"/>
      <c r="V7" s="724"/>
      <c r="W7" s="344" t="s">
        <v>702</v>
      </c>
      <c r="X7" s="344" t="s">
        <v>702</v>
      </c>
      <c r="Y7" s="344" t="s">
        <v>702</v>
      </c>
      <c r="Z7" s="8"/>
      <c r="AA7" s="8"/>
      <c r="AB7" s="724"/>
      <c r="AC7" s="344" t="s">
        <v>702</v>
      </c>
      <c r="AD7" s="344"/>
      <c r="AE7" s="344"/>
      <c r="AF7" s="344" t="s">
        <v>702</v>
      </c>
      <c r="AG7" s="344" t="s">
        <v>702</v>
      </c>
    </row>
    <row r="8" outlineLevel="1">
      <c r="A8" s="310"/>
      <c r="B8" s="310"/>
      <c r="C8" s="468" t="s">
        <v>39</v>
      </c>
      <c r="D8" s="144"/>
      <c r="E8" s="144"/>
      <c r="F8" s="144"/>
      <c r="G8" s="144"/>
      <c r="H8" s="144"/>
      <c r="I8" s="144"/>
      <c r="J8" s="8"/>
      <c r="K8" s="8"/>
      <c r="L8" s="8"/>
      <c r="M8" s="8"/>
      <c r="N8" s="8"/>
      <c r="O8" s="8"/>
      <c r="P8" s="286"/>
      <c r="Q8" s="8"/>
      <c r="R8" s="434"/>
      <c r="S8" s="8"/>
      <c r="T8" s="8"/>
      <c r="U8" s="8"/>
      <c r="V8" s="8"/>
      <c r="W8" s="8"/>
      <c r="X8" s="8"/>
      <c r="Y8" s="8"/>
      <c r="Z8" s="8"/>
      <c r="AA8" s="8"/>
      <c r="AB8" s="8"/>
      <c r="AC8" s="123"/>
      <c r="AD8" s="8"/>
      <c r="AE8" s="8"/>
      <c r="AF8" s="8"/>
      <c r="AG8" s="8"/>
    </row>
    <row r="9" outlineLevel="1">
      <c r="A9" s="310"/>
      <c r="B9" s="310"/>
      <c r="C9" s="729" t="s">
        <v>44</v>
      </c>
      <c r="D9" s="1022"/>
      <c r="E9" s="144" t="str">
        <f>'5-5 Оформление сделок'!$D$9</f>
        <v/>
      </c>
      <c r="F9" s="1022" t="str">
        <f>F6</f>
        <v/>
      </c>
      <c r="G9" s="144"/>
      <c r="H9" s="144"/>
      <c r="I9" s="144"/>
      <c r="J9" s="144" t="str">
        <f>IF('S-10 Триггеры'!G6 = "Триггеры оплат запушены","Триггеры оплат запушены","Не запущены триггеры оплат")</f>
        <v>Не запущены триггеры оплат</v>
      </c>
      <c r="K9" s="144"/>
      <c r="L9" s="144"/>
      <c r="M9" s="144"/>
      <c r="N9" s="144"/>
      <c r="O9" s="144"/>
      <c r="P9" s="286"/>
      <c r="Q9" s="310"/>
      <c r="R9" s="704"/>
      <c r="S9" s="8"/>
      <c r="T9" s="8"/>
      <c r="U9" s="8"/>
      <c r="V9" s="8"/>
      <c r="W9" s="123"/>
      <c r="X9" s="8"/>
      <c r="Y9" s="8"/>
      <c r="Z9" s="8"/>
      <c r="AA9" s="8"/>
      <c r="AB9" s="8"/>
      <c r="AC9" s="8"/>
      <c r="AD9" s="8"/>
      <c r="AE9" s="8"/>
      <c r="AF9" s="8"/>
      <c r="AG9" s="8"/>
    </row>
    <row r="10">
      <c r="A10" s="8"/>
      <c r="B10" s="8"/>
      <c r="C10" s="156" t="str">
        <f>IFERROR(__xludf.DUMMYFUNCTION("{LAMBDA( doFindRow, doFilter, doStrWhere, theWordStart, theCStart, theWordEnd, theCEnd, theDataWord, theData,theDataFul, 
  QUERY(theDataFul,""Select Col1 "" &amp; doStrWhere(doFilter(doFindRow(theDataWord,theWordStart,theCStart),doFindRow(theDataWord,theWord"&amp;"End,theCEnd),theData)),0)
)( 
 LAMBDA(theWords,theWord,theC ,   VLOOKUP( theWord, BYROW(theWords,LAMBDA(theW,{theW , ROW(theW)})),2,FALSE ) +theC),
 LAMBDA(bodyStart,bodyEnd,theData, FILTER(theData,bodyStart &lt;= BYROW(theData,lambda(d,ROW(d))) ,BYROW(theDa"&amp;"ta,lambda(d,ROW(d)))&lt;=bodyEnd,BYROW(theData,lambda(d,d&lt;&gt;"""")) )),
 LAMBDA(theIds, IF( COUNTA(theIds)=0,"""", ""Where Col1 is not null and Col3 is not null and ( "" &amp; TEXTJOIN("" or "",TRUE, BYROW(theIds,LAMBDA(tid, ""Col1='""&amp;tid&amp;""'"" ))) &amp; "" ) "" )),
"&amp;" ""header_last"",1,""footer_first"",-1,'5-5 Оформление сделок'!$C$1:$C30
 ,'5-5 Оформление сделок'!C1:C30,'5-5 Оформление сделок'!C1:E30
)}
"),"ID_Товара")</f>
        <v>ID_Товара</v>
      </c>
      <c r="D10" s="156" t="str">
        <f t="array" ref="D10:D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сделок'!D1:D30
)
</f>
        <v>№</v>
      </c>
      <c r="E10" s="156" t="str">
        <f t="array" ref="E10:E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сделок'!E1:E30
)
</f>
        <v>Номенклатура</v>
      </c>
      <c r="F10" s="156" t="str">
        <f t="array" ref="F10:F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сделок'!F1:F30
)
</f>
        <v>Название товара по договору</v>
      </c>
      <c r="G10" s="156" t="str">
        <f t="array" ref="G10:G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сделок'!G1:G30
)
</f>
        <v>Изготовитель товара по договору</v>
      </c>
      <c r="H10" s="156" t="str">
        <f t="array" ref="H10:H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сделок'!H1:H30
)
</f>
        <v>Характеристики</v>
      </c>
      <c r="I10" s="156" t="str">
        <f t="array" ref="I10:I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сделок'!I1:I30
)
</f>
        <v>Состав поставляемой с продукцией технической документации</v>
      </c>
      <c r="J10" s="156" t="str">
        <f t="array" ref="J10:J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сделок'!J1:J30
)
</f>
        <v>Ед. Изм</v>
      </c>
      <c r="K10" s="156" t="str">
        <f t="array" ref="K10:K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сделок'!K1:K30
)
</f>
        <v>Кол-во</v>
      </c>
      <c r="L10" s="151" t="str">
        <f t="array" ref="L10:L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сделок'!AP1:AP30
)
</f>
        <v>Реальная цена</v>
      </c>
      <c r="M10" s="151" t="str">
        <f t="array" ref="M10:M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сделок'!AQ1:AQ30
)
</f>
        <v>Реальная цена Итого</v>
      </c>
      <c r="N10" s="156" t="str">
        <f t="array" ref="N10:N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сделок'!L1:L30
)
</f>
        <v>Группа</v>
      </c>
      <c r="O10" s="156" t="str">
        <f t="array" ref="O10:O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сделок'!AS1:AS30
)
</f>
        <v>Реальный срок</v>
      </c>
      <c r="P10" s="286" t="str">
        <f t="array" ref="P10:P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сделок'!P1:P30
)
</f>
        <v>Срок поставки по договору</v>
      </c>
      <c r="Q10" s="156" t="str">
        <f t="array" ref="Q10:Q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сделок'!AB1:AB30
)
</f>
        <v>Поставщик</v>
      </c>
      <c r="R10" s="434" t="str">
        <f t="array" ref="R10:R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сделок'!BA1:BA30
)
</f>
        <v>ИНН Постав-ка</v>
      </c>
      <c r="S10" s="156" t="str">
        <f t="array" ref="S10:S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сделок'!AD1:AD30
)
</f>
        <v>Комментарий к товару с листа 5-3</v>
      </c>
      <c r="T10" s="156" t="str">
        <f t="array" ref="T10:T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сделок'!AL1:AL30
)
</f>
        <v>Комментарий закупщика к сделке</v>
      </c>
      <c r="U10" s="156" t="str">
        <f t="array" ref="U10:U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сделок'!AF1:AF30
)
</f>
        <v>Статус</v>
      </c>
      <c r="V10" s="156" t="str">
        <f t="array" ref="V10:V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сделок'!AG1:AG30
)
</f>
        <v>Результат проверки контаргента</v>
      </c>
      <c r="W10" s="156" t="str">
        <f t="array" ref="W10:W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сделок'!AH1:AH30
)
</f>
        <v>Завершенных сделок</v>
      </c>
      <c r="X10" s="156" t="str">
        <f t="array" ref="X10:X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сделок'!AI1:AI30
)
</f>
        <v>Кинул</v>
      </c>
      <c r="Y10" s="156" t="str">
        <f t="array" ref="Y10:Y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сделок'!AJ1:AJ30
)
</f>
        <v>Сделок в работе</v>
      </c>
      <c r="Z10" s="151" t="str">
        <f t="array" ref="Z10:Z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сделок'!AU1:AU30
)
</f>
        <v>НДС</v>
      </c>
      <c r="AA10" s="151" t="str">
        <f t="array" ref="AA10:AA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сделок'!AW1:AW30
)
</f>
        <v>Вид оплаты</v>
      </c>
      <c r="AB10" s="156" t="str">
        <f t="array" ref="AB10:AB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сделок'!BC1:BC30
)
</f>
        <v>Процент перв-ной оп-ты</v>
      </c>
      <c r="AC10" s="156" t="str">
        <f t="array" ref="AC10:AC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сделок'!BE1:BE30
)
</f>
        <v>Условия оплаты</v>
      </c>
      <c r="AD10" s="156" t="str">
        <f t="array" ref="AD10:AD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сделок'!BG1:BG30
)
</f>
        <v>Иные условия оплаты</v>
      </c>
      <c r="AE10" s="156" t="str">
        <f t="array" ref="AE10:AE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сделок'!BI1:BI30
)
</f>
        <v>Отсрочка календарных дней</v>
      </c>
      <c r="AF10" s="156" t="str">
        <f t="array" ref="AF10:AF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сделок'!BK1:BK30
)
</f>
        <v>Куда доставить груз (промежучточное место комплектации)</v>
      </c>
      <c r="AG10" s="151" t="str">
        <f t="array" ref="AG10:AG30">LAMBDA( doFind, theIDS, theDataIDS,theDataVLS, 
  doFind(theIDS, {theDataIDS,theDataVLS} ) )( 
 LAMBDA(theIDS, theData, ByRow(theIDS,LAMBDA(tid,IF(tid&lt;&gt;"", IFERROR(VLOOKUP(tid, theData,2,FALSE),) ,)))  ),
 'S-10 Для Внешней Оплаты'!$C$10:$C30,'5-5 Оформление сделок'!$C$1:$C30
 ,'5-5 Оформление сделок'!BM1:BM30
)
</f>
        <v>Обязательства поставщика по доставке</v>
      </c>
    </row>
    <row r="11">
      <c r="A11" s="1115"/>
      <c r="B11" s="1115"/>
      <c r="C11" s="1116" t="str">
        <f>IFERROR(__xludf.DUMMYFUNCTION("""COMPUTED_VALUE"""),"ID_T001")</f>
        <v>ID_T001</v>
      </c>
      <c r="D11" s="1117" t="s">
        <v>275</v>
      </c>
      <c r="E11" s="1116" t="s">
        <v>276</v>
      </c>
      <c r="F11" s="1116"/>
      <c r="G11" s="1116"/>
      <c r="H11" s="1116"/>
      <c r="I11" s="1116"/>
      <c r="J11" s="1116" t="s">
        <v>278</v>
      </c>
      <c r="K11" s="1118">
        <v>3.0</v>
      </c>
      <c r="L11" s="1118"/>
      <c r="M11" s="1118">
        <v>0.0</v>
      </c>
      <c r="N11" s="1118"/>
      <c r="O11" s="1119"/>
      <c r="P11" s="1120"/>
      <c r="Q11" s="1117"/>
      <c r="R11" s="1121"/>
      <c r="S11" s="1116"/>
      <c r="T11" s="1116"/>
      <c r="U11" s="1118"/>
      <c r="V11" s="1117"/>
      <c r="W11" s="1122"/>
      <c r="X11" s="1118"/>
      <c r="Y11" s="1116"/>
      <c r="Z11" s="1118"/>
      <c r="AA11" s="1118"/>
      <c r="AB11" s="1119"/>
      <c r="AC11" s="1119"/>
      <c r="AD11" s="1115"/>
      <c r="AE11" s="1115"/>
      <c r="AF11" s="1119"/>
      <c r="AG11" s="1118"/>
    </row>
    <row r="12">
      <c r="A12" s="1123"/>
      <c r="B12" s="1115"/>
      <c r="C12" s="1116" t="str">
        <f>IFERROR(__xludf.DUMMYFUNCTION("""COMPUTED_VALUE"""),"ID_T002")</f>
        <v>ID_T002</v>
      </c>
      <c r="D12" s="1117" t="s">
        <v>298</v>
      </c>
      <c r="E12" s="1116" t="s">
        <v>299</v>
      </c>
      <c r="F12" s="1116"/>
      <c r="G12" s="1116"/>
      <c r="H12" s="1116"/>
      <c r="I12" s="1116"/>
      <c r="J12" s="1116" t="s">
        <v>278</v>
      </c>
      <c r="K12" s="1118">
        <v>6.0</v>
      </c>
      <c r="L12" s="1118"/>
      <c r="M12" s="1118">
        <v>0.0</v>
      </c>
      <c r="N12" s="1118"/>
      <c r="O12" s="1119"/>
      <c r="P12" s="1120"/>
      <c r="Q12" s="1117"/>
      <c r="R12" s="1121"/>
      <c r="S12" s="1116"/>
      <c r="T12" s="1116"/>
      <c r="U12" s="1118"/>
      <c r="V12" s="1117"/>
      <c r="W12" s="1122"/>
      <c r="X12" s="1118"/>
      <c r="Y12" s="1116"/>
      <c r="Z12" s="1118"/>
      <c r="AA12" s="1118"/>
      <c r="AB12" s="1119"/>
      <c r="AC12" s="1119"/>
      <c r="AD12" s="1115"/>
      <c r="AE12" s="1115"/>
      <c r="AF12" s="1119"/>
      <c r="AG12" s="1118"/>
    </row>
    <row r="13">
      <c r="A13" s="1123"/>
      <c r="B13" s="1115"/>
      <c r="C13" s="1116" t="str">
        <f>IFERROR(__xludf.DUMMYFUNCTION("""COMPUTED_VALUE"""),"ID_T003")</f>
        <v>ID_T003</v>
      </c>
      <c r="D13" s="1117" t="s">
        <v>313</v>
      </c>
      <c r="E13" s="1116" t="s">
        <v>314</v>
      </c>
      <c r="F13" s="1116"/>
      <c r="G13" s="1116"/>
      <c r="H13" s="1116"/>
      <c r="I13" s="1116"/>
      <c r="J13" s="1116" t="s">
        <v>278</v>
      </c>
      <c r="K13" s="1118">
        <v>16.0</v>
      </c>
      <c r="L13" s="1118"/>
      <c r="M13" s="1118">
        <v>0.0</v>
      </c>
      <c r="N13" s="1118"/>
      <c r="O13" s="1119"/>
      <c r="P13" s="1120"/>
      <c r="Q13" s="1117"/>
      <c r="R13" s="1121"/>
      <c r="S13" s="1116"/>
      <c r="T13" s="1116"/>
      <c r="U13" s="1118"/>
      <c r="V13" s="1117"/>
      <c r="W13" s="1122"/>
      <c r="X13" s="1118"/>
      <c r="Y13" s="1116"/>
      <c r="Z13" s="1118"/>
      <c r="AA13" s="1118"/>
      <c r="AB13" s="1119"/>
      <c r="AC13" s="1119"/>
      <c r="AD13" s="1115"/>
      <c r="AE13" s="1115"/>
      <c r="AF13" s="1119"/>
      <c r="AG13" s="1118"/>
    </row>
    <row r="14">
      <c r="A14" s="1123"/>
      <c r="B14" s="1115"/>
      <c r="C14" s="1116" t="str">
        <f>IFERROR(__xludf.DUMMYFUNCTION("""COMPUTED_VALUE"""),"ID_T004")</f>
        <v>ID_T004</v>
      </c>
      <c r="D14" s="1117" t="s">
        <v>330</v>
      </c>
      <c r="E14" s="1116" t="s">
        <v>331</v>
      </c>
      <c r="F14" s="1116"/>
      <c r="G14" s="1116"/>
      <c r="H14" s="1116"/>
      <c r="I14" s="1116"/>
      <c r="J14" s="1116" t="s">
        <v>278</v>
      </c>
      <c r="K14" s="1118">
        <v>2.0</v>
      </c>
      <c r="L14" s="1118"/>
      <c r="M14" s="1118">
        <v>0.0</v>
      </c>
      <c r="N14" s="1118"/>
      <c r="O14" s="1119"/>
      <c r="P14" s="1120"/>
      <c r="Q14" s="1117"/>
      <c r="R14" s="1121"/>
      <c r="S14" s="1116"/>
      <c r="T14" s="1116"/>
      <c r="U14" s="1118"/>
      <c r="V14" s="1117"/>
      <c r="W14" s="1122"/>
      <c r="X14" s="1118"/>
      <c r="Y14" s="1116"/>
      <c r="Z14" s="1118"/>
      <c r="AA14" s="1118"/>
      <c r="AB14" s="1119"/>
      <c r="AC14" s="1119"/>
      <c r="AD14" s="1115"/>
      <c r="AE14" s="1115"/>
      <c r="AF14" s="1119"/>
      <c r="AG14" s="1118"/>
    </row>
    <row r="15">
      <c r="A15" s="1123"/>
      <c r="B15" s="1115"/>
      <c r="C15" s="1116" t="str">
        <f>IFERROR(__xludf.DUMMYFUNCTION("""COMPUTED_VALUE"""),"ID_T005")</f>
        <v>ID_T005</v>
      </c>
      <c r="D15" s="1117" t="s">
        <v>337</v>
      </c>
      <c r="E15" s="1116" t="s">
        <v>338</v>
      </c>
      <c r="F15" s="1116"/>
      <c r="G15" s="1116"/>
      <c r="H15" s="1116"/>
      <c r="I15" s="1116"/>
      <c r="J15" s="1116" t="s">
        <v>278</v>
      </c>
      <c r="K15" s="1118">
        <v>3.0</v>
      </c>
      <c r="L15" s="1118"/>
      <c r="M15" s="1118">
        <v>0.0</v>
      </c>
      <c r="N15" s="1118"/>
      <c r="O15" s="1119"/>
      <c r="P15" s="1120"/>
      <c r="Q15" s="1117"/>
      <c r="R15" s="1121"/>
      <c r="S15" s="1116"/>
      <c r="T15" s="1116"/>
      <c r="U15" s="1118"/>
      <c r="V15" s="1117"/>
      <c r="W15" s="1122"/>
      <c r="X15" s="1118"/>
      <c r="Y15" s="1116"/>
      <c r="Z15" s="1118"/>
      <c r="AA15" s="1118"/>
      <c r="AB15" s="1119"/>
      <c r="AC15" s="1119"/>
      <c r="AD15" s="1115"/>
      <c r="AE15" s="1115"/>
      <c r="AF15" s="1119"/>
      <c r="AG15" s="1118"/>
    </row>
    <row r="16">
      <c r="A16" s="1123"/>
      <c r="B16" s="1115"/>
      <c r="C16" s="1116" t="str">
        <f>IFERROR(__xludf.DUMMYFUNCTION("""COMPUTED_VALUE"""),"ID_T006")</f>
        <v>ID_T006</v>
      </c>
      <c r="D16" s="1117" t="s">
        <v>356</v>
      </c>
      <c r="E16" s="1116" t="s">
        <v>357</v>
      </c>
      <c r="F16" s="1116"/>
      <c r="G16" s="1116"/>
      <c r="H16" s="1116"/>
      <c r="I16" s="1116"/>
      <c r="J16" s="1116" t="s">
        <v>278</v>
      </c>
      <c r="K16" s="1118">
        <v>3.0</v>
      </c>
      <c r="L16" s="1118"/>
      <c r="M16" s="1118">
        <v>0.0</v>
      </c>
      <c r="N16" s="1118"/>
      <c r="O16" s="1119"/>
      <c r="P16" s="1120"/>
      <c r="Q16" s="1117"/>
      <c r="R16" s="1121"/>
      <c r="S16" s="1116"/>
      <c r="T16" s="1116"/>
      <c r="U16" s="1118"/>
      <c r="V16" s="1117"/>
      <c r="W16" s="1122"/>
      <c r="X16" s="1118"/>
      <c r="Y16" s="1116"/>
      <c r="Z16" s="1118"/>
      <c r="AA16" s="1118"/>
      <c r="AB16" s="1119"/>
      <c r="AC16" s="1119"/>
      <c r="AD16" s="1115"/>
      <c r="AE16" s="1115"/>
      <c r="AF16" s="1119"/>
      <c r="AG16" s="1118"/>
    </row>
    <row r="17">
      <c r="A17" s="1123"/>
      <c r="B17" s="1115"/>
      <c r="C17" s="1116" t="str">
        <f>IFERROR(__xludf.DUMMYFUNCTION("""COMPUTED_VALUE"""),"ID_T007")</f>
        <v>ID_T007</v>
      </c>
      <c r="D17" s="1117" t="s">
        <v>372</v>
      </c>
      <c r="E17" s="1116" t="s">
        <v>373</v>
      </c>
      <c r="F17" s="1116"/>
      <c r="G17" s="1116"/>
      <c r="H17" s="1116"/>
      <c r="I17" s="1116"/>
      <c r="J17" s="1116" t="s">
        <v>278</v>
      </c>
      <c r="K17" s="1118">
        <v>3.0</v>
      </c>
      <c r="L17" s="1118"/>
      <c r="M17" s="1118">
        <v>0.0</v>
      </c>
      <c r="N17" s="1118"/>
      <c r="O17" s="1119"/>
      <c r="P17" s="1120"/>
      <c r="Q17" s="1117"/>
      <c r="R17" s="1121"/>
      <c r="S17" s="1116"/>
      <c r="T17" s="1116"/>
      <c r="U17" s="1118"/>
      <c r="V17" s="1117"/>
      <c r="W17" s="1122"/>
      <c r="X17" s="1118"/>
      <c r="Y17" s="1116"/>
      <c r="Z17" s="1118"/>
      <c r="AA17" s="1118"/>
      <c r="AB17" s="1119"/>
      <c r="AC17" s="1119"/>
      <c r="AD17" s="1115"/>
      <c r="AE17" s="1115"/>
      <c r="AF17" s="1119"/>
      <c r="AG17" s="1118"/>
    </row>
    <row r="18">
      <c r="A18" s="1123"/>
      <c r="B18" s="1115"/>
      <c r="C18" s="1124" t="str">
        <f>IFERROR(__xludf.DUMMYFUNCTION("""COMPUTED_VALUE"""),"ID_T008")</f>
        <v>ID_T008</v>
      </c>
      <c r="D18" s="1117" t="s">
        <v>385</v>
      </c>
      <c r="E18" s="1116" t="s">
        <v>386</v>
      </c>
      <c r="F18" s="1116"/>
      <c r="G18" s="1116"/>
      <c r="H18" s="1116"/>
      <c r="I18" s="1116"/>
      <c r="J18" s="1116" t="s">
        <v>278</v>
      </c>
      <c r="K18" s="1125">
        <v>3.0</v>
      </c>
      <c r="L18" s="1125"/>
      <c r="M18" s="1125">
        <v>0.0</v>
      </c>
      <c r="N18" s="1118"/>
      <c r="O18" s="1119"/>
      <c r="P18" s="1120"/>
      <c r="Q18" s="1117"/>
      <c r="R18" s="1121"/>
      <c r="S18" s="1116"/>
      <c r="T18" s="1116"/>
      <c r="U18" s="1118"/>
      <c r="V18" s="1117"/>
      <c r="W18" s="1122"/>
      <c r="X18" s="1118"/>
      <c r="Y18" s="1116"/>
      <c r="Z18" s="1118"/>
      <c r="AA18" s="1118"/>
      <c r="AB18" s="1126"/>
      <c r="AC18" s="1119"/>
      <c r="AD18" s="1115"/>
      <c r="AE18" s="1115"/>
      <c r="AF18" s="1119"/>
      <c r="AG18" s="1125"/>
    </row>
    <row r="19">
      <c r="A19" s="1123"/>
      <c r="B19" s="1115"/>
      <c r="C19" s="1124" t="str">
        <f>IFERROR(__xludf.DUMMYFUNCTION("""COMPUTED_VALUE"""),"ID_T009")</f>
        <v>ID_T009</v>
      </c>
      <c r="D19" s="1117" t="s">
        <v>388</v>
      </c>
      <c r="E19" s="1116" t="s">
        <v>389</v>
      </c>
      <c r="F19" s="1116"/>
      <c r="G19" s="1116"/>
      <c r="H19" s="1116"/>
      <c r="I19" s="1116"/>
      <c r="J19" s="1116" t="s">
        <v>278</v>
      </c>
      <c r="K19" s="1125">
        <v>3.0</v>
      </c>
      <c r="L19" s="1125"/>
      <c r="M19" s="1125">
        <v>0.0</v>
      </c>
      <c r="N19" s="1118"/>
      <c r="O19" s="1119"/>
      <c r="P19" s="1120"/>
      <c r="Q19" s="1117"/>
      <c r="R19" s="1121"/>
      <c r="S19" s="1116"/>
      <c r="T19" s="1116"/>
      <c r="U19" s="1118"/>
      <c r="V19" s="1117"/>
      <c r="W19" s="1122"/>
      <c r="X19" s="1118"/>
      <c r="Y19" s="1116"/>
      <c r="Z19" s="1118"/>
      <c r="AA19" s="1118"/>
      <c r="AB19" s="1126"/>
      <c r="AC19" s="1119"/>
      <c r="AD19" s="1115"/>
      <c r="AE19" s="1115"/>
      <c r="AF19" s="1119"/>
      <c r="AG19" s="1125"/>
    </row>
    <row r="20">
      <c r="A20" s="1123"/>
      <c r="B20" s="1115"/>
      <c r="C20" s="1124" t="str">
        <f>IFERROR(__xludf.DUMMYFUNCTION("""COMPUTED_VALUE"""),"ID_T010")</f>
        <v>ID_T010</v>
      </c>
      <c r="D20" s="1117" t="s">
        <v>391</v>
      </c>
      <c r="E20" s="1116" t="s">
        <v>392</v>
      </c>
      <c r="F20" s="1116"/>
      <c r="G20" s="1116"/>
      <c r="H20" s="1116"/>
      <c r="I20" s="1116"/>
      <c r="J20" s="1116" t="s">
        <v>278</v>
      </c>
      <c r="K20" s="1125">
        <v>3.0</v>
      </c>
      <c r="L20" s="1118"/>
      <c r="M20" s="1125">
        <v>0.0</v>
      </c>
      <c r="N20" s="1118"/>
      <c r="O20" s="1119"/>
      <c r="P20" s="1120"/>
      <c r="Q20" s="1117"/>
      <c r="R20" s="1121"/>
      <c r="S20" s="1116"/>
      <c r="T20" s="1116"/>
      <c r="U20" s="1118"/>
      <c r="V20" s="1117"/>
      <c r="W20" s="1122"/>
      <c r="X20" s="1118"/>
      <c r="Y20" s="1116"/>
      <c r="Z20" s="1118"/>
      <c r="AA20" s="1118"/>
      <c r="AB20" s="1119"/>
      <c r="AC20" s="1119"/>
      <c r="AD20" s="1115"/>
      <c r="AE20" s="1115"/>
      <c r="AF20" s="1119"/>
      <c r="AG20" s="1118"/>
    </row>
    <row r="21">
      <c r="A21" s="1123"/>
      <c r="B21" s="1115"/>
      <c r="C21" s="1124" t="str">
        <f>IFERROR(__xludf.DUMMYFUNCTION("""COMPUTED_VALUE"""),"ID_T011")</f>
        <v>ID_T011</v>
      </c>
      <c r="D21" s="1117" t="s">
        <v>394</v>
      </c>
      <c r="E21" s="1116" t="s">
        <v>395</v>
      </c>
      <c r="F21" s="1116"/>
      <c r="G21" s="1116"/>
      <c r="H21" s="1116"/>
      <c r="I21" s="1116"/>
      <c r="J21" s="1116" t="s">
        <v>278</v>
      </c>
      <c r="K21" s="1125">
        <v>6.0</v>
      </c>
      <c r="L21" s="1118"/>
      <c r="M21" s="1125">
        <v>0.0</v>
      </c>
      <c r="N21" s="1118"/>
      <c r="O21" s="1119"/>
      <c r="P21" s="1120"/>
      <c r="Q21" s="1117"/>
      <c r="R21" s="1121"/>
      <c r="S21" s="1116"/>
      <c r="T21" s="1116"/>
      <c r="U21" s="1118"/>
      <c r="V21" s="1117"/>
      <c r="W21" s="1117"/>
      <c r="X21" s="1118"/>
      <c r="Y21" s="1116"/>
      <c r="Z21" s="1118"/>
      <c r="AA21" s="1118"/>
      <c r="AB21" s="1119"/>
      <c r="AC21" s="1119"/>
      <c r="AD21" s="1115"/>
      <c r="AE21" s="1115"/>
      <c r="AF21" s="1119"/>
      <c r="AG21" s="1118"/>
    </row>
    <row r="22">
      <c r="A22" s="1123"/>
      <c r="B22" s="1115"/>
      <c r="C22" s="1124" t="str">
        <f>IFERROR(__xludf.DUMMYFUNCTION("""COMPUTED_VALUE"""),"ID_T012")</f>
        <v>ID_T012</v>
      </c>
      <c r="D22" s="1117" t="s">
        <v>397</v>
      </c>
      <c r="E22" s="1116" t="s">
        <v>398</v>
      </c>
      <c r="F22" s="1116"/>
      <c r="G22" s="1116"/>
      <c r="H22" s="1116"/>
      <c r="I22" s="1116"/>
      <c r="J22" s="1116" t="s">
        <v>278</v>
      </c>
      <c r="K22" s="1125">
        <v>6.0</v>
      </c>
      <c r="L22" s="1118"/>
      <c r="M22" s="1125">
        <v>0.0</v>
      </c>
      <c r="N22" s="1118"/>
      <c r="O22" s="1119"/>
      <c r="P22" s="1120"/>
      <c r="Q22" s="1117"/>
      <c r="R22" s="1121"/>
      <c r="S22" s="1116"/>
      <c r="T22" s="1116"/>
      <c r="U22" s="1118"/>
      <c r="V22" s="1117"/>
      <c r="W22" s="1117"/>
      <c r="X22" s="1118"/>
      <c r="Y22" s="1116"/>
      <c r="Z22" s="1118"/>
      <c r="AA22" s="1118"/>
      <c r="AB22" s="1119"/>
      <c r="AC22" s="1119"/>
      <c r="AD22" s="1115"/>
      <c r="AE22" s="1115"/>
      <c r="AF22" s="1119"/>
      <c r="AG22" s="1118"/>
    </row>
    <row r="23">
      <c r="A23" s="1123"/>
      <c r="B23" s="1115"/>
      <c r="C23" s="1124" t="str">
        <f>IFERROR(__xludf.DUMMYFUNCTION("""COMPUTED_VALUE"""),"ID_T013")</f>
        <v>ID_T013</v>
      </c>
      <c r="D23" s="1117" t="s">
        <v>400</v>
      </c>
      <c r="E23" s="1116" t="s">
        <v>401</v>
      </c>
      <c r="F23" s="1116"/>
      <c r="G23" s="1116"/>
      <c r="H23" s="1116"/>
      <c r="I23" s="1116"/>
      <c r="J23" s="1116" t="s">
        <v>278</v>
      </c>
      <c r="K23" s="1125">
        <v>2.0</v>
      </c>
      <c r="L23" s="1118"/>
      <c r="M23" s="1125">
        <v>0.0</v>
      </c>
      <c r="N23" s="1118"/>
      <c r="O23" s="1119"/>
      <c r="P23" s="1120"/>
      <c r="Q23" s="1117"/>
      <c r="R23" s="1121"/>
      <c r="S23" s="1116"/>
      <c r="T23" s="1116"/>
      <c r="U23" s="1118"/>
      <c r="V23" s="1117"/>
      <c r="W23" s="1117"/>
      <c r="X23" s="1118"/>
      <c r="Y23" s="1116"/>
      <c r="Z23" s="1118"/>
      <c r="AA23" s="1118"/>
      <c r="AB23" s="1119"/>
      <c r="AC23" s="1119"/>
      <c r="AD23" s="1115"/>
      <c r="AE23" s="1115"/>
      <c r="AF23" s="1119"/>
      <c r="AG23" s="1118"/>
    </row>
    <row r="24">
      <c r="A24" s="1123"/>
      <c r="B24" s="1115"/>
      <c r="C24" s="1124" t="str">
        <f>IFERROR(__xludf.DUMMYFUNCTION("""COMPUTED_VALUE"""),"ID_T014")</f>
        <v>ID_T014</v>
      </c>
      <c r="D24" s="1117" t="s">
        <v>403</v>
      </c>
      <c r="E24" s="1116" t="s">
        <v>404</v>
      </c>
      <c r="F24" s="1116"/>
      <c r="G24" s="1116"/>
      <c r="H24" s="1116"/>
      <c r="I24" s="1116"/>
      <c r="J24" s="1116" t="s">
        <v>278</v>
      </c>
      <c r="K24" s="1125">
        <v>4.0</v>
      </c>
      <c r="L24" s="1118"/>
      <c r="M24" s="1125">
        <v>0.0</v>
      </c>
      <c r="N24" s="1118"/>
      <c r="O24" s="1119"/>
      <c r="P24" s="1120"/>
      <c r="Q24" s="1117"/>
      <c r="R24" s="1121"/>
      <c r="S24" s="1116"/>
      <c r="T24" s="1116"/>
      <c r="U24" s="1118"/>
      <c r="V24" s="1117"/>
      <c r="W24" s="1117"/>
      <c r="X24" s="1118"/>
      <c r="Y24" s="1116"/>
      <c r="Z24" s="1118"/>
      <c r="AA24" s="1118"/>
      <c r="AB24" s="1119"/>
      <c r="AC24" s="1119"/>
      <c r="AD24" s="1115"/>
      <c r="AE24" s="1115"/>
      <c r="AF24" s="1119"/>
      <c r="AG24" s="1118"/>
    </row>
    <row r="25">
      <c r="A25" s="1123"/>
      <c r="B25" s="1115"/>
      <c r="C25" s="1124" t="str">
        <f>IFERROR(__xludf.DUMMYFUNCTION("""COMPUTED_VALUE"""),"ID_T015")</f>
        <v>ID_T015</v>
      </c>
      <c r="D25" s="1117" t="s">
        <v>406</v>
      </c>
      <c r="E25" s="1116" t="s">
        <v>407</v>
      </c>
      <c r="F25" s="1116"/>
      <c r="G25" s="1116"/>
      <c r="H25" s="1116"/>
      <c r="I25" s="1116"/>
      <c r="J25" s="1116" t="s">
        <v>278</v>
      </c>
      <c r="K25" s="1125">
        <v>4.0</v>
      </c>
      <c r="L25" s="1118"/>
      <c r="M25" s="1125">
        <v>0.0</v>
      </c>
      <c r="N25" s="1118"/>
      <c r="O25" s="1119"/>
      <c r="P25" s="1120"/>
      <c r="Q25" s="1117"/>
      <c r="R25" s="1121"/>
      <c r="S25" s="1116"/>
      <c r="T25" s="1116"/>
      <c r="U25" s="1118"/>
      <c r="V25" s="1117"/>
      <c r="W25" s="1117"/>
      <c r="X25" s="1118"/>
      <c r="Y25" s="1116"/>
      <c r="Z25" s="1118"/>
      <c r="AA25" s="1118"/>
      <c r="AB25" s="1119"/>
      <c r="AC25" s="1119"/>
      <c r="AD25" s="1115"/>
      <c r="AE25" s="1115"/>
      <c r="AF25" s="1119"/>
      <c r="AG25" s="1118"/>
    </row>
    <row r="26">
      <c r="A26" s="1123"/>
      <c r="B26" s="1115"/>
      <c r="C26" s="1124"/>
      <c r="D26" s="1117"/>
      <c r="E26" s="1116"/>
      <c r="F26" s="1116"/>
      <c r="G26" s="1116"/>
      <c r="H26" s="1116"/>
      <c r="I26" s="1116"/>
      <c r="J26" s="1116"/>
      <c r="K26" s="1125"/>
      <c r="L26" s="1118"/>
      <c r="M26" s="1125"/>
      <c r="N26" s="1118"/>
      <c r="O26" s="1119"/>
      <c r="P26" s="1120"/>
      <c r="Q26" s="1117"/>
      <c r="R26" s="1121"/>
      <c r="S26" s="1116"/>
      <c r="T26" s="1116"/>
      <c r="U26" s="1118"/>
      <c r="V26" s="1117"/>
      <c r="W26" s="1117"/>
      <c r="X26" s="1118"/>
      <c r="Y26" s="1116"/>
      <c r="Z26" s="1118"/>
      <c r="AA26" s="1118"/>
      <c r="AB26" s="1119"/>
      <c r="AC26" s="1119"/>
      <c r="AD26" s="1115"/>
      <c r="AE26" s="1115"/>
      <c r="AF26" s="1119"/>
      <c r="AG26" s="1118"/>
    </row>
    <row r="27">
      <c r="A27" s="1123"/>
      <c r="B27" s="1115"/>
      <c r="C27" s="1124"/>
      <c r="D27" s="1117"/>
      <c r="E27" s="1116"/>
      <c r="F27" s="1116"/>
      <c r="G27" s="1116"/>
      <c r="H27" s="1116"/>
      <c r="I27" s="1116"/>
      <c r="J27" s="1116"/>
      <c r="K27" s="1125"/>
      <c r="L27" s="1118"/>
      <c r="M27" s="1125"/>
      <c r="N27" s="1118"/>
      <c r="O27" s="1119"/>
      <c r="P27" s="1120"/>
      <c r="Q27" s="1117"/>
      <c r="R27" s="1121"/>
      <c r="S27" s="1116"/>
      <c r="T27" s="1116"/>
      <c r="U27" s="1118"/>
      <c r="V27" s="1117"/>
      <c r="W27" s="1117"/>
      <c r="X27" s="1118"/>
      <c r="Y27" s="1116"/>
      <c r="Z27" s="1118"/>
      <c r="AA27" s="1118"/>
      <c r="AB27" s="1119"/>
      <c r="AC27" s="1119"/>
      <c r="AD27" s="1115"/>
      <c r="AE27" s="1115"/>
      <c r="AF27" s="1119"/>
      <c r="AG27" s="1118"/>
    </row>
    <row r="28">
      <c r="A28" s="1123"/>
      <c r="B28" s="1115"/>
      <c r="C28" s="1124"/>
      <c r="D28" s="1117"/>
      <c r="E28" s="1116"/>
      <c r="F28" s="1116"/>
      <c r="G28" s="1116"/>
      <c r="H28" s="1116"/>
      <c r="I28" s="1116"/>
      <c r="J28" s="1116"/>
      <c r="K28" s="1125"/>
      <c r="L28" s="1118"/>
      <c r="M28" s="1125"/>
      <c r="N28" s="1118"/>
      <c r="O28" s="1119"/>
      <c r="P28" s="1120"/>
      <c r="Q28" s="1117"/>
      <c r="R28" s="1121"/>
      <c r="S28" s="1116"/>
      <c r="T28" s="1116"/>
      <c r="U28" s="1118"/>
      <c r="V28" s="1117"/>
      <c r="W28" s="1117"/>
      <c r="X28" s="1118"/>
      <c r="Y28" s="1116"/>
      <c r="Z28" s="1118"/>
      <c r="AA28" s="1118"/>
      <c r="AB28" s="1119"/>
      <c r="AC28" s="1119"/>
      <c r="AD28" s="1115"/>
      <c r="AE28" s="1115"/>
      <c r="AF28" s="1119"/>
      <c r="AG28" s="1118"/>
    </row>
    <row r="29">
      <c r="A29" s="1123"/>
      <c r="B29" s="1115"/>
      <c r="C29" s="1124"/>
      <c r="D29" s="1117"/>
      <c r="E29" s="1116"/>
      <c r="F29" s="1116"/>
      <c r="G29" s="1116"/>
      <c r="H29" s="1116"/>
      <c r="I29" s="1116"/>
      <c r="J29" s="1116"/>
      <c r="K29" s="1125"/>
      <c r="L29" s="1118"/>
      <c r="M29" s="1125"/>
      <c r="N29" s="1118"/>
      <c r="O29" s="1119"/>
      <c r="P29" s="1120"/>
      <c r="Q29" s="1117"/>
      <c r="R29" s="1121"/>
      <c r="S29" s="1116"/>
      <c r="T29" s="1116"/>
      <c r="U29" s="1118"/>
      <c r="V29" s="1117"/>
      <c r="W29" s="1117"/>
      <c r="X29" s="1118"/>
      <c r="Y29" s="1116"/>
      <c r="Z29" s="1118"/>
      <c r="AA29" s="1118"/>
      <c r="AB29" s="1119"/>
      <c r="AC29" s="1119"/>
      <c r="AD29" s="1115"/>
      <c r="AE29" s="1115"/>
      <c r="AF29" s="1119"/>
      <c r="AG29" s="1118"/>
    </row>
    <row r="30">
      <c r="A30" s="1123"/>
      <c r="B30" s="1115"/>
      <c r="C30" s="1124"/>
      <c r="D30" s="1117"/>
      <c r="E30" s="1116"/>
      <c r="F30" s="1116"/>
      <c r="G30" s="1116"/>
      <c r="H30" s="1116"/>
      <c r="I30" s="1116"/>
      <c r="J30" s="1116"/>
      <c r="K30" s="1118"/>
      <c r="L30" s="1118"/>
      <c r="M30" s="1118"/>
      <c r="N30" s="1118"/>
      <c r="O30" s="1119"/>
      <c r="P30" s="1120"/>
      <c r="Q30" s="1117"/>
      <c r="R30" s="1121"/>
      <c r="S30" s="1116"/>
      <c r="T30" s="1116"/>
      <c r="U30" s="1118"/>
      <c r="V30" s="1117"/>
      <c r="W30" s="1117"/>
      <c r="X30" s="1118"/>
      <c r="Y30" s="1116"/>
      <c r="Z30" s="1118"/>
      <c r="AA30" s="1118"/>
      <c r="AB30" s="1119"/>
      <c r="AC30" s="1119"/>
      <c r="AD30" s="1115"/>
      <c r="AE30" s="1115"/>
      <c r="AF30" s="1119"/>
      <c r="AG30" s="1118"/>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27" max="27" width="12.38"/>
    <col customWidth="1" min="28" max="28" width="19.25"/>
  </cols>
  <sheetData>
    <row r="1" outlineLevel="1">
      <c r="A1" s="1026"/>
      <c r="B1" s="1026"/>
      <c r="C1" s="1027" t="s">
        <v>0</v>
      </c>
      <c r="D1" s="1028"/>
      <c r="E1" s="1026"/>
      <c r="F1" s="1026"/>
      <c r="G1" s="1026"/>
      <c r="H1" s="1029"/>
      <c r="I1" s="1029"/>
      <c r="J1" s="1026"/>
      <c r="K1" s="1026"/>
      <c r="L1" s="1026"/>
      <c r="M1" s="1026"/>
      <c r="N1" s="1026"/>
      <c r="O1" s="1029"/>
      <c r="P1" s="1029"/>
      <c r="Q1" s="1030" t="s">
        <v>703</v>
      </c>
      <c r="R1" s="1030" t="s">
        <v>703</v>
      </c>
      <c r="S1" s="1030" t="s">
        <v>703</v>
      </c>
      <c r="T1" s="1029"/>
      <c r="U1" s="1029"/>
      <c r="V1" s="1029"/>
      <c r="W1" s="1029"/>
      <c r="X1" s="1031"/>
      <c r="Y1" s="1029"/>
      <c r="Z1" s="1029"/>
      <c r="AA1" s="1029"/>
      <c r="AB1" s="1032"/>
      <c r="AC1" s="1029"/>
      <c r="AD1" s="1033"/>
      <c r="AE1" s="1029"/>
    </row>
    <row r="2" outlineLevel="1">
      <c r="A2" s="1034" t="s">
        <v>5</v>
      </c>
      <c r="B2" s="1034" t="s">
        <v>6</v>
      </c>
      <c r="C2" s="1034" t="s">
        <v>7</v>
      </c>
      <c r="D2" s="1035" t="s">
        <v>704</v>
      </c>
      <c r="E2" s="1034" t="s">
        <v>705</v>
      </c>
      <c r="F2" s="1034" t="s">
        <v>706</v>
      </c>
      <c r="G2" s="1034" t="s">
        <v>707</v>
      </c>
      <c r="H2" s="1034" t="s">
        <v>708</v>
      </c>
      <c r="I2" s="1036" t="s">
        <v>579</v>
      </c>
      <c r="J2" s="1034" t="s">
        <v>709</v>
      </c>
      <c r="K2" s="1034" t="s">
        <v>586</v>
      </c>
      <c r="L2" s="1034" t="s">
        <v>587</v>
      </c>
      <c r="M2" s="1034" t="s">
        <v>588</v>
      </c>
      <c r="N2" s="1034" t="s">
        <v>590</v>
      </c>
      <c r="O2" s="1034" t="s">
        <v>595</v>
      </c>
      <c r="P2" s="1034" t="s">
        <v>596</v>
      </c>
      <c r="Q2" s="1037" t="s">
        <v>710</v>
      </c>
      <c r="R2" s="1037" t="s">
        <v>711</v>
      </c>
      <c r="S2" s="1037" t="s">
        <v>712</v>
      </c>
      <c r="T2" s="1034" t="s">
        <v>602</v>
      </c>
      <c r="U2" s="1034" t="s">
        <v>604</v>
      </c>
      <c r="V2" s="1034" t="s">
        <v>605</v>
      </c>
      <c r="W2" s="1034" t="s">
        <v>551</v>
      </c>
      <c r="X2" s="1038" t="s">
        <v>591</v>
      </c>
      <c r="Y2" s="1037" t="s">
        <v>597</v>
      </c>
      <c r="Z2" s="1039" t="s">
        <v>600</v>
      </c>
      <c r="AA2" s="1040" t="s">
        <v>601</v>
      </c>
      <c r="AB2" s="1041" t="s">
        <v>598</v>
      </c>
      <c r="AC2" s="1042" t="s">
        <v>599</v>
      </c>
      <c r="AD2" s="1034" t="s">
        <v>592</v>
      </c>
      <c r="AE2" s="1037"/>
    </row>
    <row r="3" outlineLevel="1">
      <c r="A3" s="1026"/>
      <c r="B3" s="1026"/>
      <c r="C3" s="1036" t="s">
        <v>25</v>
      </c>
      <c r="D3" s="1028"/>
      <c r="E3" s="1026"/>
      <c r="F3" s="1026"/>
      <c r="G3" s="1026"/>
      <c r="H3" s="1043"/>
      <c r="I3" s="1043"/>
      <c r="J3" s="1026"/>
      <c r="K3" s="1026"/>
      <c r="L3" s="1026"/>
      <c r="M3" s="1026"/>
      <c r="N3" s="1026"/>
      <c r="O3" s="1026"/>
      <c r="P3" s="1026"/>
      <c r="Q3" s="1026"/>
      <c r="R3" s="1026"/>
      <c r="S3" s="1026"/>
      <c r="T3" s="1026"/>
      <c r="U3" s="1026"/>
      <c r="V3" s="1026"/>
      <c r="W3" s="1026"/>
      <c r="X3" s="1031"/>
      <c r="Y3" s="1026"/>
      <c r="Z3" s="1026"/>
      <c r="AA3" s="1026"/>
      <c r="AB3" s="1044"/>
      <c r="AC3" s="1045"/>
      <c r="AD3" s="1046"/>
      <c r="AE3" s="1026"/>
    </row>
    <row r="4" outlineLevel="1">
      <c r="A4" s="1026"/>
      <c r="B4" s="1026"/>
      <c r="C4" s="1047" t="s">
        <v>28</v>
      </c>
      <c r="D4" s="1028"/>
      <c r="E4" s="1026"/>
      <c r="F4" s="1026"/>
      <c r="G4" s="1026"/>
      <c r="H4" s="1026"/>
      <c r="I4" s="1026"/>
      <c r="J4" s="1026"/>
      <c r="K4" s="1026"/>
      <c r="L4" s="1026"/>
      <c r="M4" s="1026"/>
      <c r="N4" s="1026"/>
      <c r="O4" s="1026"/>
      <c r="P4" s="1026"/>
      <c r="Q4" s="1026"/>
      <c r="R4" s="1026"/>
      <c r="S4" s="1026"/>
      <c r="T4" s="1026"/>
      <c r="U4" s="1026"/>
      <c r="V4" s="1026"/>
      <c r="W4" s="1026"/>
      <c r="X4" s="1031"/>
      <c r="Y4" s="1026"/>
      <c r="Z4" s="1026"/>
      <c r="AA4" s="1026"/>
      <c r="AB4" s="1048"/>
      <c r="AC4" s="1045"/>
      <c r="AD4" s="1046"/>
      <c r="AE4" s="1026"/>
    </row>
    <row r="5" outlineLevel="1">
      <c r="A5" s="1026"/>
      <c r="B5" s="1026"/>
      <c r="C5" s="1047" t="s">
        <v>31</v>
      </c>
      <c r="D5" s="1028"/>
      <c r="E5" s="1026"/>
      <c r="F5" s="1026"/>
      <c r="G5" s="1026"/>
      <c r="H5" s="1026"/>
      <c r="I5" s="1026"/>
      <c r="J5" s="1026"/>
      <c r="K5" s="1026"/>
      <c r="L5" s="1026"/>
      <c r="M5" s="1026"/>
      <c r="N5" s="1026"/>
      <c r="O5" s="1026"/>
      <c r="P5" s="1026"/>
      <c r="Q5" s="1026"/>
      <c r="R5" s="1026"/>
      <c r="S5" s="1026"/>
      <c r="T5" s="1026"/>
      <c r="U5" s="1026"/>
      <c r="V5" s="1026"/>
      <c r="W5" s="1026"/>
      <c r="X5" s="1031"/>
      <c r="Y5" s="1026"/>
      <c r="Z5" s="1026"/>
      <c r="AA5" s="1026"/>
      <c r="AB5" s="1048"/>
      <c r="AC5" s="1045"/>
      <c r="AD5" s="1046"/>
      <c r="AE5" s="1026"/>
    </row>
    <row r="6" outlineLevel="1">
      <c r="A6" s="1049"/>
      <c r="B6" s="1026"/>
      <c r="C6" s="1047" t="s">
        <v>35</v>
      </c>
      <c r="D6" s="1028"/>
      <c r="E6" s="1026"/>
      <c r="F6" s="1026"/>
      <c r="G6" s="1026"/>
      <c r="H6" s="1026"/>
      <c r="I6" s="1026"/>
      <c r="J6" s="1050"/>
      <c r="K6" s="1026"/>
      <c r="L6" s="1026"/>
      <c r="M6" s="1026"/>
      <c r="N6" s="1026"/>
      <c r="O6" s="1026"/>
      <c r="P6" s="1026"/>
      <c r="Q6" s="1026"/>
      <c r="R6" s="1026"/>
      <c r="S6" s="1026"/>
      <c r="T6" s="1026"/>
      <c r="U6" s="1026"/>
      <c r="V6" s="1026"/>
      <c r="W6" s="1026"/>
      <c r="X6" s="1031"/>
      <c r="Y6" s="1026"/>
      <c r="Z6" s="1026"/>
      <c r="AA6" s="1026"/>
      <c r="AB6" s="1048"/>
      <c r="AC6" s="1045"/>
      <c r="AD6" s="1046"/>
      <c r="AE6" s="1026"/>
    </row>
    <row r="7" outlineLevel="1">
      <c r="A7" s="1026"/>
      <c r="B7" s="1029"/>
      <c r="C7" s="1034" t="s">
        <v>37</v>
      </c>
      <c r="D7" s="1028"/>
      <c r="E7" s="1026"/>
      <c r="F7" s="1029"/>
      <c r="G7" s="1026"/>
      <c r="H7" s="1029"/>
      <c r="I7" s="1029"/>
      <c r="J7" s="1029"/>
      <c r="K7" s="1026"/>
      <c r="L7" s="1026"/>
      <c r="M7" s="1026"/>
      <c r="N7" s="1026"/>
      <c r="O7" s="1026"/>
      <c r="P7" s="1026"/>
      <c r="Q7" s="1026"/>
      <c r="R7" s="1026"/>
      <c r="S7" s="1026"/>
      <c r="T7" s="1026"/>
      <c r="U7" s="1026"/>
      <c r="V7" s="1026"/>
      <c r="W7" s="1026"/>
      <c r="X7" s="1031"/>
      <c r="Y7" s="1026"/>
      <c r="Z7" s="1026"/>
      <c r="AA7" s="1026"/>
      <c r="AB7" s="1048"/>
      <c r="AC7" s="1045"/>
      <c r="AD7" s="1046"/>
      <c r="AE7" s="1026"/>
    </row>
    <row r="8" outlineLevel="1">
      <c r="A8" s="1026"/>
      <c r="B8" s="1026"/>
      <c r="C8" s="1051" t="s">
        <v>39</v>
      </c>
      <c r="D8" s="1028"/>
      <c r="E8" s="1026"/>
      <c r="F8" s="1026"/>
      <c r="G8" s="1026"/>
      <c r="H8" s="1026"/>
      <c r="I8" s="1026"/>
      <c r="J8" s="1026"/>
      <c r="K8" s="1026"/>
      <c r="L8" s="1026"/>
      <c r="M8" s="1026"/>
      <c r="N8" s="1026"/>
      <c r="O8" s="1026"/>
      <c r="P8" s="1026"/>
      <c r="Q8" s="1026"/>
      <c r="R8" s="1026"/>
      <c r="S8" s="1026"/>
      <c r="T8" s="1026"/>
      <c r="U8" s="1026"/>
      <c r="V8" s="1026"/>
      <c r="W8" s="1026"/>
      <c r="X8" s="1031"/>
      <c r="Y8" s="1026"/>
      <c r="Z8" s="1026"/>
      <c r="AA8" s="1026"/>
      <c r="AB8" s="1048"/>
      <c r="AC8" s="1045"/>
      <c r="AD8" s="1046"/>
      <c r="AE8" s="1026"/>
    </row>
    <row r="9" outlineLevel="1">
      <c r="A9" s="1026"/>
      <c r="B9" s="1026"/>
      <c r="C9" s="1027" t="s">
        <v>44</v>
      </c>
      <c r="D9" s="1028"/>
      <c r="E9" s="1026"/>
      <c r="F9" s="1026"/>
      <c r="G9" s="1026"/>
      <c r="H9" s="1026"/>
      <c r="I9" s="1026"/>
      <c r="J9" s="1026"/>
      <c r="K9" s="1026"/>
      <c r="L9" s="1026"/>
      <c r="M9" s="1026"/>
      <c r="N9" s="1026"/>
      <c r="O9" s="1026"/>
      <c r="P9" s="1026"/>
      <c r="Q9" s="1026"/>
      <c r="R9" s="1026"/>
      <c r="S9" s="1026"/>
      <c r="T9" s="1026"/>
      <c r="U9" s="1026"/>
      <c r="V9" s="1026"/>
      <c r="W9" s="1026"/>
      <c r="X9" s="1031"/>
      <c r="Y9" s="1026"/>
      <c r="Z9" s="1026"/>
      <c r="AA9" s="1026"/>
      <c r="AB9" s="1048"/>
      <c r="AC9" s="1045"/>
      <c r="AD9" s="1046"/>
      <c r="AE9" s="1026"/>
    </row>
    <row r="10">
      <c r="A10" s="1052"/>
      <c r="B10" s="1052"/>
      <c r="C10" s="1053" t="s">
        <v>713</v>
      </c>
      <c r="D10" s="1054" t="s">
        <v>714</v>
      </c>
      <c r="E10" s="1053" t="s">
        <v>705</v>
      </c>
      <c r="F10" s="1053" t="s">
        <v>706</v>
      </c>
      <c r="G10" s="1055" t="s">
        <v>715</v>
      </c>
      <c r="H10" s="1056" t="s">
        <v>708</v>
      </c>
      <c r="I10" s="1056" t="s">
        <v>579</v>
      </c>
      <c r="J10" s="1056" t="s">
        <v>716</v>
      </c>
      <c r="K10" s="1055" t="s">
        <v>717</v>
      </c>
      <c r="L10" s="1055" t="s">
        <v>647</v>
      </c>
      <c r="M10" s="1055" t="s">
        <v>648</v>
      </c>
      <c r="N10" s="1057" t="s">
        <v>649</v>
      </c>
      <c r="O10" s="1057" t="s">
        <v>718</v>
      </c>
      <c r="P10" s="1057" t="s">
        <v>719</v>
      </c>
      <c r="Q10" s="1057" t="s">
        <v>69</v>
      </c>
      <c r="R10" s="1057" t="s">
        <v>720</v>
      </c>
      <c r="S10" s="1057" t="s">
        <v>721</v>
      </c>
      <c r="T10" s="1057" t="s">
        <v>658</v>
      </c>
      <c r="U10" s="1057" t="s">
        <v>660</v>
      </c>
      <c r="V10" s="1057" t="s">
        <v>722</v>
      </c>
      <c r="W10" s="1057" t="s">
        <v>551</v>
      </c>
      <c r="X10" s="1058" t="s">
        <v>591</v>
      </c>
      <c r="Y10" s="1059" t="s">
        <v>723</v>
      </c>
      <c r="Z10" s="1060" t="s">
        <v>656</v>
      </c>
      <c r="AA10" s="1061" t="s">
        <v>657</v>
      </c>
      <c r="AB10" s="1060" t="s">
        <v>654</v>
      </c>
      <c r="AC10" s="1062" t="s">
        <v>655</v>
      </c>
      <c r="AD10" s="1062" t="s">
        <v>650</v>
      </c>
      <c r="AE10" s="1063"/>
    </row>
    <row r="11" ht="15.75" customHeight="1">
      <c r="A11" s="1064"/>
      <c r="B11" s="1064"/>
      <c r="C11" s="1065"/>
      <c r="D11" s="1066"/>
      <c r="E11" s="1065"/>
      <c r="F11" s="1065"/>
      <c r="G11" s="1065"/>
      <c r="H11" s="1067"/>
      <c r="I11" s="1065"/>
      <c r="J11" s="1065"/>
      <c r="K11" s="1068"/>
      <c r="L11" s="1066"/>
      <c r="M11" s="1069"/>
      <c r="N11" s="1070"/>
      <c r="O11" s="1070"/>
      <c r="P11" s="1071"/>
      <c r="Q11" s="1070"/>
      <c r="R11" s="1070"/>
      <c r="S11" s="1071"/>
      <c r="T11" s="1070"/>
      <c r="U11" s="1072"/>
      <c r="V11" s="1072"/>
      <c r="W11" s="1073"/>
      <c r="X11" s="1074"/>
      <c r="Y11" s="1073"/>
      <c r="Z11" s="1073"/>
      <c r="AA11" s="1073"/>
      <c r="AB11" s="1073"/>
      <c r="AC11" s="1073"/>
      <c r="AD11" s="1073"/>
      <c r="AE11" s="1073"/>
    </row>
    <row r="12" ht="15.75" customHeight="1">
      <c r="A12" s="1075"/>
      <c r="B12" s="1075"/>
      <c r="C12" s="1070"/>
      <c r="D12" s="1076"/>
      <c r="E12" s="1070"/>
      <c r="F12" s="1070"/>
      <c r="G12" s="1070"/>
      <c r="H12" s="1072"/>
      <c r="I12" s="1070"/>
      <c r="J12" s="1070"/>
      <c r="K12" s="1077"/>
      <c r="L12" s="1076"/>
      <c r="M12" s="1071"/>
      <c r="N12" s="1075"/>
      <c r="O12" s="1070"/>
      <c r="P12" s="1071"/>
      <c r="Q12" s="1070"/>
      <c r="R12" s="1070"/>
      <c r="S12" s="1071"/>
      <c r="T12" s="1070"/>
      <c r="U12" s="1072"/>
      <c r="V12" s="1072"/>
      <c r="W12" s="1073"/>
      <c r="X12" s="1074"/>
      <c r="Y12" s="1073"/>
      <c r="Z12" s="1073"/>
      <c r="AA12" s="1073"/>
      <c r="AB12" s="1073"/>
      <c r="AC12" s="1073"/>
      <c r="AD12" s="1073"/>
      <c r="AE12" s="1073"/>
    </row>
    <row r="13" ht="15.75" customHeight="1">
      <c r="A13" s="1075"/>
      <c r="B13" s="1075"/>
      <c r="C13" s="1070"/>
      <c r="D13" s="1076"/>
      <c r="E13" s="1070"/>
      <c r="F13" s="1070"/>
      <c r="G13" s="1070"/>
      <c r="H13" s="1072"/>
      <c r="I13" s="1070"/>
      <c r="J13" s="1070"/>
      <c r="K13" s="1077"/>
      <c r="L13" s="1076"/>
      <c r="M13" s="1071"/>
      <c r="N13" s="1075"/>
      <c r="O13" s="1070"/>
      <c r="P13" s="1071"/>
      <c r="Q13" s="1070"/>
      <c r="R13" s="1070"/>
      <c r="S13" s="1071"/>
      <c r="T13" s="1070"/>
      <c r="U13" s="1072"/>
      <c r="V13" s="1072"/>
      <c r="W13" s="1073"/>
      <c r="X13" s="1078"/>
      <c r="Y13" s="1073"/>
      <c r="Z13" s="1073"/>
      <c r="AA13" s="1073"/>
      <c r="AB13" s="1073"/>
      <c r="AC13" s="1073"/>
      <c r="AD13" s="1073"/>
      <c r="AE13" s="1073"/>
    </row>
    <row r="14" ht="15.75" customHeight="1">
      <c r="A14" s="1075"/>
      <c r="B14" s="1075"/>
      <c r="C14" s="1070"/>
      <c r="D14" s="1076"/>
      <c r="E14" s="1070"/>
      <c r="F14" s="1070"/>
      <c r="G14" s="1070"/>
      <c r="H14" s="1072"/>
      <c r="I14" s="1070"/>
      <c r="J14" s="1070"/>
      <c r="K14" s="1077"/>
      <c r="L14" s="1076"/>
      <c r="M14" s="1075"/>
      <c r="N14" s="1075"/>
      <c r="O14" s="1075"/>
      <c r="P14" s="1075"/>
      <c r="Q14" s="1075"/>
      <c r="R14" s="1075"/>
      <c r="S14" s="1075"/>
      <c r="T14" s="1075"/>
      <c r="U14" s="1075"/>
      <c r="V14" s="1075"/>
      <c r="W14" s="1026"/>
      <c r="X14" s="1031"/>
      <c r="Y14" s="1026"/>
      <c r="Z14" s="1026"/>
      <c r="AA14" s="1026"/>
      <c r="AB14" s="1026"/>
      <c r="AC14" s="1026"/>
      <c r="AD14" s="1026"/>
      <c r="AE14" s="1026"/>
    </row>
    <row r="15" ht="15.75" customHeight="1">
      <c r="A15" s="1075"/>
      <c r="B15" s="1075"/>
      <c r="C15" s="1070"/>
      <c r="D15" s="1076"/>
      <c r="E15" s="1070"/>
      <c r="F15" s="1070"/>
      <c r="G15" s="1070"/>
      <c r="H15" s="1071"/>
      <c r="I15" s="1070"/>
      <c r="J15" s="1070"/>
      <c r="K15" s="1077"/>
      <c r="L15" s="1077"/>
      <c r="M15" s="1071"/>
      <c r="N15" s="1070"/>
      <c r="O15" s="1079"/>
      <c r="P15" s="1071"/>
      <c r="Q15" s="1070"/>
      <c r="R15" s="1070"/>
      <c r="S15" s="1071"/>
      <c r="T15" s="1070"/>
      <c r="U15" s="1072"/>
      <c r="V15" s="1072"/>
      <c r="W15" s="1073"/>
      <c r="X15" s="1078"/>
      <c r="Y15" s="1073"/>
      <c r="Z15" s="1073"/>
      <c r="AA15" s="1073"/>
      <c r="AB15" s="1073"/>
      <c r="AC15" s="1073"/>
      <c r="AD15" s="1073"/>
      <c r="AE15" s="1073"/>
    </row>
    <row r="16" ht="15.75" customHeight="1">
      <c r="A16" s="1075"/>
      <c r="B16" s="1075"/>
      <c r="C16" s="1070"/>
      <c r="D16" s="1076"/>
      <c r="E16" s="1070"/>
      <c r="F16" s="1070"/>
      <c r="G16" s="1070"/>
      <c r="H16" s="1071"/>
      <c r="I16" s="1070"/>
      <c r="J16" s="1070"/>
      <c r="K16" s="1077"/>
      <c r="L16" s="1077"/>
      <c r="M16" s="1071"/>
      <c r="N16" s="1075"/>
      <c r="O16" s="1079"/>
      <c r="P16" s="1071"/>
      <c r="Q16" s="1070"/>
      <c r="R16" s="1070"/>
      <c r="S16" s="1071"/>
      <c r="T16" s="1070"/>
      <c r="U16" s="1072"/>
      <c r="V16" s="1072"/>
      <c r="W16" s="1073"/>
      <c r="X16" s="1074"/>
      <c r="Y16" s="1073"/>
      <c r="Z16" s="1073"/>
      <c r="AA16" s="1073"/>
      <c r="AB16" s="1073"/>
      <c r="AC16" s="1073"/>
      <c r="AD16" s="1073"/>
      <c r="AE16" s="1073"/>
    </row>
    <row r="17" ht="15.75" customHeight="1">
      <c r="A17" s="1075"/>
      <c r="B17" s="1075"/>
      <c r="C17" s="1070"/>
      <c r="D17" s="1076"/>
      <c r="E17" s="1070"/>
      <c r="F17" s="1070"/>
      <c r="G17" s="1070"/>
      <c r="H17" s="1071"/>
      <c r="I17" s="1070"/>
      <c r="J17" s="1070"/>
      <c r="K17" s="1077"/>
      <c r="L17" s="1077"/>
      <c r="M17" s="1071"/>
      <c r="N17" s="1075"/>
      <c r="O17" s="1079"/>
      <c r="P17" s="1071"/>
      <c r="Q17" s="1070"/>
      <c r="R17" s="1070"/>
      <c r="S17" s="1071"/>
      <c r="T17" s="1070"/>
      <c r="U17" s="1072"/>
      <c r="V17" s="1072"/>
      <c r="W17" s="1073"/>
      <c r="X17" s="1074"/>
      <c r="Y17" s="1073"/>
      <c r="Z17" s="1073"/>
      <c r="AA17" s="1073"/>
      <c r="AB17" s="1073"/>
      <c r="AC17" s="1073"/>
      <c r="AD17" s="1073"/>
      <c r="AE17" s="1073"/>
    </row>
    <row r="18" ht="15.75" customHeight="1">
      <c r="A18" s="1075"/>
      <c r="B18" s="1075"/>
      <c r="C18" s="1070"/>
      <c r="D18" s="1076"/>
      <c r="E18" s="1070"/>
      <c r="F18" s="1070"/>
      <c r="G18" s="1070"/>
      <c r="H18" s="1070"/>
      <c r="I18" s="1070"/>
      <c r="J18" s="1070"/>
      <c r="K18" s="1077"/>
      <c r="L18" s="1077"/>
      <c r="M18" s="1075"/>
      <c r="N18" s="1070"/>
      <c r="O18" s="1079"/>
      <c r="P18" s="1071"/>
      <c r="Q18" s="1070"/>
      <c r="R18" s="1070"/>
      <c r="S18" s="1071"/>
      <c r="T18" s="1070"/>
      <c r="U18" s="1072"/>
      <c r="V18" s="1072"/>
      <c r="W18" s="1073"/>
      <c r="X18" s="1074"/>
      <c r="Y18" s="1073"/>
      <c r="Z18" s="1073"/>
      <c r="AA18" s="1073"/>
      <c r="AB18" s="1073"/>
      <c r="AC18" s="1073"/>
      <c r="AD18" s="1073"/>
      <c r="AE18" s="1073"/>
    </row>
    <row r="19" ht="15.75" customHeight="1">
      <c r="A19" s="1075"/>
      <c r="B19" s="1075"/>
      <c r="C19" s="1070"/>
      <c r="D19" s="1076"/>
      <c r="E19" s="1070"/>
      <c r="F19" s="1070"/>
      <c r="G19" s="1070"/>
      <c r="H19" s="1070"/>
      <c r="I19" s="1070"/>
      <c r="J19" s="1070"/>
      <c r="K19" s="1077"/>
      <c r="L19" s="1077"/>
      <c r="M19" s="1075"/>
      <c r="N19" s="1075"/>
      <c r="O19" s="1070"/>
      <c r="P19" s="1071"/>
      <c r="Q19" s="1070"/>
      <c r="R19" s="1070"/>
      <c r="S19" s="1071"/>
      <c r="T19" s="1070"/>
      <c r="U19" s="1072"/>
      <c r="V19" s="1072"/>
      <c r="W19" s="1073"/>
      <c r="X19" s="1074"/>
      <c r="Y19" s="1073"/>
      <c r="Z19" s="1073"/>
      <c r="AA19" s="1073"/>
      <c r="AB19" s="1073"/>
      <c r="AC19" s="1073"/>
      <c r="AD19" s="1073"/>
      <c r="AE19" s="1073"/>
    </row>
    <row r="20" ht="15.75" customHeight="1">
      <c r="A20" s="1075"/>
      <c r="B20" s="1075"/>
      <c r="C20" s="1070"/>
      <c r="D20" s="1076"/>
      <c r="E20" s="1070"/>
      <c r="F20" s="1070"/>
      <c r="G20" s="1070"/>
      <c r="H20" s="1070"/>
      <c r="I20" s="1070"/>
      <c r="J20" s="1070"/>
      <c r="K20" s="1077"/>
      <c r="L20" s="1077"/>
      <c r="M20" s="1075"/>
      <c r="N20" s="1075"/>
      <c r="O20" s="1079"/>
      <c r="P20" s="1071"/>
      <c r="Q20" s="1070"/>
      <c r="R20" s="1070"/>
      <c r="S20" s="1071"/>
      <c r="T20" s="1070"/>
      <c r="U20" s="1072"/>
      <c r="V20" s="1072"/>
      <c r="W20" s="1073"/>
      <c r="X20" s="1074"/>
      <c r="Y20" s="1073"/>
      <c r="Z20" s="1073"/>
      <c r="AA20" s="1073"/>
      <c r="AB20" s="1073"/>
      <c r="AC20" s="1073"/>
      <c r="AD20" s="1073"/>
      <c r="AE20" s="1073"/>
    </row>
    <row r="21" ht="15.75" customHeight="1">
      <c r="A21" s="1075"/>
      <c r="B21" s="1075"/>
      <c r="C21" s="1070"/>
      <c r="D21" s="1076"/>
      <c r="E21" s="1070"/>
      <c r="F21" s="1070"/>
      <c r="G21" s="1070"/>
      <c r="H21" s="1070"/>
      <c r="I21" s="1070"/>
      <c r="J21" s="1070"/>
      <c r="K21" s="1077"/>
      <c r="L21" s="1077"/>
      <c r="M21" s="1075"/>
      <c r="N21" s="1075"/>
      <c r="O21" s="1079"/>
      <c r="P21" s="1071"/>
      <c r="Q21" s="1070"/>
      <c r="R21" s="1070"/>
      <c r="S21" s="1071"/>
      <c r="T21" s="1070"/>
      <c r="U21" s="1072"/>
      <c r="V21" s="1072"/>
      <c r="W21" s="1073"/>
      <c r="X21" s="1074"/>
      <c r="Y21" s="1073"/>
      <c r="Z21" s="1073"/>
      <c r="AA21" s="1073"/>
      <c r="AB21" s="1073"/>
      <c r="AC21" s="1073"/>
      <c r="AD21" s="1073"/>
      <c r="AE21" s="1073"/>
    </row>
    <row r="22" ht="15.75" customHeight="1">
      <c r="A22" s="1075"/>
      <c r="B22" s="1075"/>
      <c r="C22" s="1070"/>
      <c r="D22" s="1076"/>
      <c r="E22" s="1070"/>
      <c r="F22" s="1070"/>
      <c r="G22" s="1070"/>
      <c r="H22" s="1071"/>
      <c r="I22" s="1070"/>
      <c r="J22" s="1070"/>
      <c r="K22" s="1077"/>
      <c r="L22" s="1077"/>
      <c r="M22" s="1075"/>
      <c r="N22" s="1075"/>
      <c r="O22" s="1080"/>
      <c r="P22" s="1071"/>
      <c r="Q22" s="1070"/>
      <c r="R22" s="1070"/>
      <c r="S22" s="1071"/>
      <c r="T22" s="1070"/>
      <c r="U22" s="1072"/>
      <c r="V22" s="1072"/>
      <c r="W22" s="1073"/>
      <c r="X22" s="1074"/>
      <c r="Y22" s="1073"/>
      <c r="Z22" s="1073"/>
      <c r="AA22" s="1073"/>
      <c r="AB22" s="1073"/>
      <c r="AC22" s="1073"/>
      <c r="AD22" s="1073"/>
      <c r="AE22" s="1073"/>
    </row>
    <row r="23" ht="15.75" customHeight="1">
      <c r="A23" s="1075"/>
      <c r="B23" s="1075"/>
      <c r="C23" s="1070"/>
      <c r="D23" s="1076"/>
      <c r="E23" s="1070"/>
      <c r="F23" s="1070"/>
      <c r="G23" s="1070"/>
      <c r="H23" s="1071"/>
      <c r="I23" s="1070"/>
      <c r="J23" s="1070"/>
      <c r="K23" s="1077"/>
      <c r="L23" s="1077"/>
      <c r="M23" s="1075"/>
      <c r="N23" s="1075"/>
      <c r="O23" s="1080"/>
      <c r="P23" s="1071"/>
      <c r="Q23" s="1070"/>
      <c r="R23" s="1070"/>
      <c r="S23" s="1071"/>
      <c r="T23" s="1070"/>
      <c r="U23" s="1072"/>
      <c r="V23" s="1072"/>
      <c r="W23" s="1073"/>
      <c r="X23" s="1074"/>
      <c r="Y23" s="1073"/>
      <c r="Z23" s="1073"/>
      <c r="AA23" s="1073"/>
      <c r="AB23" s="1073"/>
      <c r="AC23" s="1073"/>
      <c r="AD23" s="1073"/>
      <c r="AE23" s="1073"/>
    </row>
    <row r="24" ht="15.75" customHeight="1">
      <c r="A24" s="1075"/>
      <c r="B24" s="1075"/>
      <c r="C24" s="1070"/>
      <c r="D24" s="1076"/>
      <c r="E24" s="1070"/>
      <c r="F24" s="1070"/>
      <c r="G24" s="1070"/>
      <c r="H24" s="1071"/>
      <c r="I24" s="1070"/>
      <c r="J24" s="1070"/>
      <c r="K24" s="1077"/>
      <c r="L24" s="1077"/>
      <c r="M24" s="1075"/>
      <c r="N24" s="1075"/>
      <c r="O24" s="1080"/>
      <c r="P24" s="1071"/>
      <c r="Q24" s="1070"/>
      <c r="R24" s="1070"/>
      <c r="S24" s="1071"/>
      <c r="T24" s="1070"/>
      <c r="U24" s="1072"/>
      <c r="V24" s="1072"/>
      <c r="W24" s="1073"/>
      <c r="X24" s="1074"/>
      <c r="Y24" s="1073"/>
      <c r="Z24" s="1073"/>
      <c r="AA24" s="1073"/>
      <c r="AB24" s="1073"/>
      <c r="AC24" s="1073"/>
      <c r="AD24" s="1073"/>
      <c r="AE24" s="1073"/>
    </row>
    <row r="25" ht="15.75" customHeight="1">
      <c r="A25" s="1075"/>
      <c r="B25" s="1075"/>
      <c r="C25" s="1070"/>
      <c r="D25" s="1076"/>
      <c r="E25" s="1070"/>
      <c r="F25" s="1070"/>
      <c r="G25" s="1070"/>
      <c r="H25" s="1070"/>
      <c r="I25" s="1070"/>
      <c r="J25" s="1070"/>
      <c r="K25" s="1077"/>
      <c r="L25" s="1077"/>
      <c r="M25" s="1075"/>
      <c r="N25" s="1075"/>
      <c r="O25" s="1080"/>
      <c r="P25" s="1075"/>
      <c r="Q25" s="1070"/>
      <c r="R25" s="1070"/>
      <c r="S25" s="1071"/>
      <c r="T25" s="1070"/>
      <c r="U25" s="1072"/>
      <c r="V25" s="1072"/>
      <c r="W25" s="1073"/>
      <c r="X25" s="1074"/>
      <c r="Y25" s="1073"/>
      <c r="Z25" s="1073"/>
      <c r="AA25" s="1073"/>
      <c r="AB25" s="1073"/>
      <c r="AC25" s="1073"/>
      <c r="AD25" s="1073"/>
      <c r="AE25" s="1073"/>
    </row>
    <row r="26" ht="15.75" customHeight="1">
      <c r="A26" s="1075"/>
      <c r="B26" s="1075"/>
      <c r="C26" s="1070"/>
      <c r="D26" s="1076"/>
      <c r="E26" s="1070"/>
      <c r="F26" s="1070"/>
      <c r="G26" s="1070"/>
      <c r="H26" s="1070"/>
      <c r="I26" s="1070"/>
      <c r="J26" s="1070"/>
      <c r="K26" s="1077"/>
      <c r="L26" s="1077"/>
      <c r="M26" s="1075"/>
      <c r="N26" s="1075"/>
      <c r="O26" s="1080"/>
      <c r="P26" s="1075"/>
      <c r="Q26" s="1070"/>
      <c r="R26" s="1070"/>
      <c r="S26" s="1071"/>
      <c r="T26" s="1070"/>
      <c r="U26" s="1072"/>
      <c r="V26" s="1072"/>
      <c r="W26" s="1073"/>
      <c r="X26" s="1074"/>
      <c r="Y26" s="1073"/>
      <c r="Z26" s="1073"/>
      <c r="AA26" s="1073"/>
      <c r="AB26" s="1073"/>
      <c r="AC26" s="1073"/>
      <c r="AD26" s="1073"/>
      <c r="AE26" s="1073"/>
    </row>
    <row r="27" ht="15.75" customHeight="1">
      <c r="A27" s="1075"/>
      <c r="B27" s="1075"/>
      <c r="C27" s="1070"/>
      <c r="D27" s="1076"/>
      <c r="E27" s="1070"/>
      <c r="F27" s="1070"/>
      <c r="G27" s="1070"/>
      <c r="H27" s="1070"/>
      <c r="I27" s="1070"/>
      <c r="J27" s="1070"/>
      <c r="K27" s="1077"/>
      <c r="L27" s="1077"/>
      <c r="M27" s="1075"/>
      <c r="N27" s="1075"/>
      <c r="O27" s="1080"/>
      <c r="P27" s="1075"/>
      <c r="Q27" s="1070"/>
      <c r="R27" s="1070"/>
      <c r="S27" s="1071"/>
      <c r="T27" s="1070"/>
      <c r="U27" s="1072"/>
      <c r="V27" s="1072"/>
      <c r="W27" s="1073"/>
      <c r="X27" s="1074"/>
      <c r="Y27" s="1073"/>
      <c r="Z27" s="1073"/>
      <c r="AA27" s="1073"/>
      <c r="AB27" s="1073"/>
      <c r="AC27" s="1073"/>
      <c r="AD27" s="1073"/>
      <c r="AE27" s="1073"/>
    </row>
    <row r="28" ht="15.75" customHeight="1">
      <c r="A28" s="1075"/>
      <c r="B28" s="1075"/>
      <c r="C28" s="1070"/>
      <c r="D28" s="1076"/>
      <c r="E28" s="1070"/>
      <c r="F28" s="1070"/>
      <c r="G28" s="1070"/>
      <c r="H28" s="1070"/>
      <c r="I28" s="1070"/>
      <c r="J28" s="1070"/>
      <c r="K28" s="1077"/>
      <c r="L28" s="1077"/>
      <c r="M28" s="1075"/>
      <c r="N28" s="1075"/>
      <c r="O28" s="1080"/>
      <c r="P28" s="1075"/>
      <c r="Q28" s="1075"/>
      <c r="R28" s="1070"/>
      <c r="S28" s="1071"/>
      <c r="T28" s="1070"/>
      <c r="U28" s="1072"/>
      <c r="V28" s="1072"/>
      <c r="W28" s="1073"/>
      <c r="X28" s="1074"/>
      <c r="Y28" s="1073"/>
      <c r="Z28" s="1073"/>
      <c r="AA28" s="1073"/>
      <c r="AB28" s="1073"/>
      <c r="AC28" s="1073"/>
      <c r="AD28" s="1073"/>
      <c r="AE28" s="1073"/>
    </row>
    <row r="29" ht="15.75" customHeight="1">
      <c r="A29" s="1075"/>
      <c r="B29" s="1075"/>
      <c r="C29" s="1070"/>
      <c r="D29" s="1076"/>
      <c r="E29" s="1070"/>
      <c r="F29" s="1070"/>
      <c r="G29" s="1070"/>
      <c r="H29" s="1070"/>
      <c r="I29" s="1070"/>
      <c r="J29" s="1070"/>
      <c r="K29" s="1077"/>
      <c r="L29" s="1077"/>
      <c r="M29" s="1075"/>
      <c r="N29" s="1075"/>
      <c r="O29" s="1080"/>
      <c r="P29" s="1075"/>
      <c r="Q29" s="1075"/>
      <c r="R29" s="1070"/>
      <c r="S29" s="1071"/>
      <c r="T29" s="1070"/>
      <c r="U29" s="1072"/>
      <c r="V29" s="1072"/>
      <c r="W29" s="1073"/>
      <c r="X29" s="1074"/>
      <c r="Y29" s="1073"/>
      <c r="Z29" s="1073"/>
      <c r="AA29" s="1073"/>
      <c r="AB29" s="1073"/>
      <c r="AC29" s="1073"/>
      <c r="AD29" s="1073"/>
      <c r="AE29" s="1073"/>
    </row>
    <row r="30" ht="15.75" customHeight="1">
      <c r="A30" s="1075"/>
      <c r="B30" s="1075"/>
      <c r="C30" s="1070"/>
      <c r="D30" s="1076"/>
      <c r="E30" s="1070"/>
      <c r="F30" s="1070"/>
      <c r="G30" s="1070"/>
      <c r="H30" s="1070"/>
      <c r="I30" s="1070"/>
      <c r="J30" s="1070"/>
      <c r="K30" s="1077"/>
      <c r="L30" s="1077"/>
      <c r="M30" s="1075"/>
      <c r="N30" s="1075"/>
      <c r="O30" s="1080"/>
      <c r="P30" s="1075"/>
      <c r="Q30" s="1075"/>
      <c r="R30" s="1070"/>
      <c r="S30" s="1071"/>
      <c r="T30" s="1070"/>
      <c r="U30" s="1072"/>
      <c r="V30" s="1072"/>
      <c r="W30" s="1073"/>
      <c r="X30" s="1074"/>
      <c r="Y30" s="1073"/>
      <c r="Z30" s="1073"/>
      <c r="AA30" s="1073"/>
      <c r="AB30" s="1073"/>
      <c r="AC30" s="1073"/>
      <c r="AD30" s="1073"/>
      <c r="AE30" s="1073"/>
    </row>
  </sheetData>
  <conditionalFormatting sqref="AB9">
    <cfRule type="expression" dxfId="10" priority="1">
      <formula>$L$9="&lt;&lt; Откройте доступ ошибка"</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2" width="12.63"/>
    <col customWidth="1" min="3" max="3" width="24.75"/>
    <col customWidth="1" min="4" max="4" width="20.5"/>
    <col customWidth="1" min="5" max="5" width="14.63"/>
    <col customWidth="1" min="6" max="6" width="17.38"/>
    <col customWidth="1" min="7" max="7" width="16.38"/>
    <col customWidth="1" min="8" max="8" width="15.13"/>
    <col customWidth="1" min="9" max="9" width="15.25"/>
    <col customWidth="1" min="10" max="10" width="12.63"/>
    <col customWidth="1" min="11" max="12" width="14.38"/>
    <col customWidth="1" min="13" max="13" width="12.63"/>
  </cols>
  <sheetData>
    <row r="1" collapsed="1">
      <c r="A1" s="1081"/>
      <c r="B1" s="1081"/>
      <c r="C1" s="1082" t="s">
        <v>0</v>
      </c>
      <c r="D1" s="1083"/>
      <c r="E1" s="1081"/>
      <c r="F1" s="1081"/>
      <c r="G1" s="1081"/>
      <c r="H1" s="1081"/>
      <c r="I1" s="1081"/>
      <c r="J1" s="1081"/>
      <c r="K1" s="1081"/>
      <c r="L1" s="1081"/>
      <c r="M1" s="1081"/>
    </row>
    <row r="2" outlineLevel="1">
      <c r="A2" s="1081" t="s">
        <v>5</v>
      </c>
      <c r="B2" s="1081" t="s">
        <v>6</v>
      </c>
      <c r="C2" s="1082" t="s">
        <v>7</v>
      </c>
      <c r="D2" s="1083" t="s">
        <v>704</v>
      </c>
      <c r="E2" s="1081" t="s">
        <v>706</v>
      </c>
      <c r="F2" s="1084" t="s">
        <v>724</v>
      </c>
      <c r="G2" s="1081" t="s">
        <v>709</v>
      </c>
      <c r="H2" s="1085" t="s">
        <v>725</v>
      </c>
      <c r="I2" s="1086" t="s">
        <v>726</v>
      </c>
      <c r="J2" s="1086" t="s">
        <v>556</v>
      </c>
      <c r="K2" s="1081" t="s">
        <v>555</v>
      </c>
      <c r="L2" s="1081" t="s">
        <v>705</v>
      </c>
      <c r="M2" s="1081"/>
    </row>
    <row r="3" outlineLevel="1">
      <c r="A3" s="1081"/>
      <c r="B3" s="1081"/>
      <c r="C3" s="1082" t="s">
        <v>25</v>
      </c>
      <c r="D3" s="1083"/>
      <c r="E3" s="1081"/>
      <c r="F3" s="1081"/>
      <c r="G3" s="1081"/>
      <c r="H3" s="1081"/>
      <c r="I3" s="1081"/>
      <c r="J3" s="1081"/>
      <c r="K3" s="1081"/>
      <c r="L3" s="1081"/>
      <c r="M3" s="1081"/>
    </row>
    <row r="4" outlineLevel="1">
      <c r="A4" s="1081"/>
      <c r="B4" s="1081"/>
      <c r="C4" s="1087" t="s">
        <v>28</v>
      </c>
      <c r="D4" s="1083"/>
      <c r="E4" s="1081"/>
      <c r="F4" s="1081"/>
      <c r="G4" s="1081"/>
      <c r="H4" s="1081"/>
      <c r="I4" s="1081"/>
      <c r="J4" s="1081"/>
      <c r="K4" s="1081"/>
      <c r="L4" s="1081"/>
      <c r="M4" s="1081"/>
    </row>
    <row r="5" outlineLevel="1">
      <c r="A5" s="1081"/>
      <c r="B5" s="1081"/>
      <c r="C5" s="1087" t="s">
        <v>31</v>
      </c>
      <c r="D5" s="1083"/>
      <c r="E5" s="1081"/>
      <c r="F5" s="1081"/>
      <c r="G5" s="1081"/>
      <c r="H5" s="1081"/>
      <c r="I5" s="1081"/>
      <c r="J5" s="1081"/>
      <c r="K5" s="1081"/>
      <c r="L5" s="1081"/>
      <c r="M5" s="1081"/>
    </row>
    <row r="6" outlineLevel="1">
      <c r="A6" s="1081"/>
      <c r="B6" s="1081"/>
      <c r="C6" s="1087" t="s">
        <v>35</v>
      </c>
      <c r="D6" s="1083"/>
      <c r="E6" s="1081"/>
      <c r="F6" s="1081"/>
      <c r="G6" s="1088"/>
      <c r="H6" s="1081"/>
      <c r="I6" s="1081"/>
      <c r="J6" s="1081"/>
      <c r="K6" s="1081"/>
      <c r="L6" s="1081"/>
      <c r="M6" s="1081"/>
    </row>
    <row r="7" outlineLevel="1">
      <c r="A7" s="1081"/>
      <c r="B7" s="1084"/>
      <c r="C7" s="1084" t="s">
        <v>52</v>
      </c>
      <c r="D7" s="1083"/>
      <c r="E7" s="1084"/>
      <c r="F7" s="1084"/>
      <c r="G7" s="1084"/>
      <c r="H7" s="1084"/>
      <c r="I7" s="1086"/>
      <c r="J7" s="1081"/>
      <c r="K7" s="1081"/>
      <c r="L7" s="1081"/>
      <c r="M7" s="1081"/>
    </row>
    <row r="8" outlineLevel="1">
      <c r="A8" s="1081"/>
      <c r="B8" s="1081"/>
      <c r="C8" s="1084" t="s">
        <v>39</v>
      </c>
      <c r="D8" s="1083"/>
      <c r="E8" s="1081"/>
      <c r="F8" s="1081"/>
      <c r="G8" s="1081"/>
      <c r="H8" s="1081"/>
      <c r="I8" s="1081"/>
      <c r="J8" s="1081"/>
      <c r="K8" s="1081"/>
      <c r="L8" s="1081"/>
      <c r="M8" s="1081"/>
    </row>
    <row r="9" outlineLevel="1">
      <c r="A9" s="1081"/>
      <c r="B9" s="1081"/>
      <c r="C9" s="1082" t="s">
        <v>44</v>
      </c>
      <c r="D9" s="1083"/>
      <c r="E9" s="1081"/>
      <c r="F9" s="1081"/>
      <c r="G9" s="1081"/>
      <c r="H9" s="1081"/>
      <c r="I9" s="1081"/>
      <c r="J9" s="1081"/>
      <c r="K9" s="1081"/>
      <c r="L9" s="1081"/>
      <c r="M9" s="1081"/>
    </row>
    <row r="10">
      <c r="A10" s="1089"/>
      <c r="B10" s="1089"/>
      <c r="C10" s="1090" t="s">
        <v>727</v>
      </c>
      <c r="D10" s="1091" t="s">
        <v>714</v>
      </c>
      <c r="E10" s="1090" t="s">
        <v>706</v>
      </c>
      <c r="F10" s="1092" t="s">
        <v>724</v>
      </c>
      <c r="G10" s="1092" t="s">
        <v>716</v>
      </c>
      <c r="H10" s="1093" t="s">
        <v>725</v>
      </c>
      <c r="I10" s="1094" t="s">
        <v>726</v>
      </c>
      <c r="J10" s="1094" t="s">
        <v>556</v>
      </c>
      <c r="K10" s="1089" t="s">
        <v>555</v>
      </c>
      <c r="L10" s="1089" t="s">
        <v>705</v>
      </c>
      <c r="M10" s="1089"/>
    </row>
    <row r="11">
      <c r="A11" s="1095"/>
      <c r="B11" s="1095"/>
      <c r="C11" s="1095"/>
      <c r="D11" s="1096"/>
      <c r="E11" s="1095"/>
      <c r="F11" s="1095"/>
      <c r="G11" s="1095"/>
      <c r="H11" s="1095"/>
      <c r="I11" s="1095"/>
      <c r="J11" s="1095"/>
      <c r="K11" s="1095"/>
      <c r="L11" s="1095"/>
      <c r="M11" s="1095"/>
    </row>
    <row r="12">
      <c r="A12" s="1097"/>
      <c r="B12" s="1097"/>
      <c r="C12" s="1097"/>
      <c r="D12" s="1098"/>
      <c r="E12" s="1097"/>
      <c r="F12" s="1097"/>
      <c r="G12" s="1097"/>
      <c r="H12" s="1097"/>
      <c r="I12" s="1097"/>
      <c r="J12" s="1097"/>
      <c r="K12" s="1097"/>
      <c r="L12" s="1097"/>
      <c r="M12" s="1097"/>
    </row>
    <row r="13">
      <c r="A13" s="1097"/>
      <c r="B13" s="1097"/>
      <c r="C13" s="1097"/>
      <c r="D13" s="1098"/>
      <c r="E13" s="1097"/>
      <c r="F13" s="1097"/>
      <c r="G13" s="1097"/>
      <c r="H13" s="1097"/>
      <c r="I13" s="1097"/>
      <c r="J13" s="1097"/>
      <c r="K13" s="1097"/>
      <c r="L13" s="1097"/>
      <c r="M13" s="1097"/>
    </row>
    <row r="14">
      <c r="A14" s="1097"/>
      <c r="B14" s="1097"/>
      <c r="C14" s="1097"/>
      <c r="D14" s="1098"/>
      <c r="E14" s="1097"/>
      <c r="F14" s="1097"/>
      <c r="G14" s="1097"/>
      <c r="H14" s="1097"/>
      <c r="I14" s="1097"/>
      <c r="J14" s="1097"/>
      <c r="K14" s="1097"/>
      <c r="L14" s="1097"/>
      <c r="M14" s="1097"/>
    </row>
    <row r="15">
      <c r="A15" s="1097"/>
      <c r="B15" s="1097"/>
      <c r="C15" s="1097"/>
      <c r="D15" s="1098"/>
      <c r="E15" s="1097"/>
      <c r="F15" s="1097"/>
      <c r="G15" s="1097"/>
      <c r="H15" s="1097"/>
      <c r="I15" s="1097"/>
      <c r="J15" s="1097"/>
      <c r="K15" s="1097"/>
      <c r="L15" s="1097"/>
      <c r="M15" s="1097"/>
    </row>
    <row r="16">
      <c r="A16" s="1097"/>
      <c r="B16" s="1097"/>
      <c r="C16" s="1097"/>
      <c r="D16" s="1098"/>
      <c r="E16" s="1097"/>
      <c r="F16" s="1097"/>
      <c r="G16" s="1097"/>
      <c r="H16" s="1097"/>
      <c r="I16" s="1097"/>
      <c r="J16" s="1097"/>
      <c r="K16" s="1097"/>
      <c r="L16" s="1097"/>
      <c r="M16" s="1097"/>
    </row>
    <row r="17">
      <c r="A17" s="1097"/>
      <c r="B17" s="1097"/>
      <c r="C17" s="1097"/>
      <c r="D17" s="1098"/>
      <c r="E17" s="1097"/>
      <c r="F17" s="1097"/>
      <c r="G17" s="1097"/>
      <c r="H17" s="1097"/>
      <c r="I17" s="1097"/>
      <c r="J17" s="1097"/>
      <c r="K17" s="1097"/>
      <c r="L17" s="1097"/>
      <c r="M17" s="1097"/>
    </row>
    <row r="18">
      <c r="A18" s="1097"/>
      <c r="B18" s="1097"/>
      <c r="C18" s="1097"/>
      <c r="D18" s="1098"/>
      <c r="E18" s="1097"/>
      <c r="F18" s="1097"/>
      <c r="G18" s="1097"/>
      <c r="H18" s="1097"/>
      <c r="I18" s="1097"/>
      <c r="J18" s="1097"/>
      <c r="K18" s="1097"/>
      <c r="L18" s="1097"/>
      <c r="M18" s="1097"/>
    </row>
    <row r="19">
      <c r="A19" s="1097"/>
      <c r="B19" s="1097"/>
      <c r="C19" s="1097"/>
      <c r="D19" s="1098"/>
      <c r="E19" s="1097"/>
      <c r="F19" s="1097"/>
      <c r="G19" s="1097"/>
      <c r="H19" s="1097"/>
      <c r="I19" s="1097"/>
      <c r="J19" s="1097"/>
      <c r="K19" s="1097"/>
      <c r="L19" s="1097"/>
      <c r="M19" s="1097"/>
    </row>
    <row r="20">
      <c r="A20" s="1097"/>
      <c r="B20" s="1097"/>
      <c r="C20" s="1097"/>
      <c r="D20" s="1098"/>
      <c r="E20" s="1097"/>
      <c r="F20" s="1097"/>
      <c r="G20" s="1097"/>
      <c r="H20" s="1097"/>
      <c r="I20" s="1097"/>
      <c r="J20" s="1097"/>
      <c r="K20" s="1097"/>
      <c r="L20" s="1097"/>
      <c r="M20" s="1097"/>
    </row>
    <row r="21">
      <c r="A21" s="1097"/>
      <c r="B21" s="1097"/>
      <c r="C21" s="1097"/>
      <c r="D21" s="1098"/>
      <c r="E21" s="1097"/>
      <c r="F21" s="1097"/>
      <c r="G21" s="1097"/>
      <c r="H21" s="1097"/>
      <c r="I21" s="1097"/>
      <c r="J21" s="1097"/>
      <c r="K21" s="1097"/>
      <c r="L21" s="1097"/>
      <c r="M21" s="1097"/>
    </row>
    <row r="22">
      <c r="A22" s="1097"/>
      <c r="B22" s="1097"/>
      <c r="C22" s="1097"/>
      <c r="D22" s="1098"/>
      <c r="E22" s="1097"/>
      <c r="F22" s="1097"/>
      <c r="G22" s="1097"/>
      <c r="H22" s="1097"/>
      <c r="I22" s="1097"/>
      <c r="J22" s="1097"/>
      <c r="K22" s="1097"/>
      <c r="L22" s="1097"/>
      <c r="M22" s="1097"/>
    </row>
    <row r="23">
      <c r="A23" s="1097"/>
      <c r="B23" s="1097"/>
      <c r="C23" s="1097"/>
      <c r="D23" s="1098"/>
      <c r="E23" s="1097"/>
      <c r="F23" s="1097"/>
      <c r="G23" s="1097"/>
      <c r="H23" s="1097"/>
      <c r="I23" s="1097"/>
      <c r="J23" s="1097"/>
      <c r="K23" s="1097"/>
      <c r="L23" s="1097"/>
      <c r="M23" s="1097"/>
    </row>
    <row r="24">
      <c r="A24" s="1097"/>
      <c r="B24" s="1097"/>
      <c r="C24" s="1097"/>
      <c r="D24" s="1098"/>
      <c r="E24" s="1097"/>
      <c r="F24" s="1097"/>
      <c r="G24" s="1097"/>
      <c r="H24" s="1097"/>
      <c r="I24" s="1097"/>
      <c r="J24" s="1097"/>
      <c r="K24" s="1097"/>
      <c r="L24" s="1097"/>
      <c r="M24" s="1097"/>
    </row>
    <row r="25">
      <c r="A25" s="1097"/>
      <c r="B25" s="1097"/>
      <c r="C25" s="1097"/>
      <c r="D25" s="1098"/>
      <c r="E25" s="1097"/>
      <c r="F25" s="1097"/>
      <c r="G25" s="1097"/>
      <c r="H25" s="1097"/>
      <c r="I25" s="1097"/>
      <c r="J25" s="1097"/>
      <c r="K25" s="1097"/>
      <c r="L25" s="1097"/>
      <c r="M25" s="1097"/>
    </row>
    <row r="26">
      <c r="A26" s="1097"/>
      <c r="B26" s="1097"/>
      <c r="C26" s="1097"/>
      <c r="D26" s="1098"/>
      <c r="E26" s="1097"/>
      <c r="F26" s="1097"/>
      <c r="G26" s="1097"/>
      <c r="H26" s="1097"/>
      <c r="I26" s="1097"/>
      <c r="J26" s="1097"/>
      <c r="K26" s="1097"/>
      <c r="L26" s="1097"/>
      <c r="M26" s="1097"/>
    </row>
    <row r="27">
      <c r="A27" s="1097"/>
      <c r="B27" s="1097"/>
      <c r="C27" s="1097"/>
      <c r="D27" s="1098"/>
      <c r="E27" s="1097"/>
      <c r="F27" s="1097"/>
      <c r="G27" s="1097"/>
      <c r="H27" s="1097"/>
      <c r="I27" s="1097"/>
      <c r="J27" s="1097"/>
      <c r="K27" s="1097"/>
      <c r="L27" s="1097"/>
      <c r="M27" s="1097"/>
    </row>
    <row r="28">
      <c r="A28" s="1097"/>
      <c r="B28" s="1097"/>
      <c r="C28" s="1097"/>
      <c r="D28" s="1098"/>
      <c r="E28" s="1097"/>
      <c r="F28" s="1097"/>
      <c r="G28" s="1097"/>
      <c r="H28" s="1097"/>
      <c r="I28" s="1097"/>
      <c r="J28" s="1097"/>
      <c r="K28" s="1097"/>
      <c r="L28" s="1097"/>
      <c r="M28" s="1097"/>
    </row>
    <row r="29">
      <c r="A29" s="1097"/>
      <c r="B29" s="1097"/>
      <c r="C29" s="1097"/>
      <c r="D29" s="1098"/>
      <c r="E29" s="1097"/>
      <c r="F29" s="1097"/>
      <c r="G29" s="1097"/>
      <c r="H29" s="1097"/>
      <c r="I29" s="1097"/>
      <c r="J29" s="1097"/>
      <c r="K29" s="1097"/>
      <c r="L29" s="1097"/>
      <c r="M29" s="1097"/>
    </row>
    <row r="30">
      <c r="A30" s="1097"/>
      <c r="B30" s="1097"/>
      <c r="C30" s="1097"/>
      <c r="D30" s="1098"/>
      <c r="E30" s="1097"/>
      <c r="F30" s="1097"/>
      <c r="G30" s="1097"/>
      <c r="H30" s="1097"/>
      <c r="I30" s="1097"/>
      <c r="J30" s="1097"/>
      <c r="K30" s="1097"/>
      <c r="L30" s="1097"/>
      <c r="M30" s="1097"/>
    </row>
  </sheetData>
  <autoFilter ref="$A$10:$M$30"/>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2.5"/>
    <col customWidth="1" min="2" max="3" width="12.63"/>
    <col customWidth="1" min="4" max="4" width="21.25"/>
    <col customWidth="1" min="5" max="5" width="14.25"/>
    <col customWidth="1" min="6" max="6" width="7.5"/>
    <col customWidth="1" min="7" max="7" width="20.88"/>
    <col customWidth="1" min="8" max="8" width="12.25"/>
    <col customWidth="1" min="9" max="9" width="11.25"/>
    <col customWidth="1" min="10" max="10" width="14.38"/>
    <col customWidth="1" min="11" max="19" width="5.5"/>
    <col customWidth="1" min="20" max="26" width="12.63"/>
    <col customWidth="1" min="27" max="27" width="11.25"/>
    <col customWidth="1" min="28" max="32" width="12.63"/>
    <col customWidth="1" min="33" max="52" width="3.38"/>
    <col customWidth="1" min="53" max="54" width="12.63"/>
    <col customWidth="1" min="55" max="55" width="7.0"/>
    <col customWidth="1" min="56" max="56" width="6.75"/>
    <col customWidth="1" min="57" max="78" width="12.63"/>
  </cols>
  <sheetData>
    <row r="1" collapsed="1">
      <c r="A1" s="1099"/>
      <c r="B1" s="1081"/>
      <c r="C1" s="1082" t="s">
        <v>0</v>
      </c>
      <c r="D1" s="1099"/>
      <c r="E1" s="1081"/>
      <c r="F1" s="1081"/>
      <c r="G1" s="1081"/>
      <c r="H1" s="1100"/>
      <c r="I1" s="1084"/>
      <c r="J1" s="1081"/>
      <c r="K1" s="1081"/>
      <c r="L1" s="1081"/>
      <c r="M1" s="1081"/>
      <c r="N1" s="1081"/>
      <c r="O1" s="1081"/>
      <c r="P1" s="1081"/>
      <c r="Q1" s="1081"/>
      <c r="R1" s="1081"/>
      <c r="S1" s="1081"/>
      <c r="T1" s="1081"/>
      <c r="U1" s="1081"/>
      <c r="V1" s="1081"/>
      <c r="W1" s="1081"/>
      <c r="X1" s="1081"/>
      <c r="Y1" s="1081"/>
      <c r="Z1" s="1081"/>
      <c r="AA1" s="1081"/>
      <c r="AB1" s="1081"/>
      <c r="AC1" s="1081"/>
      <c r="AD1" s="1084"/>
      <c r="AE1" s="1081"/>
      <c r="AF1" s="1081"/>
      <c r="AG1" s="1081"/>
      <c r="AH1" s="1081"/>
      <c r="AI1" s="1081"/>
      <c r="AJ1" s="1081"/>
      <c r="AK1" s="1081"/>
      <c r="AL1" s="1081"/>
      <c r="AM1" s="1081"/>
      <c r="AN1" s="1081"/>
      <c r="AO1" s="1081"/>
      <c r="AP1" s="1081"/>
      <c r="AQ1" s="1081"/>
      <c r="AR1" s="1081"/>
      <c r="AS1" s="1081"/>
      <c r="AT1" s="1081"/>
      <c r="AU1" s="1081"/>
      <c r="AV1" s="1081"/>
      <c r="AW1" s="1081"/>
      <c r="AX1" s="1081"/>
      <c r="AY1" s="1081"/>
      <c r="AZ1" s="1081"/>
      <c r="BA1" s="1081"/>
      <c r="BB1" s="1081"/>
      <c r="BC1" s="1081"/>
      <c r="BD1" s="1084"/>
      <c r="BE1" s="1081"/>
      <c r="BF1" s="1081"/>
      <c r="BG1" s="1081"/>
      <c r="BH1" s="1081"/>
      <c r="BI1" s="1081"/>
      <c r="BJ1" s="1081"/>
      <c r="BK1" s="1081"/>
      <c r="BL1" s="1081"/>
      <c r="BM1" s="1081"/>
      <c r="BN1" s="1081"/>
      <c r="BO1" s="1081"/>
      <c r="BP1" s="1081"/>
      <c r="BQ1" s="1081"/>
      <c r="BR1" s="1081"/>
      <c r="BS1" s="1081"/>
      <c r="BT1" s="1081"/>
      <c r="BU1" s="1081"/>
      <c r="BV1" s="1081"/>
      <c r="BW1" s="1081"/>
      <c r="BX1" s="1081"/>
      <c r="BY1" s="1081"/>
      <c r="BZ1" s="1081"/>
    </row>
    <row r="2" outlineLevel="1">
      <c r="A2" s="1081" t="s">
        <v>728</v>
      </c>
      <c r="B2" s="1081" t="s">
        <v>6</v>
      </c>
      <c r="C2" s="1082" t="s">
        <v>7</v>
      </c>
      <c r="D2" s="1101" t="s">
        <v>729</v>
      </c>
      <c r="E2" s="1101" t="s">
        <v>706</v>
      </c>
      <c r="F2" s="1101" t="s">
        <v>724</v>
      </c>
      <c r="G2" s="1101" t="s">
        <v>730</v>
      </c>
      <c r="H2" s="1102" t="s">
        <v>709</v>
      </c>
      <c r="I2" s="151" t="s">
        <v>56</v>
      </c>
      <c r="J2" s="1101" t="s">
        <v>731</v>
      </c>
      <c r="K2" s="1101" t="s">
        <v>732</v>
      </c>
      <c r="L2" s="1081" t="s">
        <v>733</v>
      </c>
      <c r="M2" s="1081" t="s">
        <v>734</v>
      </c>
      <c r="N2" s="1081" t="s">
        <v>735</v>
      </c>
      <c r="O2" s="1081" t="s">
        <v>736</v>
      </c>
      <c r="P2" s="1081" t="s">
        <v>737</v>
      </c>
      <c r="Q2" s="1081" t="s">
        <v>738</v>
      </c>
      <c r="R2" s="1081" t="s">
        <v>739</v>
      </c>
      <c r="S2" s="1081" t="s">
        <v>740</v>
      </c>
      <c r="T2" s="1081" t="s">
        <v>741</v>
      </c>
      <c r="U2" s="1081" t="s">
        <v>742</v>
      </c>
      <c r="V2" s="1081" t="s">
        <v>743</v>
      </c>
      <c r="W2" s="1081" t="s">
        <v>744</v>
      </c>
      <c r="X2" s="1081" t="s">
        <v>745</v>
      </c>
      <c r="Y2" s="1081" t="s">
        <v>746</v>
      </c>
      <c r="Z2" s="1081" t="s">
        <v>747</v>
      </c>
      <c r="AA2" s="1081" t="s">
        <v>748</v>
      </c>
      <c r="AB2" s="1081" t="s">
        <v>749</v>
      </c>
      <c r="AC2" s="1081" t="s">
        <v>750</v>
      </c>
      <c r="AD2" s="1084" t="s">
        <v>751</v>
      </c>
      <c r="AE2" s="1081" t="s">
        <v>752</v>
      </c>
      <c r="AF2" s="1081" t="s">
        <v>753</v>
      </c>
      <c r="AG2" s="1081" t="s">
        <v>754</v>
      </c>
      <c r="AH2" s="1081" t="s">
        <v>755</v>
      </c>
      <c r="AI2" s="1081" t="s">
        <v>756</v>
      </c>
      <c r="AJ2" s="1081" t="s">
        <v>757</v>
      </c>
      <c r="AK2" s="1081" t="s">
        <v>758</v>
      </c>
      <c r="AL2" s="1081" t="s">
        <v>759</v>
      </c>
      <c r="AM2" s="1081" t="s">
        <v>760</v>
      </c>
      <c r="AN2" s="1081" t="s">
        <v>761</v>
      </c>
      <c r="AO2" s="1081" t="s">
        <v>762</v>
      </c>
      <c r="AP2" s="1081" t="s">
        <v>763</v>
      </c>
      <c r="AQ2" s="1081" t="s">
        <v>764</v>
      </c>
      <c r="AR2" s="1081" t="s">
        <v>765</v>
      </c>
      <c r="AS2" s="1081" t="s">
        <v>766</v>
      </c>
      <c r="AT2" s="1081" t="s">
        <v>767</v>
      </c>
      <c r="AU2" s="1081" t="s">
        <v>768</v>
      </c>
      <c r="AV2" s="1081" t="s">
        <v>769</v>
      </c>
      <c r="AW2" s="1081" t="s">
        <v>770</v>
      </c>
      <c r="AX2" s="1081" t="s">
        <v>771</v>
      </c>
      <c r="AY2" s="1081" t="s">
        <v>772</v>
      </c>
      <c r="AZ2" s="1081" t="s">
        <v>773</v>
      </c>
      <c r="BA2" s="1081" t="s">
        <v>774</v>
      </c>
      <c r="BB2" s="1081" t="s">
        <v>775</v>
      </c>
      <c r="BC2" s="1081" t="s">
        <v>776</v>
      </c>
      <c r="BD2" s="1084" t="s">
        <v>777</v>
      </c>
      <c r="BE2" s="1081" t="s">
        <v>778</v>
      </c>
      <c r="BF2" s="1081" t="s">
        <v>779</v>
      </c>
      <c r="BG2" s="1081" t="s">
        <v>780</v>
      </c>
      <c r="BH2" s="1081" t="s">
        <v>781</v>
      </c>
      <c r="BI2" s="1081" t="s">
        <v>782</v>
      </c>
      <c r="BJ2" s="1081" t="s">
        <v>783</v>
      </c>
      <c r="BK2" s="1081" t="s">
        <v>784</v>
      </c>
      <c r="BL2" s="1081" t="s">
        <v>785</v>
      </c>
      <c r="BM2" s="1081" t="s">
        <v>786</v>
      </c>
      <c r="BN2" s="1081" t="s">
        <v>787</v>
      </c>
      <c r="BO2" s="1081" t="s">
        <v>788</v>
      </c>
      <c r="BP2" s="1081" t="s">
        <v>789</v>
      </c>
      <c r="BQ2" s="1081" t="s">
        <v>790</v>
      </c>
      <c r="BR2" s="1081" t="s">
        <v>791</v>
      </c>
      <c r="BS2" s="1081" t="s">
        <v>792</v>
      </c>
      <c r="BT2" s="1081" t="s">
        <v>793</v>
      </c>
      <c r="BU2" s="1081" t="s">
        <v>794</v>
      </c>
      <c r="BV2" s="1081" t="s">
        <v>795</v>
      </c>
      <c r="BW2" s="1081" t="s">
        <v>796</v>
      </c>
      <c r="BX2" s="1081" t="s">
        <v>797</v>
      </c>
      <c r="BY2" s="1081" t="s">
        <v>798</v>
      </c>
      <c r="BZ2" s="1081" t="s">
        <v>799</v>
      </c>
    </row>
    <row r="3" outlineLevel="1">
      <c r="A3" s="1103"/>
      <c r="B3" s="1081"/>
      <c r="C3" s="1082" t="s">
        <v>25</v>
      </c>
      <c r="D3" s="1081" t="s">
        <v>25</v>
      </c>
      <c r="E3" s="1081" t="s">
        <v>32</v>
      </c>
      <c r="F3" s="1081" t="s">
        <v>32</v>
      </c>
      <c r="G3" s="1081" t="s">
        <v>32</v>
      </c>
      <c r="H3" s="1100" t="s">
        <v>32</v>
      </c>
      <c r="I3" s="1084" t="s">
        <v>32</v>
      </c>
      <c r="J3" s="1081" t="s">
        <v>32</v>
      </c>
      <c r="K3" s="1081" t="s">
        <v>32</v>
      </c>
      <c r="L3" s="1081" t="s">
        <v>32</v>
      </c>
      <c r="M3" s="1081" t="s">
        <v>32</v>
      </c>
      <c r="N3" s="1081" t="s">
        <v>32</v>
      </c>
      <c r="O3" s="1081" t="s">
        <v>32</v>
      </c>
      <c r="P3" s="1081" t="s">
        <v>32</v>
      </c>
      <c r="Q3" s="1081" t="s">
        <v>32</v>
      </c>
      <c r="R3" s="1081" t="s">
        <v>32</v>
      </c>
      <c r="S3" s="1081" t="s">
        <v>32</v>
      </c>
      <c r="T3" s="1081" t="s">
        <v>32</v>
      </c>
      <c r="U3" s="1081" t="s">
        <v>32</v>
      </c>
      <c r="V3" s="1081" t="s">
        <v>32</v>
      </c>
      <c r="W3" s="1081" t="s">
        <v>32</v>
      </c>
      <c r="X3" s="1081" t="s">
        <v>32</v>
      </c>
      <c r="Y3" s="1081" t="s">
        <v>32</v>
      </c>
      <c r="Z3" s="1081" t="s">
        <v>32</v>
      </c>
      <c r="AA3" s="1081" t="s">
        <v>25</v>
      </c>
      <c r="AB3" s="1081" t="s">
        <v>32</v>
      </c>
      <c r="AC3" s="1081" t="s">
        <v>32</v>
      </c>
      <c r="AD3" s="1084" t="s">
        <v>32</v>
      </c>
      <c r="AE3" s="1081" t="s">
        <v>32</v>
      </c>
      <c r="AF3" s="1081" t="s">
        <v>32</v>
      </c>
      <c r="AG3" s="1081" t="s">
        <v>32</v>
      </c>
      <c r="AH3" s="1081" t="s">
        <v>32</v>
      </c>
      <c r="AI3" s="1081" t="s">
        <v>32</v>
      </c>
      <c r="AJ3" s="1081" t="s">
        <v>32</v>
      </c>
      <c r="AK3" s="1081" t="s">
        <v>32</v>
      </c>
      <c r="AL3" s="1081" t="s">
        <v>32</v>
      </c>
      <c r="AM3" s="1081" t="s">
        <v>32</v>
      </c>
      <c r="AN3" s="1081" t="s">
        <v>32</v>
      </c>
      <c r="AO3" s="1081" t="s">
        <v>32</v>
      </c>
      <c r="AP3" s="1081" t="s">
        <v>32</v>
      </c>
      <c r="AQ3" s="1081" t="s">
        <v>32</v>
      </c>
      <c r="AR3" s="1081" t="s">
        <v>32</v>
      </c>
      <c r="AS3" s="1081" t="s">
        <v>32</v>
      </c>
      <c r="AT3" s="1081" t="s">
        <v>32</v>
      </c>
      <c r="AU3" s="1081" t="s">
        <v>32</v>
      </c>
      <c r="AV3" s="1081" t="s">
        <v>32</v>
      </c>
      <c r="AW3" s="1081" t="s">
        <v>32</v>
      </c>
      <c r="AX3" s="1081" t="s">
        <v>32</v>
      </c>
      <c r="AY3" s="1081" t="s">
        <v>32</v>
      </c>
      <c r="AZ3" s="1081" t="s">
        <v>32</v>
      </c>
      <c r="BA3" s="1081" t="s">
        <v>25</v>
      </c>
      <c r="BB3" s="1081" t="s">
        <v>32</v>
      </c>
      <c r="BC3" s="1081" t="s">
        <v>32</v>
      </c>
      <c r="BD3" s="1084" t="s">
        <v>32</v>
      </c>
      <c r="BE3" s="1081" t="s">
        <v>32</v>
      </c>
      <c r="BF3" s="1081" t="s">
        <v>32</v>
      </c>
      <c r="BG3" s="1081" t="s">
        <v>32</v>
      </c>
      <c r="BH3" s="1081" t="s">
        <v>32</v>
      </c>
      <c r="BI3" s="1081" t="s">
        <v>32</v>
      </c>
      <c r="BJ3" s="1081" t="s">
        <v>32</v>
      </c>
      <c r="BK3" s="1081" t="s">
        <v>32</v>
      </c>
      <c r="BL3" s="1081" t="s">
        <v>32</v>
      </c>
      <c r="BM3" s="1081" t="s">
        <v>32</v>
      </c>
      <c r="BN3" s="1081" t="s">
        <v>32</v>
      </c>
      <c r="BO3" s="1081" t="s">
        <v>32</v>
      </c>
      <c r="BP3" s="1081" t="s">
        <v>32</v>
      </c>
      <c r="BQ3" s="1081" t="s">
        <v>32</v>
      </c>
      <c r="BR3" s="1081" t="s">
        <v>32</v>
      </c>
      <c r="BS3" s="1081" t="s">
        <v>32</v>
      </c>
      <c r="BT3" s="1081" t="s">
        <v>32</v>
      </c>
      <c r="BU3" s="1081" t="s">
        <v>32</v>
      </c>
      <c r="BV3" s="1081" t="s">
        <v>32</v>
      </c>
      <c r="BW3" s="1081" t="s">
        <v>32</v>
      </c>
      <c r="BX3" s="1081" t="s">
        <v>32</v>
      </c>
      <c r="BY3" s="1081" t="s">
        <v>32</v>
      </c>
      <c r="BZ3" s="1081" t="s">
        <v>32</v>
      </c>
    </row>
    <row r="4" outlineLevel="1">
      <c r="A4" s="1103"/>
      <c r="B4" s="1081"/>
      <c r="C4" s="1087" t="s">
        <v>28</v>
      </c>
      <c r="D4" s="1081"/>
      <c r="E4" s="1081"/>
      <c r="F4" s="1081"/>
      <c r="G4" s="1081"/>
      <c r="H4" s="1100"/>
      <c r="I4" s="1084"/>
      <c r="J4" s="1081"/>
      <c r="K4" s="1081"/>
      <c r="L4" s="1081"/>
      <c r="M4" s="1081"/>
      <c r="N4" s="1081"/>
      <c r="O4" s="1081"/>
      <c r="P4" s="1081"/>
      <c r="Q4" s="1081"/>
      <c r="R4" s="1081"/>
      <c r="S4" s="1081"/>
      <c r="T4" s="1081"/>
      <c r="U4" s="1081"/>
      <c r="V4" s="1081"/>
      <c r="W4" s="1081"/>
      <c r="X4" s="1081"/>
      <c r="Y4" s="1081"/>
      <c r="Z4" s="1081"/>
      <c r="AA4" s="1081"/>
      <c r="AB4" s="1081"/>
      <c r="AC4" s="1081"/>
      <c r="AD4" s="1084"/>
      <c r="AE4" s="1081"/>
      <c r="AF4" s="1081"/>
      <c r="AG4" s="1081"/>
      <c r="AH4" s="1081"/>
      <c r="AI4" s="1081"/>
      <c r="AJ4" s="1081"/>
      <c r="AK4" s="1081"/>
      <c r="AL4" s="1081"/>
      <c r="AM4" s="1081"/>
      <c r="AN4" s="1081"/>
      <c r="AO4" s="1081"/>
      <c r="AP4" s="1081"/>
      <c r="AQ4" s="1081"/>
      <c r="AR4" s="1081"/>
      <c r="AS4" s="1081"/>
      <c r="AT4" s="1081"/>
      <c r="AU4" s="1081"/>
      <c r="AV4" s="1081"/>
      <c r="AW4" s="1081"/>
      <c r="AX4" s="1081"/>
      <c r="AY4" s="1081"/>
      <c r="AZ4" s="1081"/>
      <c r="BA4" s="1081"/>
      <c r="BB4" s="1081"/>
      <c r="BC4" s="1081"/>
      <c r="BD4" s="1084"/>
      <c r="BE4" s="1081"/>
      <c r="BF4" s="1081"/>
      <c r="BG4" s="1081"/>
      <c r="BH4" s="1081"/>
      <c r="BI4" s="1081"/>
      <c r="BJ4" s="1081"/>
      <c r="BK4" s="1081"/>
      <c r="BL4" s="1081"/>
      <c r="BM4" s="1081"/>
      <c r="BN4" s="1081"/>
      <c r="BO4" s="1081"/>
      <c r="BP4" s="1081"/>
      <c r="BQ4" s="1081"/>
      <c r="BR4" s="1081"/>
      <c r="BS4" s="1081"/>
      <c r="BT4" s="1081"/>
      <c r="BU4" s="1081"/>
      <c r="BV4" s="1081"/>
      <c r="BW4" s="1081"/>
      <c r="BX4" s="1081"/>
      <c r="BY4" s="1081"/>
      <c r="BZ4" s="1081"/>
    </row>
    <row r="5" outlineLevel="1">
      <c r="A5" s="1088"/>
      <c r="B5" s="1081"/>
      <c r="C5" s="1087" t="s">
        <v>31</v>
      </c>
      <c r="D5" s="1081"/>
      <c r="E5" s="1081"/>
      <c r="F5" s="1081"/>
      <c r="G5" s="1081"/>
      <c r="H5" s="1100"/>
      <c r="I5" s="1084"/>
      <c r="J5" s="1081"/>
      <c r="K5" s="1081"/>
      <c r="L5" s="1081"/>
      <c r="M5" s="1081"/>
      <c r="N5" s="1081"/>
      <c r="O5" s="1081"/>
      <c r="P5" s="1081"/>
      <c r="Q5" s="1081"/>
      <c r="R5" s="1081"/>
      <c r="S5" s="1081"/>
      <c r="T5" s="1081"/>
      <c r="U5" s="1081"/>
      <c r="V5" s="1081"/>
      <c r="W5" s="1081"/>
      <c r="X5" s="1081"/>
      <c r="Y5" s="1081"/>
      <c r="Z5" s="1081"/>
      <c r="AA5" s="1081"/>
      <c r="AB5" s="1081"/>
      <c r="AC5" s="1081"/>
      <c r="AD5" s="1084"/>
      <c r="AE5" s="1081"/>
      <c r="AF5" s="1081"/>
      <c r="AG5" s="1081"/>
      <c r="AH5" s="1081"/>
      <c r="AI5" s="1081"/>
      <c r="AJ5" s="1081"/>
      <c r="AK5" s="1081"/>
      <c r="AL5" s="1081"/>
      <c r="AM5" s="1081"/>
      <c r="AN5" s="1081"/>
      <c r="AO5" s="1081"/>
      <c r="AP5" s="1081"/>
      <c r="AQ5" s="1081"/>
      <c r="AR5" s="1081"/>
      <c r="AS5" s="1081"/>
      <c r="AT5" s="1081"/>
      <c r="AU5" s="1081"/>
      <c r="AV5" s="1081"/>
      <c r="AW5" s="1081"/>
      <c r="AX5" s="1081"/>
      <c r="AY5" s="1081"/>
      <c r="AZ5" s="1081"/>
      <c r="BA5" s="1081"/>
      <c r="BB5" s="1081"/>
      <c r="BC5" s="1081"/>
      <c r="BD5" s="1084"/>
      <c r="BE5" s="1081"/>
      <c r="BF5" s="1081"/>
      <c r="BG5" s="1081"/>
      <c r="BH5" s="1081"/>
      <c r="BI5" s="1081"/>
      <c r="BJ5" s="1081"/>
      <c r="BK5" s="1081"/>
      <c r="BL5" s="1081"/>
      <c r="BM5" s="1081"/>
      <c r="BN5" s="1081"/>
      <c r="BO5" s="1081"/>
      <c r="BP5" s="1081"/>
      <c r="BQ5" s="1081"/>
      <c r="BR5" s="1081"/>
      <c r="BS5" s="1081"/>
      <c r="BT5" s="1081"/>
      <c r="BU5" s="1081"/>
      <c r="BV5" s="1081"/>
      <c r="BW5" s="1081"/>
      <c r="BX5" s="1081"/>
      <c r="BY5" s="1081"/>
      <c r="BZ5" s="1081"/>
    </row>
    <row r="6" ht="16.5" customHeight="1" outlineLevel="1">
      <c r="A6" s="1081"/>
      <c r="B6" s="1081"/>
      <c r="C6" s="1087" t="s">
        <v>35</v>
      </c>
      <c r="D6" s="1081"/>
      <c r="E6" s="1081"/>
      <c r="F6" s="1081"/>
      <c r="G6" s="1081"/>
      <c r="H6" s="1100"/>
      <c r="I6" s="1084"/>
      <c r="J6" s="1081"/>
      <c r="K6" s="1081"/>
      <c r="L6" s="1081"/>
      <c r="M6" s="1081"/>
      <c r="N6" s="1081"/>
      <c r="O6" s="1081"/>
      <c r="P6" s="1081"/>
      <c r="Q6" s="1081"/>
      <c r="R6" s="1081"/>
      <c r="S6" s="1081"/>
      <c r="T6" s="1081"/>
      <c r="U6" s="1081"/>
      <c r="V6" s="1081"/>
      <c r="W6" s="1081"/>
      <c r="X6" s="1081"/>
      <c r="Y6" s="1081"/>
      <c r="Z6" s="1081"/>
      <c r="AA6" s="1081"/>
      <c r="AB6" s="1081"/>
      <c r="AC6" s="1081"/>
      <c r="AD6" s="1084"/>
      <c r="AE6" s="1081"/>
      <c r="AF6" s="1081"/>
      <c r="AG6" s="1081"/>
      <c r="AH6" s="1081"/>
      <c r="AI6" s="1081"/>
      <c r="AJ6" s="1081"/>
      <c r="AK6" s="1081"/>
      <c r="AL6" s="1081"/>
      <c r="AM6" s="1081"/>
      <c r="AN6" s="1081"/>
      <c r="AO6" s="1081"/>
      <c r="AP6" s="1081"/>
      <c r="AQ6" s="1081"/>
      <c r="AR6" s="1081"/>
      <c r="AS6" s="1081"/>
      <c r="AT6" s="1081"/>
      <c r="AU6" s="1081"/>
      <c r="AV6" s="1081"/>
      <c r="AW6" s="1081"/>
      <c r="AX6" s="1081"/>
      <c r="AY6" s="1081"/>
      <c r="AZ6" s="1081"/>
      <c r="BA6" s="1081"/>
      <c r="BB6" s="1081"/>
      <c r="BC6" s="1081"/>
      <c r="BD6" s="1084"/>
      <c r="BE6" s="1081"/>
      <c r="BF6" s="1081"/>
      <c r="BG6" s="1081"/>
      <c r="BH6" s="1081"/>
      <c r="BI6" s="1081"/>
      <c r="BJ6" s="1081"/>
      <c r="BK6" s="1081"/>
      <c r="BL6" s="1081"/>
      <c r="BM6" s="1081"/>
      <c r="BN6" s="1081"/>
      <c r="BO6" s="1081"/>
      <c r="BP6" s="1081"/>
      <c r="BQ6" s="1081"/>
      <c r="BR6" s="1081"/>
      <c r="BS6" s="1081"/>
      <c r="BT6" s="1081"/>
      <c r="BU6" s="1081"/>
      <c r="BV6" s="1081"/>
      <c r="BW6" s="1081"/>
      <c r="BX6" s="1081"/>
      <c r="BY6" s="1081"/>
      <c r="BZ6" s="1081"/>
    </row>
    <row r="7" outlineLevel="1">
      <c r="A7" s="1081"/>
      <c r="B7" s="1081"/>
      <c r="C7" s="1084" t="s">
        <v>52</v>
      </c>
      <c r="D7" s="1081"/>
      <c r="E7" s="1081"/>
      <c r="F7" s="1081"/>
      <c r="G7" s="1081"/>
      <c r="H7" s="1100"/>
      <c r="I7" s="1084"/>
      <c r="J7" s="1081"/>
      <c r="K7" s="1081"/>
      <c r="L7" s="1081"/>
      <c r="M7" s="1081"/>
      <c r="N7" s="1081"/>
      <c r="O7" s="1081"/>
      <c r="P7" s="1081"/>
      <c r="Q7" s="1081"/>
      <c r="R7" s="1081"/>
      <c r="S7" s="1081"/>
      <c r="T7" s="1081"/>
      <c r="U7" s="1081"/>
      <c r="V7" s="1081"/>
      <c r="W7" s="1081"/>
      <c r="X7" s="1081"/>
      <c r="Y7" s="1081"/>
      <c r="Z7" s="1081"/>
      <c r="AA7" s="1081"/>
      <c r="AB7" s="1081"/>
      <c r="AC7" s="1081"/>
      <c r="AD7" s="1084"/>
      <c r="AE7" s="1081"/>
      <c r="AF7" s="1081"/>
      <c r="AG7" s="1081"/>
      <c r="AH7" s="1081"/>
      <c r="AI7" s="1081"/>
      <c r="AJ7" s="1081"/>
      <c r="AK7" s="1081"/>
      <c r="AL7" s="1081"/>
      <c r="AM7" s="1081"/>
      <c r="AN7" s="1081"/>
      <c r="AO7" s="1081"/>
      <c r="AP7" s="1081"/>
      <c r="AQ7" s="1081"/>
      <c r="AR7" s="1081"/>
      <c r="AS7" s="1081"/>
      <c r="AT7" s="1081"/>
      <c r="AU7" s="1081"/>
      <c r="AV7" s="1081"/>
      <c r="AW7" s="1081"/>
      <c r="AX7" s="1081"/>
      <c r="AY7" s="1081"/>
      <c r="AZ7" s="1081"/>
      <c r="BA7" s="1081"/>
      <c r="BB7" s="1081"/>
      <c r="BC7" s="1081"/>
      <c r="BD7" s="1084"/>
      <c r="BE7" s="1081"/>
      <c r="BF7" s="1081"/>
      <c r="BG7" s="1081"/>
      <c r="BH7" s="1081"/>
      <c r="BI7" s="1081"/>
      <c r="BJ7" s="1081"/>
      <c r="BK7" s="1081"/>
      <c r="BL7" s="1081"/>
      <c r="BM7" s="1081"/>
      <c r="BN7" s="1081"/>
      <c r="BO7" s="1081"/>
      <c r="BP7" s="1081"/>
      <c r="BQ7" s="1081"/>
      <c r="BR7" s="1081"/>
      <c r="BS7" s="1081"/>
      <c r="BT7" s="1081"/>
      <c r="BU7" s="1081"/>
      <c r="BV7" s="1081"/>
      <c r="BW7" s="1081"/>
      <c r="BX7" s="1081"/>
      <c r="BY7" s="1081"/>
      <c r="BZ7" s="1081"/>
    </row>
    <row r="8" outlineLevel="1">
      <c r="A8" s="1081"/>
      <c r="B8" s="1081"/>
      <c r="C8" s="1084" t="s">
        <v>39</v>
      </c>
      <c r="D8" s="1081"/>
      <c r="E8" s="1081"/>
      <c r="F8" s="1081"/>
      <c r="G8" s="1081"/>
      <c r="H8" s="1100"/>
      <c r="I8" s="1084"/>
      <c r="J8" s="1081"/>
      <c r="K8" s="1081"/>
      <c r="L8" s="1081"/>
      <c r="M8" s="1081"/>
      <c r="N8" s="1081"/>
      <c r="O8" s="1081"/>
      <c r="P8" s="1081"/>
      <c r="Q8" s="1081"/>
      <c r="R8" s="1081"/>
      <c r="S8" s="1081"/>
      <c r="T8" s="1081"/>
      <c r="U8" s="1081"/>
      <c r="V8" s="1081"/>
      <c r="W8" s="1081"/>
      <c r="X8" s="1081"/>
      <c r="Y8" s="1081"/>
      <c r="Z8" s="1081"/>
      <c r="AA8" s="1081"/>
      <c r="AB8" s="1081"/>
      <c r="AC8" s="1081"/>
      <c r="AD8" s="1084"/>
      <c r="AE8" s="1081"/>
      <c r="AF8" s="1081"/>
      <c r="AG8" s="1081"/>
      <c r="AH8" s="1081"/>
      <c r="AI8" s="1081"/>
      <c r="AJ8" s="1081"/>
      <c r="AK8" s="1081"/>
      <c r="AL8" s="1081"/>
      <c r="AM8" s="1081"/>
      <c r="AN8" s="1081"/>
      <c r="AO8" s="1081"/>
      <c r="AP8" s="1081"/>
      <c r="AQ8" s="1081"/>
      <c r="AR8" s="1081"/>
      <c r="AS8" s="1081"/>
      <c r="AT8" s="1081"/>
      <c r="AU8" s="1081"/>
      <c r="AV8" s="1081"/>
      <c r="AW8" s="1081"/>
      <c r="AX8" s="1081"/>
      <c r="AY8" s="1081"/>
      <c r="AZ8" s="1081"/>
      <c r="BA8" s="1081"/>
      <c r="BB8" s="1081"/>
      <c r="BC8" s="1081"/>
      <c r="BD8" s="1084"/>
      <c r="BE8" s="1081"/>
      <c r="BF8" s="1081"/>
      <c r="BG8" s="1081"/>
      <c r="BH8" s="1081"/>
      <c r="BI8" s="1081"/>
      <c r="BJ8" s="1081"/>
      <c r="BK8" s="1081"/>
      <c r="BL8" s="1081"/>
      <c r="BM8" s="1081"/>
      <c r="BN8" s="1081"/>
      <c r="BO8" s="1081"/>
      <c r="BP8" s="1081"/>
      <c r="BQ8" s="1081"/>
      <c r="BR8" s="1081"/>
      <c r="BS8" s="1081"/>
      <c r="BT8" s="1081"/>
      <c r="BU8" s="1081"/>
      <c r="BV8" s="1081"/>
      <c r="BW8" s="1081"/>
      <c r="BX8" s="1081"/>
      <c r="BY8" s="1081"/>
      <c r="BZ8" s="1081"/>
    </row>
    <row r="9" outlineLevel="1">
      <c r="A9" s="1081"/>
      <c r="B9" s="1081"/>
      <c r="C9" s="1082" t="s">
        <v>44</v>
      </c>
      <c r="D9" s="1081"/>
      <c r="E9" s="1081"/>
      <c r="F9" s="1081"/>
      <c r="G9" s="1081"/>
      <c r="H9" s="1100"/>
      <c r="I9" s="1084"/>
      <c r="J9" s="1081"/>
      <c r="K9" s="1081"/>
      <c r="L9" s="1081"/>
      <c r="M9" s="1081"/>
      <c r="N9" s="1081"/>
      <c r="O9" s="1081"/>
      <c r="P9" s="1081"/>
      <c r="Q9" s="1081"/>
      <c r="R9" s="1081"/>
      <c r="S9" s="1081"/>
      <c r="T9" s="1081"/>
      <c r="U9" s="1081"/>
      <c r="V9" s="1081"/>
      <c r="W9" s="1081"/>
      <c r="X9" s="1081"/>
      <c r="Y9" s="1081"/>
      <c r="Z9" s="1081"/>
      <c r="AA9" s="1081"/>
      <c r="AB9" s="1081"/>
      <c r="AC9" s="1081"/>
      <c r="AD9" s="1084"/>
      <c r="AE9" s="1081"/>
      <c r="AF9" s="1081"/>
      <c r="AG9" s="1081"/>
      <c r="AH9" s="1081"/>
      <c r="AI9" s="1081"/>
      <c r="AJ9" s="1081"/>
      <c r="AK9" s="1081"/>
      <c r="AL9" s="1081"/>
      <c r="AM9" s="1081"/>
      <c r="AN9" s="1081"/>
      <c r="AO9" s="1081"/>
      <c r="AP9" s="1081"/>
      <c r="AQ9" s="1081"/>
      <c r="AR9" s="1081"/>
      <c r="AS9" s="1081"/>
      <c r="AT9" s="1081"/>
      <c r="AU9" s="1081"/>
      <c r="AV9" s="1081"/>
      <c r="AW9" s="1081"/>
      <c r="AX9" s="1081"/>
      <c r="AY9" s="1081"/>
      <c r="AZ9" s="1081"/>
      <c r="BA9" s="1081"/>
      <c r="BB9" s="1081"/>
      <c r="BC9" s="1081"/>
      <c r="BD9" s="1084"/>
      <c r="BE9" s="1081"/>
      <c r="BF9" s="1081"/>
      <c r="BG9" s="1081"/>
      <c r="BH9" s="1081"/>
      <c r="BI9" s="1081"/>
      <c r="BJ9" s="1081"/>
      <c r="BK9" s="1081"/>
      <c r="BL9" s="1081"/>
      <c r="BM9" s="1081"/>
      <c r="BN9" s="1081"/>
      <c r="BO9" s="1081"/>
      <c r="BP9" s="1081"/>
      <c r="BQ9" s="1081"/>
      <c r="BR9" s="1081"/>
      <c r="BS9" s="1081"/>
      <c r="BT9" s="1081"/>
      <c r="BU9" s="1081"/>
      <c r="BV9" s="1081"/>
      <c r="BW9" s="1081"/>
      <c r="BX9" s="1081"/>
      <c r="BY9" s="1081"/>
      <c r="BZ9" s="1081"/>
    </row>
    <row r="10">
      <c r="A10" s="1104"/>
      <c r="B10" s="1104"/>
      <c r="C10" s="1105" t="str">
        <f t="array" ref="C10:C99">LAMBDA(doJoin,theData,doJoin(theData)
)(
 LAMBDA(theData,BYROW(theData,lambda(tr,TEXTJOIN(" ",TRUE,tr)))),
 {'S-10 Предложения'!E10:E99,'S-10 Предложения'!F10:F99,'S-10 Предложения'!H10:H99}
)</f>
        <v/>
      </c>
      <c r="D10" s="1106" t="str">
        <f>IFERROR(__xludf.DUMMYFUNCTION("LAMBDA(doMakeHeder,theDate,
  {doMakeHeder(theDate);theDate}
)
(
  LAMBDA(theDate,ByCol( INDEX(theDate,1,0),LAMBDA(theCell,""""))), 
  BYROW( QUERY( 
   { 
    BYROW( {AA10:AG99},LAMBDA(theR,{""1-1 Сбор КП"",theR}) ); 
    BYROW( {BA10:BG99},LAMBDA(theR,{"&amp;"""5-1 Сбор КП Закупки"",theR}) ) 
   },
   ""Select  *  Where Col2 is not null"",0
  ),LAMBDA(theR,{INDEX(theR,,1) &amp;""^""&amp; INDEX(theR,,2) &amp;""^""&amp; INDEX(theR,,4), theR }))
)"),"")</f>
        <v/>
      </c>
      <c r="E10" s="1106" t="str">
        <f>IFERROR(__xludf.DUMMYFUNCTION("""COMPUTED_VALUE"""),"")</f>
        <v/>
      </c>
      <c r="F10" s="1106" t="str">
        <f>IFERROR(__xludf.DUMMYFUNCTION("""COMPUTED_VALUE"""),"")</f>
        <v/>
      </c>
      <c r="G10" s="1106" t="str">
        <f>IFERROR(__xludf.DUMMYFUNCTION("""COMPUTED_VALUE"""),"")</f>
        <v/>
      </c>
      <c r="H10" s="1107" t="str">
        <f>IFERROR(__xludf.DUMMYFUNCTION("""COMPUTED_VALUE"""),"")</f>
        <v/>
      </c>
      <c r="I10" s="1108" t="str">
        <f>IFERROR(__xludf.DUMMYFUNCTION("""COMPUTED_VALUE"""),"")</f>
        <v/>
      </c>
      <c r="J10" s="1106" t="str">
        <f>IFERROR(__xludf.DUMMYFUNCTION("""COMPUTED_VALUE"""),"")</f>
        <v/>
      </c>
      <c r="K10" s="1106" t="str">
        <f>IFERROR(__xludf.DUMMYFUNCTION("""COMPUTED_VALUE"""),"")</f>
        <v/>
      </c>
      <c r="L10" s="1106" t="str">
        <f>IFERROR(__xludf.DUMMYFUNCTION("""COMPUTED_VALUE"""),"")</f>
        <v/>
      </c>
      <c r="M10" s="1104"/>
      <c r="N10" s="1104"/>
      <c r="O10" s="1104"/>
      <c r="P10" s="1104"/>
      <c r="Q10" s="1104"/>
      <c r="R10" s="1104"/>
      <c r="S10" s="1104"/>
      <c r="T10" s="1104"/>
      <c r="U10" s="1104"/>
      <c r="V10" s="1104"/>
      <c r="W10" s="1104"/>
      <c r="X10" s="1104"/>
      <c r="Y10" s="1104"/>
      <c r="Z10" s="1104"/>
      <c r="AA10" s="1106" t="str">
        <f>IFERROR(__xludf.DUMMYFUNCTION("IFERROR( LAMBDA(doCountRow,doCountCol,theCRow,theCCol,doMakeArr,doPullAgent,doPullProd,doPullOfer,doMakeRez,theOfers,theAgents,a,{ 
LAMBDA(f,v,v)( doMakeArr(doCountRow(theOfers,theCRow),doCountCol(theOfers,theCCol)),
doMakeRez(doPullAgent,doPullProd,doPul"&amp;"lOfer, theCRow,theCCol,theOfers,theAgents,doMakeArr(doCountRow(theOfers,theCRow),doCountCol(theOfers,theCCol)))
)
})(
LAMBDA(theData,theC, INT( ROWS(theData)-theC )),
LAMBDA(theData,theC, INT( (COLUMNS(theData)-theC)/3 )),
1,3,
LAMBDA(thenumRow,theNumCol"&amp;",MAKEARRAY(thenumRow*thenumCol,4,LAMBDA(r,c, Ifs(c=1,INT( (r-1)/thenumCol), TRUE,(  (MOD( (r-1),thenumCol)*3+c-2) ))))),
LAMBDA(theAgents,theR, {INDEX(theAgents,2,INDEX(theR,1,2)+1),INDEX(theAgents,3,INDEX(theR,1,2)+1)}),
LAMBDA(theOfers,theR,theCRow,the"&amp;"CCol,{INDEX(theOfers,INDEX(theR,1,1)+theCRow,2)}),
LAMBDA(theOfers,theR,theCRow,theCCol,{INDEX(theOfers,INDEX(theR,1,1)+theCRow,INDEX(theR,1,2)++theCCol),INDEX(theOfers,INDEX(theR,1,1)+theCRow,INDEX(theR,1,3)++theCCol),INDEX(theOfers,INDEX(theR,1,1)+theCR"&amp;"ow,INDEX(theR,1,4)+theCCol)}),
LAMBDA(doPullAgent,doPullProd,doPullOfer, theCRow,theCCol,theOfers,theAgents,theArr,  
QUERY(
 BYROW(theArr,LAMBDA(theR,{doPullAgent(theAgents,theR),doPullProd(theOfers,theR,theCRow,theCCol),doPullOfer(theOfers,theR,theCRo"&amp;"w,theCCol) }))
,""select * Where Col1 is not null and  Col3 is not null and  Col4 is not null"",0)
   ),
LAMBDA( doFindRow, doFilter, theWordStart, theCStart, theWordEnd, theCEnd, theDataWord,theNumCol,doData, theData, 
 ARRAY_CONSTRAIN(  doFilter(doFind"&amp;"Row(theDataWord,theWordStart,theCStart),doFindRow(theDataWord,theWordEnd,theCEnd),doData(theData)),300,theNumCol )
)( 
 LAMBDA(theWords,theWord,theC ,   VLOOKUP( theWord, BYROW(theWords,LAMBDA(theW,{theW , ROW(theW)})),2,FALSE ) +theC),
 LAMBDA(bodyStart,"&amp;"bodyEnd,theData, FILTER(theData,bodyStart &lt;= BYROW(theData,lambda(d,INDEX(d,0,1))) ,BYROW(theData,lambda(d,INDEX(d,0,1)))&lt;=bodyEnd )),
 ""№"",0,""@"",-1,'1-1 Сбор КП'!C1:C24,MATCH(""Цены Конец"",'1-1 Сбор КП'!$A$1:BZ$1,0)-MATCH(""Цены Начало"",'1-1 Сбор К"&amp;"П'!$A$1:BZ$1,0)+2,
 LAMBDA(theData,BYROW(theData,LAMBDA(theR,{ROW(theR),theR})))
 ,'1-1 Сбор КП'!Z1:BZ24
),
LAMBDA( doFindCol, doFilter, theWordStart, theCStart, theWordEnd, theCEnd, theDataWord,doData, theData, doFilter(doFindCol(theDataWord,theWordStar"&amp;"t,theCStart),doFindCol(theDataWord,theWordEnd,theCEnd),doData(theData)) )
( 
LAMBDA(theWords,theWord,theC , HLOOKUP( theWord, BYCol(theWords,LAMBDA(theW,{theW ; COLUMN(theW)})),2,FALSE ) +theC), 
LAMBDA(bodyStart,bodyEnd,theData, FILTER(theData,bodyStart "&amp;"&lt;= BYCol(theData,lambda(d,INDEX(d,1,0))) ,BYCol(theData,lambda(d,INDEX(d,1,0)))&lt;=bodyEnd ))
, ""Цены Начало"",1,""Цены Конец"",-1,'1-1 Сбор КП'!Z1:BZ1 ,
LAMBDA(theData,BYCol(theData,LAMBDA(theC,{COLUMN(theC);REGEXEXTRACT( CELL(""address"",theC),""[A-Z]+"""&amp;");theC}))) ,
'1-1 Сбор КП'!Z1:BZ1 
),
""a""
),)"),"BE")</f>
        <v>BE</v>
      </c>
      <c r="AB10" s="1106" t="str">
        <f>IFERROR(__xludf.DUMMYFUNCTION("""COMPUTED_VALUE"""),"order@techfil.ru")</f>
        <v>order@techfil.ru</v>
      </c>
      <c r="AC10" s="1106" t="str">
        <f>IFERROR(__xludf.DUMMYFUNCTION("""COMPUTED_VALUE"""),"ID_T001")</f>
        <v>ID_T001</v>
      </c>
      <c r="AD10" s="1108">
        <f>IFERROR(__xludf.DUMMYFUNCTION("""COMPUTED_VALUE"""),6900.0)</f>
        <v>6900</v>
      </c>
      <c r="AE10" s="1106" t="str">
        <f>IFERROR(__xludf.DUMMYFUNCTION("""COMPUTED_VALUE"""),"5 рд")</f>
        <v>5 рд</v>
      </c>
      <c r="AF10" s="1106" t="str">
        <f>IFERROR(__xludf.DUMMYFUNCTION("""COMPUTED_VALUE"""),"Масляный фильтр 89781969 [ Аналог SH/O8186 ] ")</f>
        <v>Масляный фильтр 89781969 [ Аналог SH/O8186 ] </v>
      </c>
      <c r="AG10" s="1104"/>
      <c r="AH10" s="1104"/>
      <c r="AI10" s="1104"/>
      <c r="AJ10" s="1104"/>
      <c r="AK10" s="1104"/>
      <c r="AL10" s="1104"/>
      <c r="AM10" s="1104"/>
      <c r="AN10" s="1104"/>
      <c r="AO10" s="1104"/>
      <c r="AP10" s="1104"/>
      <c r="AQ10" s="1104"/>
      <c r="AR10" s="1104"/>
      <c r="AS10" s="1104"/>
      <c r="AT10" s="1104"/>
      <c r="AU10" s="1104"/>
      <c r="AV10" s="1104"/>
      <c r="AW10" s="1104"/>
      <c r="AX10" s="1104"/>
      <c r="AY10" s="1104"/>
      <c r="AZ10" s="1104"/>
      <c r="BA10" s="1106" t="str">
        <f>IFERROR(__xludf.DUMMYFUNCTION("IFERROR( LAMBDA(doCountRow,doCountCol,theCRow,theCCol,doMakeArr,doPullAgent,doPullProd,doPullOfer,doMakeRez,theOfers,theAgents,a,{ 
LAMBDA(f,v,v)( doMakeArr(doCountRow(theOfers,theCRow),doCountCol(theOfers,theCCol)),
doMakeRez(doPullAgent,doPullProd,doPul"&amp;"lOfer, theCRow,theCCol,theOfers,theAgents,doMakeArr(doCountRow(theOfers,theCRow),doCountCol(theOfers,theCCol)))
)
})(
LAMBDA(theData,theC, INT( ROWS(theData)-theC )),
LAMBDA(theData,theC, INT( (COLUMNS(theData)-theC)/3 )),
1,3,
LAMBDA(thenumRow,theNumCol"&amp;",MAKEARRAY(thenumRow*thenumCol,4,LAMBDA(r,c, Ifs(c=1,INT( (r-1)/thenumCol), TRUE,(  (MOD( (r-1),thenumCol)*3+c-2) ))))),
LAMBDA(theAgents,theR, {INDEX(theAgents,2,INDEX(theR,1,2)+1),INDEX(theAgents,3,INDEX(theR,1,2)+1)}),
LAMBDA(theOfers,theR,theCRow,the"&amp;"CCol,{INDEX(theOfers,INDEX(theR,1,1)+theCRow,2)}),
LAMBDA(theOfers,theR,theCRow,theCCol,{INDEX(theOfers,INDEX(theR,1,1)+theCRow,INDEX(theR,1,2)++theCCol),INDEX(theOfers,INDEX(theR,1,1)+theCRow,INDEX(theR,1,3)++theCCol),INDEX(theOfers,INDEX(theR,1,1)+theCR"&amp;"ow,INDEX(theR,1,4)+theCCol)}),
LAMBDA(doPullAgent,doPullProd,doPullOfer, theCRow,theCCol,theOfers,theAgents,theArr,  
QUERY(
 BYROW(theArr,LAMBDA(theR,{doPullAgent(theAgents,theR),doPullProd(theOfers,theR,theCRow,theCCol),doPullOfer(theOfers,theR,theCRo"&amp;"w,theCCol) }))
,""select * Where Col1 is not null and  Col3 is not null and  Col4 is not null"",0)
   ),
LAMBDA( doFindRow, doFilter, theWordStart, theCStart, theWordEnd, theCEnd, theDataWord,doData, theData, 
  doFilter(doFindRow(theDataWord,theWordStar"&amp;"t,theCStart),doFindRow(theDataWord,theWordEnd,theCEnd),doData(theData))
)( 
 LAMBDA(theWords,theWord,theC ,   VLOOKUP( theWord, BYROW(theWords,LAMBDA(theW,{theW , ROW(theW)})),2,FALSE ) +theC),
 LAMBDA(bodyStart,bodyEnd,theData, FILTER(theData,bodyStart &lt;"&amp;"= BYROW(theData,lambda(d,INDEX(d,0,1))) ,BYROW(theData,lambda(d,INDEX(d,0,1)))&lt;=bodyEnd )),
 ""header_last"",2,""footer_first"",-1,'5-1 Сбор КП Закупки'!C1:C99
 ,LAMBDA(theData,BYROW(theData,LAMBDA(theR,{ROW(theR),theR})))
,'5-1 Сбор КП Закупки'!Z1:BZ319
"&amp;"),
LAMBDA( doFindCol, doFilter, theWordStart, theCStart, theWordEnd, theCEnd, theDataWord,doData, theData, 
doFilter(doFindCol(theDataWord,theWordStart,theCStart),doFindCol(theDataWord,theWordEnd,theCEnd),doData(theData)) )
( 
LAMBDA(theWords,theWord,the"&amp;"C , HLOOKUP( theWord, BYCol(theWords,LAMBDA(theW,{theW ; COLUMN(theW)})),2,FALSE ) +theC), 
LAMBDA(bodyStart,bodyEnd,theData, FILTER(theData,bodyStart &lt;= BYCol(theData,lambda(d,INDEX(d,1,0))) )),
""Цены Начало"",1,""Цены Конец"",-1,'5-1 Сбор КП Закупки'!Z"&amp;"10:BZ10 ,
LAMBDA(theData,BYCol(theData,LAMBDA(theC,{COLUMN(theC);REGEXEXTRACT( CELL(""address"",theC),""[A-Z]+"");theC}))) 
,'5-1 Сбор КП Закупки'!Z10:BZ10 
),
""ax""
),)"),"")</f>
        <v/>
      </c>
      <c r="BB10" s="1104"/>
      <c r="BC10" s="1104"/>
      <c r="BD10" s="1108"/>
      <c r="BE10" s="1104"/>
      <c r="BF10" s="1104"/>
      <c r="BG10" s="1104"/>
      <c r="BH10" s="1104"/>
      <c r="BI10" s="1104"/>
      <c r="BJ10" s="1104"/>
      <c r="BK10" s="1104"/>
      <c r="BL10" s="1104"/>
      <c r="BM10" s="1104"/>
      <c r="BN10" s="1104"/>
      <c r="BO10" s="1104"/>
      <c r="BP10" s="1104"/>
      <c r="BQ10" s="1104"/>
      <c r="BR10" s="1104"/>
      <c r="BS10" s="1104"/>
      <c r="BT10" s="1104"/>
      <c r="BU10" s="1104"/>
      <c r="BV10" s="1104"/>
      <c r="BW10" s="1104"/>
      <c r="BX10" s="1104"/>
      <c r="BY10" s="1104"/>
      <c r="BZ10" s="1104"/>
    </row>
    <row r="11">
      <c r="A11" s="1095"/>
      <c r="B11" s="1095"/>
      <c r="C11" s="1095" t="s">
        <v>800</v>
      </c>
      <c r="D11" s="1109" t="str">
        <f>IFERROR(__xludf.DUMMYFUNCTION("""COMPUTED_VALUE"""),"1-1 Сбор КП^BE^ID_T001")</f>
        <v>1-1 Сбор КП^BE^ID_T001</v>
      </c>
      <c r="E11" s="1109" t="str">
        <f>IFERROR(__xludf.DUMMYFUNCTION("""COMPUTED_VALUE"""),"1-1 Сбор КП")</f>
        <v>1-1 Сбор КП</v>
      </c>
      <c r="F11" s="1109" t="str">
        <f>IFERROR(__xludf.DUMMYFUNCTION("""COMPUTED_VALUE"""),"BE")</f>
        <v>BE</v>
      </c>
      <c r="G11" s="1109" t="str">
        <f>IFERROR(__xludf.DUMMYFUNCTION("""COMPUTED_VALUE"""),"order@techfil.ru")</f>
        <v>order@techfil.ru</v>
      </c>
      <c r="H11" s="1110" t="str">
        <f>IFERROR(__xludf.DUMMYFUNCTION("""COMPUTED_VALUE"""),"ID_T001")</f>
        <v>ID_T001</v>
      </c>
      <c r="I11" s="1111">
        <f>IFERROR(__xludf.DUMMYFUNCTION("""COMPUTED_VALUE"""),6900.0)</f>
        <v>6900</v>
      </c>
      <c r="J11" s="1109" t="str">
        <f>IFERROR(__xludf.DUMMYFUNCTION("""COMPUTED_VALUE"""),"5 рд")</f>
        <v>5 рд</v>
      </c>
      <c r="K11" s="1109" t="str">
        <f>IFERROR(__xludf.DUMMYFUNCTION("""COMPUTED_VALUE"""),"Масляный фильтр 89781969 [ Аналог SH/O8186 ] ")</f>
        <v>Масляный фильтр 89781969 [ Аналог SH/O8186 ] </v>
      </c>
      <c r="L11" s="1109"/>
      <c r="M11" s="1095"/>
      <c r="N11" s="1095"/>
      <c r="O11" s="1095"/>
      <c r="P11" s="1095"/>
      <c r="Q11" s="1095"/>
      <c r="R11" s="1095"/>
      <c r="S11" s="1095"/>
      <c r="T11" s="1095"/>
      <c r="U11" s="1095"/>
      <c r="V11" s="1095"/>
      <c r="W11" s="1095"/>
      <c r="X11" s="1095"/>
      <c r="Y11" s="1095"/>
      <c r="Z11" s="1095"/>
      <c r="AA11" s="1109" t="str">
        <f>IFERROR(__xludf.DUMMYFUNCTION("""COMPUTED_VALUE"""),"BH")</f>
        <v>BH</v>
      </c>
      <c r="AB11" s="1109" t="str">
        <f>IFERROR(__xludf.DUMMYFUNCTION("""COMPUTED_VALUE"""),"ca@air-part.ru (1)")</f>
        <v>ca@air-part.ru (1)</v>
      </c>
      <c r="AC11" s="1109" t="str">
        <f>IFERROR(__xludf.DUMMYFUNCTION("""COMPUTED_VALUE"""),"ID_T001")</f>
        <v>ID_T001</v>
      </c>
      <c r="AD11" s="1111">
        <f>IFERROR(__xludf.DUMMYFUNCTION("""COMPUTED_VALUE"""),19500.0)</f>
        <v>19500</v>
      </c>
      <c r="AE11" s="1109" t="str">
        <f>IFERROR(__xludf.DUMMYFUNCTION("""COMPUTED_VALUE"""),"18 нед")</f>
        <v>18 нед</v>
      </c>
      <c r="AF11" s="1109" t="str">
        <f>IFERROR(__xludf.DUMMYFUNCTION("""COMPUTED_VALUE"""),"Масляный фильтр - Артикул 89781969 (оригинал) ")</f>
        <v>Масляный фильтр - Артикул 89781969 (оригинал) </v>
      </c>
      <c r="AG11" s="1095"/>
      <c r="AH11" s="1095"/>
      <c r="AI11" s="1095"/>
      <c r="AJ11" s="1095"/>
      <c r="AK11" s="1095"/>
      <c r="AL11" s="1095"/>
      <c r="AM11" s="1095"/>
      <c r="AN11" s="1095"/>
      <c r="AO11" s="1095"/>
      <c r="AP11" s="1095"/>
      <c r="AQ11" s="1095"/>
      <c r="AR11" s="1095"/>
      <c r="AS11" s="1095"/>
      <c r="AT11" s="1095"/>
      <c r="AU11" s="1095"/>
      <c r="AV11" s="1095"/>
      <c r="AW11" s="1095"/>
      <c r="AX11" s="1095"/>
      <c r="AY11" s="1095"/>
      <c r="AZ11" s="1095"/>
      <c r="BA11" s="1095"/>
      <c r="BB11" s="1095"/>
      <c r="BC11" s="1095"/>
      <c r="BD11" s="1111"/>
      <c r="BE11" s="1095"/>
      <c r="BF11" s="1095"/>
      <c r="BG11" s="1095"/>
      <c r="BH11" s="1095"/>
      <c r="BI11" s="1095"/>
      <c r="BJ11" s="1095"/>
      <c r="BK11" s="1095"/>
      <c r="BL11" s="1095"/>
      <c r="BM11" s="1095"/>
      <c r="BN11" s="1095"/>
      <c r="BO11" s="1095"/>
      <c r="BP11" s="1095"/>
      <c r="BQ11" s="1095"/>
      <c r="BR11" s="1095"/>
      <c r="BS11" s="1095"/>
      <c r="BT11" s="1095"/>
      <c r="BU11" s="1095"/>
      <c r="BV11" s="1095"/>
      <c r="BW11" s="1095"/>
      <c r="BX11" s="1095"/>
      <c r="BY11" s="1095"/>
      <c r="BZ11" s="1095"/>
    </row>
    <row r="12">
      <c r="A12" s="1097"/>
      <c r="B12" s="1097"/>
      <c r="C12" s="1097" t="s">
        <v>801</v>
      </c>
      <c r="D12" s="1112" t="str">
        <f>IFERROR(__xludf.DUMMYFUNCTION("""COMPUTED_VALUE"""),"1-1 Сбор КП^BH^ID_T001")</f>
        <v>1-1 Сбор КП^BH^ID_T001</v>
      </c>
      <c r="E12" s="1112" t="str">
        <f>IFERROR(__xludf.DUMMYFUNCTION("""COMPUTED_VALUE"""),"1-1 Сбор КП")</f>
        <v>1-1 Сбор КП</v>
      </c>
      <c r="F12" s="1112" t="str">
        <f>IFERROR(__xludf.DUMMYFUNCTION("""COMPUTED_VALUE"""),"BH")</f>
        <v>BH</v>
      </c>
      <c r="G12" s="1112" t="str">
        <f>IFERROR(__xludf.DUMMYFUNCTION("""COMPUTED_VALUE"""),"ca@air-part.ru (1)")</f>
        <v>ca@air-part.ru (1)</v>
      </c>
      <c r="H12" s="1113" t="str">
        <f>IFERROR(__xludf.DUMMYFUNCTION("""COMPUTED_VALUE"""),"ID_T001")</f>
        <v>ID_T001</v>
      </c>
      <c r="I12" s="1114">
        <f>IFERROR(__xludf.DUMMYFUNCTION("""COMPUTED_VALUE"""),19500.0)</f>
        <v>19500</v>
      </c>
      <c r="J12" s="1112" t="str">
        <f>IFERROR(__xludf.DUMMYFUNCTION("""COMPUTED_VALUE"""),"18 нед")</f>
        <v>18 нед</v>
      </c>
      <c r="K12" s="1112" t="str">
        <f>IFERROR(__xludf.DUMMYFUNCTION("""COMPUTED_VALUE"""),"Масляный фильтр - Артикул 89781969 (оригинал) ")</f>
        <v>Масляный фильтр - Артикул 89781969 (оригинал) </v>
      </c>
      <c r="L12" s="1112"/>
      <c r="M12" s="1097"/>
      <c r="N12" s="1097"/>
      <c r="O12" s="1097"/>
      <c r="P12" s="1097"/>
      <c r="Q12" s="1097"/>
      <c r="R12" s="1097"/>
      <c r="S12" s="1097"/>
      <c r="T12" s="1097"/>
      <c r="U12" s="1097"/>
      <c r="V12" s="1097"/>
      <c r="W12" s="1097"/>
      <c r="X12" s="1097"/>
      <c r="Y12" s="1097"/>
      <c r="Z12" s="1097"/>
      <c r="AA12" s="1112" t="str">
        <f>IFERROR(__xludf.DUMMYFUNCTION("""COMPUTED_VALUE"""),"BK")</f>
        <v>BK</v>
      </c>
      <c r="AB12" s="1112" t="str">
        <f>IFERROR(__xludf.DUMMYFUNCTION("""COMPUTED_VALUE"""),"ca@air-part.ru (2)")</f>
        <v>ca@air-part.ru (2)</v>
      </c>
      <c r="AC12" s="1112" t="str">
        <f>IFERROR(__xludf.DUMMYFUNCTION("""COMPUTED_VALUE"""),"ID_T001")</f>
        <v>ID_T001</v>
      </c>
      <c r="AD12" s="1114">
        <f>IFERROR(__xludf.DUMMYFUNCTION("""COMPUTED_VALUE"""),8600.0)</f>
        <v>8600</v>
      </c>
      <c r="AE12" s="1112" t="str">
        <f>IFERROR(__xludf.DUMMYFUNCTION("""COMPUTED_VALUE"""),"нал")</f>
        <v>нал</v>
      </c>
      <c r="AF12" s="1112" t="str">
        <f>IFERROR(__xludf.DUMMYFUNCTION("""COMPUTED_VALUE"""),"Масляный фильтр - Артикул 89781969 (аналог)")</f>
        <v>Масляный фильтр - Артикул 89781969 (аналог)</v>
      </c>
      <c r="AG12" s="1097"/>
      <c r="AH12" s="1097"/>
      <c r="AI12" s="1097"/>
      <c r="AJ12" s="1097"/>
      <c r="AK12" s="1097"/>
      <c r="AL12" s="1097"/>
      <c r="AM12" s="1097"/>
      <c r="AN12" s="1097"/>
      <c r="AO12" s="1097"/>
      <c r="AP12" s="1097"/>
      <c r="AQ12" s="1097"/>
      <c r="AR12" s="1097"/>
      <c r="AS12" s="1097"/>
      <c r="AT12" s="1097"/>
      <c r="AU12" s="1097"/>
      <c r="AV12" s="1097"/>
      <c r="AW12" s="1097"/>
      <c r="AX12" s="1097"/>
      <c r="AY12" s="1097"/>
      <c r="AZ12" s="1097"/>
      <c r="BA12" s="1097"/>
      <c r="BB12" s="1097"/>
      <c r="BC12" s="1097"/>
      <c r="BD12" s="1114"/>
      <c r="BE12" s="1097"/>
      <c r="BF12" s="1097"/>
      <c r="BG12" s="1097"/>
      <c r="BH12" s="1097"/>
      <c r="BI12" s="1097"/>
      <c r="BJ12" s="1097"/>
      <c r="BK12" s="1097"/>
      <c r="BL12" s="1097"/>
      <c r="BM12" s="1097"/>
      <c r="BN12" s="1097"/>
      <c r="BO12" s="1097"/>
      <c r="BP12" s="1097"/>
      <c r="BQ12" s="1097"/>
      <c r="BR12" s="1097"/>
      <c r="BS12" s="1097"/>
      <c r="BT12" s="1097"/>
      <c r="BU12" s="1097"/>
      <c r="BV12" s="1097"/>
      <c r="BW12" s="1097"/>
      <c r="BX12" s="1097"/>
      <c r="BY12" s="1097"/>
      <c r="BZ12" s="1097"/>
    </row>
    <row r="13">
      <c r="A13" s="1097"/>
      <c r="B13" s="1097"/>
      <c r="C13" s="1097" t="s">
        <v>802</v>
      </c>
      <c r="D13" s="1112" t="str">
        <f>IFERROR(__xludf.DUMMYFUNCTION("""COMPUTED_VALUE"""),"1-1 Сбор КП^BK^ID_T001")</f>
        <v>1-1 Сбор КП^BK^ID_T001</v>
      </c>
      <c r="E13" s="1112" t="str">
        <f>IFERROR(__xludf.DUMMYFUNCTION("""COMPUTED_VALUE"""),"1-1 Сбор КП")</f>
        <v>1-1 Сбор КП</v>
      </c>
      <c r="F13" s="1112" t="str">
        <f>IFERROR(__xludf.DUMMYFUNCTION("""COMPUTED_VALUE"""),"BK")</f>
        <v>BK</v>
      </c>
      <c r="G13" s="1112" t="str">
        <f>IFERROR(__xludf.DUMMYFUNCTION("""COMPUTED_VALUE"""),"ca@air-part.ru (2)")</f>
        <v>ca@air-part.ru (2)</v>
      </c>
      <c r="H13" s="1113" t="str">
        <f>IFERROR(__xludf.DUMMYFUNCTION("""COMPUTED_VALUE"""),"ID_T001")</f>
        <v>ID_T001</v>
      </c>
      <c r="I13" s="1114">
        <f>IFERROR(__xludf.DUMMYFUNCTION("""COMPUTED_VALUE"""),8600.0)</f>
        <v>8600</v>
      </c>
      <c r="J13" s="1112" t="str">
        <f>IFERROR(__xludf.DUMMYFUNCTION("""COMPUTED_VALUE"""),"нал")</f>
        <v>нал</v>
      </c>
      <c r="K13" s="1112" t="str">
        <f>IFERROR(__xludf.DUMMYFUNCTION("""COMPUTED_VALUE"""),"Масляный фильтр - Артикул 89781969 (аналог)")</f>
        <v>Масляный фильтр - Артикул 89781969 (аналог)</v>
      </c>
      <c r="L13" s="1112"/>
      <c r="M13" s="1097"/>
      <c r="N13" s="1097"/>
      <c r="O13" s="1097"/>
      <c r="P13" s="1097"/>
      <c r="Q13" s="1097"/>
      <c r="R13" s="1097"/>
      <c r="S13" s="1097"/>
      <c r="T13" s="1097"/>
      <c r="U13" s="1097"/>
      <c r="V13" s="1097"/>
      <c r="W13" s="1097"/>
      <c r="X13" s="1097"/>
      <c r="Y13" s="1097"/>
      <c r="Z13" s="1097"/>
      <c r="AA13" s="1112" t="str">
        <f>IFERROR(__xludf.DUMMYFUNCTION("""COMPUTED_VALUE"""),"BQ")</f>
        <v>BQ</v>
      </c>
      <c r="AB13" s="1112" t="str">
        <f>IFERROR(__xludf.DUMMYFUNCTION("""COMPUTED_VALUE"""),"zap-premium@mail.ru")</f>
        <v>zap-premium@mail.ru</v>
      </c>
      <c r="AC13" s="1112" t="str">
        <f>IFERROR(__xludf.DUMMYFUNCTION("""COMPUTED_VALUE"""),"ID_T001")</f>
        <v>ID_T001</v>
      </c>
      <c r="AD13" s="1114">
        <f>IFERROR(__xludf.DUMMYFUNCTION("""COMPUTED_VALUE"""),6250.0)</f>
        <v>6250</v>
      </c>
      <c r="AE13" s="1112" t="str">
        <f>IFERROR(__xludf.DUMMYFUNCTION("""COMPUTED_VALUE"""),"7 рд")</f>
        <v>7 рд</v>
      </c>
      <c r="AF13" s="1112" t="str">
        <f>IFERROR(__xludf.DUMMYFUNCTION("""COMPUTED_VALUE"""),"Фильтр масляный 89781969 аналог")</f>
        <v>Фильтр масляный 89781969 аналог</v>
      </c>
      <c r="AG13" s="1097"/>
      <c r="AH13" s="1097"/>
      <c r="AI13" s="1097"/>
      <c r="AJ13" s="1097"/>
      <c r="AK13" s="1097"/>
      <c r="AL13" s="1097"/>
      <c r="AM13" s="1097"/>
      <c r="AN13" s="1097"/>
      <c r="AO13" s="1097"/>
      <c r="AP13" s="1097"/>
      <c r="AQ13" s="1097"/>
      <c r="AR13" s="1097"/>
      <c r="AS13" s="1097"/>
      <c r="AT13" s="1097"/>
      <c r="AU13" s="1097"/>
      <c r="AV13" s="1097"/>
      <c r="AW13" s="1097"/>
      <c r="AX13" s="1097"/>
      <c r="AY13" s="1097"/>
      <c r="AZ13" s="1097"/>
      <c r="BA13" s="1097"/>
      <c r="BB13" s="1097"/>
      <c r="BC13" s="1097"/>
      <c r="BD13" s="1114"/>
      <c r="BE13" s="1097"/>
      <c r="BF13" s="1097"/>
      <c r="BG13" s="1097"/>
      <c r="BH13" s="1097"/>
      <c r="BI13" s="1097"/>
      <c r="BJ13" s="1097"/>
      <c r="BK13" s="1097"/>
      <c r="BL13" s="1097"/>
      <c r="BM13" s="1097"/>
      <c r="BN13" s="1097"/>
      <c r="BO13" s="1097"/>
      <c r="BP13" s="1097"/>
      <c r="BQ13" s="1097"/>
      <c r="BR13" s="1097"/>
      <c r="BS13" s="1097"/>
      <c r="BT13" s="1097"/>
      <c r="BU13" s="1097"/>
      <c r="BV13" s="1097"/>
      <c r="BW13" s="1097"/>
      <c r="BX13" s="1097"/>
      <c r="BY13" s="1097"/>
      <c r="BZ13" s="1097"/>
    </row>
    <row r="14">
      <c r="A14" s="1097"/>
      <c r="B14" s="1097"/>
      <c r="C14" s="1097" t="s">
        <v>803</v>
      </c>
      <c r="D14" s="1112" t="str">
        <f>IFERROR(__xludf.DUMMYFUNCTION("""COMPUTED_VALUE"""),"1-1 Сбор КП^BQ^ID_T001")</f>
        <v>1-1 Сбор КП^BQ^ID_T001</v>
      </c>
      <c r="E14" s="1112" t="str">
        <f>IFERROR(__xludf.DUMMYFUNCTION("""COMPUTED_VALUE"""),"1-1 Сбор КП")</f>
        <v>1-1 Сбор КП</v>
      </c>
      <c r="F14" s="1112" t="str">
        <f>IFERROR(__xludf.DUMMYFUNCTION("""COMPUTED_VALUE"""),"BQ")</f>
        <v>BQ</v>
      </c>
      <c r="G14" s="1112" t="str">
        <f>IFERROR(__xludf.DUMMYFUNCTION("""COMPUTED_VALUE"""),"zap-premium@mail.ru")</f>
        <v>zap-premium@mail.ru</v>
      </c>
      <c r="H14" s="1113" t="str">
        <f>IFERROR(__xludf.DUMMYFUNCTION("""COMPUTED_VALUE"""),"ID_T001")</f>
        <v>ID_T001</v>
      </c>
      <c r="I14" s="1114">
        <f>IFERROR(__xludf.DUMMYFUNCTION("""COMPUTED_VALUE"""),6250.0)</f>
        <v>6250</v>
      </c>
      <c r="J14" s="1112" t="str">
        <f>IFERROR(__xludf.DUMMYFUNCTION("""COMPUTED_VALUE"""),"7 рд")</f>
        <v>7 рд</v>
      </c>
      <c r="K14" s="1112" t="str">
        <f>IFERROR(__xludf.DUMMYFUNCTION("""COMPUTED_VALUE"""),"Фильтр масляный 89781969 аналог")</f>
        <v>Фильтр масляный 89781969 аналог</v>
      </c>
      <c r="L14" s="1112"/>
      <c r="M14" s="1097"/>
      <c r="N14" s="1097"/>
      <c r="O14" s="1097"/>
      <c r="P14" s="1097"/>
      <c r="Q14" s="1097"/>
      <c r="R14" s="1097"/>
      <c r="S14" s="1097"/>
      <c r="T14" s="1097"/>
      <c r="U14" s="1097"/>
      <c r="V14" s="1097"/>
      <c r="W14" s="1097"/>
      <c r="X14" s="1097"/>
      <c r="Y14" s="1097"/>
      <c r="Z14" s="1097"/>
      <c r="AA14" s="1112" t="str">
        <f>IFERROR(__xludf.DUMMYFUNCTION("""COMPUTED_VALUE"""),"BZ")</f>
        <v>BZ</v>
      </c>
      <c r="AB14" s="1112" t="str">
        <f>IFERROR(__xludf.DUMMYFUNCTION("""COMPUTED_VALUE"""),"r.staroverov@evlart.ru")</f>
        <v>r.staroverov@evlart.ru</v>
      </c>
      <c r="AC14" s="1112" t="str">
        <f>IFERROR(__xludf.DUMMYFUNCTION("""COMPUTED_VALUE"""),"ID_T001")</f>
        <v>ID_T001</v>
      </c>
      <c r="AD14" s="1114">
        <f>IFERROR(__xludf.DUMMYFUNCTION("""COMPUTED_VALUE"""),6433.68)</f>
        <v>6433.68</v>
      </c>
      <c r="AE14" s="1112" t="str">
        <f>IFERROR(__xludf.DUMMYFUNCTION("""COMPUTED_VALUE"""),"нал")</f>
        <v>нал</v>
      </c>
      <c r="AF14" s="1112" t="str">
        <f>IFERROR(__xludf.DUMMYFUNCTION("""COMPUTED_VALUE"""),"Масляный фильтр - Артикул 89781969 ESG-315 —
 Аналог")</f>
        <v>Масляный фильтр - Артикул 89781969 ESG-315 —
 Аналог</v>
      </c>
      <c r="AG14" s="1097"/>
      <c r="AH14" s="1097"/>
      <c r="AI14" s="1097"/>
      <c r="AJ14" s="1097"/>
      <c r="AK14" s="1097"/>
      <c r="AL14" s="1097"/>
      <c r="AM14" s="1097"/>
      <c r="AN14" s="1097"/>
      <c r="AO14" s="1097"/>
      <c r="AP14" s="1097"/>
      <c r="AQ14" s="1097"/>
      <c r="AR14" s="1097"/>
      <c r="AS14" s="1097"/>
      <c r="AT14" s="1097"/>
      <c r="AU14" s="1097"/>
      <c r="AV14" s="1097"/>
      <c r="AW14" s="1097"/>
      <c r="AX14" s="1097"/>
      <c r="AY14" s="1097"/>
      <c r="AZ14" s="1097"/>
      <c r="BA14" s="1097"/>
      <c r="BB14" s="1097"/>
      <c r="BC14" s="1097"/>
      <c r="BD14" s="1114"/>
      <c r="BE14" s="1097"/>
      <c r="BF14" s="1097"/>
      <c r="BG14" s="1097"/>
      <c r="BH14" s="1097"/>
      <c r="BI14" s="1097"/>
      <c r="BJ14" s="1097"/>
      <c r="BK14" s="1097"/>
      <c r="BL14" s="1097"/>
      <c r="BM14" s="1097"/>
      <c r="BN14" s="1097"/>
      <c r="BO14" s="1097"/>
      <c r="BP14" s="1097"/>
      <c r="BQ14" s="1097"/>
      <c r="BR14" s="1097"/>
      <c r="BS14" s="1097"/>
      <c r="BT14" s="1097"/>
      <c r="BU14" s="1097"/>
      <c r="BV14" s="1097"/>
      <c r="BW14" s="1097"/>
      <c r="BX14" s="1097"/>
      <c r="BY14" s="1097"/>
      <c r="BZ14" s="1097"/>
    </row>
    <row r="15">
      <c r="A15" s="1097"/>
      <c r="B15" s="1097"/>
      <c r="C15" s="1097" t="s">
        <v>804</v>
      </c>
      <c r="D15" s="1112" t="str">
        <f>IFERROR(__xludf.DUMMYFUNCTION("""COMPUTED_VALUE"""),"1-1 Сбор КП^BZ^ID_T001")</f>
        <v>1-1 Сбор КП^BZ^ID_T001</v>
      </c>
      <c r="E15" s="1112" t="str">
        <f>IFERROR(__xludf.DUMMYFUNCTION("""COMPUTED_VALUE"""),"1-1 Сбор КП")</f>
        <v>1-1 Сбор КП</v>
      </c>
      <c r="F15" s="1112" t="str">
        <f>IFERROR(__xludf.DUMMYFUNCTION("""COMPUTED_VALUE"""),"BZ")</f>
        <v>BZ</v>
      </c>
      <c r="G15" s="1112" t="str">
        <f>IFERROR(__xludf.DUMMYFUNCTION("""COMPUTED_VALUE"""),"r.staroverov@evlart.ru")</f>
        <v>r.staroverov@evlart.ru</v>
      </c>
      <c r="H15" s="1113" t="str">
        <f>IFERROR(__xludf.DUMMYFUNCTION("""COMPUTED_VALUE"""),"ID_T001")</f>
        <v>ID_T001</v>
      </c>
      <c r="I15" s="1114">
        <f>IFERROR(__xludf.DUMMYFUNCTION("""COMPUTED_VALUE"""),6433.68)</f>
        <v>6433.68</v>
      </c>
      <c r="J15" s="1112" t="str">
        <f>IFERROR(__xludf.DUMMYFUNCTION("""COMPUTED_VALUE"""),"нал")</f>
        <v>нал</v>
      </c>
      <c r="K15" s="1112" t="str">
        <f>IFERROR(__xludf.DUMMYFUNCTION("""COMPUTED_VALUE"""),"Масляный фильтр - Артикул 89781969 ESG-315 —
 Аналог")</f>
        <v>Масляный фильтр - Артикул 89781969 ESG-315 —
 Аналог</v>
      </c>
      <c r="L15" s="1112"/>
      <c r="M15" s="1097"/>
      <c r="N15" s="1097"/>
      <c r="O15" s="1097"/>
      <c r="P15" s="1097"/>
      <c r="Q15" s="1097"/>
      <c r="R15" s="1097"/>
      <c r="S15" s="1097"/>
      <c r="T15" s="1097"/>
      <c r="U15" s="1097"/>
      <c r="V15" s="1097"/>
      <c r="W15" s="1097"/>
      <c r="X15" s="1097"/>
      <c r="Y15" s="1097"/>
      <c r="Z15" s="1097"/>
      <c r="AA15" s="1112" t="str">
        <f>IFERROR(__xludf.DUMMYFUNCTION("""COMPUTED_VALUE"""),"CI")</f>
        <v>CI</v>
      </c>
      <c r="AB15" s="1112" t="str">
        <f>IFERROR(__xludf.DUMMYFUNCTION("""COMPUTED_VALUE"""),"davidov@pressair.ru")</f>
        <v>davidov@pressair.ru</v>
      </c>
      <c r="AC15" s="1112" t="str">
        <f>IFERROR(__xludf.DUMMYFUNCTION("""COMPUTED_VALUE"""),"ID_T001")</f>
        <v>ID_T001</v>
      </c>
      <c r="AD15" s="1114">
        <f>IFERROR(__xludf.DUMMYFUNCTION("""COMPUTED_VALUE"""),5450.0)</f>
        <v>5450</v>
      </c>
      <c r="AE15" s="1112" t="str">
        <f>IFERROR(__xludf.DUMMYFUNCTION("""COMPUTED_VALUE"""),"5 рд")</f>
        <v>5 рд</v>
      </c>
      <c r="AF15" s="1112" t="str">
        <f>IFERROR(__xludf.DUMMYFUNCTION("""COMPUTED_VALUE"""),"Масляный фильтр 89781969 = SH8186")</f>
        <v>Масляный фильтр 89781969 = SH8186</v>
      </c>
      <c r="AG15" s="1097"/>
      <c r="AH15" s="1097"/>
      <c r="AI15" s="1097"/>
      <c r="AJ15" s="1097"/>
      <c r="AK15" s="1097"/>
      <c r="AL15" s="1097"/>
      <c r="AM15" s="1097"/>
      <c r="AN15" s="1097"/>
      <c r="AO15" s="1097"/>
      <c r="AP15" s="1097"/>
      <c r="AQ15" s="1097"/>
      <c r="AR15" s="1097"/>
      <c r="AS15" s="1097"/>
      <c r="AT15" s="1097"/>
      <c r="AU15" s="1097"/>
      <c r="AV15" s="1097"/>
      <c r="AW15" s="1097"/>
      <c r="AX15" s="1097"/>
      <c r="AY15" s="1097"/>
      <c r="AZ15" s="1097"/>
      <c r="BA15" s="1097"/>
      <c r="BB15" s="1097"/>
      <c r="BC15" s="1097"/>
      <c r="BD15" s="1114"/>
      <c r="BE15" s="1097"/>
      <c r="BF15" s="1097"/>
      <c r="BG15" s="1097"/>
      <c r="BH15" s="1097"/>
      <c r="BI15" s="1097"/>
      <c r="BJ15" s="1097"/>
      <c r="BK15" s="1097"/>
      <c r="BL15" s="1097"/>
      <c r="BM15" s="1097"/>
      <c r="BN15" s="1097"/>
      <c r="BO15" s="1097"/>
      <c r="BP15" s="1097"/>
      <c r="BQ15" s="1097"/>
      <c r="BR15" s="1097"/>
      <c r="BS15" s="1097"/>
      <c r="BT15" s="1097"/>
      <c r="BU15" s="1097"/>
      <c r="BV15" s="1097"/>
      <c r="BW15" s="1097"/>
      <c r="BX15" s="1097"/>
      <c r="BY15" s="1097"/>
      <c r="BZ15" s="1097"/>
    </row>
    <row r="16">
      <c r="A16" s="1097"/>
      <c r="B16" s="1097"/>
      <c r="C16" s="1097" t="s">
        <v>805</v>
      </c>
      <c r="D16" s="1112" t="str">
        <f>IFERROR(__xludf.DUMMYFUNCTION("""COMPUTED_VALUE"""),"1-1 Сбор КП^CI^ID_T001")</f>
        <v>1-1 Сбор КП^CI^ID_T001</v>
      </c>
      <c r="E16" s="1112" t="str">
        <f>IFERROR(__xludf.DUMMYFUNCTION("""COMPUTED_VALUE"""),"1-1 Сбор КП")</f>
        <v>1-1 Сбор КП</v>
      </c>
      <c r="F16" s="1112" t="str">
        <f>IFERROR(__xludf.DUMMYFUNCTION("""COMPUTED_VALUE"""),"CI")</f>
        <v>CI</v>
      </c>
      <c r="G16" s="1112" t="str">
        <f>IFERROR(__xludf.DUMMYFUNCTION("""COMPUTED_VALUE"""),"davidov@pressair.ru")</f>
        <v>davidov@pressair.ru</v>
      </c>
      <c r="H16" s="1113" t="str">
        <f>IFERROR(__xludf.DUMMYFUNCTION("""COMPUTED_VALUE"""),"ID_T001")</f>
        <v>ID_T001</v>
      </c>
      <c r="I16" s="1114">
        <f>IFERROR(__xludf.DUMMYFUNCTION("""COMPUTED_VALUE"""),5450.0)</f>
        <v>5450</v>
      </c>
      <c r="J16" s="1112" t="str">
        <f>IFERROR(__xludf.DUMMYFUNCTION("""COMPUTED_VALUE"""),"5 рд")</f>
        <v>5 рд</v>
      </c>
      <c r="K16" s="1112" t="str">
        <f>IFERROR(__xludf.DUMMYFUNCTION("""COMPUTED_VALUE"""),"Масляный фильтр 89781969 = SH8186")</f>
        <v>Масляный фильтр 89781969 = SH8186</v>
      </c>
      <c r="L16" s="1112"/>
      <c r="M16" s="1097"/>
      <c r="N16" s="1097"/>
      <c r="O16" s="1097"/>
      <c r="P16" s="1097"/>
      <c r="Q16" s="1097"/>
      <c r="R16" s="1097"/>
      <c r="S16" s="1097"/>
      <c r="T16" s="1097"/>
      <c r="U16" s="1097"/>
      <c r="V16" s="1097"/>
      <c r="W16" s="1097"/>
      <c r="X16" s="1097"/>
      <c r="Y16" s="1097"/>
      <c r="Z16" s="1097"/>
      <c r="AA16" s="1112" t="str">
        <f>IFERROR(__xludf.DUMMYFUNCTION("""COMPUTED_VALUE"""),"BE")</f>
        <v>BE</v>
      </c>
      <c r="AB16" s="1112" t="str">
        <f>IFERROR(__xludf.DUMMYFUNCTION("""COMPUTED_VALUE"""),"order@techfil.ru")</f>
        <v>order@techfil.ru</v>
      </c>
      <c r="AC16" s="1112" t="str">
        <f>IFERROR(__xludf.DUMMYFUNCTION("""COMPUTED_VALUE"""),"ID_T002")</f>
        <v>ID_T002</v>
      </c>
      <c r="AD16" s="1114">
        <f>IFERROR(__xludf.DUMMYFUNCTION("""COMPUTED_VALUE"""),6900.0)</f>
        <v>6900</v>
      </c>
      <c r="AE16" s="1112" t="str">
        <f>IFERROR(__xludf.DUMMYFUNCTION("""COMPUTED_VALUE"""),"5 рд")</f>
        <v>5 рд</v>
      </c>
      <c r="AF16" s="1112" t="str">
        <f>IFERROR(__xludf.DUMMYFUNCTION("""COMPUTED_VALUE"""),"Масляный фильтр 85062259 [ Аналог SH/O8186 ] ")</f>
        <v>Масляный фильтр 85062259 [ Аналог SH/O8186 ] </v>
      </c>
      <c r="AG16" s="1097"/>
      <c r="AH16" s="1097"/>
      <c r="AI16" s="1097"/>
      <c r="AJ16" s="1097"/>
      <c r="AK16" s="1097"/>
      <c r="AL16" s="1097"/>
      <c r="AM16" s="1097"/>
      <c r="AN16" s="1097"/>
      <c r="AO16" s="1097"/>
      <c r="AP16" s="1097"/>
      <c r="AQ16" s="1097"/>
      <c r="AR16" s="1097"/>
      <c r="AS16" s="1097"/>
      <c r="AT16" s="1097"/>
      <c r="AU16" s="1097"/>
      <c r="AV16" s="1097"/>
      <c r="AW16" s="1097"/>
      <c r="AX16" s="1097"/>
      <c r="AY16" s="1097"/>
      <c r="AZ16" s="1097"/>
      <c r="BA16" s="1097"/>
      <c r="BB16" s="1097"/>
      <c r="BC16" s="1097"/>
      <c r="BD16" s="1114"/>
      <c r="BE16" s="1097"/>
      <c r="BF16" s="1097"/>
      <c r="BG16" s="1097"/>
      <c r="BH16" s="1097"/>
      <c r="BI16" s="1097"/>
      <c r="BJ16" s="1097"/>
      <c r="BK16" s="1097"/>
      <c r="BL16" s="1097"/>
      <c r="BM16" s="1097"/>
      <c r="BN16" s="1097"/>
      <c r="BO16" s="1097"/>
      <c r="BP16" s="1097"/>
      <c r="BQ16" s="1097"/>
      <c r="BR16" s="1097"/>
      <c r="BS16" s="1097"/>
      <c r="BT16" s="1097"/>
      <c r="BU16" s="1097"/>
      <c r="BV16" s="1097"/>
      <c r="BW16" s="1097"/>
      <c r="BX16" s="1097"/>
      <c r="BY16" s="1097"/>
      <c r="BZ16" s="1097"/>
    </row>
    <row r="17">
      <c r="A17" s="1097"/>
      <c r="B17" s="1097"/>
      <c r="C17" s="1097" t="s">
        <v>806</v>
      </c>
      <c r="D17" s="1112" t="str">
        <f>IFERROR(__xludf.DUMMYFUNCTION("""COMPUTED_VALUE"""),"1-1 Сбор КП^BE^ID_T002")</f>
        <v>1-1 Сбор КП^BE^ID_T002</v>
      </c>
      <c r="E17" s="1112" t="str">
        <f>IFERROR(__xludf.DUMMYFUNCTION("""COMPUTED_VALUE"""),"1-1 Сбор КП")</f>
        <v>1-1 Сбор КП</v>
      </c>
      <c r="F17" s="1112" t="str">
        <f>IFERROR(__xludf.DUMMYFUNCTION("""COMPUTED_VALUE"""),"BE")</f>
        <v>BE</v>
      </c>
      <c r="G17" s="1112" t="str">
        <f>IFERROR(__xludf.DUMMYFUNCTION("""COMPUTED_VALUE"""),"order@techfil.ru")</f>
        <v>order@techfil.ru</v>
      </c>
      <c r="H17" s="1113" t="str">
        <f>IFERROR(__xludf.DUMMYFUNCTION("""COMPUTED_VALUE"""),"ID_T002")</f>
        <v>ID_T002</v>
      </c>
      <c r="I17" s="1114">
        <f>IFERROR(__xludf.DUMMYFUNCTION("""COMPUTED_VALUE"""),6900.0)</f>
        <v>6900</v>
      </c>
      <c r="J17" s="1112" t="str">
        <f>IFERROR(__xludf.DUMMYFUNCTION("""COMPUTED_VALUE"""),"5 рд")</f>
        <v>5 рд</v>
      </c>
      <c r="K17" s="1112" t="str">
        <f>IFERROR(__xludf.DUMMYFUNCTION("""COMPUTED_VALUE"""),"Масляный фильтр 85062259 [ Аналог SH/O8186 ] ")</f>
        <v>Масляный фильтр 85062259 [ Аналог SH/O8186 ] </v>
      </c>
      <c r="L17" s="1112"/>
      <c r="M17" s="1097"/>
      <c r="N17" s="1097"/>
      <c r="O17" s="1097"/>
      <c r="P17" s="1097"/>
      <c r="Q17" s="1097"/>
      <c r="R17" s="1097"/>
      <c r="S17" s="1097"/>
      <c r="T17" s="1097"/>
      <c r="U17" s="1097"/>
      <c r="V17" s="1097"/>
      <c r="W17" s="1097"/>
      <c r="X17" s="1097"/>
      <c r="Y17" s="1097"/>
      <c r="Z17" s="1097"/>
      <c r="AA17" s="1112" t="str">
        <f>IFERROR(__xludf.DUMMYFUNCTION("""COMPUTED_VALUE"""),"BH")</f>
        <v>BH</v>
      </c>
      <c r="AB17" s="1112" t="str">
        <f>IFERROR(__xludf.DUMMYFUNCTION("""COMPUTED_VALUE"""),"ca@air-part.ru (1)")</f>
        <v>ca@air-part.ru (1)</v>
      </c>
      <c r="AC17" s="1112" t="str">
        <f>IFERROR(__xludf.DUMMYFUNCTION("""COMPUTED_VALUE"""),"ID_T002")</f>
        <v>ID_T002</v>
      </c>
      <c r="AD17" s="1114">
        <f>IFERROR(__xludf.DUMMYFUNCTION("""COMPUTED_VALUE"""),17700.0)</f>
        <v>17700</v>
      </c>
      <c r="AE17" s="1112" t="str">
        <f>IFERROR(__xludf.DUMMYFUNCTION("""COMPUTED_VALUE"""),"18 нед")</f>
        <v>18 нед</v>
      </c>
      <c r="AF17" s="1112" t="str">
        <f>IFERROR(__xludf.DUMMYFUNCTION("""COMPUTED_VALUE"""),"Масляный фильтр - Артикул 85062259 (оригинал)")</f>
        <v>Масляный фильтр - Артикул 85062259 (оригинал)</v>
      </c>
      <c r="AG17" s="1097"/>
      <c r="AH17" s="1097"/>
      <c r="AI17" s="1097"/>
      <c r="AJ17" s="1097"/>
      <c r="AK17" s="1097"/>
      <c r="AL17" s="1097"/>
      <c r="AM17" s="1097"/>
      <c r="AN17" s="1097"/>
      <c r="AO17" s="1097"/>
      <c r="AP17" s="1097"/>
      <c r="AQ17" s="1097"/>
      <c r="AR17" s="1097"/>
      <c r="AS17" s="1097"/>
      <c r="AT17" s="1097"/>
      <c r="AU17" s="1097"/>
      <c r="AV17" s="1097"/>
      <c r="AW17" s="1097"/>
      <c r="AX17" s="1097"/>
      <c r="AY17" s="1097"/>
      <c r="AZ17" s="1097"/>
      <c r="BA17" s="1097"/>
      <c r="BB17" s="1097"/>
      <c r="BC17" s="1097"/>
      <c r="BD17" s="1114"/>
      <c r="BE17" s="1097"/>
      <c r="BF17" s="1097"/>
      <c r="BG17" s="1097"/>
      <c r="BH17" s="1097"/>
      <c r="BI17" s="1097"/>
      <c r="BJ17" s="1097"/>
      <c r="BK17" s="1097"/>
      <c r="BL17" s="1097"/>
      <c r="BM17" s="1097"/>
      <c r="BN17" s="1097"/>
      <c r="BO17" s="1097"/>
      <c r="BP17" s="1097"/>
      <c r="BQ17" s="1097"/>
      <c r="BR17" s="1097"/>
      <c r="BS17" s="1097"/>
      <c r="BT17" s="1097"/>
      <c r="BU17" s="1097"/>
      <c r="BV17" s="1097"/>
      <c r="BW17" s="1097"/>
      <c r="BX17" s="1097"/>
      <c r="BY17" s="1097"/>
      <c r="BZ17" s="1097"/>
    </row>
    <row r="18">
      <c r="A18" s="1097"/>
      <c r="B18" s="1097"/>
      <c r="C18" s="1097" t="s">
        <v>807</v>
      </c>
      <c r="D18" s="1112" t="str">
        <f>IFERROR(__xludf.DUMMYFUNCTION("""COMPUTED_VALUE"""),"1-1 Сбор КП^BH^ID_T002")</f>
        <v>1-1 Сбор КП^BH^ID_T002</v>
      </c>
      <c r="E18" s="1112" t="str">
        <f>IFERROR(__xludf.DUMMYFUNCTION("""COMPUTED_VALUE"""),"1-1 Сбор КП")</f>
        <v>1-1 Сбор КП</v>
      </c>
      <c r="F18" s="1112" t="str">
        <f>IFERROR(__xludf.DUMMYFUNCTION("""COMPUTED_VALUE"""),"BH")</f>
        <v>BH</v>
      </c>
      <c r="G18" s="1112" t="str">
        <f>IFERROR(__xludf.DUMMYFUNCTION("""COMPUTED_VALUE"""),"ca@air-part.ru (1)")</f>
        <v>ca@air-part.ru (1)</v>
      </c>
      <c r="H18" s="1113" t="str">
        <f>IFERROR(__xludf.DUMMYFUNCTION("""COMPUTED_VALUE"""),"ID_T002")</f>
        <v>ID_T002</v>
      </c>
      <c r="I18" s="1114">
        <f>IFERROR(__xludf.DUMMYFUNCTION("""COMPUTED_VALUE"""),17700.0)</f>
        <v>17700</v>
      </c>
      <c r="J18" s="1112" t="str">
        <f>IFERROR(__xludf.DUMMYFUNCTION("""COMPUTED_VALUE"""),"18 нед")</f>
        <v>18 нед</v>
      </c>
      <c r="K18" s="1112" t="str">
        <f>IFERROR(__xludf.DUMMYFUNCTION("""COMPUTED_VALUE"""),"Масляный фильтр - Артикул 85062259 (оригинал)")</f>
        <v>Масляный фильтр - Артикул 85062259 (оригинал)</v>
      </c>
      <c r="L18" s="1112"/>
      <c r="M18" s="1097"/>
      <c r="N18" s="1097"/>
      <c r="O18" s="1097"/>
      <c r="P18" s="1097"/>
      <c r="Q18" s="1097"/>
      <c r="R18" s="1097"/>
      <c r="S18" s="1097"/>
      <c r="T18" s="1097"/>
      <c r="U18" s="1097"/>
      <c r="V18" s="1097"/>
      <c r="W18" s="1097"/>
      <c r="X18" s="1097"/>
      <c r="Y18" s="1097"/>
      <c r="Z18" s="1097"/>
      <c r="AA18" s="1112" t="str">
        <f>IFERROR(__xludf.DUMMYFUNCTION("""COMPUTED_VALUE"""),"BK")</f>
        <v>BK</v>
      </c>
      <c r="AB18" s="1112" t="str">
        <f>IFERROR(__xludf.DUMMYFUNCTION("""COMPUTED_VALUE"""),"ca@air-part.ru (2)")</f>
        <v>ca@air-part.ru (2)</v>
      </c>
      <c r="AC18" s="1112" t="str">
        <f>IFERROR(__xludf.DUMMYFUNCTION("""COMPUTED_VALUE"""),"ID_T002")</f>
        <v>ID_T002</v>
      </c>
      <c r="AD18" s="1114">
        <f>IFERROR(__xludf.DUMMYFUNCTION("""COMPUTED_VALUE"""),8600.0)</f>
        <v>8600</v>
      </c>
      <c r="AE18" s="1112" t="str">
        <f>IFERROR(__xludf.DUMMYFUNCTION("""COMPUTED_VALUE"""),"нал")</f>
        <v>нал</v>
      </c>
      <c r="AF18" s="1112" t="str">
        <f>IFERROR(__xludf.DUMMYFUNCTION("""COMPUTED_VALUE"""),"Масляный фильтр - Артикул 85062259 (аналог) ")</f>
        <v>Масляный фильтр - Артикул 85062259 (аналог) </v>
      </c>
      <c r="AG18" s="1097"/>
      <c r="AH18" s="1097"/>
      <c r="AI18" s="1097"/>
      <c r="AJ18" s="1097"/>
      <c r="AK18" s="1097"/>
      <c r="AL18" s="1097"/>
      <c r="AM18" s="1097"/>
      <c r="AN18" s="1097"/>
      <c r="AO18" s="1097"/>
      <c r="AP18" s="1097"/>
      <c r="AQ18" s="1097"/>
      <c r="AR18" s="1097"/>
      <c r="AS18" s="1097"/>
      <c r="AT18" s="1097"/>
      <c r="AU18" s="1097"/>
      <c r="AV18" s="1097"/>
      <c r="AW18" s="1097"/>
      <c r="AX18" s="1097"/>
      <c r="AY18" s="1097"/>
      <c r="AZ18" s="1097"/>
      <c r="BA18" s="1097"/>
      <c r="BB18" s="1097"/>
      <c r="BC18" s="1097"/>
      <c r="BD18" s="1114"/>
      <c r="BE18" s="1097"/>
      <c r="BF18" s="1097"/>
      <c r="BG18" s="1097"/>
      <c r="BH18" s="1097"/>
      <c r="BI18" s="1097"/>
      <c r="BJ18" s="1097"/>
      <c r="BK18" s="1097"/>
      <c r="BL18" s="1097"/>
      <c r="BM18" s="1097"/>
      <c r="BN18" s="1097"/>
      <c r="BO18" s="1097"/>
      <c r="BP18" s="1097"/>
      <c r="BQ18" s="1097"/>
      <c r="BR18" s="1097"/>
      <c r="BS18" s="1097"/>
      <c r="BT18" s="1097"/>
      <c r="BU18" s="1097"/>
      <c r="BV18" s="1097"/>
      <c r="BW18" s="1097"/>
      <c r="BX18" s="1097"/>
      <c r="BY18" s="1097"/>
      <c r="BZ18" s="1097"/>
    </row>
    <row r="19">
      <c r="A19" s="1097"/>
      <c r="B19" s="1097"/>
      <c r="C19" s="1097" t="s">
        <v>808</v>
      </c>
      <c r="D19" s="1112" t="str">
        <f>IFERROR(__xludf.DUMMYFUNCTION("""COMPUTED_VALUE"""),"1-1 Сбор КП^BK^ID_T002")</f>
        <v>1-1 Сбор КП^BK^ID_T002</v>
      </c>
      <c r="E19" s="1112" t="str">
        <f>IFERROR(__xludf.DUMMYFUNCTION("""COMPUTED_VALUE"""),"1-1 Сбор КП")</f>
        <v>1-1 Сбор КП</v>
      </c>
      <c r="F19" s="1112" t="str">
        <f>IFERROR(__xludf.DUMMYFUNCTION("""COMPUTED_VALUE"""),"BK")</f>
        <v>BK</v>
      </c>
      <c r="G19" s="1112" t="str">
        <f>IFERROR(__xludf.DUMMYFUNCTION("""COMPUTED_VALUE"""),"ca@air-part.ru (2)")</f>
        <v>ca@air-part.ru (2)</v>
      </c>
      <c r="H19" s="1113" t="str">
        <f>IFERROR(__xludf.DUMMYFUNCTION("""COMPUTED_VALUE"""),"ID_T002")</f>
        <v>ID_T002</v>
      </c>
      <c r="I19" s="1114">
        <f>IFERROR(__xludf.DUMMYFUNCTION("""COMPUTED_VALUE"""),8600.0)</f>
        <v>8600</v>
      </c>
      <c r="J19" s="1112" t="str">
        <f>IFERROR(__xludf.DUMMYFUNCTION("""COMPUTED_VALUE"""),"нал")</f>
        <v>нал</v>
      </c>
      <c r="K19" s="1112" t="str">
        <f>IFERROR(__xludf.DUMMYFUNCTION("""COMPUTED_VALUE"""),"Масляный фильтр - Артикул 85062259 (аналог) ")</f>
        <v>Масляный фильтр - Артикул 85062259 (аналог) </v>
      </c>
      <c r="L19" s="1112"/>
      <c r="M19" s="1097"/>
      <c r="N19" s="1097"/>
      <c r="O19" s="1097"/>
      <c r="P19" s="1097"/>
      <c r="Q19" s="1097"/>
      <c r="R19" s="1097"/>
      <c r="S19" s="1097"/>
      <c r="T19" s="1097"/>
      <c r="U19" s="1097"/>
      <c r="V19" s="1097"/>
      <c r="W19" s="1097"/>
      <c r="X19" s="1097"/>
      <c r="Y19" s="1097"/>
      <c r="Z19" s="1097"/>
      <c r="AA19" s="1112" t="str">
        <f>IFERROR(__xludf.DUMMYFUNCTION("""COMPUTED_VALUE"""),"BQ")</f>
        <v>BQ</v>
      </c>
      <c r="AB19" s="1112" t="str">
        <f>IFERROR(__xludf.DUMMYFUNCTION("""COMPUTED_VALUE"""),"zap-premium@mail.ru")</f>
        <v>zap-premium@mail.ru</v>
      </c>
      <c r="AC19" s="1112" t="str">
        <f>IFERROR(__xludf.DUMMYFUNCTION("""COMPUTED_VALUE"""),"ID_T002")</f>
        <v>ID_T002</v>
      </c>
      <c r="AD19" s="1114">
        <f>IFERROR(__xludf.DUMMYFUNCTION("""COMPUTED_VALUE"""),6400.0)</f>
        <v>6400</v>
      </c>
      <c r="AE19" s="1112" t="str">
        <f>IFERROR(__xludf.DUMMYFUNCTION("""COMPUTED_VALUE"""),"7 рд")</f>
        <v>7 рд</v>
      </c>
      <c r="AF19" s="1112" t="str">
        <f>IFERROR(__xludf.DUMMYFUNCTION("""COMPUTED_VALUE"""),"Фильтр масляный 85062259 аналог")</f>
        <v>Фильтр масляный 85062259 аналог</v>
      </c>
      <c r="AG19" s="1097"/>
      <c r="AH19" s="1097"/>
      <c r="AI19" s="1097"/>
      <c r="AJ19" s="1097"/>
      <c r="AK19" s="1097"/>
      <c r="AL19" s="1097"/>
      <c r="AM19" s="1097"/>
      <c r="AN19" s="1097"/>
      <c r="AO19" s="1097"/>
      <c r="AP19" s="1097"/>
      <c r="AQ19" s="1097"/>
      <c r="AR19" s="1097"/>
      <c r="AS19" s="1097"/>
      <c r="AT19" s="1097"/>
      <c r="AU19" s="1097"/>
      <c r="AV19" s="1097"/>
      <c r="AW19" s="1097"/>
      <c r="AX19" s="1097"/>
      <c r="AY19" s="1097"/>
      <c r="AZ19" s="1097"/>
      <c r="BA19" s="1097"/>
      <c r="BB19" s="1097"/>
      <c r="BC19" s="1097"/>
      <c r="BD19" s="1114"/>
      <c r="BE19" s="1097"/>
      <c r="BF19" s="1097"/>
      <c r="BG19" s="1097"/>
      <c r="BH19" s="1097"/>
      <c r="BI19" s="1097"/>
      <c r="BJ19" s="1097"/>
      <c r="BK19" s="1097"/>
      <c r="BL19" s="1097"/>
      <c r="BM19" s="1097"/>
      <c r="BN19" s="1097"/>
      <c r="BO19" s="1097"/>
      <c r="BP19" s="1097"/>
      <c r="BQ19" s="1097"/>
      <c r="BR19" s="1097"/>
      <c r="BS19" s="1097"/>
      <c r="BT19" s="1097"/>
      <c r="BU19" s="1097"/>
      <c r="BV19" s="1097"/>
      <c r="BW19" s="1097"/>
      <c r="BX19" s="1097"/>
      <c r="BY19" s="1097"/>
      <c r="BZ19" s="1097"/>
    </row>
    <row r="20">
      <c r="A20" s="1097"/>
      <c r="B20" s="1097"/>
      <c r="C20" s="1097" t="s">
        <v>809</v>
      </c>
      <c r="D20" s="1112" t="str">
        <f>IFERROR(__xludf.DUMMYFUNCTION("""COMPUTED_VALUE"""),"1-1 Сбор КП^BQ^ID_T002")</f>
        <v>1-1 Сбор КП^BQ^ID_T002</v>
      </c>
      <c r="E20" s="1112" t="str">
        <f>IFERROR(__xludf.DUMMYFUNCTION("""COMPUTED_VALUE"""),"1-1 Сбор КП")</f>
        <v>1-1 Сбор КП</v>
      </c>
      <c r="F20" s="1112" t="str">
        <f>IFERROR(__xludf.DUMMYFUNCTION("""COMPUTED_VALUE"""),"BQ")</f>
        <v>BQ</v>
      </c>
      <c r="G20" s="1112" t="str">
        <f>IFERROR(__xludf.DUMMYFUNCTION("""COMPUTED_VALUE"""),"zap-premium@mail.ru")</f>
        <v>zap-premium@mail.ru</v>
      </c>
      <c r="H20" s="1113" t="str">
        <f>IFERROR(__xludf.DUMMYFUNCTION("""COMPUTED_VALUE"""),"ID_T002")</f>
        <v>ID_T002</v>
      </c>
      <c r="I20" s="1114">
        <f>IFERROR(__xludf.DUMMYFUNCTION("""COMPUTED_VALUE"""),6400.0)</f>
        <v>6400</v>
      </c>
      <c r="J20" s="1112" t="str">
        <f>IFERROR(__xludf.DUMMYFUNCTION("""COMPUTED_VALUE"""),"7 рд")</f>
        <v>7 рд</v>
      </c>
      <c r="K20" s="1112" t="str">
        <f>IFERROR(__xludf.DUMMYFUNCTION("""COMPUTED_VALUE"""),"Фильтр масляный 85062259 аналог")</f>
        <v>Фильтр масляный 85062259 аналог</v>
      </c>
      <c r="L20" s="1112"/>
      <c r="M20" s="1097"/>
      <c r="N20" s="1097"/>
      <c r="O20" s="1097"/>
      <c r="P20" s="1097"/>
      <c r="Q20" s="1097"/>
      <c r="R20" s="1097"/>
      <c r="S20" s="1097"/>
      <c r="T20" s="1097"/>
      <c r="U20" s="1097"/>
      <c r="V20" s="1097"/>
      <c r="W20" s="1097"/>
      <c r="X20" s="1097"/>
      <c r="Y20" s="1097"/>
      <c r="Z20" s="1097"/>
      <c r="AA20" s="1112" t="str">
        <f>IFERROR(__xludf.DUMMYFUNCTION("""COMPUTED_VALUE"""),"BZ")</f>
        <v>BZ</v>
      </c>
      <c r="AB20" s="1112" t="str">
        <f>IFERROR(__xludf.DUMMYFUNCTION("""COMPUTED_VALUE"""),"r.staroverov@evlart.ru")</f>
        <v>r.staroverov@evlart.ru</v>
      </c>
      <c r="AC20" s="1112" t="str">
        <f>IFERROR(__xludf.DUMMYFUNCTION("""COMPUTED_VALUE"""),"ID_T002")</f>
        <v>ID_T002</v>
      </c>
      <c r="AD20" s="1114">
        <f>IFERROR(__xludf.DUMMYFUNCTION("""COMPUTED_VALUE"""),11956.0)</f>
        <v>11956</v>
      </c>
      <c r="AE20" s="1112" t="str">
        <f>IFERROR(__xludf.DUMMYFUNCTION("""COMPUTED_VALUE"""),"нал")</f>
        <v>нал</v>
      </c>
      <c r="AF20" s="1112" t="str">
        <f>IFERROR(__xludf.DUMMYFUNCTION("""COMPUTED_VALUE"""),"Масляный фильтр - Артикул 85062259")</f>
        <v>Масляный фильтр - Артикул 85062259</v>
      </c>
      <c r="AG20" s="1097"/>
      <c r="AH20" s="1097"/>
      <c r="AI20" s="1097"/>
      <c r="AJ20" s="1097"/>
      <c r="AK20" s="1097"/>
      <c r="AL20" s="1097"/>
      <c r="AM20" s="1097"/>
      <c r="AN20" s="1097"/>
      <c r="AO20" s="1097"/>
      <c r="AP20" s="1097"/>
      <c r="AQ20" s="1097"/>
      <c r="AR20" s="1097"/>
      <c r="AS20" s="1097"/>
      <c r="AT20" s="1097"/>
      <c r="AU20" s="1097"/>
      <c r="AV20" s="1097"/>
      <c r="AW20" s="1097"/>
      <c r="AX20" s="1097"/>
      <c r="AY20" s="1097"/>
      <c r="AZ20" s="1097"/>
      <c r="BA20" s="1097"/>
      <c r="BB20" s="1097"/>
      <c r="BC20" s="1097"/>
      <c r="BD20" s="1114"/>
      <c r="BE20" s="1097"/>
      <c r="BF20" s="1097"/>
      <c r="BG20" s="1097"/>
      <c r="BH20" s="1097"/>
      <c r="BI20" s="1097"/>
      <c r="BJ20" s="1097"/>
      <c r="BK20" s="1097"/>
      <c r="BL20" s="1097"/>
      <c r="BM20" s="1097"/>
      <c r="BN20" s="1097"/>
      <c r="BO20" s="1097"/>
      <c r="BP20" s="1097"/>
      <c r="BQ20" s="1097"/>
      <c r="BR20" s="1097"/>
      <c r="BS20" s="1097"/>
      <c r="BT20" s="1097"/>
      <c r="BU20" s="1097"/>
      <c r="BV20" s="1097"/>
      <c r="BW20" s="1097"/>
      <c r="BX20" s="1097"/>
      <c r="BY20" s="1097"/>
      <c r="BZ20" s="1097"/>
    </row>
    <row r="21">
      <c r="A21" s="1097"/>
      <c r="B21" s="1097"/>
      <c r="C21" s="1097" t="s">
        <v>810</v>
      </c>
      <c r="D21" s="1112" t="str">
        <f>IFERROR(__xludf.DUMMYFUNCTION("""COMPUTED_VALUE"""),"1-1 Сбор КП^BZ^ID_T002")</f>
        <v>1-1 Сбор КП^BZ^ID_T002</v>
      </c>
      <c r="E21" s="1112" t="str">
        <f>IFERROR(__xludf.DUMMYFUNCTION("""COMPUTED_VALUE"""),"1-1 Сбор КП")</f>
        <v>1-1 Сбор КП</v>
      </c>
      <c r="F21" s="1112" t="str">
        <f>IFERROR(__xludf.DUMMYFUNCTION("""COMPUTED_VALUE"""),"BZ")</f>
        <v>BZ</v>
      </c>
      <c r="G21" s="1112" t="str">
        <f>IFERROR(__xludf.DUMMYFUNCTION("""COMPUTED_VALUE"""),"r.staroverov@evlart.ru")</f>
        <v>r.staroverov@evlart.ru</v>
      </c>
      <c r="H21" s="1113" t="str">
        <f>IFERROR(__xludf.DUMMYFUNCTION("""COMPUTED_VALUE"""),"ID_T002")</f>
        <v>ID_T002</v>
      </c>
      <c r="I21" s="1114">
        <f>IFERROR(__xludf.DUMMYFUNCTION("""COMPUTED_VALUE"""),11956.0)</f>
        <v>11956</v>
      </c>
      <c r="J21" s="1112" t="str">
        <f>IFERROR(__xludf.DUMMYFUNCTION("""COMPUTED_VALUE"""),"нал")</f>
        <v>нал</v>
      </c>
      <c r="K21" s="1112" t="str">
        <f>IFERROR(__xludf.DUMMYFUNCTION("""COMPUTED_VALUE"""),"Масляный фильтр - Артикул 85062259")</f>
        <v>Масляный фильтр - Артикул 85062259</v>
      </c>
      <c r="L21" s="1112"/>
      <c r="M21" s="1097"/>
      <c r="N21" s="1097"/>
      <c r="O21" s="1097"/>
      <c r="P21" s="1097"/>
      <c r="Q21" s="1097"/>
      <c r="R21" s="1097"/>
      <c r="S21" s="1097"/>
      <c r="T21" s="1097"/>
      <c r="U21" s="1097"/>
      <c r="V21" s="1097"/>
      <c r="W21" s="1097"/>
      <c r="X21" s="1097"/>
      <c r="Y21" s="1097"/>
      <c r="Z21" s="1097"/>
      <c r="AA21" s="1112" t="str">
        <f>IFERROR(__xludf.DUMMYFUNCTION("""COMPUTED_VALUE"""),"CI")</f>
        <v>CI</v>
      </c>
      <c r="AB21" s="1112" t="str">
        <f>IFERROR(__xludf.DUMMYFUNCTION("""COMPUTED_VALUE"""),"davidov@pressair.ru")</f>
        <v>davidov@pressair.ru</v>
      </c>
      <c r="AC21" s="1112" t="str">
        <f>IFERROR(__xludf.DUMMYFUNCTION("""COMPUTED_VALUE"""),"ID_T002")</f>
        <v>ID_T002</v>
      </c>
      <c r="AD21" s="1114">
        <f>IFERROR(__xludf.DUMMYFUNCTION("""COMPUTED_VALUE"""),5450.0)</f>
        <v>5450</v>
      </c>
      <c r="AE21" s="1112" t="str">
        <f>IFERROR(__xludf.DUMMYFUNCTION("""COMPUTED_VALUE"""),"5 рд")</f>
        <v>5 рд</v>
      </c>
      <c r="AF21" s="1112" t="str">
        <f>IFERROR(__xludf.DUMMYFUNCTION("""COMPUTED_VALUE"""),"Масляный фильтр 85062259 = SH8186")</f>
        <v>Масляный фильтр 85062259 = SH8186</v>
      </c>
      <c r="AG21" s="1097"/>
      <c r="AH21" s="1097"/>
      <c r="AI21" s="1097"/>
      <c r="AJ21" s="1097"/>
      <c r="AK21" s="1097"/>
      <c r="AL21" s="1097"/>
      <c r="AM21" s="1097"/>
      <c r="AN21" s="1097"/>
      <c r="AO21" s="1097"/>
      <c r="AP21" s="1097"/>
      <c r="AQ21" s="1097"/>
      <c r="AR21" s="1097"/>
      <c r="AS21" s="1097"/>
      <c r="AT21" s="1097"/>
      <c r="AU21" s="1097"/>
      <c r="AV21" s="1097"/>
      <c r="AW21" s="1097"/>
      <c r="AX21" s="1097"/>
      <c r="AY21" s="1097"/>
      <c r="AZ21" s="1097"/>
      <c r="BA21" s="1097"/>
      <c r="BB21" s="1097"/>
      <c r="BC21" s="1097"/>
      <c r="BD21" s="1114"/>
      <c r="BE21" s="1097"/>
      <c r="BF21" s="1097"/>
      <c r="BG21" s="1097"/>
      <c r="BH21" s="1097"/>
      <c r="BI21" s="1097"/>
      <c r="BJ21" s="1097"/>
      <c r="BK21" s="1097"/>
      <c r="BL21" s="1097"/>
      <c r="BM21" s="1097"/>
      <c r="BN21" s="1097"/>
      <c r="BO21" s="1097"/>
      <c r="BP21" s="1097"/>
      <c r="BQ21" s="1097"/>
      <c r="BR21" s="1097"/>
      <c r="BS21" s="1097"/>
      <c r="BT21" s="1097"/>
      <c r="BU21" s="1097"/>
      <c r="BV21" s="1097"/>
      <c r="BW21" s="1097"/>
      <c r="BX21" s="1097"/>
      <c r="BY21" s="1097"/>
      <c r="BZ21" s="1097"/>
    </row>
    <row r="22">
      <c r="A22" s="1097"/>
      <c r="B22" s="1097"/>
      <c r="C22" s="1097" t="s">
        <v>811</v>
      </c>
      <c r="D22" s="1112" t="str">
        <f>IFERROR(__xludf.DUMMYFUNCTION("""COMPUTED_VALUE"""),"1-1 Сбор КП^CI^ID_T002")</f>
        <v>1-1 Сбор КП^CI^ID_T002</v>
      </c>
      <c r="E22" s="1112" t="str">
        <f>IFERROR(__xludf.DUMMYFUNCTION("""COMPUTED_VALUE"""),"1-1 Сбор КП")</f>
        <v>1-1 Сбор КП</v>
      </c>
      <c r="F22" s="1112" t="str">
        <f>IFERROR(__xludf.DUMMYFUNCTION("""COMPUTED_VALUE"""),"CI")</f>
        <v>CI</v>
      </c>
      <c r="G22" s="1112" t="str">
        <f>IFERROR(__xludf.DUMMYFUNCTION("""COMPUTED_VALUE"""),"davidov@pressair.ru")</f>
        <v>davidov@pressair.ru</v>
      </c>
      <c r="H22" s="1113" t="str">
        <f>IFERROR(__xludf.DUMMYFUNCTION("""COMPUTED_VALUE"""),"ID_T002")</f>
        <v>ID_T002</v>
      </c>
      <c r="I22" s="1114">
        <f>IFERROR(__xludf.DUMMYFUNCTION("""COMPUTED_VALUE"""),5450.0)</f>
        <v>5450</v>
      </c>
      <c r="J22" s="1112" t="str">
        <f>IFERROR(__xludf.DUMMYFUNCTION("""COMPUTED_VALUE"""),"5 рд")</f>
        <v>5 рд</v>
      </c>
      <c r="K22" s="1112" t="str">
        <f>IFERROR(__xludf.DUMMYFUNCTION("""COMPUTED_VALUE"""),"Масляный фильтр 85062259 = SH8186")</f>
        <v>Масляный фильтр 85062259 = SH8186</v>
      </c>
      <c r="L22" s="1112"/>
      <c r="M22" s="1097"/>
      <c r="N22" s="1097"/>
      <c r="O22" s="1097"/>
      <c r="P22" s="1097"/>
      <c r="Q22" s="1097"/>
      <c r="R22" s="1097"/>
      <c r="S22" s="1097"/>
      <c r="T22" s="1097"/>
      <c r="U22" s="1097"/>
      <c r="V22" s="1097"/>
      <c r="W22" s="1097"/>
      <c r="X22" s="1097"/>
      <c r="Y22" s="1097"/>
      <c r="Z22" s="1097"/>
      <c r="AA22" s="1112" t="str">
        <f>IFERROR(__xludf.DUMMYFUNCTION("""COMPUTED_VALUE"""),"BE")</f>
        <v>BE</v>
      </c>
      <c r="AB22" s="1112" t="str">
        <f>IFERROR(__xludf.DUMMYFUNCTION("""COMPUTED_VALUE"""),"order@techfil.ru")</f>
        <v>order@techfil.ru</v>
      </c>
      <c r="AC22" s="1112" t="str">
        <f>IFERROR(__xludf.DUMMYFUNCTION("""COMPUTED_VALUE"""),"ID_T003")</f>
        <v>ID_T003</v>
      </c>
      <c r="AD22" s="1114">
        <f>IFERROR(__xludf.DUMMYFUNCTION("""COMPUTED_VALUE"""),6400.0)</f>
        <v>6400</v>
      </c>
      <c r="AE22" s="1112" t="str">
        <f>IFERROR(__xludf.DUMMYFUNCTION("""COMPUTED_VALUE"""),"5 рд")</f>
        <v>5 рд</v>
      </c>
      <c r="AF22" s="1112" t="str">
        <f>IFERROR(__xludf.DUMMYFUNCTION("""COMPUTED_VALUE"""),"Воздушный фильтр 85067179 [ Аналог A0584/AG0378 ]")</f>
        <v>Воздушный фильтр 85067179 [ Аналог A0584/AG0378 ]</v>
      </c>
      <c r="AG22" s="1097"/>
      <c r="AH22" s="1097"/>
      <c r="AI22" s="1097"/>
      <c r="AJ22" s="1097"/>
      <c r="AK22" s="1097"/>
      <c r="AL22" s="1097"/>
      <c r="AM22" s="1097"/>
      <c r="AN22" s="1097"/>
      <c r="AO22" s="1097"/>
      <c r="AP22" s="1097"/>
      <c r="AQ22" s="1097"/>
      <c r="AR22" s="1097"/>
      <c r="AS22" s="1097"/>
      <c r="AT22" s="1097"/>
      <c r="AU22" s="1097"/>
      <c r="AV22" s="1097"/>
      <c r="AW22" s="1097"/>
      <c r="AX22" s="1097"/>
      <c r="AY22" s="1097"/>
      <c r="AZ22" s="1097"/>
      <c r="BA22" s="1097"/>
      <c r="BB22" s="1097"/>
      <c r="BC22" s="1097"/>
      <c r="BD22" s="1114"/>
      <c r="BE22" s="1097"/>
      <c r="BF22" s="1097"/>
      <c r="BG22" s="1097"/>
      <c r="BH22" s="1097"/>
      <c r="BI22" s="1097"/>
      <c r="BJ22" s="1097"/>
      <c r="BK22" s="1097"/>
      <c r="BL22" s="1097"/>
      <c r="BM22" s="1097"/>
      <c r="BN22" s="1097"/>
      <c r="BO22" s="1097"/>
      <c r="BP22" s="1097"/>
      <c r="BQ22" s="1097"/>
      <c r="BR22" s="1097"/>
      <c r="BS22" s="1097"/>
      <c r="BT22" s="1097"/>
      <c r="BU22" s="1097"/>
      <c r="BV22" s="1097"/>
      <c r="BW22" s="1097"/>
      <c r="BX22" s="1097"/>
      <c r="BY22" s="1097"/>
      <c r="BZ22" s="1097"/>
    </row>
    <row r="23">
      <c r="A23" s="1097"/>
      <c r="B23" s="1097"/>
      <c r="C23" s="1097" t="s">
        <v>812</v>
      </c>
      <c r="D23" s="1112" t="str">
        <f>IFERROR(__xludf.DUMMYFUNCTION("""COMPUTED_VALUE"""),"1-1 Сбор КП^BE^ID_T003")</f>
        <v>1-1 Сбор КП^BE^ID_T003</v>
      </c>
      <c r="E23" s="1112" t="str">
        <f>IFERROR(__xludf.DUMMYFUNCTION("""COMPUTED_VALUE"""),"1-1 Сбор КП")</f>
        <v>1-1 Сбор КП</v>
      </c>
      <c r="F23" s="1112" t="str">
        <f>IFERROR(__xludf.DUMMYFUNCTION("""COMPUTED_VALUE"""),"BE")</f>
        <v>BE</v>
      </c>
      <c r="G23" s="1112" t="str">
        <f>IFERROR(__xludf.DUMMYFUNCTION("""COMPUTED_VALUE"""),"order@techfil.ru")</f>
        <v>order@techfil.ru</v>
      </c>
      <c r="H23" s="1113" t="str">
        <f>IFERROR(__xludf.DUMMYFUNCTION("""COMPUTED_VALUE"""),"ID_T003")</f>
        <v>ID_T003</v>
      </c>
      <c r="I23" s="1114">
        <f>IFERROR(__xludf.DUMMYFUNCTION("""COMPUTED_VALUE"""),6400.0)</f>
        <v>6400</v>
      </c>
      <c r="J23" s="1112" t="str">
        <f>IFERROR(__xludf.DUMMYFUNCTION("""COMPUTED_VALUE"""),"5 рд")</f>
        <v>5 рд</v>
      </c>
      <c r="K23" s="1112" t="str">
        <f>IFERROR(__xludf.DUMMYFUNCTION("""COMPUTED_VALUE"""),"Воздушный фильтр 85067179 [ Аналог A0584/AG0378 ]")</f>
        <v>Воздушный фильтр 85067179 [ Аналог A0584/AG0378 ]</v>
      </c>
      <c r="L23" s="1112"/>
      <c r="M23" s="1097"/>
      <c r="N23" s="1097"/>
      <c r="O23" s="1097"/>
      <c r="P23" s="1097"/>
      <c r="Q23" s="1097"/>
      <c r="R23" s="1097"/>
      <c r="S23" s="1097"/>
      <c r="T23" s="1097"/>
      <c r="U23" s="1097"/>
      <c r="V23" s="1097"/>
      <c r="W23" s="1097"/>
      <c r="X23" s="1097"/>
      <c r="Y23" s="1097"/>
      <c r="Z23" s="1097"/>
      <c r="AA23" s="1112" t="str">
        <f>IFERROR(__xludf.DUMMYFUNCTION("""COMPUTED_VALUE"""),"BH")</f>
        <v>BH</v>
      </c>
      <c r="AB23" s="1112" t="str">
        <f>IFERROR(__xludf.DUMMYFUNCTION("""COMPUTED_VALUE"""),"ca@air-part.ru (1)")</f>
        <v>ca@air-part.ru (1)</v>
      </c>
      <c r="AC23" s="1112" t="str">
        <f>IFERROR(__xludf.DUMMYFUNCTION("""COMPUTED_VALUE"""),"ID_T003")</f>
        <v>ID_T003</v>
      </c>
      <c r="AD23" s="1114">
        <f>IFERROR(__xludf.DUMMYFUNCTION("""COMPUTED_VALUE"""),19800.0)</f>
        <v>19800</v>
      </c>
      <c r="AE23" s="1112" t="str">
        <f>IFERROR(__xludf.DUMMYFUNCTION("""COMPUTED_VALUE"""),"18 нед")</f>
        <v>18 нед</v>
      </c>
      <c r="AF23" s="1112" t="str">
        <f>IFERROR(__xludf.DUMMYFUNCTION("""COMPUTED_VALUE"""),"Воздушный фильтр - Артикул 85067179 (оригинал)")</f>
        <v>Воздушный фильтр - Артикул 85067179 (оригинал)</v>
      </c>
      <c r="AG23" s="1097"/>
      <c r="AH23" s="1097"/>
      <c r="AI23" s="1097"/>
      <c r="AJ23" s="1097"/>
      <c r="AK23" s="1097"/>
      <c r="AL23" s="1097"/>
      <c r="AM23" s="1097"/>
      <c r="AN23" s="1097"/>
      <c r="AO23" s="1097"/>
      <c r="AP23" s="1097"/>
      <c r="AQ23" s="1097"/>
      <c r="AR23" s="1097"/>
      <c r="AS23" s="1097"/>
      <c r="AT23" s="1097"/>
      <c r="AU23" s="1097"/>
      <c r="AV23" s="1097"/>
      <c r="AW23" s="1097"/>
      <c r="AX23" s="1097"/>
      <c r="AY23" s="1097"/>
      <c r="AZ23" s="1097"/>
      <c r="BA23" s="1097"/>
      <c r="BB23" s="1097"/>
      <c r="BC23" s="1097"/>
      <c r="BD23" s="1114"/>
      <c r="BE23" s="1097"/>
      <c r="BF23" s="1097"/>
      <c r="BG23" s="1097"/>
      <c r="BH23" s="1097"/>
      <c r="BI23" s="1097"/>
      <c r="BJ23" s="1097"/>
      <c r="BK23" s="1097"/>
      <c r="BL23" s="1097"/>
      <c r="BM23" s="1097"/>
      <c r="BN23" s="1097"/>
      <c r="BO23" s="1097"/>
      <c r="BP23" s="1097"/>
      <c r="BQ23" s="1097"/>
      <c r="BR23" s="1097"/>
      <c r="BS23" s="1097"/>
      <c r="BT23" s="1097"/>
      <c r="BU23" s="1097"/>
      <c r="BV23" s="1097"/>
      <c r="BW23" s="1097"/>
      <c r="BX23" s="1097"/>
      <c r="BY23" s="1097"/>
      <c r="BZ23" s="1097"/>
    </row>
    <row r="24">
      <c r="A24" s="1097"/>
      <c r="B24" s="1097"/>
      <c r="C24" s="1097" t="s">
        <v>813</v>
      </c>
      <c r="D24" s="1112" t="str">
        <f>IFERROR(__xludf.DUMMYFUNCTION("""COMPUTED_VALUE"""),"1-1 Сбор КП^BH^ID_T003")</f>
        <v>1-1 Сбор КП^BH^ID_T003</v>
      </c>
      <c r="E24" s="1112" t="str">
        <f>IFERROR(__xludf.DUMMYFUNCTION("""COMPUTED_VALUE"""),"1-1 Сбор КП")</f>
        <v>1-1 Сбор КП</v>
      </c>
      <c r="F24" s="1112" t="str">
        <f>IFERROR(__xludf.DUMMYFUNCTION("""COMPUTED_VALUE"""),"BH")</f>
        <v>BH</v>
      </c>
      <c r="G24" s="1112" t="str">
        <f>IFERROR(__xludf.DUMMYFUNCTION("""COMPUTED_VALUE"""),"ca@air-part.ru (1)")</f>
        <v>ca@air-part.ru (1)</v>
      </c>
      <c r="H24" s="1113" t="str">
        <f>IFERROR(__xludf.DUMMYFUNCTION("""COMPUTED_VALUE"""),"ID_T003")</f>
        <v>ID_T003</v>
      </c>
      <c r="I24" s="1114">
        <f>IFERROR(__xludf.DUMMYFUNCTION("""COMPUTED_VALUE"""),19800.0)</f>
        <v>19800</v>
      </c>
      <c r="J24" s="1112" t="str">
        <f>IFERROR(__xludf.DUMMYFUNCTION("""COMPUTED_VALUE"""),"18 нед")</f>
        <v>18 нед</v>
      </c>
      <c r="K24" s="1112" t="str">
        <f>IFERROR(__xludf.DUMMYFUNCTION("""COMPUTED_VALUE"""),"Воздушный фильтр - Артикул 85067179 (оригинал)")</f>
        <v>Воздушный фильтр - Артикул 85067179 (оригинал)</v>
      </c>
      <c r="L24" s="1112"/>
      <c r="M24" s="1097"/>
      <c r="N24" s="1097"/>
      <c r="O24" s="1097"/>
      <c r="P24" s="1097"/>
      <c r="Q24" s="1097"/>
      <c r="R24" s="1097"/>
      <c r="S24" s="1097"/>
      <c r="T24" s="1097"/>
      <c r="U24" s="1097"/>
      <c r="V24" s="1097"/>
      <c r="W24" s="1097"/>
      <c r="X24" s="1097"/>
      <c r="Y24" s="1097"/>
      <c r="Z24" s="1097"/>
      <c r="AA24" s="1112" t="str">
        <f>IFERROR(__xludf.DUMMYFUNCTION("""COMPUTED_VALUE"""),"BK")</f>
        <v>BK</v>
      </c>
      <c r="AB24" s="1112" t="str">
        <f>IFERROR(__xludf.DUMMYFUNCTION("""COMPUTED_VALUE"""),"ca@air-part.ru (2)")</f>
        <v>ca@air-part.ru (2)</v>
      </c>
      <c r="AC24" s="1112" t="str">
        <f>IFERROR(__xludf.DUMMYFUNCTION("""COMPUTED_VALUE"""),"ID_T003")</f>
        <v>ID_T003</v>
      </c>
      <c r="AD24" s="1114">
        <f>IFERROR(__xludf.DUMMYFUNCTION("""COMPUTED_VALUE"""),6500.0)</f>
        <v>6500</v>
      </c>
      <c r="AE24" s="1112" t="str">
        <f>IFERROR(__xludf.DUMMYFUNCTION("""COMPUTED_VALUE"""),"нал")</f>
        <v>нал</v>
      </c>
      <c r="AF24" s="1112" t="str">
        <f>IFERROR(__xludf.DUMMYFUNCTION("""COMPUTED_VALUE"""),"Воздушный фильтр - Артикул 85067179 (аналог)")</f>
        <v>Воздушный фильтр - Артикул 85067179 (аналог)</v>
      </c>
      <c r="AG24" s="1097"/>
      <c r="AH24" s="1097"/>
      <c r="AI24" s="1097"/>
      <c r="AJ24" s="1097"/>
      <c r="AK24" s="1097"/>
      <c r="AL24" s="1097"/>
      <c r="AM24" s="1097"/>
      <c r="AN24" s="1097"/>
      <c r="AO24" s="1097"/>
      <c r="AP24" s="1097"/>
      <c r="AQ24" s="1097"/>
      <c r="AR24" s="1097"/>
      <c r="AS24" s="1097"/>
      <c r="AT24" s="1097"/>
      <c r="AU24" s="1097"/>
      <c r="AV24" s="1097"/>
      <c r="AW24" s="1097"/>
      <c r="AX24" s="1097"/>
      <c r="AY24" s="1097"/>
      <c r="AZ24" s="1097"/>
      <c r="BA24" s="1097"/>
      <c r="BB24" s="1097"/>
      <c r="BC24" s="1097"/>
      <c r="BD24" s="1114"/>
      <c r="BE24" s="1097"/>
      <c r="BF24" s="1097"/>
      <c r="BG24" s="1097"/>
      <c r="BH24" s="1097"/>
      <c r="BI24" s="1097"/>
      <c r="BJ24" s="1097"/>
      <c r="BK24" s="1097"/>
      <c r="BL24" s="1097"/>
      <c r="BM24" s="1097"/>
      <c r="BN24" s="1097"/>
      <c r="BO24" s="1097"/>
      <c r="BP24" s="1097"/>
      <c r="BQ24" s="1097"/>
      <c r="BR24" s="1097"/>
      <c r="BS24" s="1097"/>
      <c r="BT24" s="1097"/>
      <c r="BU24" s="1097"/>
      <c r="BV24" s="1097"/>
      <c r="BW24" s="1097"/>
      <c r="BX24" s="1097"/>
      <c r="BY24" s="1097"/>
      <c r="BZ24" s="1097"/>
    </row>
    <row r="25">
      <c r="A25" s="1097"/>
      <c r="B25" s="1097"/>
      <c r="C25" s="1097" t="s">
        <v>814</v>
      </c>
      <c r="D25" s="1112" t="str">
        <f>IFERROR(__xludf.DUMMYFUNCTION("""COMPUTED_VALUE"""),"1-1 Сбор КП^BK^ID_T003")</f>
        <v>1-1 Сбор КП^BK^ID_T003</v>
      </c>
      <c r="E25" s="1112" t="str">
        <f>IFERROR(__xludf.DUMMYFUNCTION("""COMPUTED_VALUE"""),"1-1 Сбор КП")</f>
        <v>1-1 Сбор КП</v>
      </c>
      <c r="F25" s="1112" t="str">
        <f>IFERROR(__xludf.DUMMYFUNCTION("""COMPUTED_VALUE"""),"BK")</f>
        <v>BK</v>
      </c>
      <c r="G25" s="1112" t="str">
        <f>IFERROR(__xludf.DUMMYFUNCTION("""COMPUTED_VALUE"""),"ca@air-part.ru (2)")</f>
        <v>ca@air-part.ru (2)</v>
      </c>
      <c r="H25" s="1113" t="str">
        <f>IFERROR(__xludf.DUMMYFUNCTION("""COMPUTED_VALUE"""),"ID_T003")</f>
        <v>ID_T003</v>
      </c>
      <c r="I25" s="1114">
        <f>IFERROR(__xludf.DUMMYFUNCTION("""COMPUTED_VALUE"""),6500.0)</f>
        <v>6500</v>
      </c>
      <c r="J25" s="1112" t="str">
        <f>IFERROR(__xludf.DUMMYFUNCTION("""COMPUTED_VALUE"""),"нал")</f>
        <v>нал</v>
      </c>
      <c r="K25" s="1112" t="str">
        <f>IFERROR(__xludf.DUMMYFUNCTION("""COMPUTED_VALUE"""),"Воздушный фильтр - Артикул 85067179 (аналог)")</f>
        <v>Воздушный фильтр - Артикул 85067179 (аналог)</v>
      </c>
      <c r="L25" s="1112"/>
      <c r="M25" s="1097"/>
      <c r="N25" s="1097"/>
      <c r="O25" s="1097"/>
      <c r="P25" s="1097"/>
      <c r="Q25" s="1097"/>
      <c r="R25" s="1097"/>
      <c r="S25" s="1097"/>
      <c r="T25" s="1097"/>
      <c r="U25" s="1097"/>
      <c r="V25" s="1097"/>
      <c r="W25" s="1097"/>
      <c r="X25" s="1097"/>
      <c r="Y25" s="1097"/>
      <c r="Z25" s="1097"/>
      <c r="AA25" s="1112" t="str">
        <f>IFERROR(__xludf.DUMMYFUNCTION("""COMPUTED_VALUE"""),"BQ")</f>
        <v>BQ</v>
      </c>
      <c r="AB25" s="1112" t="str">
        <f>IFERROR(__xludf.DUMMYFUNCTION("""COMPUTED_VALUE"""),"zap-premium@mail.ru")</f>
        <v>zap-premium@mail.ru</v>
      </c>
      <c r="AC25" s="1112" t="str">
        <f>IFERROR(__xludf.DUMMYFUNCTION("""COMPUTED_VALUE"""),"ID_T003")</f>
        <v>ID_T003</v>
      </c>
      <c r="AD25" s="1114">
        <f>IFERROR(__xludf.DUMMYFUNCTION("""COMPUTED_VALUE"""),4700.0)</f>
        <v>4700</v>
      </c>
      <c r="AE25" s="1112" t="str">
        <f>IFERROR(__xludf.DUMMYFUNCTION("""COMPUTED_VALUE"""),"7 рд")</f>
        <v>7 рд</v>
      </c>
      <c r="AF25" s="1112" t="str">
        <f>IFERROR(__xludf.DUMMYFUNCTION("""COMPUTED_VALUE"""),"Фильтр воздушный 85067179 аналог")</f>
        <v>Фильтр воздушный 85067179 аналог</v>
      </c>
      <c r="AG25" s="1097"/>
      <c r="AH25" s="1097"/>
      <c r="AI25" s="1097"/>
      <c r="AJ25" s="1097"/>
      <c r="AK25" s="1097"/>
      <c r="AL25" s="1097"/>
      <c r="AM25" s="1097"/>
      <c r="AN25" s="1097"/>
      <c r="AO25" s="1097"/>
      <c r="AP25" s="1097"/>
      <c r="AQ25" s="1097"/>
      <c r="AR25" s="1097"/>
      <c r="AS25" s="1097"/>
      <c r="AT25" s="1097"/>
      <c r="AU25" s="1097"/>
      <c r="AV25" s="1097"/>
      <c r="AW25" s="1097"/>
      <c r="AX25" s="1097"/>
      <c r="AY25" s="1097"/>
      <c r="AZ25" s="1097"/>
      <c r="BA25" s="1097"/>
      <c r="BB25" s="1097"/>
      <c r="BC25" s="1097"/>
      <c r="BD25" s="1114"/>
      <c r="BE25" s="1097"/>
      <c r="BF25" s="1097"/>
      <c r="BG25" s="1097"/>
      <c r="BH25" s="1097"/>
      <c r="BI25" s="1097"/>
      <c r="BJ25" s="1097"/>
      <c r="BK25" s="1097"/>
      <c r="BL25" s="1097"/>
      <c r="BM25" s="1097"/>
      <c r="BN25" s="1097"/>
      <c r="BO25" s="1097"/>
      <c r="BP25" s="1097"/>
      <c r="BQ25" s="1097"/>
      <c r="BR25" s="1097"/>
      <c r="BS25" s="1097"/>
      <c r="BT25" s="1097"/>
      <c r="BU25" s="1097"/>
      <c r="BV25" s="1097"/>
      <c r="BW25" s="1097"/>
      <c r="BX25" s="1097"/>
      <c r="BY25" s="1097"/>
      <c r="BZ25" s="1097"/>
    </row>
    <row r="26">
      <c r="A26" s="1097"/>
      <c r="B26" s="1097"/>
      <c r="C26" s="1097" t="s">
        <v>815</v>
      </c>
      <c r="D26" s="1112" t="str">
        <f>IFERROR(__xludf.DUMMYFUNCTION("""COMPUTED_VALUE"""),"1-1 Сбор КП^BQ^ID_T003")</f>
        <v>1-1 Сбор КП^BQ^ID_T003</v>
      </c>
      <c r="E26" s="1112" t="str">
        <f>IFERROR(__xludf.DUMMYFUNCTION("""COMPUTED_VALUE"""),"1-1 Сбор КП")</f>
        <v>1-1 Сбор КП</v>
      </c>
      <c r="F26" s="1112" t="str">
        <f>IFERROR(__xludf.DUMMYFUNCTION("""COMPUTED_VALUE"""),"BQ")</f>
        <v>BQ</v>
      </c>
      <c r="G26" s="1112" t="str">
        <f>IFERROR(__xludf.DUMMYFUNCTION("""COMPUTED_VALUE"""),"zap-premium@mail.ru")</f>
        <v>zap-premium@mail.ru</v>
      </c>
      <c r="H26" s="1113" t="str">
        <f>IFERROR(__xludf.DUMMYFUNCTION("""COMPUTED_VALUE"""),"ID_T003")</f>
        <v>ID_T003</v>
      </c>
      <c r="I26" s="1114">
        <f>IFERROR(__xludf.DUMMYFUNCTION("""COMPUTED_VALUE"""),4700.0)</f>
        <v>4700</v>
      </c>
      <c r="J26" s="1112" t="str">
        <f>IFERROR(__xludf.DUMMYFUNCTION("""COMPUTED_VALUE"""),"7 рд")</f>
        <v>7 рд</v>
      </c>
      <c r="K26" s="1112" t="str">
        <f>IFERROR(__xludf.DUMMYFUNCTION("""COMPUTED_VALUE"""),"Фильтр воздушный 85067179 аналог")</f>
        <v>Фильтр воздушный 85067179 аналог</v>
      </c>
      <c r="L26" s="1112"/>
      <c r="M26" s="1097"/>
      <c r="N26" s="1097"/>
      <c r="O26" s="1097"/>
      <c r="P26" s="1097"/>
      <c r="Q26" s="1097"/>
      <c r="R26" s="1097"/>
      <c r="S26" s="1097"/>
      <c r="T26" s="1097"/>
      <c r="U26" s="1097"/>
      <c r="V26" s="1097"/>
      <c r="W26" s="1097"/>
      <c r="X26" s="1097"/>
      <c r="Y26" s="1097"/>
      <c r="Z26" s="1097"/>
      <c r="AA26" s="1112" t="str">
        <f>IFERROR(__xludf.DUMMYFUNCTION("""COMPUTED_VALUE"""),"BZ")</f>
        <v>BZ</v>
      </c>
      <c r="AB26" s="1112" t="str">
        <f>IFERROR(__xludf.DUMMYFUNCTION("""COMPUTED_VALUE"""),"r.staroverov@evlart.ru")</f>
        <v>r.staroverov@evlart.ru</v>
      </c>
      <c r="AC26" s="1112" t="str">
        <f>IFERROR(__xludf.DUMMYFUNCTION("""COMPUTED_VALUE"""),"ID_T003")</f>
        <v>ID_T003</v>
      </c>
      <c r="AD26" s="1114">
        <f>IFERROR(__xludf.DUMMYFUNCTION("""COMPUTED_VALUE"""),4902.0)</f>
        <v>4902</v>
      </c>
      <c r="AE26" s="1112" t="str">
        <f>IFERROR(__xludf.DUMMYFUNCTION("""COMPUTED_VALUE"""),"нал")</f>
        <v>нал</v>
      </c>
      <c r="AF26" s="1112" t="str">
        <f>IFERROR(__xludf.DUMMYFUNCTION("""COMPUTED_VALUE"""),"Воздушный фильтр - Артикул 85067179 
Аналог")</f>
        <v>Воздушный фильтр - Артикул 85067179 
Аналог</v>
      </c>
      <c r="AG26" s="1097"/>
      <c r="AH26" s="1097"/>
      <c r="AI26" s="1097"/>
      <c r="AJ26" s="1097"/>
      <c r="AK26" s="1097"/>
      <c r="AL26" s="1097"/>
      <c r="AM26" s="1097"/>
      <c r="AN26" s="1097"/>
      <c r="AO26" s="1097"/>
      <c r="AP26" s="1097"/>
      <c r="AQ26" s="1097"/>
      <c r="AR26" s="1097"/>
      <c r="AS26" s="1097"/>
      <c r="AT26" s="1097"/>
      <c r="AU26" s="1097"/>
      <c r="AV26" s="1097"/>
      <c r="AW26" s="1097"/>
      <c r="AX26" s="1097"/>
      <c r="AY26" s="1097"/>
      <c r="AZ26" s="1097"/>
      <c r="BA26" s="1097"/>
      <c r="BB26" s="1097"/>
      <c r="BC26" s="1097"/>
      <c r="BD26" s="1114"/>
      <c r="BE26" s="1097"/>
      <c r="BF26" s="1097"/>
      <c r="BG26" s="1097"/>
      <c r="BH26" s="1097"/>
      <c r="BI26" s="1097"/>
      <c r="BJ26" s="1097"/>
      <c r="BK26" s="1097"/>
      <c r="BL26" s="1097"/>
      <c r="BM26" s="1097"/>
      <c r="BN26" s="1097"/>
      <c r="BO26" s="1097"/>
      <c r="BP26" s="1097"/>
      <c r="BQ26" s="1097"/>
      <c r="BR26" s="1097"/>
      <c r="BS26" s="1097"/>
      <c r="BT26" s="1097"/>
      <c r="BU26" s="1097"/>
      <c r="BV26" s="1097"/>
      <c r="BW26" s="1097"/>
      <c r="BX26" s="1097"/>
      <c r="BY26" s="1097"/>
      <c r="BZ26" s="1097"/>
    </row>
    <row r="27">
      <c r="A27" s="1097"/>
      <c r="B27" s="1097"/>
      <c r="C27" s="1097" t="s">
        <v>816</v>
      </c>
      <c r="D27" s="1112" t="str">
        <f>IFERROR(__xludf.DUMMYFUNCTION("""COMPUTED_VALUE"""),"1-1 Сбор КП^BZ^ID_T003")</f>
        <v>1-1 Сбор КП^BZ^ID_T003</v>
      </c>
      <c r="E27" s="1112" t="str">
        <f>IFERROR(__xludf.DUMMYFUNCTION("""COMPUTED_VALUE"""),"1-1 Сбор КП")</f>
        <v>1-1 Сбор КП</v>
      </c>
      <c r="F27" s="1112" t="str">
        <f>IFERROR(__xludf.DUMMYFUNCTION("""COMPUTED_VALUE"""),"BZ")</f>
        <v>BZ</v>
      </c>
      <c r="G27" s="1112" t="str">
        <f>IFERROR(__xludf.DUMMYFUNCTION("""COMPUTED_VALUE"""),"r.staroverov@evlart.ru")</f>
        <v>r.staroverov@evlart.ru</v>
      </c>
      <c r="H27" s="1113" t="str">
        <f>IFERROR(__xludf.DUMMYFUNCTION("""COMPUTED_VALUE"""),"ID_T003")</f>
        <v>ID_T003</v>
      </c>
      <c r="I27" s="1114">
        <f>IFERROR(__xludf.DUMMYFUNCTION("""COMPUTED_VALUE"""),4902.0)</f>
        <v>4902</v>
      </c>
      <c r="J27" s="1112" t="str">
        <f>IFERROR(__xludf.DUMMYFUNCTION("""COMPUTED_VALUE"""),"нал")</f>
        <v>нал</v>
      </c>
      <c r="K27" s="1112" t="str">
        <f>IFERROR(__xludf.DUMMYFUNCTION("""COMPUTED_VALUE"""),"Воздушный фильтр - Артикул 85067179 
Аналог")</f>
        <v>Воздушный фильтр - Артикул 85067179 
Аналог</v>
      </c>
      <c r="L27" s="1112"/>
      <c r="M27" s="1097"/>
      <c r="N27" s="1097"/>
      <c r="O27" s="1097"/>
      <c r="P27" s="1097"/>
      <c r="Q27" s="1097"/>
      <c r="R27" s="1097"/>
      <c r="S27" s="1097"/>
      <c r="T27" s="1097"/>
      <c r="U27" s="1097"/>
      <c r="V27" s="1097"/>
      <c r="W27" s="1097"/>
      <c r="X27" s="1097"/>
      <c r="Y27" s="1097"/>
      <c r="Z27" s="1097"/>
      <c r="AA27" s="1112" t="str">
        <f>IFERROR(__xludf.DUMMYFUNCTION("""COMPUTED_VALUE"""),"CI")</f>
        <v>CI</v>
      </c>
      <c r="AB27" s="1112" t="str">
        <f>IFERROR(__xludf.DUMMYFUNCTION("""COMPUTED_VALUE"""),"davidov@pressair.ru")</f>
        <v>davidov@pressair.ru</v>
      </c>
      <c r="AC27" s="1112" t="str">
        <f>IFERROR(__xludf.DUMMYFUNCTION("""COMPUTED_VALUE"""),"ID_T003")</f>
        <v>ID_T003</v>
      </c>
      <c r="AD27" s="1114">
        <f>IFERROR(__xludf.DUMMYFUNCTION("""COMPUTED_VALUE"""),5000.0)</f>
        <v>5000</v>
      </c>
      <c r="AE27" s="1112" t="str">
        <f>IFERROR(__xludf.DUMMYFUNCTION("""COMPUTED_VALUE"""),"5 рд")</f>
        <v>5 рд</v>
      </c>
      <c r="AF27" s="1112" t="str">
        <f>IFERROR(__xludf.DUMMYFUNCTION("""COMPUTED_VALUE"""),"Воздушный фильтр 85067179 = AG0378")</f>
        <v>Воздушный фильтр 85067179 = AG0378</v>
      </c>
      <c r="AG27" s="1097"/>
      <c r="AH27" s="1097"/>
      <c r="AI27" s="1097"/>
      <c r="AJ27" s="1097"/>
      <c r="AK27" s="1097"/>
      <c r="AL27" s="1097"/>
      <c r="AM27" s="1097"/>
      <c r="AN27" s="1097"/>
      <c r="AO27" s="1097"/>
      <c r="AP27" s="1097"/>
      <c r="AQ27" s="1097"/>
      <c r="AR27" s="1097"/>
      <c r="AS27" s="1097"/>
      <c r="AT27" s="1097"/>
      <c r="AU27" s="1097"/>
      <c r="AV27" s="1097"/>
      <c r="AW27" s="1097"/>
      <c r="AX27" s="1097"/>
      <c r="AY27" s="1097"/>
      <c r="AZ27" s="1097"/>
      <c r="BA27" s="1097"/>
      <c r="BB27" s="1097"/>
      <c r="BC27" s="1097"/>
      <c r="BD27" s="1114"/>
      <c r="BE27" s="1097"/>
      <c r="BF27" s="1097"/>
      <c r="BG27" s="1097"/>
      <c r="BH27" s="1097"/>
      <c r="BI27" s="1097"/>
      <c r="BJ27" s="1097"/>
      <c r="BK27" s="1097"/>
      <c r="BL27" s="1097"/>
      <c r="BM27" s="1097"/>
      <c r="BN27" s="1097"/>
      <c r="BO27" s="1097"/>
      <c r="BP27" s="1097"/>
      <c r="BQ27" s="1097"/>
      <c r="BR27" s="1097"/>
      <c r="BS27" s="1097"/>
      <c r="BT27" s="1097"/>
      <c r="BU27" s="1097"/>
      <c r="BV27" s="1097"/>
      <c r="BW27" s="1097"/>
      <c r="BX27" s="1097"/>
      <c r="BY27" s="1097"/>
      <c r="BZ27" s="1097"/>
    </row>
    <row r="28">
      <c r="A28" s="1097"/>
      <c r="B28" s="1097"/>
      <c r="C28" s="1097" t="s">
        <v>820</v>
      </c>
      <c r="D28" s="1112" t="str">
        <f>IFERROR(__xludf.DUMMYFUNCTION("""COMPUTED_VALUE"""),"1-1 Сбор КП^CI^ID_T003")</f>
        <v>1-1 Сбор КП^CI^ID_T003</v>
      </c>
      <c r="E28" s="1112" t="str">
        <f>IFERROR(__xludf.DUMMYFUNCTION("""COMPUTED_VALUE"""),"1-1 Сбор КП")</f>
        <v>1-1 Сбор КП</v>
      </c>
      <c r="F28" s="1112" t="str">
        <f>IFERROR(__xludf.DUMMYFUNCTION("""COMPUTED_VALUE"""),"CI")</f>
        <v>CI</v>
      </c>
      <c r="G28" s="1112" t="str">
        <f>IFERROR(__xludf.DUMMYFUNCTION("""COMPUTED_VALUE"""),"davidov@pressair.ru")</f>
        <v>davidov@pressair.ru</v>
      </c>
      <c r="H28" s="1113" t="str">
        <f>IFERROR(__xludf.DUMMYFUNCTION("""COMPUTED_VALUE"""),"ID_T003")</f>
        <v>ID_T003</v>
      </c>
      <c r="I28" s="1114">
        <f>IFERROR(__xludf.DUMMYFUNCTION("""COMPUTED_VALUE"""),5000.0)</f>
        <v>5000</v>
      </c>
      <c r="J28" s="1112" t="str">
        <f>IFERROR(__xludf.DUMMYFUNCTION("""COMPUTED_VALUE"""),"5 рд")</f>
        <v>5 рд</v>
      </c>
      <c r="K28" s="1112" t="str">
        <f>IFERROR(__xludf.DUMMYFUNCTION("""COMPUTED_VALUE"""),"Воздушный фильтр 85067179 = AG0378")</f>
        <v>Воздушный фильтр 85067179 = AG0378</v>
      </c>
      <c r="L28" s="1112"/>
      <c r="M28" s="1097"/>
      <c r="N28" s="1097"/>
      <c r="O28" s="1097"/>
      <c r="P28" s="1097"/>
      <c r="Q28" s="1097"/>
      <c r="R28" s="1097"/>
      <c r="S28" s="1097"/>
      <c r="T28" s="1097"/>
      <c r="U28" s="1097"/>
      <c r="V28" s="1097"/>
      <c r="W28" s="1097"/>
      <c r="X28" s="1097"/>
      <c r="Y28" s="1097"/>
      <c r="Z28" s="1097"/>
      <c r="AA28" s="1112" t="str">
        <f>IFERROR(__xludf.DUMMYFUNCTION("""COMPUTED_VALUE"""),"BE")</f>
        <v>BE</v>
      </c>
      <c r="AB28" s="1112" t="str">
        <f>IFERROR(__xludf.DUMMYFUNCTION("""COMPUTED_VALUE"""),"order@techfil.ru")</f>
        <v>order@techfil.ru</v>
      </c>
      <c r="AC28" s="1112" t="str">
        <f>IFERROR(__xludf.DUMMYFUNCTION("""COMPUTED_VALUE"""),"ID_T005")</f>
        <v>ID_T005</v>
      </c>
      <c r="AD28" s="1114">
        <f>IFERROR(__xludf.DUMMYFUNCTION("""COMPUTED_VALUE"""),12800.0)</f>
        <v>12800</v>
      </c>
      <c r="AE28" s="1112" t="str">
        <f>IFERROR(__xludf.DUMMYFUNCTION("""COMPUTED_VALUE"""),"5 рд")</f>
        <v>5 рд</v>
      </c>
      <c r="AF28" s="1112" t="str">
        <f>IFERROR(__xludf.DUMMYFUNCTION("""COMPUTED_VALUE"""),"Cепаратор 03498328 [ Аналог DA1118 ] ")</f>
        <v>Cепаратор 03498328 [ Аналог DA1118 ] </v>
      </c>
      <c r="AG28" s="1097"/>
      <c r="AH28" s="1097"/>
      <c r="AI28" s="1097"/>
      <c r="AJ28" s="1097"/>
      <c r="AK28" s="1097"/>
      <c r="AL28" s="1097"/>
      <c r="AM28" s="1097"/>
      <c r="AN28" s="1097"/>
      <c r="AO28" s="1097"/>
      <c r="AP28" s="1097"/>
      <c r="AQ28" s="1097"/>
      <c r="AR28" s="1097"/>
      <c r="AS28" s="1097"/>
      <c r="AT28" s="1097"/>
      <c r="AU28" s="1097"/>
      <c r="AV28" s="1097"/>
      <c r="AW28" s="1097"/>
      <c r="AX28" s="1097"/>
      <c r="AY28" s="1097"/>
      <c r="AZ28" s="1097"/>
      <c r="BA28" s="1097"/>
      <c r="BB28" s="1097"/>
      <c r="BC28" s="1097"/>
      <c r="BD28" s="1114"/>
      <c r="BE28" s="1097"/>
      <c r="BF28" s="1097"/>
      <c r="BG28" s="1097"/>
      <c r="BH28" s="1097"/>
      <c r="BI28" s="1097"/>
      <c r="BJ28" s="1097"/>
      <c r="BK28" s="1097"/>
      <c r="BL28" s="1097"/>
      <c r="BM28" s="1097"/>
      <c r="BN28" s="1097"/>
      <c r="BO28" s="1097"/>
      <c r="BP28" s="1097"/>
      <c r="BQ28" s="1097"/>
      <c r="BR28" s="1097"/>
      <c r="BS28" s="1097"/>
      <c r="BT28" s="1097"/>
      <c r="BU28" s="1097"/>
      <c r="BV28" s="1097"/>
      <c r="BW28" s="1097"/>
      <c r="BX28" s="1097"/>
      <c r="BY28" s="1097"/>
      <c r="BZ28" s="1097"/>
    </row>
    <row r="29">
      <c r="A29" s="1097"/>
      <c r="B29" s="1097"/>
      <c r="C29" s="1097" t="s">
        <v>821</v>
      </c>
      <c r="D29" s="1112" t="str">
        <f>IFERROR(__xludf.DUMMYFUNCTION("""COMPUTED_VALUE"""),"1-1 Сбор КП^BE^ID_T005")</f>
        <v>1-1 Сбор КП^BE^ID_T005</v>
      </c>
      <c r="E29" s="1112" t="str">
        <f>IFERROR(__xludf.DUMMYFUNCTION("""COMPUTED_VALUE"""),"1-1 Сбор КП")</f>
        <v>1-1 Сбор КП</v>
      </c>
      <c r="F29" s="1112" t="str">
        <f>IFERROR(__xludf.DUMMYFUNCTION("""COMPUTED_VALUE"""),"BE")</f>
        <v>BE</v>
      </c>
      <c r="G29" s="1112" t="str">
        <f>IFERROR(__xludf.DUMMYFUNCTION("""COMPUTED_VALUE"""),"order@techfil.ru")</f>
        <v>order@techfil.ru</v>
      </c>
      <c r="H29" s="1113" t="str">
        <f>IFERROR(__xludf.DUMMYFUNCTION("""COMPUTED_VALUE"""),"ID_T005")</f>
        <v>ID_T005</v>
      </c>
      <c r="I29" s="1114">
        <f>IFERROR(__xludf.DUMMYFUNCTION("""COMPUTED_VALUE"""),12800.0)</f>
        <v>12800</v>
      </c>
      <c r="J29" s="1112" t="str">
        <f>IFERROR(__xludf.DUMMYFUNCTION("""COMPUTED_VALUE"""),"5 рд")</f>
        <v>5 рд</v>
      </c>
      <c r="K29" s="1112" t="str">
        <f>IFERROR(__xludf.DUMMYFUNCTION("""COMPUTED_VALUE"""),"Cепаратор 03498328 [ Аналог DA1118 ] ")</f>
        <v>Cепаратор 03498328 [ Аналог DA1118 ] </v>
      </c>
      <c r="L29" s="1112"/>
      <c r="M29" s="1097"/>
      <c r="N29" s="1097"/>
      <c r="O29" s="1097"/>
      <c r="P29" s="1097"/>
      <c r="Q29" s="1097"/>
      <c r="R29" s="1097"/>
      <c r="S29" s="1097"/>
      <c r="T29" s="1097"/>
      <c r="U29" s="1097"/>
      <c r="V29" s="1097"/>
      <c r="W29" s="1097"/>
      <c r="X29" s="1097"/>
      <c r="Y29" s="1097"/>
      <c r="Z29" s="1097"/>
      <c r="AA29" s="1112" t="str">
        <f>IFERROR(__xludf.DUMMYFUNCTION("""COMPUTED_VALUE"""),"BH")</f>
        <v>BH</v>
      </c>
      <c r="AB29" s="1112" t="str">
        <f>IFERROR(__xludf.DUMMYFUNCTION("""COMPUTED_VALUE"""),"ca@air-part.ru (1)")</f>
        <v>ca@air-part.ru (1)</v>
      </c>
      <c r="AC29" s="1112" t="str">
        <f>IFERROR(__xludf.DUMMYFUNCTION("""COMPUTED_VALUE"""),"ID_T005")</f>
        <v>ID_T005</v>
      </c>
      <c r="AD29" s="1114">
        <f>IFERROR(__xludf.DUMMYFUNCTION("""COMPUTED_VALUE"""),16600.0)</f>
        <v>16600</v>
      </c>
      <c r="AE29" s="1112" t="str">
        <f>IFERROR(__xludf.DUMMYFUNCTION("""COMPUTED_VALUE"""),"18 нед")</f>
        <v>18 нед</v>
      </c>
      <c r="AF29" s="1112" t="str">
        <f>IFERROR(__xludf.DUMMYFUNCTION("""COMPUTED_VALUE"""),"Масляный сепаратор Артикул 03498328 (оригинал) ")</f>
        <v>Масляный сепаратор Артикул 03498328 (оригинал) </v>
      </c>
      <c r="AG29" s="1097"/>
      <c r="AH29" s="1097"/>
      <c r="AI29" s="1097"/>
      <c r="AJ29" s="1097"/>
      <c r="AK29" s="1097"/>
      <c r="AL29" s="1097"/>
      <c r="AM29" s="1097"/>
      <c r="AN29" s="1097"/>
      <c r="AO29" s="1097"/>
      <c r="AP29" s="1097"/>
      <c r="AQ29" s="1097"/>
      <c r="AR29" s="1097"/>
      <c r="AS29" s="1097"/>
      <c r="AT29" s="1097"/>
      <c r="AU29" s="1097"/>
      <c r="AV29" s="1097"/>
      <c r="AW29" s="1097"/>
      <c r="AX29" s="1097"/>
      <c r="AY29" s="1097"/>
      <c r="AZ29" s="1097"/>
      <c r="BA29" s="1097"/>
      <c r="BB29" s="1097"/>
      <c r="BC29" s="1097"/>
      <c r="BD29" s="1114"/>
      <c r="BE29" s="1097"/>
      <c r="BF29" s="1097"/>
      <c r="BG29" s="1097"/>
      <c r="BH29" s="1097"/>
      <c r="BI29" s="1097"/>
      <c r="BJ29" s="1097"/>
      <c r="BK29" s="1097"/>
      <c r="BL29" s="1097"/>
      <c r="BM29" s="1097"/>
      <c r="BN29" s="1097"/>
      <c r="BO29" s="1097"/>
      <c r="BP29" s="1097"/>
      <c r="BQ29" s="1097"/>
      <c r="BR29" s="1097"/>
      <c r="BS29" s="1097"/>
      <c r="BT29" s="1097"/>
      <c r="BU29" s="1097"/>
      <c r="BV29" s="1097"/>
      <c r="BW29" s="1097"/>
      <c r="BX29" s="1097"/>
      <c r="BY29" s="1097"/>
      <c r="BZ29" s="1097"/>
    </row>
    <row r="30">
      <c r="A30" s="1097"/>
      <c r="B30" s="1097"/>
      <c r="C30" s="1097" t="s">
        <v>822</v>
      </c>
      <c r="D30" s="1112" t="str">
        <f>IFERROR(__xludf.DUMMYFUNCTION("""COMPUTED_VALUE"""),"1-1 Сбор КП^BH^ID_T005")</f>
        <v>1-1 Сбор КП^BH^ID_T005</v>
      </c>
      <c r="E30" s="1112" t="str">
        <f>IFERROR(__xludf.DUMMYFUNCTION("""COMPUTED_VALUE"""),"1-1 Сбор КП")</f>
        <v>1-1 Сбор КП</v>
      </c>
      <c r="F30" s="1112" t="str">
        <f>IFERROR(__xludf.DUMMYFUNCTION("""COMPUTED_VALUE"""),"BH")</f>
        <v>BH</v>
      </c>
      <c r="G30" s="1112" t="str">
        <f>IFERROR(__xludf.DUMMYFUNCTION("""COMPUTED_VALUE"""),"ca@air-part.ru (1)")</f>
        <v>ca@air-part.ru (1)</v>
      </c>
      <c r="H30" s="1113" t="str">
        <f>IFERROR(__xludf.DUMMYFUNCTION("""COMPUTED_VALUE"""),"ID_T005")</f>
        <v>ID_T005</v>
      </c>
      <c r="I30" s="1114">
        <f>IFERROR(__xludf.DUMMYFUNCTION("""COMPUTED_VALUE"""),16600.0)</f>
        <v>16600</v>
      </c>
      <c r="J30" s="1112" t="str">
        <f>IFERROR(__xludf.DUMMYFUNCTION("""COMPUTED_VALUE"""),"18 нед")</f>
        <v>18 нед</v>
      </c>
      <c r="K30" s="1112" t="str">
        <f>IFERROR(__xludf.DUMMYFUNCTION("""COMPUTED_VALUE"""),"Масляный сепаратор Артикул 03498328 (оригинал) ")</f>
        <v>Масляный сепаратор Артикул 03498328 (оригинал) </v>
      </c>
      <c r="L30" s="1112"/>
      <c r="M30" s="1097"/>
      <c r="N30" s="1097"/>
      <c r="O30" s="1097"/>
      <c r="P30" s="1097"/>
      <c r="Q30" s="1097"/>
      <c r="R30" s="1097"/>
      <c r="S30" s="1097"/>
      <c r="T30" s="1097"/>
      <c r="U30" s="1097"/>
      <c r="V30" s="1097"/>
      <c r="W30" s="1097"/>
      <c r="X30" s="1097"/>
      <c r="Y30" s="1097"/>
      <c r="Z30" s="1097"/>
      <c r="AA30" s="1112" t="str">
        <f>IFERROR(__xludf.DUMMYFUNCTION("""COMPUTED_VALUE"""),"BK")</f>
        <v>BK</v>
      </c>
      <c r="AB30" s="1112" t="str">
        <f>IFERROR(__xludf.DUMMYFUNCTION("""COMPUTED_VALUE"""),"ca@air-part.ru (2)")</f>
        <v>ca@air-part.ru (2)</v>
      </c>
      <c r="AC30" s="1112" t="str">
        <f>IFERROR(__xludf.DUMMYFUNCTION("""COMPUTED_VALUE"""),"ID_T005")</f>
        <v>ID_T005</v>
      </c>
      <c r="AD30" s="1114">
        <f>IFERROR(__xludf.DUMMYFUNCTION("""COMPUTED_VALUE"""),12900.0)</f>
        <v>12900</v>
      </c>
      <c r="AE30" s="1112" t="str">
        <f>IFERROR(__xludf.DUMMYFUNCTION("""COMPUTED_VALUE"""),"нал")</f>
        <v>нал</v>
      </c>
      <c r="AF30" s="1112" t="str">
        <f>IFERROR(__xludf.DUMMYFUNCTION("""COMPUTED_VALUE"""),"Масляный сепаратор Артикул 03498328 (аналог)")</f>
        <v>Масляный сепаратор Артикул 03498328 (аналог)</v>
      </c>
      <c r="AG30" s="1097"/>
      <c r="AH30" s="1097"/>
      <c r="AI30" s="1097"/>
      <c r="AJ30" s="1097"/>
      <c r="AK30" s="1097"/>
      <c r="AL30" s="1097"/>
      <c r="AM30" s="1097"/>
      <c r="AN30" s="1097"/>
      <c r="AO30" s="1097"/>
      <c r="AP30" s="1097"/>
      <c r="AQ30" s="1097"/>
      <c r="AR30" s="1097"/>
      <c r="AS30" s="1097"/>
      <c r="AT30" s="1097"/>
      <c r="AU30" s="1097"/>
      <c r="AV30" s="1097"/>
      <c r="AW30" s="1097"/>
      <c r="AX30" s="1097"/>
      <c r="AY30" s="1097"/>
      <c r="AZ30" s="1097"/>
      <c r="BA30" s="1097"/>
      <c r="BB30" s="1097"/>
      <c r="BC30" s="1097"/>
      <c r="BD30" s="1114"/>
      <c r="BE30" s="1097"/>
      <c r="BF30" s="1097"/>
      <c r="BG30" s="1097"/>
      <c r="BH30" s="1097"/>
      <c r="BI30" s="1097"/>
      <c r="BJ30" s="1097"/>
      <c r="BK30" s="1097"/>
      <c r="BL30" s="1097"/>
      <c r="BM30" s="1097"/>
      <c r="BN30" s="1097"/>
      <c r="BO30" s="1097"/>
      <c r="BP30" s="1097"/>
      <c r="BQ30" s="1097"/>
      <c r="BR30" s="1097"/>
      <c r="BS30" s="1097"/>
      <c r="BT30" s="1097"/>
      <c r="BU30" s="1097"/>
      <c r="BV30" s="1097"/>
      <c r="BW30" s="1097"/>
      <c r="BX30" s="1097"/>
      <c r="BY30" s="1097"/>
      <c r="BZ30" s="1097"/>
    </row>
    <row r="31">
      <c r="A31" s="1097"/>
      <c r="B31" s="1097"/>
      <c r="C31" s="1097" t="s">
        <v>824</v>
      </c>
      <c r="D31" s="1112" t="str">
        <f>IFERROR(__xludf.DUMMYFUNCTION("""COMPUTED_VALUE"""),"1-1 Сбор КП^BK^ID_T005")</f>
        <v>1-1 Сбор КП^BK^ID_T005</v>
      </c>
      <c r="E31" s="1112" t="str">
        <f>IFERROR(__xludf.DUMMYFUNCTION("""COMPUTED_VALUE"""),"1-1 Сбор КП")</f>
        <v>1-1 Сбор КП</v>
      </c>
      <c r="F31" s="1112" t="str">
        <f>IFERROR(__xludf.DUMMYFUNCTION("""COMPUTED_VALUE"""),"BK")</f>
        <v>BK</v>
      </c>
      <c r="G31" s="1112" t="str">
        <f>IFERROR(__xludf.DUMMYFUNCTION("""COMPUTED_VALUE"""),"ca@air-part.ru (2)")</f>
        <v>ca@air-part.ru (2)</v>
      </c>
      <c r="H31" s="1113" t="str">
        <f>IFERROR(__xludf.DUMMYFUNCTION("""COMPUTED_VALUE"""),"ID_T005")</f>
        <v>ID_T005</v>
      </c>
      <c r="I31" s="1114">
        <f>IFERROR(__xludf.DUMMYFUNCTION("""COMPUTED_VALUE"""),12900.0)</f>
        <v>12900</v>
      </c>
      <c r="J31" s="1112" t="str">
        <f>IFERROR(__xludf.DUMMYFUNCTION("""COMPUTED_VALUE"""),"нал")</f>
        <v>нал</v>
      </c>
      <c r="K31" s="1112" t="str">
        <f>IFERROR(__xludf.DUMMYFUNCTION("""COMPUTED_VALUE"""),"Масляный сепаратор Артикул 03498328 (аналог)")</f>
        <v>Масляный сепаратор Артикул 03498328 (аналог)</v>
      </c>
      <c r="L31" s="1112"/>
      <c r="M31" s="1097"/>
      <c r="N31" s="1097"/>
      <c r="O31" s="1097"/>
      <c r="P31" s="1097"/>
      <c r="Q31" s="1097"/>
      <c r="R31" s="1097"/>
      <c r="S31" s="1097"/>
      <c r="T31" s="1097"/>
      <c r="U31" s="1097"/>
      <c r="V31" s="1097"/>
      <c r="W31" s="1097"/>
      <c r="X31" s="1097"/>
      <c r="Y31" s="1097"/>
      <c r="Z31" s="1097"/>
      <c r="AA31" s="1112" t="str">
        <f>IFERROR(__xludf.DUMMYFUNCTION("""COMPUTED_VALUE"""),"BQ")</f>
        <v>BQ</v>
      </c>
      <c r="AB31" s="1112" t="str">
        <f>IFERROR(__xludf.DUMMYFUNCTION("""COMPUTED_VALUE"""),"zap-premium@mail.ru")</f>
        <v>zap-premium@mail.ru</v>
      </c>
      <c r="AC31" s="1112" t="str">
        <f>IFERROR(__xludf.DUMMYFUNCTION("""COMPUTED_VALUE"""),"ID_T005")</f>
        <v>ID_T005</v>
      </c>
      <c r="AD31" s="1114">
        <f>IFERROR(__xludf.DUMMYFUNCTION("""COMPUTED_VALUE"""),12000.0)</f>
        <v>12000</v>
      </c>
      <c r="AE31" s="1112" t="str">
        <f>IFERROR(__xludf.DUMMYFUNCTION("""COMPUTED_VALUE"""),"7 рд")</f>
        <v>7 рд</v>
      </c>
      <c r="AF31" s="1112" t="str">
        <f>IFERROR(__xludf.DUMMYFUNCTION("""COMPUTED_VALUE"""),"Сепаратор 03498328 аналог")</f>
        <v>Сепаратор 03498328 аналог</v>
      </c>
      <c r="AG31" s="1097"/>
      <c r="AH31" s="1097"/>
      <c r="AI31" s="1097"/>
      <c r="AJ31" s="1097"/>
      <c r="AK31" s="1097"/>
      <c r="AL31" s="1097"/>
      <c r="AM31" s="1097"/>
      <c r="AN31" s="1097"/>
      <c r="AO31" s="1097"/>
      <c r="AP31" s="1097"/>
      <c r="AQ31" s="1097"/>
      <c r="AR31" s="1097"/>
      <c r="AS31" s="1097"/>
      <c r="AT31" s="1097"/>
      <c r="AU31" s="1097"/>
      <c r="AV31" s="1097"/>
      <c r="AW31" s="1097"/>
      <c r="AX31" s="1097"/>
      <c r="AY31" s="1097"/>
      <c r="AZ31" s="1097"/>
      <c r="BA31" s="1097"/>
      <c r="BB31" s="1097"/>
      <c r="BC31" s="1097"/>
      <c r="BD31" s="1114"/>
      <c r="BE31" s="1097"/>
      <c r="BF31" s="1097"/>
      <c r="BG31" s="1097"/>
      <c r="BH31" s="1097"/>
      <c r="BI31" s="1097"/>
      <c r="BJ31" s="1097"/>
      <c r="BK31" s="1097"/>
      <c r="BL31" s="1097"/>
      <c r="BM31" s="1097"/>
      <c r="BN31" s="1097"/>
      <c r="BO31" s="1097"/>
      <c r="BP31" s="1097"/>
      <c r="BQ31" s="1097"/>
      <c r="BR31" s="1097"/>
      <c r="BS31" s="1097"/>
      <c r="BT31" s="1097"/>
      <c r="BU31" s="1097"/>
      <c r="BV31" s="1097"/>
      <c r="BW31" s="1097"/>
      <c r="BX31" s="1097"/>
      <c r="BY31" s="1097"/>
      <c r="BZ31" s="1097"/>
    </row>
    <row r="32">
      <c r="A32" s="1097"/>
      <c r="B32" s="1097"/>
      <c r="C32" s="1097" t="s">
        <v>825</v>
      </c>
      <c r="D32" s="1112" t="str">
        <f>IFERROR(__xludf.DUMMYFUNCTION("""COMPUTED_VALUE"""),"1-1 Сбор КП^BQ^ID_T005")</f>
        <v>1-1 Сбор КП^BQ^ID_T005</v>
      </c>
      <c r="E32" s="1112" t="str">
        <f>IFERROR(__xludf.DUMMYFUNCTION("""COMPUTED_VALUE"""),"1-1 Сбор КП")</f>
        <v>1-1 Сбор КП</v>
      </c>
      <c r="F32" s="1112" t="str">
        <f>IFERROR(__xludf.DUMMYFUNCTION("""COMPUTED_VALUE"""),"BQ")</f>
        <v>BQ</v>
      </c>
      <c r="G32" s="1112" t="str">
        <f>IFERROR(__xludf.DUMMYFUNCTION("""COMPUTED_VALUE"""),"zap-premium@mail.ru")</f>
        <v>zap-premium@mail.ru</v>
      </c>
      <c r="H32" s="1113" t="str">
        <f>IFERROR(__xludf.DUMMYFUNCTION("""COMPUTED_VALUE"""),"ID_T005")</f>
        <v>ID_T005</v>
      </c>
      <c r="I32" s="1114">
        <f>IFERROR(__xludf.DUMMYFUNCTION("""COMPUTED_VALUE"""),12000.0)</f>
        <v>12000</v>
      </c>
      <c r="J32" s="1112" t="str">
        <f>IFERROR(__xludf.DUMMYFUNCTION("""COMPUTED_VALUE"""),"7 рд")</f>
        <v>7 рд</v>
      </c>
      <c r="K32" s="1112" t="str">
        <f>IFERROR(__xludf.DUMMYFUNCTION("""COMPUTED_VALUE"""),"Сепаратор 03498328 аналог")</f>
        <v>Сепаратор 03498328 аналог</v>
      </c>
      <c r="L32" s="1112"/>
      <c r="M32" s="1097"/>
      <c r="N32" s="1097"/>
      <c r="O32" s="1097"/>
      <c r="P32" s="1097"/>
      <c r="Q32" s="1097"/>
      <c r="R32" s="1097"/>
      <c r="S32" s="1097"/>
      <c r="T32" s="1097"/>
      <c r="U32" s="1097"/>
      <c r="V32" s="1097"/>
      <c r="W32" s="1097"/>
      <c r="X32" s="1097"/>
      <c r="Y32" s="1097"/>
      <c r="Z32" s="1097"/>
      <c r="AA32" s="1112" t="str">
        <f>IFERROR(__xludf.DUMMYFUNCTION("""COMPUTED_VALUE"""),"BZ")</f>
        <v>BZ</v>
      </c>
      <c r="AB32" s="1112" t="str">
        <f>IFERROR(__xludf.DUMMYFUNCTION("""COMPUTED_VALUE"""),"r.staroverov@evlart.ru")</f>
        <v>r.staroverov@evlart.ru</v>
      </c>
      <c r="AC32" s="1112" t="str">
        <f>IFERROR(__xludf.DUMMYFUNCTION("""COMPUTED_VALUE"""),"ID_T005")</f>
        <v>ID_T005</v>
      </c>
      <c r="AD32" s="1114">
        <f>IFERROR(__xludf.DUMMYFUNCTION("""COMPUTED_VALUE"""),11956.0)</f>
        <v>11956</v>
      </c>
      <c r="AE32" s="1112" t="str">
        <f>IFERROR(__xludf.DUMMYFUNCTION("""COMPUTED_VALUE"""),"12 нед")</f>
        <v>12 нед</v>
      </c>
      <c r="AF32" s="1112" t="str">
        <f>IFERROR(__xludf.DUMMYFUNCTION("""COMPUTED_VALUE"""),"Масляный сепаратор Артикул 03498328")</f>
        <v>Масляный сепаратор Артикул 03498328</v>
      </c>
      <c r="AG32" s="1097"/>
      <c r="AH32" s="1097"/>
      <c r="AI32" s="1097"/>
      <c r="AJ32" s="1097"/>
      <c r="AK32" s="1097"/>
      <c r="AL32" s="1097"/>
      <c r="AM32" s="1097"/>
      <c r="AN32" s="1097"/>
      <c r="AO32" s="1097"/>
      <c r="AP32" s="1097"/>
      <c r="AQ32" s="1097"/>
      <c r="AR32" s="1097"/>
      <c r="AS32" s="1097"/>
      <c r="AT32" s="1097"/>
      <c r="AU32" s="1097"/>
      <c r="AV32" s="1097"/>
      <c r="AW32" s="1097"/>
      <c r="AX32" s="1097"/>
      <c r="AY32" s="1097"/>
      <c r="AZ32" s="1097"/>
      <c r="BA32" s="1097"/>
      <c r="BB32" s="1097"/>
      <c r="BC32" s="1097"/>
      <c r="BD32" s="1114"/>
      <c r="BE32" s="1097"/>
      <c r="BF32" s="1097"/>
      <c r="BG32" s="1097"/>
      <c r="BH32" s="1097"/>
      <c r="BI32" s="1097"/>
      <c r="BJ32" s="1097"/>
      <c r="BK32" s="1097"/>
      <c r="BL32" s="1097"/>
      <c r="BM32" s="1097"/>
      <c r="BN32" s="1097"/>
      <c r="BO32" s="1097"/>
      <c r="BP32" s="1097"/>
      <c r="BQ32" s="1097"/>
      <c r="BR32" s="1097"/>
      <c r="BS32" s="1097"/>
      <c r="BT32" s="1097"/>
      <c r="BU32" s="1097"/>
      <c r="BV32" s="1097"/>
      <c r="BW32" s="1097"/>
      <c r="BX32" s="1097"/>
      <c r="BY32" s="1097"/>
      <c r="BZ32" s="1097"/>
    </row>
    <row r="33">
      <c r="A33" s="1097"/>
      <c r="B33" s="1097"/>
      <c r="C33" s="1097" t="s">
        <v>826</v>
      </c>
      <c r="D33" s="1112" t="str">
        <f>IFERROR(__xludf.DUMMYFUNCTION("""COMPUTED_VALUE"""),"1-1 Сбор КП^BZ^ID_T005")</f>
        <v>1-1 Сбор КП^BZ^ID_T005</v>
      </c>
      <c r="E33" s="1112" t="str">
        <f>IFERROR(__xludf.DUMMYFUNCTION("""COMPUTED_VALUE"""),"1-1 Сбор КП")</f>
        <v>1-1 Сбор КП</v>
      </c>
      <c r="F33" s="1112" t="str">
        <f>IFERROR(__xludf.DUMMYFUNCTION("""COMPUTED_VALUE"""),"BZ")</f>
        <v>BZ</v>
      </c>
      <c r="G33" s="1112" t="str">
        <f>IFERROR(__xludf.DUMMYFUNCTION("""COMPUTED_VALUE"""),"r.staroverov@evlart.ru")</f>
        <v>r.staroverov@evlart.ru</v>
      </c>
      <c r="H33" s="1113" t="str">
        <f>IFERROR(__xludf.DUMMYFUNCTION("""COMPUTED_VALUE"""),"ID_T005")</f>
        <v>ID_T005</v>
      </c>
      <c r="I33" s="1114">
        <f>IFERROR(__xludf.DUMMYFUNCTION("""COMPUTED_VALUE"""),11956.0)</f>
        <v>11956</v>
      </c>
      <c r="J33" s="1112" t="str">
        <f>IFERROR(__xludf.DUMMYFUNCTION("""COMPUTED_VALUE"""),"12 нед")</f>
        <v>12 нед</v>
      </c>
      <c r="K33" s="1112" t="str">
        <f>IFERROR(__xludf.DUMMYFUNCTION("""COMPUTED_VALUE"""),"Масляный сепаратор Артикул 03498328")</f>
        <v>Масляный сепаратор Артикул 03498328</v>
      </c>
      <c r="L33" s="1112"/>
      <c r="M33" s="1097"/>
      <c r="N33" s="1097"/>
      <c r="O33" s="1097"/>
      <c r="P33" s="1097"/>
      <c r="Q33" s="1097"/>
      <c r="R33" s="1097"/>
      <c r="S33" s="1097"/>
      <c r="T33" s="1097"/>
      <c r="U33" s="1097"/>
      <c r="V33" s="1097"/>
      <c r="W33" s="1097"/>
      <c r="X33" s="1097"/>
      <c r="Y33" s="1097"/>
      <c r="Z33" s="1097"/>
      <c r="AA33" s="1112" t="str">
        <f>IFERROR(__xludf.DUMMYFUNCTION("""COMPUTED_VALUE"""),"CI")</f>
        <v>CI</v>
      </c>
      <c r="AB33" s="1112" t="str">
        <f>IFERROR(__xludf.DUMMYFUNCTION("""COMPUTED_VALUE"""),"davidov@pressair.ru")</f>
        <v>davidov@pressair.ru</v>
      </c>
      <c r="AC33" s="1112" t="str">
        <f>IFERROR(__xludf.DUMMYFUNCTION("""COMPUTED_VALUE"""),"ID_T005")</f>
        <v>ID_T005</v>
      </c>
      <c r="AD33" s="1114">
        <f>IFERROR(__xludf.DUMMYFUNCTION("""COMPUTED_VALUE"""),9900.0)</f>
        <v>9900</v>
      </c>
      <c r="AE33" s="1112" t="str">
        <f>IFERROR(__xludf.DUMMYFUNCTION("""COMPUTED_VALUE"""),"5 рд")</f>
        <v>5 рд</v>
      </c>
      <c r="AF33" s="1112" t="str">
        <f>IFERROR(__xludf.DUMMYFUNCTION("""COMPUTED_VALUE"""),"Масляный сепаратор 03498328 = DA1118")</f>
        <v>Масляный сепаратор 03498328 = DA1118</v>
      </c>
      <c r="AG33" s="1097"/>
      <c r="AH33" s="1097"/>
      <c r="AI33" s="1097"/>
      <c r="AJ33" s="1097"/>
      <c r="AK33" s="1097"/>
      <c r="AL33" s="1097"/>
      <c r="AM33" s="1097"/>
      <c r="AN33" s="1097"/>
      <c r="AO33" s="1097"/>
      <c r="AP33" s="1097"/>
      <c r="AQ33" s="1097"/>
      <c r="AR33" s="1097"/>
      <c r="AS33" s="1097"/>
      <c r="AT33" s="1097"/>
      <c r="AU33" s="1097"/>
      <c r="AV33" s="1097"/>
      <c r="AW33" s="1097"/>
      <c r="AX33" s="1097"/>
      <c r="AY33" s="1097"/>
      <c r="AZ33" s="1097"/>
      <c r="BA33" s="1097"/>
      <c r="BB33" s="1097"/>
      <c r="BC33" s="1097"/>
      <c r="BD33" s="1114"/>
      <c r="BE33" s="1097"/>
      <c r="BF33" s="1097"/>
      <c r="BG33" s="1097"/>
      <c r="BH33" s="1097"/>
      <c r="BI33" s="1097"/>
      <c r="BJ33" s="1097"/>
      <c r="BK33" s="1097"/>
      <c r="BL33" s="1097"/>
      <c r="BM33" s="1097"/>
      <c r="BN33" s="1097"/>
      <c r="BO33" s="1097"/>
      <c r="BP33" s="1097"/>
      <c r="BQ33" s="1097"/>
      <c r="BR33" s="1097"/>
      <c r="BS33" s="1097"/>
      <c r="BT33" s="1097"/>
      <c r="BU33" s="1097"/>
      <c r="BV33" s="1097"/>
      <c r="BW33" s="1097"/>
      <c r="BX33" s="1097"/>
      <c r="BY33" s="1097"/>
      <c r="BZ33" s="1097"/>
    </row>
    <row r="34">
      <c r="A34" s="1097"/>
      <c r="B34" s="1097"/>
      <c r="C34" s="1097" t="s">
        <v>827</v>
      </c>
      <c r="D34" s="1112" t="str">
        <f>IFERROR(__xludf.DUMMYFUNCTION("""COMPUTED_VALUE"""),"1-1 Сбор КП^CI^ID_T005")</f>
        <v>1-1 Сбор КП^CI^ID_T005</v>
      </c>
      <c r="E34" s="1112" t="str">
        <f>IFERROR(__xludf.DUMMYFUNCTION("""COMPUTED_VALUE"""),"1-1 Сбор КП")</f>
        <v>1-1 Сбор КП</v>
      </c>
      <c r="F34" s="1112" t="str">
        <f>IFERROR(__xludf.DUMMYFUNCTION("""COMPUTED_VALUE"""),"CI")</f>
        <v>CI</v>
      </c>
      <c r="G34" s="1112" t="str">
        <f>IFERROR(__xludf.DUMMYFUNCTION("""COMPUTED_VALUE"""),"davidov@pressair.ru")</f>
        <v>davidov@pressair.ru</v>
      </c>
      <c r="H34" s="1113" t="str">
        <f>IFERROR(__xludf.DUMMYFUNCTION("""COMPUTED_VALUE"""),"ID_T005")</f>
        <v>ID_T005</v>
      </c>
      <c r="I34" s="1114">
        <f>IFERROR(__xludf.DUMMYFUNCTION("""COMPUTED_VALUE"""),9900.0)</f>
        <v>9900</v>
      </c>
      <c r="J34" s="1112" t="str">
        <f>IFERROR(__xludf.DUMMYFUNCTION("""COMPUTED_VALUE"""),"5 рд")</f>
        <v>5 рд</v>
      </c>
      <c r="K34" s="1112" t="str">
        <f>IFERROR(__xludf.DUMMYFUNCTION("""COMPUTED_VALUE"""),"Масляный сепаратор 03498328 = DA1118")</f>
        <v>Масляный сепаратор 03498328 = DA1118</v>
      </c>
      <c r="L34" s="1112"/>
      <c r="M34" s="1097"/>
      <c r="N34" s="1097"/>
      <c r="O34" s="1097"/>
      <c r="P34" s="1097"/>
      <c r="Q34" s="1097"/>
      <c r="R34" s="1097"/>
      <c r="S34" s="1097"/>
      <c r="T34" s="1097"/>
      <c r="U34" s="1097"/>
      <c r="V34" s="1097"/>
      <c r="W34" s="1097"/>
      <c r="X34" s="1097"/>
      <c r="Y34" s="1097"/>
      <c r="Z34" s="1097"/>
      <c r="AA34" s="1112" t="str">
        <f>IFERROR(__xludf.DUMMYFUNCTION("""COMPUTED_VALUE"""),"BE")</f>
        <v>BE</v>
      </c>
      <c r="AB34" s="1112" t="str">
        <f>IFERROR(__xludf.DUMMYFUNCTION("""COMPUTED_VALUE"""),"order@techfil.ru")</f>
        <v>order@techfil.ru</v>
      </c>
      <c r="AC34" s="1112" t="str">
        <f>IFERROR(__xludf.DUMMYFUNCTION("""COMPUTED_VALUE"""),"ID_T006")</f>
        <v>ID_T006</v>
      </c>
      <c r="AD34" s="1114">
        <f>IFERROR(__xludf.DUMMYFUNCTION("""COMPUTED_VALUE"""),2750.0)</f>
        <v>2750</v>
      </c>
      <c r="AE34" s="1112" t="str">
        <f>IFERROR(__xludf.DUMMYFUNCTION("""COMPUTED_VALUE"""),"5 рд")</f>
        <v>5 рд</v>
      </c>
      <c r="AF34" s="1112" t="str">
        <f>IFERROR(__xludf.DUMMYFUNCTION("""COMPUTED_VALUE"""),"Масляный фильтр 89675429 [ Аналог SH8130 ] ")</f>
        <v>Масляный фильтр 89675429 [ Аналог SH8130 ] </v>
      </c>
      <c r="AG34" s="1097"/>
      <c r="AH34" s="1097"/>
      <c r="AI34" s="1097"/>
      <c r="AJ34" s="1097"/>
      <c r="AK34" s="1097"/>
      <c r="AL34" s="1097"/>
      <c r="AM34" s="1097"/>
      <c r="AN34" s="1097"/>
      <c r="AO34" s="1097"/>
      <c r="AP34" s="1097"/>
      <c r="AQ34" s="1097"/>
      <c r="AR34" s="1097"/>
      <c r="AS34" s="1097"/>
      <c r="AT34" s="1097"/>
      <c r="AU34" s="1097"/>
      <c r="AV34" s="1097"/>
      <c r="AW34" s="1097"/>
      <c r="AX34" s="1097"/>
      <c r="AY34" s="1097"/>
      <c r="AZ34" s="1097"/>
      <c r="BA34" s="1097"/>
      <c r="BB34" s="1097"/>
      <c r="BC34" s="1097"/>
      <c r="BD34" s="1114"/>
      <c r="BE34" s="1097"/>
      <c r="BF34" s="1097"/>
      <c r="BG34" s="1097"/>
      <c r="BH34" s="1097"/>
      <c r="BI34" s="1097"/>
      <c r="BJ34" s="1097"/>
      <c r="BK34" s="1097"/>
      <c r="BL34" s="1097"/>
      <c r="BM34" s="1097"/>
      <c r="BN34" s="1097"/>
      <c r="BO34" s="1097"/>
      <c r="BP34" s="1097"/>
      <c r="BQ34" s="1097"/>
      <c r="BR34" s="1097"/>
      <c r="BS34" s="1097"/>
      <c r="BT34" s="1097"/>
      <c r="BU34" s="1097"/>
      <c r="BV34" s="1097"/>
      <c r="BW34" s="1097"/>
      <c r="BX34" s="1097"/>
      <c r="BY34" s="1097"/>
      <c r="BZ34" s="1097"/>
    </row>
    <row r="35">
      <c r="A35" s="1097"/>
      <c r="B35" s="1097"/>
      <c r="C35" s="1097" t="s">
        <v>828</v>
      </c>
      <c r="D35" s="1112" t="str">
        <f>IFERROR(__xludf.DUMMYFUNCTION("""COMPUTED_VALUE"""),"1-1 Сбор КП^BE^ID_T006")</f>
        <v>1-1 Сбор КП^BE^ID_T006</v>
      </c>
      <c r="E35" s="1112" t="str">
        <f>IFERROR(__xludf.DUMMYFUNCTION("""COMPUTED_VALUE"""),"1-1 Сбор КП")</f>
        <v>1-1 Сбор КП</v>
      </c>
      <c r="F35" s="1112" t="str">
        <f>IFERROR(__xludf.DUMMYFUNCTION("""COMPUTED_VALUE"""),"BE")</f>
        <v>BE</v>
      </c>
      <c r="G35" s="1112" t="str">
        <f>IFERROR(__xludf.DUMMYFUNCTION("""COMPUTED_VALUE"""),"order@techfil.ru")</f>
        <v>order@techfil.ru</v>
      </c>
      <c r="H35" s="1113" t="str">
        <f>IFERROR(__xludf.DUMMYFUNCTION("""COMPUTED_VALUE"""),"ID_T006")</f>
        <v>ID_T006</v>
      </c>
      <c r="I35" s="1114">
        <f>IFERROR(__xludf.DUMMYFUNCTION("""COMPUTED_VALUE"""),2750.0)</f>
        <v>2750</v>
      </c>
      <c r="J35" s="1112" t="str">
        <f>IFERROR(__xludf.DUMMYFUNCTION("""COMPUTED_VALUE"""),"5 рд")</f>
        <v>5 рд</v>
      </c>
      <c r="K35" s="1112" t="str">
        <f>IFERROR(__xludf.DUMMYFUNCTION("""COMPUTED_VALUE"""),"Масляный фильтр 89675429 [ Аналог SH8130 ] ")</f>
        <v>Масляный фильтр 89675429 [ Аналог SH8130 ] </v>
      </c>
      <c r="L35" s="1112"/>
      <c r="M35" s="1097"/>
      <c r="N35" s="1097"/>
      <c r="O35" s="1097"/>
      <c r="P35" s="1097"/>
      <c r="Q35" s="1097"/>
      <c r="R35" s="1097"/>
      <c r="S35" s="1097"/>
      <c r="T35" s="1097"/>
      <c r="U35" s="1097"/>
      <c r="V35" s="1097"/>
      <c r="W35" s="1097"/>
      <c r="X35" s="1097"/>
      <c r="Y35" s="1097"/>
      <c r="Z35" s="1097"/>
      <c r="AA35" s="1112" t="str">
        <f>IFERROR(__xludf.DUMMYFUNCTION("""COMPUTED_VALUE"""),"BH")</f>
        <v>BH</v>
      </c>
      <c r="AB35" s="1112" t="str">
        <f>IFERROR(__xludf.DUMMYFUNCTION("""COMPUTED_VALUE"""),"ca@air-part.ru (1)")</f>
        <v>ca@air-part.ru (1)</v>
      </c>
      <c r="AC35" s="1112" t="str">
        <f>IFERROR(__xludf.DUMMYFUNCTION("""COMPUTED_VALUE"""),"ID_T006")</f>
        <v>ID_T006</v>
      </c>
      <c r="AD35" s="1114">
        <f>IFERROR(__xludf.DUMMYFUNCTION("""COMPUTED_VALUE"""),9800.0)</f>
        <v>9800</v>
      </c>
      <c r="AE35" s="1112" t="str">
        <f>IFERROR(__xludf.DUMMYFUNCTION("""COMPUTED_VALUE"""),"18 нед")</f>
        <v>18 нед</v>
      </c>
      <c r="AF35" s="1112" t="str">
        <f>IFERROR(__xludf.DUMMYFUNCTION("""COMPUTED_VALUE"""),"Масляный фильтр Артикул 89675429 (оригинал) ")</f>
        <v>Масляный фильтр Артикул 89675429 (оригинал) </v>
      </c>
      <c r="AG35" s="1097"/>
      <c r="AH35" s="1097"/>
      <c r="AI35" s="1097"/>
      <c r="AJ35" s="1097"/>
      <c r="AK35" s="1097"/>
      <c r="AL35" s="1097"/>
      <c r="AM35" s="1097"/>
      <c r="AN35" s="1097"/>
      <c r="AO35" s="1097"/>
      <c r="AP35" s="1097"/>
      <c r="AQ35" s="1097"/>
      <c r="AR35" s="1097"/>
      <c r="AS35" s="1097"/>
      <c r="AT35" s="1097"/>
      <c r="AU35" s="1097"/>
      <c r="AV35" s="1097"/>
      <c r="AW35" s="1097"/>
      <c r="AX35" s="1097"/>
      <c r="AY35" s="1097"/>
      <c r="AZ35" s="1097"/>
      <c r="BA35" s="1097"/>
      <c r="BB35" s="1097"/>
      <c r="BC35" s="1097"/>
      <c r="BD35" s="1114"/>
      <c r="BE35" s="1097"/>
      <c r="BF35" s="1097"/>
      <c r="BG35" s="1097"/>
      <c r="BH35" s="1097"/>
      <c r="BI35" s="1097"/>
      <c r="BJ35" s="1097"/>
      <c r="BK35" s="1097"/>
      <c r="BL35" s="1097"/>
      <c r="BM35" s="1097"/>
      <c r="BN35" s="1097"/>
      <c r="BO35" s="1097"/>
      <c r="BP35" s="1097"/>
      <c r="BQ35" s="1097"/>
      <c r="BR35" s="1097"/>
      <c r="BS35" s="1097"/>
      <c r="BT35" s="1097"/>
      <c r="BU35" s="1097"/>
      <c r="BV35" s="1097"/>
      <c r="BW35" s="1097"/>
      <c r="BX35" s="1097"/>
      <c r="BY35" s="1097"/>
      <c r="BZ35" s="1097"/>
    </row>
    <row r="36">
      <c r="A36" s="1097"/>
      <c r="B36" s="1097"/>
      <c r="C36" s="1097" t="s">
        <v>829</v>
      </c>
      <c r="D36" s="1112" t="str">
        <f>IFERROR(__xludf.DUMMYFUNCTION("""COMPUTED_VALUE"""),"1-1 Сбор КП^BH^ID_T006")</f>
        <v>1-1 Сбор КП^BH^ID_T006</v>
      </c>
      <c r="E36" s="1112" t="str">
        <f>IFERROR(__xludf.DUMMYFUNCTION("""COMPUTED_VALUE"""),"1-1 Сбор КП")</f>
        <v>1-1 Сбор КП</v>
      </c>
      <c r="F36" s="1112" t="str">
        <f>IFERROR(__xludf.DUMMYFUNCTION("""COMPUTED_VALUE"""),"BH")</f>
        <v>BH</v>
      </c>
      <c r="G36" s="1112" t="str">
        <f>IFERROR(__xludf.DUMMYFUNCTION("""COMPUTED_VALUE"""),"ca@air-part.ru (1)")</f>
        <v>ca@air-part.ru (1)</v>
      </c>
      <c r="H36" s="1113" t="str">
        <f>IFERROR(__xludf.DUMMYFUNCTION("""COMPUTED_VALUE"""),"ID_T006")</f>
        <v>ID_T006</v>
      </c>
      <c r="I36" s="1114">
        <f>IFERROR(__xludf.DUMMYFUNCTION("""COMPUTED_VALUE"""),9800.0)</f>
        <v>9800</v>
      </c>
      <c r="J36" s="1112" t="str">
        <f>IFERROR(__xludf.DUMMYFUNCTION("""COMPUTED_VALUE"""),"18 нед")</f>
        <v>18 нед</v>
      </c>
      <c r="K36" s="1112" t="str">
        <f>IFERROR(__xludf.DUMMYFUNCTION("""COMPUTED_VALUE"""),"Масляный фильтр Артикул 89675429 (оригинал) ")</f>
        <v>Масляный фильтр Артикул 89675429 (оригинал) </v>
      </c>
      <c r="L36" s="1112"/>
      <c r="M36" s="1097"/>
      <c r="N36" s="1097"/>
      <c r="O36" s="1097"/>
      <c r="P36" s="1097"/>
      <c r="Q36" s="1097"/>
      <c r="R36" s="1097"/>
      <c r="S36" s="1097"/>
      <c r="T36" s="1097"/>
      <c r="U36" s="1097"/>
      <c r="V36" s="1097"/>
      <c r="W36" s="1097"/>
      <c r="X36" s="1097"/>
      <c r="Y36" s="1097"/>
      <c r="Z36" s="1097"/>
      <c r="AA36" s="1112" t="str">
        <f>IFERROR(__xludf.DUMMYFUNCTION("""COMPUTED_VALUE"""),"BK")</f>
        <v>BK</v>
      </c>
      <c r="AB36" s="1112" t="str">
        <f>IFERROR(__xludf.DUMMYFUNCTION("""COMPUTED_VALUE"""),"ca@air-part.ru (2)")</f>
        <v>ca@air-part.ru (2)</v>
      </c>
      <c r="AC36" s="1112" t="str">
        <f>IFERROR(__xludf.DUMMYFUNCTION("""COMPUTED_VALUE"""),"ID_T006")</f>
        <v>ID_T006</v>
      </c>
      <c r="AD36" s="1114">
        <f>IFERROR(__xludf.DUMMYFUNCTION("""COMPUTED_VALUE"""),3900.0)</f>
        <v>3900</v>
      </c>
      <c r="AE36" s="1112" t="str">
        <f>IFERROR(__xludf.DUMMYFUNCTION("""COMPUTED_VALUE"""),"нал")</f>
        <v>нал</v>
      </c>
      <c r="AF36" s="1112" t="str">
        <f>IFERROR(__xludf.DUMMYFUNCTION("""COMPUTED_VALUE"""),"Масляный фильтр Артикул 89675429 (аналог)")</f>
        <v>Масляный фильтр Артикул 89675429 (аналог)</v>
      </c>
      <c r="AG36" s="1097"/>
      <c r="AH36" s="1097"/>
      <c r="AI36" s="1097"/>
      <c r="AJ36" s="1097"/>
      <c r="AK36" s="1097"/>
      <c r="AL36" s="1097"/>
      <c r="AM36" s="1097"/>
      <c r="AN36" s="1097"/>
      <c r="AO36" s="1097"/>
      <c r="AP36" s="1097"/>
      <c r="AQ36" s="1097"/>
      <c r="AR36" s="1097"/>
      <c r="AS36" s="1097"/>
      <c r="AT36" s="1097"/>
      <c r="AU36" s="1097"/>
      <c r="AV36" s="1097"/>
      <c r="AW36" s="1097"/>
      <c r="AX36" s="1097"/>
      <c r="AY36" s="1097"/>
      <c r="AZ36" s="1097"/>
      <c r="BA36" s="1097"/>
      <c r="BB36" s="1097"/>
      <c r="BC36" s="1097"/>
      <c r="BD36" s="1114"/>
      <c r="BE36" s="1097"/>
      <c r="BF36" s="1097"/>
      <c r="BG36" s="1097"/>
      <c r="BH36" s="1097"/>
      <c r="BI36" s="1097"/>
      <c r="BJ36" s="1097"/>
      <c r="BK36" s="1097"/>
      <c r="BL36" s="1097"/>
      <c r="BM36" s="1097"/>
      <c r="BN36" s="1097"/>
      <c r="BO36" s="1097"/>
      <c r="BP36" s="1097"/>
      <c r="BQ36" s="1097"/>
      <c r="BR36" s="1097"/>
      <c r="BS36" s="1097"/>
      <c r="BT36" s="1097"/>
      <c r="BU36" s="1097"/>
      <c r="BV36" s="1097"/>
      <c r="BW36" s="1097"/>
      <c r="BX36" s="1097"/>
      <c r="BY36" s="1097"/>
      <c r="BZ36" s="1097"/>
    </row>
    <row r="37">
      <c r="A37" s="1097"/>
      <c r="B37" s="1097"/>
      <c r="C37" s="1097" t="s">
        <v>830</v>
      </c>
      <c r="D37" s="1112" t="str">
        <f>IFERROR(__xludf.DUMMYFUNCTION("""COMPUTED_VALUE"""),"1-1 Сбор КП^BK^ID_T006")</f>
        <v>1-1 Сбор КП^BK^ID_T006</v>
      </c>
      <c r="E37" s="1112" t="str">
        <f>IFERROR(__xludf.DUMMYFUNCTION("""COMPUTED_VALUE"""),"1-1 Сбор КП")</f>
        <v>1-1 Сбор КП</v>
      </c>
      <c r="F37" s="1112" t="str">
        <f>IFERROR(__xludf.DUMMYFUNCTION("""COMPUTED_VALUE"""),"BK")</f>
        <v>BK</v>
      </c>
      <c r="G37" s="1112" t="str">
        <f>IFERROR(__xludf.DUMMYFUNCTION("""COMPUTED_VALUE"""),"ca@air-part.ru (2)")</f>
        <v>ca@air-part.ru (2)</v>
      </c>
      <c r="H37" s="1113" t="str">
        <f>IFERROR(__xludf.DUMMYFUNCTION("""COMPUTED_VALUE"""),"ID_T006")</f>
        <v>ID_T006</v>
      </c>
      <c r="I37" s="1114">
        <f>IFERROR(__xludf.DUMMYFUNCTION("""COMPUTED_VALUE"""),3900.0)</f>
        <v>3900</v>
      </c>
      <c r="J37" s="1112" t="str">
        <f>IFERROR(__xludf.DUMMYFUNCTION("""COMPUTED_VALUE"""),"нал")</f>
        <v>нал</v>
      </c>
      <c r="K37" s="1112" t="str">
        <f>IFERROR(__xludf.DUMMYFUNCTION("""COMPUTED_VALUE"""),"Масляный фильтр Артикул 89675429 (аналог)")</f>
        <v>Масляный фильтр Артикул 89675429 (аналог)</v>
      </c>
      <c r="L37" s="1112"/>
      <c r="M37" s="1097"/>
      <c r="N37" s="1097"/>
      <c r="O37" s="1097"/>
      <c r="P37" s="1097"/>
      <c r="Q37" s="1097"/>
      <c r="R37" s="1097"/>
      <c r="S37" s="1097"/>
      <c r="T37" s="1097"/>
      <c r="U37" s="1097"/>
      <c r="V37" s="1097"/>
      <c r="W37" s="1097"/>
      <c r="X37" s="1097"/>
      <c r="Y37" s="1097"/>
      <c r="Z37" s="1097"/>
      <c r="AA37" s="1112" t="str">
        <f>IFERROR(__xludf.DUMMYFUNCTION("""COMPUTED_VALUE"""),"BQ")</f>
        <v>BQ</v>
      </c>
      <c r="AB37" s="1112" t="str">
        <f>IFERROR(__xludf.DUMMYFUNCTION("""COMPUTED_VALUE"""),"zap-premium@mail.ru")</f>
        <v>zap-premium@mail.ru</v>
      </c>
      <c r="AC37" s="1112" t="str">
        <f>IFERROR(__xludf.DUMMYFUNCTION("""COMPUTED_VALUE"""),"ID_T006")</f>
        <v>ID_T006</v>
      </c>
      <c r="AD37" s="1114">
        <f>IFERROR(__xludf.DUMMYFUNCTION("""COMPUTED_VALUE"""),950.0)</f>
        <v>950</v>
      </c>
      <c r="AE37" s="1112" t="str">
        <f>IFERROR(__xludf.DUMMYFUNCTION("""COMPUTED_VALUE"""),"7 рд")</f>
        <v>7 рд</v>
      </c>
      <c r="AF37" s="1112" t="str">
        <f>IFERROR(__xludf.DUMMYFUNCTION("""COMPUTED_VALUE"""),"Фильтр масляный 89675429 аналог")</f>
        <v>Фильтр масляный 89675429 аналог</v>
      </c>
      <c r="AG37" s="1097"/>
      <c r="AH37" s="1097"/>
      <c r="AI37" s="1097"/>
      <c r="AJ37" s="1097"/>
      <c r="AK37" s="1097"/>
      <c r="AL37" s="1097"/>
      <c r="AM37" s="1097"/>
      <c r="AN37" s="1097"/>
      <c r="AO37" s="1097"/>
      <c r="AP37" s="1097"/>
      <c r="AQ37" s="1097"/>
      <c r="AR37" s="1097"/>
      <c r="AS37" s="1097"/>
      <c r="AT37" s="1097"/>
      <c r="AU37" s="1097"/>
      <c r="AV37" s="1097"/>
      <c r="AW37" s="1097"/>
      <c r="AX37" s="1097"/>
      <c r="AY37" s="1097"/>
      <c r="AZ37" s="1097"/>
      <c r="BA37" s="1097"/>
      <c r="BB37" s="1097"/>
      <c r="BC37" s="1097"/>
      <c r="BD37" s="1114"/>
      <c r="BE37" s="1097"/>
      <c r="BF37" s="1097"/>
      <c r="BG37" s="1097"/>
      <c r="BH37" s="1097"/>
      <c r="BI37" s="1097"/>
      <c r="BJ37" s="1097"/>
      <c r="BK37" s="1097"/>
      <c r="BL37" s="1097"/>
      <c r="BM37" s="1097"/>
      <c r="BN37" s="1097"/>
      <c r="BO37" s="1097"/>
      <c r="BP37" s="1097"/>
      <c r="BQ37" s="1097"/>
      <c r="BR37" s="1097"/>
      <c r="BS37" s="1097"/>
      <c r="BT37" s="1097"/>
      <c r="BU37" s="1097"/>
      <c r="BV37" s="1097"/>
      <c r="BW37" s="1097"/>
      <c r="BX37" s="1097"/>
      <c r="BY37" s="1097"/>
      <c r="BZ37" s="1097"/>
    </row>
    <row r="38">
      <c r="A38" s="1097"/>
      <c r="B38" s="1097"/>
      <c r="C38" s="1097" t="s">
        <v>831</v>
      </c>
      <c r="D38" s="1112" t="str">
        <f>IFERROR(__xludf.DUMMYFUNCTION("""COMPUTED_VALUE"""),"1-1 Сбор КП^BQ^ID_T006")</f>
        <v>1-1 Сбор КП^BQ^ID_T006</v>
      </c>
      <c r="E38" s="1112" t="str">
        <f>IFERROR(__xludf.DUMMYFUNCTION("""COMPUTED_VALUE"""),"1-1 Сбор КП")</f>
        <v>1-1 Сбор КП</v>
      </c>
      <c r="F38" s="1112" t="str">
        <f>IFERROR(__xludf.DUMMYFUNCTION("""COMPUTED_VALUE"""),"BQ")</f>
        <v>BQ</v>
      </c>
      <c r="G38" s="1112" t="str">
        <f>IFERROR(__xludf.DUMMYFUNCTION("""COMPUTED_VALUE"""),"zap-premium@mail.ru")</f>
        <v>zap-premium@mail.ru</v>
      </c>
      <c r="H38" s="1113" t="str">
        <f>IFERROR(__xludf.DUMMYFUNCTION("""COMPUTED_VALUE"""),"ID_T006")</f>
        <v>ID_T006</v>
      </c>
      <c r="I38" s="1114">
        <f>IFERROR(__xludf.DUMMYFUNCTION("""COMPUTED_VALUE"""),950.0)</f>
        <v>950</v>
      </c>
      <c r="J38" s="1112" t="str">
        <f>IFERROR(__xludf.DUMMYFUNCTION("""COMPUTED_VALUE"""),"7 рд")</f>
        <v>7 рд</v>
      </c>
      <c r="K38" s="1112" t="str">
        <f>IFERROR(__xludf.DUMMYFUNCTION("""COMPUTED_VALUE"""),"Фильтр масляный 89675429 аналог")</f>
        <v>Фильтр масляный 89675429 аналог</v>
      </c>
      <c r="L38" s="1112"/>
      <c r="M38" s="1097"/>
      <c r="N38" s="1097"/>
      <c r="O38" s="1097"/>
      <c r="P38" s="1097"/>
      <c r="Q38" s="1097"/>
      <c r="R38" s="1097"/>
      <c r="S38" s="1097"/>
      <c r="T38" s="1097"/>
      <c r="U38" s="1097"/>
      <c r="V38" s="1097"/>
      <c r="W38" s="1097"/>
      <c r="X38" s="1097"/>
      <c r="Y38" s="1097"/>
      <c r="Z38" s="1097"/>
      <c r="AA38" s="1112" t="str">
        <f>IFERROR(__xludf.DUMMYFUNCTION("""COMPUTED_VALUE"""),"BZ")</f>
        <v>BZ</v>
      </c>
      <c r="AB38" s="1112" t="str">
        <f>IFERROR(__xludf.DUMMYFUNCTION("""COMPUTED_VALUE"""),"r.staroverov@evlart.ru")</f>
        <v>r.staroverov@evlart.ru</v>
      </c>
      <c r="AC38" s="1112" t="str">
        <f>IFERROR(__xludf.DUMMYFUNCTION("""COMPUTED_VALUE"""),"ID_T006")</f>
        <v>ID_T006</v>
      </c>
      <c r="AD38" s="1114">
        <f>IFERROR(__xludf.DUMMYFUNCTION("""COMPUTED_VALUE"""),2547.36)</f>
        <v>2547.36</v>
      </c>
      <c r="AE38" s="1112" t="str">
        <f>IFERROR(__xludf.DUMMYFUNCTION("""COMPUTED_VALUE"""),"12 нед")</f>
        <v>12 нед</v>
      </c>
      <c r="AF38" s="1112" t="str">
        <f>IFERROR(__xludf.DUMMYFUNCTION("""COMPUTED_VALUE"""),"Масляный фильтр Артикул 89675429")</f>
        <v>Масляный фильтр Артикул 89675429</v>
      </c>
      <c r="AG38" s="1097"/>
      <c r="AH38" s="1097"/>
      <c r="AI38" s="1097"/>
      <c r="AJ38" s="1097"/>
      <c r="AK38" s="1097"/>
      <c r="AL38" s="1097"/>
      <c r="AM38" s="1097"/>
      <c r="AN38" s="1097"/>
      <c r="AO38" s="1097"/>
      <c r="AP38" s="1097"/>
      <c r="AQ38" s="1097"/>
      <c r="AR38" s="1097"/>
      <c r="AS38" s="1097"/>
      <c r="AT38" s="1097"/>
      <c r="AU38" s="1097"/>
      <c r="AV38" s="1097"/>
      <c r="AW38" s="1097"/>
      <c r="AX38" s="1097"/>
      <c r="AY38" s="1097"/>
      <c r="AZ38" s="1097"/>
      <c r="BA38" s="1097"/>
      <c r="BB38" s="1097"/>
      <c r="BC38" s="1097"/>
      <c r="BD38" s="1114"/>
      <c r="BE38" s="1097"/>
      <c r="BF38" s="1097"/>
      <c r="BG38" s="1097"/>
      <c r="BH38" s="1097"/>
      <c r="BI38" s="1097"/>
      <c r="BJ38" s="1097"/>
      <c r="BK38" s="1097"/>
      <c r="BL38" s="1097"/>
      <c r="BM38" s="1097"/>
      <c r="BN38" s="1097"/>
      <c r="BO38" s="1097"/>
      <c r="BP38" s="1097"/>
      <c r="BQ38" s="1097"/>
      <c r="BR38" s="1097"/>
      <c r="BS38" s="1097"/>
      <c r="BT38" s="1097"/>
      <c r="BU38" s="1097"/>
      <c r="BV38" s="1097"/>
      <c r="BW38" s="1097"/>
      <c r="BX38" s="1097"/>
      <c r="BY38" s="1097"/>
      <c r="BZ38" s="1097"/>
    </row>
    <row r="39">
      <c r="A39" s="1097"/>
      <c r="B39" s="1097"/>
      <c r="C39" s="1097" t="s">
        <v>832</v>
      </c>
      <c r="D39" s="1112" t="str">
        <f>IFERROR(__xludf.DUMMYFUNCTION("""COMPUTED_VALUE"""),"1-1 Сбор КП^BZ^ID_T006")</f>
        <v>1-1 Сбор КП^BZ^ID_T006</v>
      </c>
      <c r="E39" s="1112" t="str">
        <f>IFERROR(__xludf.DUMMYFUNCTION("""COMPUTED_VALUE"""),"1-1 Сбор КП")</f>
        <v>1-1 Сбор КП</v>
      </c>
      <c r="F39" s="1112" t="str">
        <f>IFERROR(__xludf.DUMMYFUNCTION("""COMPUTED_VALUE"""),"BZ")</f>
        <v>BZ</v>
      </c>
      <c r="G39" s="1112" t="str">
        <f>IFERROR(__xludf.DUMMYFUNCTION("""COMPUTED_VALUE"""),"r.staroverov@evlart.ru")</f>
        <v>r.staroverov@evlart.ru</v>
      </c>
      <c r="H39" s="1113" t="str">
        <f>IFERROR(__xludf.DUMMYFUNCTION("""COMPUTED_VALUE"""),"ID_T006")</f>
        <v>ID_T006</v>
      </c>
      <c r="I39" s="1114">
        <f>IFERROR(__xludf.DUMMYFUNCTION("""COMPUTED_VALUE"""),2547.36)</f>
        <v>2547.36</v>
      </c>
      <c r="J39" s="1112" t="str">
        <f>IFERROR(__xludf.DUMMYFUNCTION("""COMPUTED_VALUE"""),"12 нед")</f>
        <v>12 нед</v>
      </c>
      <c r="K39" s="1112" t="str">
        <f>IFERROR(__xludf.DUMMYFUNCTION("""COMPUTED_VALUE"""),"Масляный фильтр Артикул 89675429")</f>
        <v>Масляный фильтр Артикул 89675429</v>
      </c>
      <c r="L39" s="1112"/>
      <c r="M39" s="1097"/>
      <c r="N39" s="1097"/>
      <c r="O39" s="1097"/>
      <c r="P39" s="1097"/>
      <c r="Q39" s="1097"/>
      <c r="R39" s="1097"/>
      <c r="S39" s="1097"/>
      <c r="T39" s="1097"/>
      <c r="U39" s="1097"/>
      <c r="V39" s="1097"/>
      <c r="W39" s="1097"/>
      <c r="X39" s="1097"/>
      <c r="Y39" s="1097"/>
      <c r="Z39" s="1097"/>
      <c r="AA39" s="1112" t="str">
        <f>IFERROR(__xludf.DUMMYFUNCTION("""COMPUTED_VALUE"""),"CI")</f>
        <v>CI</v>
      </c>
      <c r="AB39" s="1112" t="str">
        <f>IFERROR(__xludf.DUMMYFUNCTION("""COMPUTED_VALUE"""),"davidov@pressair.ru")</f>
        <v>davidov@pressair.ru</v>
      </c>
      <c r="AC39" s="1112" t="str">
        <f>IFERROR(__xludf.DUMMYFUNCTION("""COMPUTED_VALUE"""),"ID_T006")</f>
        <v>ID_T006</v>
      </c>
      <c r="AD39" s="1114">
        <f>IFERROR(__xludf.DUMMYFUNCTION("""COMPUTED_VALUE"""),3650.0)</f>
        <v>3650</v>
      </c>
      <c r="AE39" s="1112" t="str">
        <f>IFERROR(__xludf.DUMMYFUNCTION("""COMPUTED_VALUE"""),"5 рд")</f>
        <v>5 рд</v>
      </c>
      <c r="AF39" s="1112" t="str">
        <f>IFERROR(__xludf.DUMMYFUNCTION("""COMPUTED_VALUE"""),"Масляный фильтр 89675429 = SH8229")</f>
        <v>Масляный фильтр 89675429 = SH8229</v>
      </c>
      <c r="AG39" s="1097"/>
      <c r="AH39" s="1097"/>
      <c r="AI39" s="1097"/>
      <c r="AJ39" s="1097"/>
      <c r="AK39" s="1097"/>
      <c r="AL39" s="1097"/>
      <c r="AM39" s="1097"/>
      <c r="AN39" s="1097"/>
      <c r="AO39" s="1097"/>
      <c r="AP39" s="1097"/>
      <c r="AQ39" s="1097"/>
      <c r="AR39" s="1097"/>
      <c r="AS39" s="1097"/>
      <c r="AT39" s="1097"/>
      <c r="AU39" s="1097"/>
      <c r="AV39" s="1097"/>
      <c r="AW39" s="1097"/>
      <c r="AX39" s="1097"/>
      <c r="AY39" s="1097"/>
      <c r="AZ39" s="1097"/>
      <c r="BA39" s="1097"/>
      <c r="BB39" s="1097"/>
      <c r="BC39" s="1097"/>
      <c r="BD39" s="1114"/>
      <c r="BE39" s="1097"/>
      <c r="BF39" s="1097"/>
      <c r="BG39" s="1097"/>
      <c r="BH39" s="1097"/>
      <c r="BI39" s="1097"/>
      <c r="BJ39" s="1097"/>
      <c r="BK39" s="1097"/>
      <c r="BL39" s="1097"/>
      <c r="BM39" s="1097"/>
      <c r="BN39" s="1097"/>
      <c r="BO39" s="1097"/>
      <c r="BP39" s="1097"/>
      <c r="BQ39" s="1097"/>
      <c r="BR39" s="1097"/>
      <c r="BS39" s="1097"/>
      <c r="BT39" s="1097"/>
      <c r="BU39" s="1097"/>
      <c r="BV39" s="1097"/>
      <c r="BW39" s="1097"/>
      <c r="BX39" s="1097"/>
      <c r="BY39" s="1097"/>
      <c r="BZ39" s="1097"/>
    </row>
    <row r="40">
      <c r="A40" s="1097"/>
      <c r="B40" s="1097"/>
      <c r="C40" s="1097" t="s">
        <v>833</v>
      </c>
      <c r="D40" s="1112" t="str">
        <f>IFERROR(__xludf.DUMMYFUNCTION("""COMPUTED_VALUE"""),"1-1 Сбор КП^CI^ID_T006")</f>
        <v>1-1 Сбор КП^CI^ID_T006</v>
      </c>
      <c r="E40" s="1112" t="str">
        <f>IFERROR(__xludf.DUMMYFUNCTION("""COMPUTED_VALUE"""),"1-1 Сбор КП")</f>
        <v>1-1 Сбор КП</v>
      </c>
      <c r="F40" s="1112" t="str">
        <f>IFERROR(__xludf.DUMMYFUNCTION("""COMPUTED_VALUE"""),"CI")</f>
        <v>CI</v>
      </c>
      <c r="G40" s="1112" t="str">
        <f>IFERROR(__xludf.DUMMYFUNCTION("""COMPUTED_VALUE"""),"davidov@pressair.ru")</f>
        <v>davidov@pressair.ru</v>
      </c>
      <c r="H40" s="1113" t="str">
        <f>IFERROR(__xludf.DUMMYFUNCTION("""COMPUTED_VALUE"""),"ID_T006")</f>
        <v>ID_T006</v>
      </c>
      <c r="I40" s="1114">
        <f>IFERROR(__xludf.DUMMYFUNCTION("""COMPUTED_VALUE"""),3650.0)</f>
        <v>3650</v>
      </c>
      <c r="J40" s="1112" t="str">
        <f>IFERROR(__xludf.DUMMYFUNCTION("""COMPUTED_VALUE"""),"5 рд")</f>
        <v>5 рд</v>
      </c>
      <c r="K40" s="1112" t="str">
        <f>IFERROR(__xludf.DUMMYFUNCTION("""COMPUTED_VALUE"""),"Масляный фильтр 89675429 = SH8229")</f>
        <v>Масляный фильтр 89675429 = SH8229</v>
      </c>
      <c r="L40" s="1112"/>
      <c r="M40" s="1097"/>
      <c r="N40" s="1097"/>
      <c r="O40" s="1097"/>
      <c r="P40" s="1097"/>
      <c r="Q40" s="1097"/>
      <c r="R40" s="1097"/>
      <c r="S40" s="1097"/>
      <c r="T40" s="1097"/>
      <c r="U40" s="1097"/>
      <c r="V40" s="1097"/>
      <c r="W40" s="1097"/>
      <c r="X40" s="1097"/>
      <c r="Y40" s="1097"/>
      <c r="Z40" s="1097"/>
      <c r="AA40" s="1112" t="str">
        <f>IFERROR(__xludf.DUMMYFUNCTION("""COMPUTED_VALUE"""),"BE")</f>
        <v>BE</v>
      </c>
      <c r="AB40" s="1112" t="str">
        <f>IFERROR(__xludf.DUMMYFUNCTION("""COMPUTED_VALUE"""),"order@techfil.ru")</f>
        <v>order@techfil.ru</v>
      </c>
      <c r="AC40" s="1112" t="str">
        <f>IFERROR(__xludf.DUMMYFUNCTION("""COMPUTED_VALUE"""),"ID_T007")</f>
        <v>ID_T007</v>
      </c>
      <c r="AD40" s="1114">
        <f>IFERROR(__xludf.DUMMYFUNCTION("""COMPUTED_VALUE"""),1850.0)</f>
        <v>1850</v>
      </c>
      <c r="AE40" s="1112" t="str">
        <f>IFERROR(__xludf.DUMMYFUNCTION("""COMPUTED_VALUE"""),"5 рд")</f>
        <v>5 рд</v>
      </c>
      <c r="AF40" s="1112" t="str">
        <f>IFERROR(__xludf.DUMMYFUNCTION("""COMPUTED_VALUE"""),"Воздушный фильтр 81166609 [ Аналог SA6007 ]")</f>
        <v>Воздушный фильтр 81166609 [ Аналог SA6007 ]</v>
      </c>
      <c r="AG40" s="1097"/>
      <c r="AH40" s="1097"/>
      <c r="AI40" s="1097"/>
      <c r="AJ40" s="1097"/>
      <c r="AK40" s="1097"/>
      <c r="AL40" s="1097"/>
      <c r="AM40" s="1097"/>
      <c r="AN40" s="1097"/>
      <c r="AO40" s="1097"/>
      <c r="AP40" s="1097"/>
      <c r="AQ40" s="1097"/>
      <c r="AR40" s="1097"/>
      <c r="AS40" s="1097"/>
      <c r="AT40" s="1097"/>
      <c r="AU40" s="1097"/>
      <c r="AV40" s="1097"/>
      <c r="AW40" s="1097"/>
      <c r="AX40" s="1097"/>
      <c r="AY40" s="1097"/>
      <c r="AZ40" s="1097"/>
      <c r="BA40" s="1097"/>
      <c r="BB40" s="1097"/>
      <c r="BC40" s="1097"/>
      <c r="BD40" s="1114"/>
      <c r="BE40" s="1097"/>
      <c r="BF40" s="1097"/>
      <c r="BG40" s="1097"/>
      <c r="BH40" s="1097"/>
      <c r="BI40" s="1097"/>
      <c r="BJ40" s="1097"/>
      <c r="BK40" s="1097"/>
      <c r="BL40" s="1097"/>
      <c r="BM40" s="1097"/>
      <c r="BN40" s="1097"/>
      <c r="BO40" s="1097"/>
      <c r="BP40" s="1097"/>
      <c r="BQ40" s="1097"/>
      <c r="BR40" s="1097"/>
      <c r="BS40" s="1097"/>
      <c r="BT40" s="1097"/>
      <c r="BU40" s="1097"/>
      <c r="BV40" s="1097"/>
      <c r="BW40" s="1097"/>
      <c r="BX40" s="1097"/>
      <c r="BY40" s="1097"/>
      <c r="BZ40" s="1097"/>
    </row>
    <row r="41">
      <c r="A41" s="1097"/>
      <c r="B41" s="1097"/>
      <c r="C41" s="1097" t="s">
        <v>834</v>
      </c>
      <c r="D41" s="1112" t="str">
        <f>IFERROR(__xludf.DUMMYFUNCTION("""COMPUTED_VALUE"""),"1-1 Сбор КП^BE^ID_T007")</f>
        <v>1-1 Сбор КП^BE^ID_T007</v>
      </c>
      <c r="E41" s="1112" t="str">
        <f>IFERROR(__xludf.DUMMYFUNCTION("""COMPUTED_VALUE"""),"1-1 Сбор КП")</f>
        <v>1-1 Сбор КП</v>
      </c>
      <c r="F41" s="1112" t="str">
        <f>IFERROR(__xludf.DUMMYFUNCTION("""COMPUTED_VALUE"""),"BE")</f>
        <v>BE</v>
      </c>
      <c r="G41" s="1112" t="str">
        <f>IFERROR(__xludf.DUMMYFUNCTION("""COMPUTED_VALUE"""),"order@techfil.ru")</f>
        <v>order@techfil.ru</v>
      </c>
      <c r="H41" s="1113" t="str">
        <f>IFERROR(__xludf.DUMMYFUNCTION("""COMPUTED_VALUE"""),"ID_T007")</f>
        <v>ID_T007</v>
      </c>
      <c r="I41" s="1114">
        <f>IFERROR(__xludf.DUMMYFUNCTION("""COMPUTED_VALUE"""),1850.0)</f>
        <v>1850</v>
      </c>
      <c r="J41" s="1112" t="str">
        <f>IFERROR(__xludf.DUMMYFUNCTION("""COMPUTED_VALUE"""),"5 рд")</f>
        <v>5 рд</v>
      </c>
      <c r="K41" s="1112" t="str">
        <f>IFERROR(__xludf.DUMMYFUNCTION("""COMPUTED_VALUE"""),"Воздушный фильтр 81166609 [ Аналог SA6007 ]")</f>
        <v>Воздушный фильтр 81166609 [ Аналог SA6007 ]</v>
      </c>
      <c r="L41" s="1112"/>
      <c r="M41" s="1097"/>
      <c r="N41" s="1097"/>
      <c r="O41" s="1097"/>
      <c r="P41" s="1097"/>
      <c r="Q41" s="1097"/>
      <c r="R41" s="1097"/>
      <c r="S41" s="1097"/>
      <c r="T41" s="1097"/>
      <c r="U41" s="1097"/>
      <c r="V41" s="1097"/>
      <c r="W41" s="1097"/>
      <c r="X41" s="1097"/>
      <c r="Y41" s="1097"/>
      <c r="Z41" s="1097"/>
      <c r="AA41" s="1112" t="str">
        <f>IFERROR(__xludf.DUMMYFUNCTION("""COMPUTED_VALUE"""),"BH")</f>
        <v>BH</v>
      </c>
      <c r="AB41" s="1112" t="str">
        <f>IFERROR(__xludf.DUMMYFUNCTION("""COMPUTED_VALUE"""),"ca@air-part.ru (1)")</f>
        <v>ca@air-part.ru (1)</v>
      </c>
      <c r="AC41" s="1112" t="str">
        <f>IFERROR(__xludf.DUMMYFUNCTION("""COMPUTED_VALUE"""),"ID_T007")</f>
        <v>ID_T007</v>
      </c>
      <c r="AD41" s="1114">
        <f>IFERROR(__xludf.DUMMYFUNCTION("""COMPUTED_VALUE"""),9500.0)</f>
        <v>9500</v>
      </c>
      <c r="AE41" s="1112" t="str">
        <f>IFERROR(__xludf.DUMMYFUNCTION("""COMPUTED_VALUE"""),"18 нед")</f>
        <v>18 нед</v>
      </c>
      <c r="AF41" s="1112" t="str">
        <f>IFERROR(__xludf.DUMMYFUNCTION("""COMPUTED_VALUE"""),"Воздушный фильтр - Артикул 81166609 (оригинал) ")</f>
        <v>Воздушный фильтр - Артикул 81166609 (оригинал) </v>
      </c>
      <c r="AG41" s="1097"/>
      <c r="AH41" s="1097"/>
      <c r="AI41" s="1097"/>
      <c r="AJ41" s="1097"/>
      <c r="AK41" s="1097"/>
      <c r="AL41" s="1097"/>
      <c r="AM41" s="1097"/>
      <c r="AN41" s="1097"/>
      <c r="AO41" s="1097"/>
      <c r="AP41" s="1097"/>
      <c r="AQ41" s="1097"/>
      <c r="AR41" s="1097"/>
      <c r="AS41" s="1097"/>
      <c r="AT41" s="1097"/>
      <c r="AU41" s="1097"/>
      <c r="AV41" s="1097"/>
      <c r="AW41" s="1097"/>
      <c r="AX41" s="1097"/>
      <c r="AY41" s="1097"/>
      <c r="AZ41" s="1097"/>
      <c r="BA41" s="1097"/>
      <c r="BB41" s="1097"/>
      <c r="BC41" s="1097"/>
      <c r="BD41" s="1114"/>
      <c r="BE41" s="1097"/>
      <c r="BF41" s="1097"/>
      <c r="BG41" s="1097"/>
      <c r="BH41" s="1097"/>
      <c r="BI41" s="1097"/>
      <c r="BJ41" s="1097"/>
      <c r="BK41" s="1097"/>
      <c r="BL41" s="1097"/>
      <c r="BM41" s="1097"/>
      <c r="BN41" s="1097"/>
      <c r="BO41" s="1097"/>
      <c r="BP41" s="1097"/>
      <c r="BQ41" s="1097"/>
      <c r="BR41" s="1097"/>
      <c r="BS41" s="1097"/>
      <c r="BT41" s="1097"/>
      <c r="BU41" s="1097"/>
      <c r="BV41" s="1097"/>
      <c r="BW41" s="1097"/>
      <c r="BX41" s="1097"/>
      <c r="BY41" s="1097"/>
      <c r="BZ41" s="1097"/>
    </row>
    <row r="42">
      <c r="A42" s="1097"/>
      <c r="B42" s="1097"/>
      <c r="C42" s="1097" t="s">
        <v>835</v>
      </c>
      <c r="D42" s="1112" t="str">
        <f>IFERROR(__xludf.DUMMYFUNCTION("""COMPUTED_VALUE"""),"1-1 Сбор КП^BH^ID_T007")</f>
        <v>1-1 Сбор КП^BH^ID_T007</v>
      </c>
      <c r="E42" s="1112" t="str">
        <f>IFERROR(__xludf.DUMMYFUNCTION("""COMPUTED_VALUE"""),"1-1 Сбор КП")</f>
        <v>1-1 Сбор КП</v>
      </c>
      <c r="F42" s="1112" t="str">
        <f>IFERROR(__xludf.DUMMYFUNCTION("""COMPUTED_VALUE"""),"BH")</f>
        <v>BH</v>
      </c>
      <c r="G42" s="1112" t="str">
        <f>IFERROR(__xludf.DUMMYFUNCTION("""COMPUTED_VALUE"""),"ca@air-part.ru (1)")</f>
        <v>ca@air-part.ru (1)</v>
      </c>
      <c r="H42" s="1113" t="str">
        <f>IFERROR(__xludf.DUMMYFUNCTION("""COMPUTED_VALUE"""),"ID_T007")</f>
        <v>ID_T007</v>
      </c>
      <c r="I42" s="1114">
        <f>IFERROR(__xludf.DUMMYFUNCTION("""COMPUTED_VALUE"""),9500.0)</f>
        <v>9500</v>
      </c>
      <c r="J42" s="1112" t="str">
        <f>IFERROR(__xludf.DUMMYFUNCTION("""COMPUTED_VALUE"""),"18 нед")</f>
        <v>18 нед</v>
      </c>
      <c r="K42" s="1112" t="str">
        <f>IFERROR(__xludf.DUMMYFUNCTION("""COMPUTED_VALUE"""),"Воздушный фильтр - Артикул 81166609 (оригинал) ")</f>
        <v>Воздушный фильтр - Артикул 81166609 (оригинал) </v>
      </c>
      <c r="L42" s="1112"/>
      <c r="M42" s="1097"/>
      <c r="N42" s="1097"/>
      <c r="O42" s="1097"/>
      <c r="P42" s="1097"/>
      <c r="Q42" s="1097"/>
      <c r="R42" s="1097"/>
      <c r="S42" s="1097"/>
      <c r="T42" s="1097"/>
      <c r="U42" s="1097"/>
      <c r="V42" s="1097"/>
      <c r="W42" s="1097"/>
      <c r="X42" s="1097"/>
      <c r="Y42" s="1097"/>
      <c r="Z42" s="1097"/>
      <c r="AA42" s="1112" t="str">
        <f>IFERROR(__xludf.DUMMYFUNCTION("""COMPUTED_VALUE"""),"BK")</f>
        <v>BK</v>
      </c>
      <c r="AB42" s="1112" t="str">
        <f>IFERROR(__xludf.DUMMYFUNCTION("""COMPUTED_VALUE"""),"ca@air-part.ru (2)")</f>
        <v>ca@air-part.ru (2)</v>
      </c>
      <c r="AC42" s="1112" t="str">
        <f>IFERROR(__xludf.DUMMYFUNCTION("""COMPUTED_VALUE"""),"ID_T007")</f>
        <v>ID_T007</v>
      </c>
      <c r="AD42" s="1114">
        <f>IFERROR(__xludf.DUMMYFUNCTION("""COMPUTED_VALUE"""),4400.0)</f>
        <v>4400</v>
      </c>
      <c r="AE42" s="1112" t="str">
        <f>IFERROR(__xludf.DUMMYFUNCTION("""COMPUTED_VALUE"""),"нал")</f>
        <v>нал</v>
      </c>
      <c r="AF42" s="1112" t="str">
        <f>IFERROR(__xludf.DUMMYFUNCTION("""COMPUTED_VALUE"""),"Воздушный фильтр - Артикул 81166609 (аналог) ")</f>
        <v>Воздушный фильтр - Артикул 81166609 (аналог) </v>
      </c>
      <c r="AG42" s="1097"/>
      <c r="AH42" s="1097"/>
      <c r="AI42" s="1097"/>
      <c r="AJ42" s="1097"/>
      <c r="AK42" s="1097"/>
      <c r="AL42" s="1097"/>
      <c r="AM42" s="1097"/>
      <c r="AN42" s="1097"/>
      <c r="AO42" s="1097"/>
      <c r="AP42" s="1097"/>
      <c r="AQ42" s="1097"/>
      <c r="AR42" s="1097"/>
      <c r="AS42" s="1097"/>
      <c r="AT42" s="1097"/>
      <c r="AU42" s="1097"/>
      <c r="AV42" s="1097"/>
      <c r="AW42" s="1097"/>
      <c r="AX42" s="1097"/>
      <c r="AY42" s="1097"/>
      <c r="AZ42" s="1097"/>
      <c r="BA42" s="1097"/>
      <c r="BB42" s="1097"/>
      <c r="BC42" s="1097"/>
      <c r="BD42" s="1114"/>
      <c r="BE42" s="1097"/>
      <c r="BF42" s="1097"/>
      <c r="BG42" s="1097"/>
      <c r="BH42" s="1097"/>
      <c r="BI42" s="1097"/>
      <c r="BJ42" s="1097"/>
      <c r="BK42" s="1097"/>
      <c r="BL42" s="1097"/>
      <c r="BM42" s="1097"/>
      <c r="BN42" s="1097"/>
      <c r="BO42" s="1097"/>
      <c r="BP42" s="1097"/>
      <c r="BQ42" s="1097"/>
      <c r="BR42" s="1097"/>
      <c r="BS42" s="1097"/>
      <c r="BT42" s="1097"/>
      <c r="BU42" s="1097"/>
      <c r="BV42" s="1097"/>
      <c r="BW42" s="1097"/>
      <c r="BX42" s="1097"/>
      <c r="BY42" s="1097"/>
      <c r="BZ42" s="1097"/>
    </row>
    <row r="43">
      <c r="A43" s="1097"/>
      <c r="B43" s="1097"/>
      <c r="C43" s="1097" t="s">
        <v>836</v>
      </c>
      <c r="D43" s="1112" t="str">
        <f>IFERROR(__xludf.DUMMYFUNCTION("""COMPUTED_VALUE"""),"1-1 Сбор КП^BK^ID_T007")</f>
        <v>1-1 Сбор КП^BK^ID_T007</v>
      </c>
      <c r="E43" s="1112" t="str">
        <f>IFERROR(__xludf.DUMMYFUNCTION("""COMPUTED_VALUE"""),"1-1 Сбор КП")</f>
        <v>1-1 Сбор КП</v>
      </c>
      <c r="F43" s="1112" t="str">
        <f>IFERROR(__xludf.DUMMYFUNCTION("""COMPUTED_VALUE"""),"BK")</f>
        <v>BK</v>
      </c>
      <c r="G43" s="1112" t="str">
        <f>IFERROR(__xludf.DUMMYFUNCTION("""COMPUTED_VALUE"""),"ca@air-part.ru (2)")</f>
        <v>ca@air-part.ru (2)</v>
      </c>
      <c r="H43" s="1113" t="str">
        <f>IFERROR(__xludf.DUMMYFUNCTION("""COMPUTED_VALUE"""),"ID_T007")</f>
        <v>ID_T007</v>
      </c>
      <c r="I43" s="1114">
        <f>IFERROR(__xludf.DUMMYFUNCTION("""COMPUTED_VALUE"""),4400.0)</f>
        <v>4400</v>
      </c>
      <c r="J43" s="1112" t="str">
        <f>IFERROR(__xludf.DUMMYFUNCTION("""COMPUTED_VALUE"""),"нал")</f>
        <v>нал</v>
      </c>
      <c r="K43" s="1112" t="str">
        <f>IFERROR(__xludf.DUMMYFUNCTION("""COMPUTED_VALUE"""),"Воздушный фильтр - Артикул 81166609 (аналог) ")</f>
        <v>Воздушный фильтр - Артикул 81166609 (аналог) </v>
      </c>
      <c r="L43" s="1112"/>
      <c r="M43" s="1097"/>
      <c r="N43" s="1097"/>
      <c r="O43" s="1097"/>
      <c r="P43" s="1097"/>
      <c r="Q43" s="1097"/>
      <c r="R43" s="1097"/>
      <c r="S43" s="1097"/>
      <c r="T43" s="1097"/>
      <c r="U43" s="1097"/>
      <c r="V43" s="1097"/>
      <c r="W43" s="1097"/>
      <c r="X43" s="1097"/>
      <c r="Y43" s="1097"/>
      <c r="Z43" s="1097"/>
      <c r="AA43" s="1112" t="str">
        <f>IFERROR(__xludf.DUMMYFUNCTION("""COMPUTED_VALUE"""),"BQ")</f>
        <v>BQ</v>
      </c>
      <c r="AB43" s="1112" t="str">
        <f>IFERROR(__xludf.DUMMYFUNCTION("""COMPUTED_VALUE"""),"zap-premium@mail.ru")</f>
        <v>zap-premium@mail.ru</v>
      </c>
      <c r="AC43" s="1112" t="str">
        <f>IFERROR(__xludf.DUMMYFUNCTION("""COMPUTED_VALUE"""),"ID_T007")</f>
        <v>ID_T007</v>
      </c>
      <c r="AD43" s="1114">
        <f>IFERROR(__xludf.DUMMYFUNCTION("""COMPUTED_VALUE"""),1900.0)</f>
        <v>1900</v>
      </c>
      <c r="AE43" s="1112" t="str">
        <f>IFERROR(__xludf.DUMMYFUNCTION("""COMPUTED_VALUE"""),"7 рд")</f>
        <v>7 рд</v>
      </c>
      <c r="AF43" s="1112" t="str">
        <f>IFERROR(__xludf.DUMMYFUNCTION("""COMPUTED_VALUE"""),"Фильтр воздушный 81166609 аналог")</f>
        <v>Фильтр воздушный 81166609 аналог</v>
      </c>
      <c r="AG43" s="1097"/>
      <c r="AH43" s="1097"/>
      <c r="AI43" s="1097"/>
      <c r="AJ43" s="1097"/>
      <c r="AK43" s="1097"/>
      <c r="AL43" s="1097"/>
      <c r="AM43" s="1097"/>
      <c r="AN43" s="1097"/>
      <c r="AO43" s="1097"/>
      <c r="AP43" s="1097"/>
      <c r="AQ43" s="1097"/>
      <c r="AR43" s="1097"/>
      <c r="AS43" s="1097"/>
      <c r="AT43" s="1097"/>
      <c r="AU43" s="1097"/>
      <c r="AV43" s="1097"/>
      <c r="AW43" s="1097"/>
      <c r="AX43" s="1097"/>
      <c r="AY43" s="1097"/>
      <c r="AZ43" s="1097"/>
      <c r="BA43" s="1097"/>
      <c r="BB43" s="1097"/>
      <c r="BC43" s="1097"/>
      <c r="BD43" s="1114"/>
      <c r="BE43" s="1097"/>
      <c r="BF43" s="1097"/>
      <c r="BG43" s="1097"/>
      <c r="BH43" s="1097"/>
      <c r="BI43" s="1097"/>
      <c r="BJ43" s="1097"/>
      <c r="BK43" s="1097"/>
      <c r="BL43" s="1097"/>
      <c r="BM43" s="1097"/>
      <c r="BN43" s="1097"/>
      <c r="BO43" s="1097"/>
      <c r="BP43" s="1097"/>
      <c r="BQ43" s="1097"/>
      <c r="BR43" s="1097"/>
      <c r="BS43" s="1097"/>
      <c r="BT43" s="1097"/>
      <c r="BU43" s="1097"/>
      <c r="BV43" s="1097"/>
      <c r="BW43" s="1097"/>
      <c r="BX43" s="1097"/>
      <c r="BY43" s="1097"/>
      <c r="BZ43" s="1097"/>
    </row>
    <row r="44">
      <c r="A44" s="1097"/>
      <c r="B44" s="1097"/>
      <c r="C44" s="1097" t="s">
        <v>837</v>
      </c>
      <c r="D44" s="1112" t="str">
        <f>IFERROR(__xludf.DUMMYFUNCTION("""COMPUTED_VALUE"""),"1-1 Сбор КП^BQ^ID_T007")</f>
        <v>1-1 Сбор КП^BQ^ID_T007</v>
      </c>
      <c r="E44" s="1112" t="str">
        <f>IFERROR(__xludf.DUMMYFUNCTION("""COMPUTED_VALUE"""),"1-1 Сбор КП")</f>
        <v>1-1 Сбор КП</v>
      </c>
      <c r="F44" s="1112" t="str">
        <f>IFERROR(__xludf.DUMMYFUNCTION("""COMPUTED_VALUE"""),"BQ")</f>
        <v>BQ</v>
      </c>
      <c r="G44" s="1112" t="str">
        <f>IFERROR(__xludf.DUMMYFUNCTION("""COMPUTED_VALUE"""),"zap-premium@mail.ru")</f>
        <v>zap-premium@mail.ru</v>
      </c>
      <c r="H44" s="1113" t="str">
        <f>IFERROR(__xludf.DUMMYFUNCTION("""COMPUTED_VALUE"""),"ID_T007")</f>
        <v>ID_T007</v>
      </c>
      <c r="I44" s="1114">
        <f>IFERROR(__xludf.DUMMYFUNCTION("""COMPUTED_VALUE"""),1900.0)</f>
        <v>1900</v>
      </c>
      <c r="J44" s="1112" t="str">
        <f>IFERROR(__xludf.DUMMYFUNCTION("""COMPUTED_VALUE"""),"7 рд")</f>
        <v>7 рд</v>
      </c>
      <c r="K44" s="1112" t="str">
        <f>IFERROR(__xludf.DUMMYFUNCTION("""COMPUTED_VALUE"""),"Фильтр воздушный 81166609 аналог")</f>
        <v>Фильтр воздушный 81166609 аналог</v>
      </c>
      <c r="L44" s="1112"/>
      <c r="M44" s="1097"/>
      <c r="N44" s="1097"/>
      <c r="O44" s="1097"/>
      <c r="P44" s="1097"/>
      <c r="Q44" s="1097"/>
      <c r="R44" s="1097"/>
      <c r="S44" s="1097"/>
      <c r="T44" s="1097"/>
      <c r="U44" s="1097"/>
      <c r="V44" s="1097"/>
      <c r="W44" s="1097"/>
      <c r="X44" s="1097"/>
      <c r="Y44" s="1097"/>
      <c r="Z44" s="1097"/>
      <c r="AA44" s="1112" t="str">
        <f>IFERROR(__xludf.DUMMYFUNCTION("""COMPUTED_VALUE"""),"BZ")</f>
        <v>BZ</v>
      </c>
      <c r="AB44" s="1112" t="str">
        <f>IFERROR(__xludf.DUMMYFUNCTION("""COMPUTED_VALUE"""),"r.staroverov@evlart.ru")</f>
        <v>r.staroverov@evlart.ru</v>
      </c>
      <c r="AC44" s="1112" t="str">
        <f>IFERROR(__xludf.DUMMYFUNCTION("""COMPUTED_VALUE"""),"ID_T007")</f>
        <v>ID_T007</v>
      </c>
      <c r="AD44" s="1114">
        <f>IFERROR(__xludf.DUMMYFUNCTION("""COMPUTED_VALUE"""),2275.0)</f>
        <v>2275</v>
      </c>
      <c r="AE44" s="1112" t="str">
        <f>IFERROR(__xludf.DUMMYFUNCTION("""COMPUTED_VALUE"""),"12 нед")</f>
        <v>12 нед</v>
      </c>
      <c r="AF44" s="1112" t="str">
        <f>IFERROR(__xludf.DUMMYFUNCTION("""COMPUTED_VALUE"""),"Воздушный фильтр - Артикул 81166609")</f>
        <v>Воздушный фильтр - Артикул 81166609</v>
      </c>
      <c r="AG44" s="1097"/>
      <c r="AH44" s="1097"/>
      <c r="AI44" s="1097"/>
      <c r="AJ44" s="1097"/>
      <c r="AK44" s="1097"/>
      <c r="AL44" s="1097"/>
      <c r="AM44" s="1097"/>
      <c r="AN44" s="1097"/>
      <c r="AO44" s="1097"/>
      <c r="AP44" s="1097"/>
      <c r="AQ44" s="1097"/>
      <c r="AR44" s="1097"/>
      <c r="AS44" s="1097"/>
      <c r="AT44" s="1097"/>
      <c r="AU44" s="1097"/>
      <c r="AV44" s="1097"/>
      <c r="AW44" s="1097"/>
      <c r="AX44" s="1097"/>
      <c r="AY44" s="1097"/>
      <c r="AZ44" s="1097"/>
      <c r="BA44" s="1097"/>
      <c r="BB44" s="1097"/>
      <c r="BC44" s="1097"/>
      <c r="BD44" s="1114"/>
      <c r="BE44" s="1097"/>
      <c r="BF44" s="1097"/>
      <c r="BG44" s="1097"/>
      <c r="BH44" s="1097"/>
      <c r="BI44" s="1097"/>
      <c r="BJ44" s="1097"/>
      <c r="BK44" s="1097"/>
      <c r="BL44" s="1097"/>
      <c r="BM44" s="1097"/>
      <c r="BN44" s="1097"/>
      <c r="BO44" s="1097"/>
      <c r="BP44" s="1097"/>
      <c r="BQ44" s="1097"/>
      <c r="BR44" s="1097"/>
      <c r="BS44" s="1097"/>
      <c r="BT44" s="1097"/>
      <c r="BU44" s="1097"/>
      <c r="BV44" s="1097"/>
      <c r="BW44" s="1097"/>
      <c r="BX44" s="1097"/>
      <c r="BY44" s="1097"/>
      <c r="BZ44" s="1097"/>
    </row>
    <row r="45">
      <c r="A45" s="1097"/>
      <c r="B45" s="1097"/>
      <c r="C45" s="1097" t="s">
        <v>841</v>
      </c>
      <c r="D45" s="1112" t="str">
        <f>IFERROR(__xludf.DUMMYFUNCTION("""COMPUTED_VALUE"""),"1-1 Сбор КП^BZ^ID_T007")</f>
        <v>1-1 Сбор КП^BZ^ID_T007</v>
      </c>
      <c r="E45" s="1112" t="str">
        <f>IFERROR(__xludf.DUMMYFUNCTION("""COMPUTED_VALUE"""),"1-1 Сбор КП")</f>
        <v>1-1 Сбор КП</v>
      </c>
      <c r="F45" s="1112" t="str">
        <f>IFERROR(__xludf.DUMMYFUNCTION("""COMPUTED_VALUE"""),"BZ")</f>
        <v>BZ</v>
      </c>
      <c r="G45" s="1112" t="str">
        <f>IFERROR(__xludf.DUMMYFUNCTION("""COMPUTED_VALUE"""),"r.staroverov@evlart.ru")</f>
        <v>r.staroverov@evlart.ru</v>
      </c>
      <c r="H45" s="1113" t="str">
        <f>IFERROR(__xludf.DUMMYFUNCTION("""COMPUTED_VALUE"""),"ID_T007")</f>
        <v>ID_T007</v>
      </c>
      <c r="I45" s="1114">
        <f>IFERROR(__xludf.DUMMYFUNCTION("""COMPUTED_VALUE"""),2275.0)</f>
        <v>2275</v>
      </c>
      <c r="J45" s="1112" t="str">
        <f>IFERROR(__xludf.DUMMYFUNCTION("""COMPUTED_VALUE"""),"12 нед")</f>
        <v>12 нед</v>
      </c>
      <c r="K45" s="1112" t="str">
        <f>IFERROR(__xludf.DUMMYFUNCTION("""COMPUTED_VALUE"""),"Воздушный фильтр - Артикул 81166609")</f>
        <v>Воздушный фильтр - Артикул 81166609</v>
      </c>
      <c r="L45" s="1112"/>
      <c r="M45" s="1097"/>
      <c r="N45" s="1097"/>
      <c r="O45" s="1097"/>
      <c r="P45" s="1097"/>
      <c r="Q45" s="1097"/>
      <c r="R45" s="1097"/>
      <c r="S45" s="1097"/>
      <c r="T45" s="1097"/>
      <c r="U45" s="1097"/>
      <c r="V45" s="1097"/>
      <c r="W45" s="1097"/>
      <c r="X45" s="1097"/>
      <c r="Y45" s="1097"/>
      <c r="Z45" s="1097"/>
      <c r="AA45" s="1112" t="str">
        <f>IFERROR(__xludf.DUMMYFUNCTION("""COMPUTED_VALUE"""),"CI")</f>
        <v>CI</v>
      </c>
      <c r="AB45" s="1112" t="str">
        <f>IFERROR(__xludf.DUMMYFUNCTION("""COMPUTED_VALUE"""),"davidov@pressair.ru")</f>
        <v>davidov@pressair.ru</v>
      </c>
      <c r="AC45" s="1112" t="str">
        <f>IFERROR(__xludf.DUMMYFUNCTION("""COMPUTED_VALUE"""),"ID_T007")</f>
        <v>ID_T007</v>
      </c>
      <c r="AD45" s="1114">
        <f>IFERROR(__xludf.DUMMYFUNCTION("""COMPUTED_VALUE"""),1600.0)</f>
        <v>1600</v>
      </c>
      <c r="AE45" s="1112" t="str">
        <f>IFERROR(__xludf.DUMMYFUNCTION("""COMPUTED_VALUE"""),"5 рд")</f>
        <v>5 рд</v>
      </c>
      <c r="AF45" s="1112" t="str">
        <f>IFERROR(__xludf.DUMMYFUNCTION("""COMPUTED_VALUE"""),"Воздушный фильтр 81166609 = SA6007")</f>
        <v>Воздушный фильтр 81166609 = SA6007</v>
      </c>
      <c r="AG45" s="1097"/>
      <c r="AH45" s="1097"/>
      <c r="AI45" s="1097"/>
      <c r="AJ45" s="1097"/>
      <c r="AK45" s="1097"/>
      <c r="AL45" s="1097"/>
      <c r="AM45" s="1097"/>
      <c r="AN45" s="1097"/>
      <c r="AO45" s="1097"/>
      <c r="AP45" s="1097"/>
      <c r="AQ45" s="1097"/>
      <c r="AR45" s="1097"/>
      <c r="AS45" s="1097"/>
      <c r="AT45" s="1097"/>
      <c r="AU45" s="1097"/>
      <c r="AV45" s="1097"/>
      <c r="AW45" s="1097"/>
      <c r="AX45" s="1097"/>
      <c r="AY45" s="1097"/>
      <c r="AZ45" s="1097"/>
      <c r="BA45" s="1097"/>
      <c r="BB45" s="1097"/>
      <c r="BC45" s="1097"/>
      <c r="BD45" s="1114"/>
      <c r="BE45" s="1097"/>
      <c r="BF45" s="1097"/>
      <c r="BG45" s="1097"/>
      <c r="BH45" s="1097"/>
      <c r="BI45" s="1097"/>
      <c r="BJ45" s="1097"/>
      <c r="BK45" s="1097"/>
      <c r="BL45" s="1097"/>
      <c r="BM45" s="1097"/>
      <c r="BN45" s="1097"/>
      <c r="BO45" s="1097"/>
      <c r="BP45" s="1097"/>
      <c r="BQ45" s="1097"/>
      <c r="BR45" s="1097"/>
      <c r="BS45" s="1097"/>
      <c r="BT45" s="1097"/>
      <c r="BU45" s="1097"/>
      <c r="BV45" s="1097"/>
      <c r="BW45" s="1097"/>
      <c r="BX45" s="1097"/>
      <c r="BY45" s="1097"/>
      <c r="BZ45" s="1097"/>
    </row>
    <row r="46">
      <c r="A46" s="1097"/>
      <c r="B46" s="1097"/>
      <c r="C46" s="1097" t="s">
        <v>842</v>
      </c>
      <c r="D46" s="1112" t="str">
        <f>IFERROR(__xludf.DUMMYFUNCTION("""COMPUTED_VALUE"""),"1-1 Сбор КП^CI^ID_T007")</f>
        <v>1-1 Сбор КП^CI^ID_T007</v>
      </c>
      <c r="E46" s="1112" t="str">
        <f>IFERROR(__xludf.DUMMYFUNCTION("""COMPUTED_VALUE"""),"1-1 Сбор КП")</f>
        <v>1-1 Сбор КП</v>
      </c>
      <c r="F46" s="1112" t="str">
        <f>IFERROR(__xludf.DUMMYFUNCTION("""COMPUTED_VALUE"""),"CI")</f>
        <v>CI</v>
      </c>
      <c r="G46" s="1112" t="str">
        <f>IFERROR(__xludf.DUMMYFUNCTION("""COMPUTED_VALUE"""),"davidov@pressair.ru")</f>
        <v>davidov@pressair.ru</v>
      </c>
      <c r="H46" s="1113" t="str">
        <f>IFERROR(__xludf.DUMMYFUNCTION("""COMPUTED_VALUE"""),"ID_T007")</f>
        <v>ID_T007</v>
      </c>
      <c r="I46" s="1114">
        <f>IFERROR(__xludf.DUMMYFUNCTION("""COMPUTED_VALUE"""),1600.0)</f>
        <v>1600</v>
      </c>
      <c r="J46" s="1112" t="str">
        <f>IFERROR(__xludf.DUMMYFUNCTION("""COMPUTED_VALUE"""),"5 рд")</f>
        <v>5 рд</v>
      </c>
      <c r="K46" s="1112" t="str">
        <f>IFERROR(__xludf.DUMMYFUNCTION("""COMPUTED_VALUE"""),"Воздушный фильтр 81166609 = SA6007")</f>
        <v>Воздушный фильтр 81166609 = SA6007</v>
      </c>
      <c r="L46" s="1112"/>
      <c r="M46" s="1097"/>
      <c r="N46" s="1097"/>
      <c r="O46" s="1097"/>
      <c r="P46" s="1097"/>
      <c r="Q46" s="1097"/>
      <c r="R46" s="1097"/>
      <c r="S46" s="1097"/>
      <c r="T46" s="1097"/>
      <c r="U46" s="1097"/>
      <c r="V46" s="1097"/>
      <c r="W46" s="1097"/>
      <c r="X46" s="1097"/>
      <c r="Y46" s="1097"/>
      <c r="Z46" s="1097"/>
      <c r="AA46" s="1112" t="str">
        <f>IFERROR(__xludf.DUMMYFUNCTION("""COMPUTED_VALUE"""),"AM")</f>
        <v>AM</v>
      </c>
      <c r="AB46" s="1112" t="str">
        <f>IFERROR(__xludf.DUMMYFUNCTION("""COMPUTED_VALUE"""),"104@pnevmotek.com")</f>
        <v>104@pnevmotek.com</v>
      </c>
      <c r="AC46" s="1112" t="str">
        <f>IFERROR(__xludf.DUMMYFUNCTION("""COMPUTED_VALUE"""),"ID_T008")</f>
        <v>ID_T008</v>
      </c>
      <c r="AD46" s="1114">
        <f>IFERROR(__xludf.DUMMYFUNCTION("""COMPUTED_VALUE"""),156500.0)</f>
        <v>156500</v>
      </c>
      <c r="AE46" s="1112" t="str">
        <f>IFERROR(__xludf.DUMMYFUNCTION("""COMPUTED_VALUE"""),"12 нед")</f>
        <v>12 нед</v>
      </c>
      <c r="AF46" s="1112" t="str">
        <f>IFERROR(__xludf.DUMMYFUNCTION("""COMPUTED_VALUE"""),"Сервисный набор арт. 2906020000 GA 200 1 шт")</f>
        <v>Сервисный набор арт. 2906020000 GA 200 1 шт</v>
      </c>
      <c r="AG46" s="1097"/>
      <c r="AH46" s="1097"/>
      <c r="AI46" s="1097"/>
      <c r="AJ46" s="1097"/>
      <c r="AK46" s="1097"/>
      <c r="AL46" s="1097"/>
      <c r="AM46" s="1097"/>
      <c r="AN46" s="1097"/>
      <c r="AO46" s="1097"/>
      <c r="AP46" s="1097"/>
      <c r="AQ46" s="1097"/>
      <c r="AR46" s="1097"/>
      <c r="AS46" s="1097"/>
      <c r="AT46" s="1097"/>
      <c r="AU46" s="1097"/>
      <c r="AV46" s="1097"/>
      <c r="AW46" s="1097"/>
      <c r="AX46" s="1097"/>
      <c r="AY46" s="1097"/>
      <c r="AZ46" s="1097"/>
      <c r="BA46" s="1097"/>
      <c r="BB46" s="1097"/>
      <c r="BC46" s="1097"/>
      <c r="BD46" s="1114"/>
      <c r="BE46" s="1097"/>
      <c r="BF46" s="1097"/>
      <c r="BG46" s="1097"/>
      <c r="BH46" s="1097"/>
      <c r="BI46" s="1097"/>
      <c r="BJ46" s="1097"/>
      <c r="BK46" s="1097"/>
      <c r="BL46" s="1097"/>
      <c r="BM46" s="1097"/>
      <c r="BN46" s="1097"/>
      <c r="BO46" s="1097"/>
      <c r="BP46" s="1097"/>
      <c r="BQ46" s="1097"/>
      <c r="BR46" s="1097"/>
      <c r="BS46" s="1097"/>
      <c r="BT46" s="1097"/>
      <c r="BU46" s="1097"/>
      <c r="BV46" s="1097"/>
      <c r="BW46" s="1097"/>
      <c r="BX46" s="1097"/>
      <c r="BY46" s="1097"/>
      <c r="BZ46" s="1097"/>
    </row>
    <row r="47">
      <c r="A47" s="1097"/>
      <c r="B47" s="1097"/>
      <c r="C47" s="1097" t="s">
        <v>849</v>
      </c>
      <c r="D47" s="1112" t="str">
        <f>IFERROR(__xludf.DUMMYFUNCTION("""COMPUTED_VALUE"""),"1-1 Сбор КП^AM^ID_T008")</f>
        <v>1-1 Сбор КП^AM^ID_T008</v>
      </c>
      <c r="E47" s="1112" t="str">
        <f>IFERROR(__xludf.DUMMYFUNCTION("""COMPUTED_VALUE"""),"1-1 Сбор КП")</f>
        <v>1-1 Сбор КП</v>
      </c>
      <c r="F47" s="1112" t="str">
        <f>IFERROR(__xludf.DUMMYFUNCTION("""COMPUTED_VALUE"""),"AM")</f>
        <v>AM</v>
      </c>
      <c r="G47" s="1112" t="str">
        <f>IFERROR(__xludf.DUMMYFUNCTION("""COMPUTED_VALUE"""),"104@pnevmotek.com")</f>
        <v>104@pnevmotek.com</v>
      </c>
      <c r="H47" s="1113" t="str">
        <f>IFERROR(__xludf.DUMMYFUNCTION("""COMPUTED_VALUE"""),"ID_T008")</f>
        <v>ID_T008</v>
      </c>
      <c r="I47" s="1114">
        <f>IFERROR(__xludf.DUMMYFUNCTION("""COMPUTED_VALUE"""),156500.0)</f>
        <v>156500</v>
      </c>
      <c r="J47" s="1112" t="str">
        <f>IFERROR(__xludf.DUMMYFUNCTION("""COMPUTED_VALUE"""),"12 нед")</f>
        <v>12 нед</v>
      </c>
      <c r="K47" s="1112" t="str">
        <f>IFERROR(__xludf.DUMMYFUNCTION("""COMPUTED_VALUE"""),"Сервисный набор арт. 2906020000 GA 200 1 шт")</f>
        <v>Сервисный набор арт. 2906020000 GA 200 1 шт</v>
      </c>
      <c r="L47" s="1112"/>
      <c r="M47" s="1097"/>
      <c r="N47" s="1097"/>
      <c r="O47" s="1097"/>
      <c r="P47" s="1097"/>
      <c r="Q47" s="1097"/>
      <c r="R47" s="1097"/>
      <c r="S47" s="1097"/>
      <c r="T47" s="1097"/>
      <c r="U47" s="1097"/>
      <c r="V47" s="1097"/>
      <c r="W47" s="1097"/>
      <c r="X47" s="1097"/>
      <c r="Y47" s="1097"/>
      <c r="Z47" s="1097"/>
      <c r="AA47" s="1112" t="str">
        <f>IFERROR(__xludf.DUMMYFUNCTION("""COMPUTED_VALUE"""),"AP")</f>
        <v>AP</v>
      </c>
      <c r="AB47" s="1112" t="str">
        <f>IFERROR(__xludf.DUMMYFUNCTION("""COMPUTED_VALUE"""),"vkorolev@rutector.ru")</f>
        <v>vkorolev@rutector.ru</v>
      </c>
      <c r="AC47" s="1112" t="str">
        <f>IFERROR(__xludf.DUMMYFUNCTION("""COMPUTED_VALUE"""),"ID_T008")</f>
        <v>ID_T008</v>
      </c>
      <c r="AD47" s="1114">
        <f>IFERROR(__xludf.DUMMYFUNCTION("""COMPUTED_VALUE"""),104000.0)</f>
        <v>104000</v>
      </c>
      <c r="AE47" s="1112" t="str">
        <f>IFERROR(__xludf.DUMMYFUNCTION("""COMPUTED_VALUE"""),"12 нед")</f>
        <v>12 нед</v>
      </c>
      <c r="AF47" s="1112" t="str">
        <f>IFERROR(__xludf.DUMMYFUNCTION("""COMPUTED_VALUE"""),"2906020000 AIR/OIL FILTER KIT")</f>
        <v>2906020000 AIR/OIL FILTER KIT</v>
      </c>
      <c r="AG47" s="1097"/>
      <c r="AH47" s="1097"/>
      <c r="AI47" s="1097"/>
      <c r="AJ47" s="1097"/>
      <c r="AK47" s="1097"/>
      <c r="AL47" s="1097"/>
      <c r="AM47" s="1097"/>
      <c r="AN47" s="1097"/>
      <c r="AO47" s="1097"/>
      <c r="AP47" s="1097"/>
      <c r="AQ47" s="1097"/>
      <c r="AR47" s="1097"/>
      <c r="AS47" s="1097"/>
      <c r="AT47" s="1097"/>
      <c r="AU47" s="1097"/>
      <c r="AV47" s="1097"/>
      <c r="AW47" s="1097"/>
      <c r="AX47" s="1097"/>
      <c r="AY47" s="1097"/>
      <c r="AZ47" s="1097"/>
      <c r="BA47" s="1097"/>
      <c r="BB47" s="1097"/>
      <c r="BC47" s="1097"/>
      <c r="BD47" s="1114"/>
      <c r="BE47" s="1097"/>
      <c r="BF47" s="1097"/>
      <c r="BG47" s="1097"/>
      <c r="BH47" s="1097"/>
      <c r="BI47" s="1097"/>
      <c r="BJ47" s="1097"/>
      <c r="BK47" s="1097"/>
      <c r="BL47" s="1097"/>
      <c r="BM47" s="1097"/>
      <c r="BN47" s="1097"/>
      <c r="BO47" s="1097"/>
      <c r="BP47" s="1097"/>
      <c r="BQ47" s="1097"/>
      <c r="BR47" s="1097"/>
      <c r="BS47" s="1097"/>
      <c r="BT47" s="1097"/>
      <c r="BU47" s="1097"/>
      <c r="BV47" s="1097"/>
      <c r="BW47" s="1097"/>
      <c r="BX47" s="1097"/>
      <c r="BY47" s="1097"/>
      <c r="BZ47" s="1097"/>
    </row>
    <row r="48">
      <c r="A48" s="1097"/>
      <c r="B48" s="1097"/>
      <c r="C48" s="1097" t="s">
        <v>854</v>
      </c>
      <c r="D48" s="1112" t="str">
        <f>IFERROR(__xludf.DUMMYFUNCTION("""COMPUTED_VALUE"""),"1-1 Сбор КП^AP^ID_T008")</f>
        <v>1-1 Сбор КП^AP^ID_T008</v>
      </c>
      <c r="E48" s="1112" t="str">
        <f>IFERROR(__xludf.DUMMYFUNCTION("""COMPUTED_VALUE"""),"1-1 Сбор КП")</f>
        <v>1-1 Сбор КП</v>
      </c>
      <c r="F48" s="1112" t="str">
        <f>IFERROR(__xludf.DUMMYFUNCTION("""COMPUTED_VALUE"""),"AP")</f>
        <v>AP</v>
      </c>
      <c r="G48" s="1112" t="str">
        <f>IFERROR(__xludf.DUMMYFUNCTION("""COMPUTED_VALUE"""),"vkorolev@rutector.ru")</f>
        <v>vkorolev@rutector.ru</v>
      </c>
      <c r="H48" s="1113" t="str">
        <f>IFERROR(__xludf.DUMMYFUNCTION("""COMPUTED_VALUE"""),"ID_T008")</f>
        <v>ID_T008</v>
      </c>
      <c r="I48" s="1114">
        <f>IFERROR(__xludf.DUMMYFUNCTION("""COMPUTED_VALUE"""),104000.0)</f>
        <v>104000</v>
      </c>
      <c r="J48" s="1112" t="str">
        <f>IFERROR(__xludf.DUMMYFUNCTION("""COMPUTED_VALUE"""),"12 нед")</f>
        <v>12 нед</v>
      </c>
      <c r="K48" s="1112" t="str">
        <f>IFERROR(__xludf.DUMMYFUNCTION("""COMPUTED_VALUE"""),"2906020000 AIR/OIL FILTER KIT")</f>
        <v>2906020000 AIR/OIL FILTER KIT</v>
      </c>
      <c r="L48" s="1112"/>
      <c r="M48" s="1097"/>
      <c r="N48" s="1097"/>
      <c r="O48" s="1097"/>
      <c r="P48" s="1097"/>
      <c r="Q48" s="1097"/>
      <c r="R48" s="1097"/>
      <c r="S48" s="1097"/>
      <c r="T48" s="1097"/>
      <c r="U48" s="1097"/>
      <c r="V48" s="1097"/>
      <c r="W48" s="1097"/>
      <c r="X48" s="1097"/>
      <c r="Y48" s="1097"/>
      <c r="Z48" s="1097"/>
      <c r="AA48" s="1112" t="str">
        <f>IFERROR(__xludf.DUMMYFUNCTION("""COMPUTED_VALUE"""),"BB")</f>
        <v>BB</v>
      </c>
      <c r="AB48" s="1112" t="str">
        <f>IFERROR(__xludf.DUMMYFUNCTION("""COMPUTED_VALUE"""),"rt@air-part.ru")</f>
        <v>rt@air-part.ru</v>
      </c>
      <c r="AC48" s="1112" t="str">
        <f>IFERROR(__xludf.DUMMYFUNCTION("""COMPUTED_VALUE"""),"ID_T008")</f>
        <v>ID_T008</v>
      </c>
      <c r="AD48" s="1114">
        <f>IFERROR(__xludf.DUMMYFUNCTION("""COMPUTED_VALUE"""),417300.0)</f>
        <v>417300</v>
      </c>
      <c r="AE48" s="1112" t="str">
        <f>IFERROR(__xludf.DUMMYFUNCTION("""COMPUTED_VALUE"""),"14 нед")</f>
        <v>14 нед</v>
      </c>
      <c r="AF48" s="1112" t="str">
        <f>IFERROR(__xludf.DUMMYFUNCTION("""COMPUTED_VALUE"""),"2906020000.")</f>
        <v>2906020000.</v>
      </c>
      <c r="AG48" s="1097"/>
      <c r="AH48" s="1097"/>
      <c r="AI48" s="1097"/>
      <c r="AJ48" s="1097"/>
      <c r="AK48" s="1097"/>
      <c r="AL48" s="1097"/>
      <c r="AM48" s="1097"/>
      <c r="AN48" s="1097"/>
      <c r="AO48" s="1097"/>
      <c r="AP48" s="1097"/>
      <c r="AQ48" s="1097"/>
      <c r="AR48" s="1097"/>
      <c r="AS48" s="1097"/>
      <c r="AT48" s="1097"/>
      <c r="AU48" s="1097"/>
      <c r="AV48" s="1097"/>
      <c r="AW48" s="1097"/>
      <c r="AX48" s="1097"/>
      <c r="AY48" s="1097"/>
      <c r="AZ48" s="1097"/>
      <c r="BA48" s="1097"/>
      <c r="BB48" s="1097"/>
      <c r="BC48" s="1097"/>
      <c r="BD48" s="1114"/>
      <c r="BE48" s="1097"/>
      <c r="BF48" s="1097"/>
      <c r="BG48" s="1097"/>
      <c r="BH48" s="1097"/>
      <c r="BI48" s="1097"/>
      <c r="BJ48" s="1097"/>
      <c r="BK48" s="1097"/>
      <c r="BL48" s="1097"/>
      <c r="BM48" s="1097"/>
      <c r="BN48" s="1097"/>
      <c r="BO48" s="1097"/>
      <c r="BP48" s="1097"/>
      <c r="BQ48" s="1097"/>
      <c r="BR48" s="1097"/>
      <c r="BS48" s="1097"/>
      <c r="BT48" s="1097"/>
      <c r="BU48" s="1097"/>
      <c r="BV48" s="1097"/>
      <c r="BW48" s="1097"/>
      <c r="BX48" s="1097"/>
      <c r="BY48" s="1097"/>
      <c r="BZ48" s="1097"/>
    </row>
    <row r="49">
      <c r="A49" s="1097"/>
      <c r="B49" s="1097"/>
      <c r="C49" s="1097" t="s">
        <v>855</v>
      </c>
      <c r="D49" s="1112" t="str">
        <f>IFERROR(__xludf.DUMMYFUNCTION("""COMPUTED_VALUE"""),"1-1 Сбор КП^BB^ID_T008")</f>
        <v>1-1 Сбор КП^BB^ID_T008</v>
      </c>
      <c r="E49" s="1112" t="str">
        <f>IFERROR(__xludf.DUMMYFUNCTION("""COMPUTED_VALUE"""),"1-1 Сбор КП")</f>
        <v>1-1 Сбор КП</v>
      </c>
      <c r="F49" s="1112" t="str">
        <f>IFERROR(__xludf.DUMMYFUNCTION("""COMPUTED_VALUE"""),"BB")</f>
        <v>BB</v>
      </c>
      <c r="G49" s="1112" t="str">
        <f>IFERROR(__xludf.DUMMYFUNCTION("""COMPUTED_VALUE"""),"rt@air-part.ru")</f>
        <v>rt@air-part.ru</v>
      </c>
      <c r="H49" s="1113" t="str">
        <f>IFERROR(__xludf.DUMMYFUNCTION("""COMPUTED_VALUE"""),"ID_T008")</f>
        <v>ID_T008</v>
      </c>
      <c r="I49" s="1114">
        <f>IFERROR(__xludf.DUMMYFUNCTION("""COMPUTED_VALUE"""),417300.0)</f>
        <v>417300</v>
      </c>
      <c r="J49" s="1112" t="str">
        <f>IFERROR(__xludf.DUMMYFUNCTION("""COMPUTED_VALUE"""),"14 нед")</f>
        <v>14 нед</v>
      </c>
      <c r="K49" s="1112" t="str">
        <f>IFERROR(__xludf.DUMMYFUNCTION("""COMPUTED_VALUE"""),"2906020000.")</f>
        <v>2906020000.</v>
      </c>
      <c r="L49" s="1112"/>
      <c r="M49" s="1097"/>
      <c r="N49" s="1097"/>
      <c r="O49" s="1097"/>
      <c r="P49" s="1097"/>
      <c r="Q49" s="1097"/>
      <c r="R49" s="1097"/>
      <c r="S49" s="1097"/>
      <c r="T49" s="1097"/>
      <c r="U49" s="1097"/>
      <c r="V49" s="1097"/>
      <c r="W49" s="1097"/>
      <c r="X49" s="1097"/>
      <c r="Y49" s="1097"/>
      <c r="Z49" s="1097"/>
      <c r="AA49" s="1112" t="str">
        <f>IFERROR(__xludf.DUMMYFUNCTION("""COMPUTED_VALUE"""),"CC")</f>
        <v>CC</v>
      </c>
      <c r="AB49" s="1112" t="str">
        <f>IFERROR(__xludf.DUMMYFUNCTION("""COMPUTED_VALUE"""),"e.omelyusik@evlart.ru")</f>
        <v>e.omelyusik@evlart.ru</v>
      </c>
      <c r="AC49" s="1112" t="str">
        <f>IFERROR(__xludf.DUMMYFUNCTION("""COMPUTED_VALUE"""),"ID_T008")</f>
        <v>ID_T008</v>
      </c>
      <c r="AD49" s="1114">
        <f>IFERROR(__xludf.DUMMYFUNCTION("""COMPUTED_VALUE"""),42883.0)</f>
        <v>42883</v>
      </c>
      <c r="AE49" s="1112" t="str">
        <f>IFERROR(__xludf.DUMMYFUNCTION("""COMPUTED_VALUE"""),"15 нед")</f>
        <v>15 нед</v>
      </c>
      <c r="AF49" s="1112" t="str">
        <f>IFERROR(__xludf.DUMMYFUNCTION("""COMPUTED_VALUE"""),"Сервисный набор Atlas Copco
2906020000")</f>
        <v>Сервисный набор Atlas Copco
2906020000</v>
      </c>
      <c r="AG49" s="1097"/>
      <c r="AH49" s="1097"/>
      <c r="AI49" s="1097"/>
      <c r="AJ49" s="1097"/>
      <c r="AK49" s="1097"/>
      <c r="AL49" s="1097"/>
      <c r="AM49" s="1097"/>
      <c r="AN49" s="1097"/>
      <c r="AO49" s="1097"/>
      <c r="AP49" s="1097"/>
      <c r="AQ49" s="1097"/>
      <c r="AR49" s="1097"/>
      <c r="AS49" s="1097"/>
      <c r="AT49" s="1097"/>
      <c r="AU49" s="1097"/>
      <c r="AV49" s="1097"/>
      <c r="AW49" s="1097"/>
      <c r="AX49" s="1097"/>
      <c r="AY49" s="1097"/>
      <c r="AZ49" s="1097"/>
      <c r="BA49" s="1097"/>
      <c r="BB49" s="1097"/>
      <c r="BC49" s="1097"/>
      <c r="BD49" s="1114"/>
      <c r="BE49" s="1097"/>
      <c r="BF49" s="1097"/>
      <c r="BG49" s="1097"/>
      <c r="BH49" s="1097"/>
      <c r="BI49" s="1097"/>
      <c r="BJ49" s="1097"/>
      <c r="BK49" s="1097"/>
      <c r="BL49" s="1097"/>
      <c r="BM49" s="1097"/>
      <c r="BN49" s="1097"/>
      <c r="BO49" s="1097"/>
      <c r="BP49" s="1097"/>
      <c r="BQ49" s="1097"/>
      <c r="BR49" s="1097"/>
      <c r="BS49" s="1097"/>
      <c r="BT49" s="1097"/>
      <c r="BU49" s="1097"/>
      <c r="BV49" s="1097"/>
      <c r="BW49" s="1097"/>
      <c r="BX49" s="1097"/>
      <c r="BY49" s="1097"/>
      <c r="BZ49" s="1097"/>
    </row>
    <row r="50">
      <c r="A50" s="1097"/>
      <c r="B50" s="1097"/>
      <c r="C50" s="1097" t="s">
        <v>856</v>
      </c>
      <c r="D50" s="1112" t="str">
        <f>IFERROR(__xludf.DUMMYFUNCTION("""COMPUTED_VALUE"""),"1-1 Сбор КП^CC^ID_T008")</f>
        <v>1-1 Сбор КП^CC^ID_T008</v>
      </c>
      <c r="E50" s="1112" t="str">
        <f>IFERROR(__xludf.DUMMYFUNCTION("""COMPUTED_VALUE"""),"1-1 Сбор КП")</f>
        <v>1-1 Сбор КП</v>
      </c>
      <c r="F50" s="1112" t="str">
        <f>IFERROR(__xludf.DUMMYFUNCTION("""COMPUTED_VALUE"""),"CC")</f>
        <v>CC</v>
      </c>
      <c r="G50" s="1112" t="str">
        <f>IFERROR(__xludf.DUMMYFUNCTION("""COMPUTED_VALUE"""),"e.omelyusik@evlart.ru")</f>
        <v>e.omelyusik@evlart.ru</v>
      </c>
      <c r="H50" s="1113" t="str">
        <f>IFERROR(__xludf.DUMMYFUNCTION("""COMPUTED_VALUE"""),"ID_T008")</f>
        <v>ID_T008</v>
      </c>
      <c r="I50" s="1114">
        <f>IFERROR(__xludf.DUMMYFUNCTION("""COMPUTED_VALUE"""),42883.0)</f>
        <v>42883</v>
      </c>
      <c r="J50" s="1112" t="str">
        <f>IFERROR(__xludf.DUMMYFUNCTION("""COMPUTED_VALUE"""),"15 нед")</f>
        <v>15 нед</v>
      </c>
      <c r="K50" s="1112" t="str">
        <f>IFERROR(__xludf.DUMMYFUNCTION("""COMPUTED_VALUE"""),"Сервисный набор Atlas Copco
2906020000")</f>
        <v>Сервисный набор Atlas Copco
2906020000</v>
      </c>
      <c r="L50" s="1112"/>
      <c r="M50" s="1097"/>
      <c r="N50" s="1097"/>
      <c r="O50" s="1097"/>
      <c r="P50" s="1097"/>
      <c r="Q50" s="1097"/>
      <c r="R50" s="1097"/>
      <c r="S50" s="1097"/>
      <c r="T50" s="1097"/>
      <c r="U50" s="1097"/>
      <c r="V50" s="1097"/>
      <c r="W50" s="1097"/>
      <c r="X50" s="1097"/>
      <c r="Y50" s="1097"/>
      <c r="Z50" s="1097"/>
      <c r="AA50" s="1112" t="str">
        <f>IFERROR(__xludf.DUMMYFUNCTION("""COMPUTED_VALUE"""),"AM")</f>
        <v>AM</v>
      </c>
      <c r="AB50" s="1112" t="str">
        <f>IFERROR(__xludf.DUMMYFUNCTION("""COMPUTED_VALUE"""),"104@pnevmotek.com")</f>
        <v>104@pnevmotek.com</v>
      </c>
      <c r="AC50" s="1112" t="str">
        <f>IFERROR(__xludf.DUMMYFUNCTION("""COMPUTED_VALUE"""),"ID_T009")</f>
        <v>ID_T009</v>
      </c>
      <c r="AD50" s="1114">
        <f>IFERROR(__xludf.DUMMYFUNCTION("""COMPUTED_VALUE"""),599500.0)</f>
        <v>599500</v>
      </c>
      <c r="AE50" s="1112" t="str">
        <f>IFERROR(__xludf.DUMMYFUNCTION("""COMPUTED_VALUE"""),"12 нед")</f>
        <v>12 нед</v>
      </c>
      <c r="AF50" s="1112" t="str">
        <f>IFERROR(__xludf.DUMMYFUNCTION("""COMPUTED_VALUE"""),"Сервисный набор 8000 1 шт")</f>
        <v>Сервисный набор 8000 1 шт</v>
      </c>
      <c r="AG50" s="1097"/>
      <c r="AH50" s="1097"/>
      <c r="AI50" s="1097"/>
      <c r="AJ50" s="1097"/>
      <c r="AK50" s="1097"/>
      <c r="AL50" s="1097"/>
      <c r="AM50" s="1097"/>
      <c r="AN50" s="1097"/>
      <c r="AO50" s="1097"/>
      <c r="AP50" s="1097"/>
      <c r="AQ50" s="1097"/>
      <c r="AR50" s="1097"/>
      <c r="AS50" s="1097"/>
      <c r="AT50" s="1097"/>
      <c r="AU50" s="1097"/>
      <c r="AV50" s="1097"/>
      <c r="AW50" s="1097"/>
      <c r="AX50" s="1097"/>
      <c r="AY50" s="1097"/>
      <c r="AZ50" s="1097"/>
      <c r="BA50" s="1097"/>
      <c r="BB50" s="1097"/>
      <c r="BC50" s="1097"/>
      <c r="BD50" s="1114"/>
      <c r="BE50" s="1097"/>
      <c r="BF50" s="1097"/>
      <c r="BG50" s="1097"/>
      <c r="BH50" s="1097"/>
      <c r="BI50" s="1097"/>
      <c r="BJ50" s="1097"/>
      <c r="BK50" s="1097"/>
      <c r="BL50" s="1097"/>
      <c r="BM50" s="1097"/>
      <c r="BN50" s="1097"/>
      <c r="BO50" s="1097"/>
      <c r="BP50" s="1097"/>
      <c r="BQ50" s="1097"/>
      <c r="BR50" s="1097"/>
      <c r="BS50" s="1097"/>
      <c r="BT50" s="1097"/>
      <c r="BU50" s="1097"/>
      <c r="BV50" s="1097"/>
      <c r="BW50" s="1097"/>
      <c r="BX50" s="1097"/>
      <c r="BY50" s="1097"/>
      <c r="BZ50" s="1097"/>
    </row>
    <row r="51">
      <c r="A51" s="1097"/>
      <c r="B51" s="1097"/>
      <c r="C51" s="1097" t="s">
        <v>857</v>
      </c>
      <c r="D51" s="1112" t="str">
        <f>IFERROR(__xludf.DUMMYFUNCTION("""COMPUTED_VALUE"""),"1-1 Сбор КП^AM^ID_T009")</f>
        <v>1-1 Сбор КП^AM^ID_T009</v>
      </c>
      <c r="E51" s="1112" t="str">
        <f>IFERROR(__xludf.DUMMYFUNCTION("""COMPUTED_VALUE"""),"1-1 Сбор КП")</f>
        <v>1-1 Сбор КП</v>
      </c>
      <c r="F51" s="1112" t="str">
        <f>IFERROR(__xludf.DUMMYFUNCTION("""COMPUTED_VALUE"""),"AM")</f>
        <v>AM</v>
      </c>
      <c r="G51" s="1112" t="str">
        <f>IFERROR(__xludf.DUMMYFUNCTION("""COMPUTED_VALUE"""),"104@pnevmotek.com")</f>
        <v>104@pnevmotek.com</v>
      </c>
      <c r="H51" s="1113" t="str">
        <f>IFERROR(__xludf.DUMMYFUNCTION("""COMPUTED_VALUE"""),"ID_T009")</f>
        <v>ID_T009</v>
      </c>
      <c r="I51" s="1114">
        <f>IFERROR(__xludf.DUMMYFUNCTION("""COMPUTED_VALUE"""),599500.0)</f>
        <v>599500</v>
      </c>
      <c r="J51" s="1112" t="str">
        <f>IFERROR(__xludf.DUMMYFUNCTION("""COMPUTED_VALUE"""),"12 нед")</f>
        <v>12 нед</v>
      </c>
      <c r="K51" s="1112" t="str">
        <f>IFERROR(__xludf.DUMMYFUNCTION("""COMPUTED_VALUE"""),"Сервисный набор 8000 1 шт")</f>
        <v>Сервисный набор 8000 1 шт</v>
      </c>
      <c r="L51" s="1112"/>
      <c r="M51" s="1097"/>
      <c r="N51" s="1097"/>
      <c r="O51" s="1097"/>
      <c r="P51" s="1097"/>
      <c r="Q51" s="1097"/>
      <c r="R51" s="1097"/>
      <c r="S51" s="1097"/>
      <c r="T51" s="1097"/>
      <c r="U51" s="1097"/>
      <c r="V51" s="1097"/>
      <c r="W51" s="1097"/>
      <c r="X51" s="1097"/>
      <c r="Y51" s="1097"/>
      <c r="Z51" s="1097"/>
      <c r="AA51" s="1112" t="str">
        <f>IFERROR(__xludf.DUMMYFUNCTION("""COMPUTED_VALUE"""),"AP")</f>
        <v>AP</v>
      </c>
      <c r="AB51" s="1112" t="str">
        <f>IFERROR(__xludf.DUMMYFUNCTION("""COMPUTED_VALUE"""),"vkorolev@rutector.ru")</f>
        <v>vkorolev@rutector.ru</v>
      </c>
      <c r="AC51" s="1112" t="str">
        <f>IFERROR(__xludf.DUMMYFUNCTION("""COMPUTED_VALUE"""),"ID_T009")</f>
        <v>ID_T009</v>
      </c>
      <c r="AD51" s="1114">
        <f>IFERROR(__xludf.DUMMYFUNCTION("""COMPUTED_VALUE"""),1057940.0)</f>
        <v>1057940</v>
      </c>
      <c r="AE51" s="1112" t="str">
        <f>IFERROR(__xludf.DUMMYFUNCTION("""COMPUTED_VALUE"""),"12 нед")</f>
        <v>12 нед</v>
      </c>
      <c r="AF51" s="1112" t="str">
        <f>IFERROR(__xludf.DUMMYFUNCTION("""COMPUTED_VALUE"""),"2906075700 8000H MAINT KIT")</f>
        <v>2906075700 8000H MAINT KIT</v>
      </c>
      <c r="AG51" s="1097"/>
      <c r="AH51" s="1097"/>
      <c r="AI51" s="1097"/>
      <c r="AJ51" s="1097"/>
      <c r="AK51" s="1097"/>
      <c r="AL51" s="1097"/>
      <c r="AM51" s="1097"/>
      <c r="AN51" s="1097"/>
      <c r="AO51" s="1097"/>
      <c r="AP51" s="1097"/>
      <c r="AQ51" s="1097"/>
      <c r="AR51" s="1097"/>
      <c r="AS51" s="1097"/>
      <c r="AT51" s="1097"/>
      <c r="AU51" s="1097"/>
      <c r="AV51" s="1097"/>
      <c r="AW51" s="1097"/>
      <c r="AX51" s="1097"/>
      <c r="AY51" s="1097"/>
      <c r="AZ51" s="1097"/>
      <c r="BA51" s="1097"/>
      <c r="BB51" s="1097"/>
      <c r="BC51" s="1097"/>
      <c r="BD51" s="1114"/>
      <c r="BE51" s="1097"/>
      <c r="BF51" s="1097"/>
      <c r="BG51" s="1097"/>
      <c r="BH51" s="1097"/>
      <c r="BI51" s="1097"/>
      <c r="BJ51" s="1097"/>
      <c r="BK51" s="1097"/>
      <c r="BL51" s="1097"/>
      <c r="BM51" s="1097"/>
      <c r="BN51" s="1097"/>
      <c r="BO51" s="1097"/>
      <c r="BP51" s="1097"/>
      <c r="BQ51" s="1097"/>
      <c r="BR51" s="1097"/>
      <c r="BS51" s="1097"/>
      <c r="BT51" s="1097"/>
      <c r="BU51" s="1097"/>
      <c r="BV51" s="1097"/>
      <c r="BW51" s="1097"/>
      <c r="BX51" s="1097"/>
      <c r="BY51" s="1097"/>
      <c r="BZ51" s="1097"/>
    </row>
    <row r="52">
      <c r="A52" s="1097"/>
      <c r="B52" s="1097"/>
      <c r="C52" s="1097" t="s">
        <v>858</v>
      </c>
      <c r="D52" s="1112" t="str">
        <f>IFERROR(__xludf.DUMMYFUNCTION("""COMPUTED_VALUE"""),"1-1 Сбор КП^AP^ID_T009")</f>
        <v>1-1 Сбор КП^AP^ID_T009</v>
      </c>
      <c r="E52" s="1112" t="str">
        <f>IFERROR(__xludf.DUMMYFUNCTION("""COMPUTED_VALUE"""),"1-1 Сбор КП")</f>
        <v>1-1 Сбор КП</v>
      </c>
      <c r="F52" s="1112" t="str">
        <f>IFERROR(__xludf.DUMMYFUNCTION("""COMPUTED_VALUE"""),"AP")</f>
        <v>AP</v>
      </c>
      <c r="G52" s="1112" t="str">
        <f>IFERROR(__xludf.DUMMYFUNCTION("""COMPUTED_VALUE"""),"vkorolev@rutector.ru")</f>
        <v>vkorolev@rutector.ru</v>
      </c>
      <c r="H52" s="1113" t="str">
        <f>IFERROR(__xludf.DUMMYFUNCTION("""COMPUTED_VALUE"""),"ID_T009")</f>
        <v>ID_T009</v>
      </c>
      <c r="I52" s="1114">
        <f>IFERROR(__xludf.DUMMYFUNCTION("""COMPUTED_VALUE"""),1057940.0)</f>
        <v>1057940</v>
      </c>
      <c r="J52" s="1112" t="str">
        <f>IFERROR(__xludf.DUMMYFUNCTION("""COMPUTED_VALUE"""),"12 нед")</f>
        <v>12 нед</v>
      </c>
      <c r="K52" s="1112" t="str">
        <f>IFERROR(__xludf.DUMMYFUNCTION("""COMPUTED_VALUE"""),"2906075700 8000H MAINT KIT")</f>
        <v>2906075700 8000H MAINT KIT</v>
      </c>
      <c r="L52" s="1112"/>
      <c r="M52" s="1097"/>
      <c r="N52" s="1097"/>
      <c r="O52" s="1097"/>
      <c r="P52" s="1097"/>
      <c r="Q52" s="1097"/>
      <c r="R52" s="1097"/>
      <c r="S52" s="1097"/>
      <c r="T52" s="1097"/>
      <c r="U52" s="1097"/>
      <c r="V52" s="1097"/>
      <c r="W52" s="1097"/>
      <c r="X52" s="1097"/>
      <c r="Y52" s="1097"/>
      <c r="Z52" s="1097"/>
      <c r="AA52" s="1112" t="str">
        <f>IFERROR(__xludf.DUMMYFUNCTION("""COMPUTED_VALUE"""),"BB")</f>
        <v>BB</v>
      </c>
      <c r="AB52" s="1112" t="str">
        <f>IFERROR(__xludf.DUMMYFUNCTION("""COMPUTED_VALUE"""),"rt@air-part.ru")</f>
        <v>rt@air-part.ru</v>
      </c>
      <c r="AC52" s="1112" t="str">
        <f>IFERROR(__xludf.DUMMYFUNCTION("""COMPUTED_VALUE"""),"ID_T009")</f>
        <v>ID_T009</v>
      </c>
      <c r="AD52" s="1114">
        <f>IFERROR(__xludf.DUMMYFUNCTION("""COMPUTED_VALUE"""),1615440.0)</f>
        <v>1615440</v>
      </c>
      <c r="AE52" s="1112" t="str">
        <f>IFERROR(__xludf.DUMMYFUNCTION("""COMPUTED_VALUE"""),"14 нед")</f>
        <v>14 нед</v>
      </c>
      <c r="AF52" s="1112" t="str">
        <f>IFERROR(__xludf.DUMMYFUNCTION("""COMPUTED_VALUE"""),"2906075700 .")</f>
        <v>2906075700 .</v>
      </c>
      <c r="AG52" s="1097"/>
      <c r="AH52" s="1097"/>
      <c r="AI52" s="1097"/>
      <c r="AJ52" s="1097"/>
      <c r="AK52" s="1097"/>
      <c r="AL52" s="1097"/>
      <c r="AM52" s="1097"/>
      <c r="AN52" s="1097"/>
      <c r="AO52" s="1097"/>
      <c r="AP52" s="1097"/>
      <c r="AQ52" s="1097"/>
      <c r="AR52" s="1097"/>
      <c r="AS52" s="1097"/>
      <c r="AT52" s="1097"/>
      <c r="AU52" s="1097"/>
      <c r="AV52" s="1097"/>
      <c r="AW52" s="1097"/>
      <c r="AX52" s="1097"/>
      <c r="AY52" s="1097"/>
      <c r="AZ52" s="1097"/>
      <c r="BA52" s="1097"/>
      <c r="BB52" s="1097"/>
      <c r="BC52" s="1097"/>
      <c r="BD52" s="1114"/>
      <c r="BE52" s="1097"/>
      <c r="BF52" s="1097"/>
      <c r="BG52" s="1097"/>
      <c r="BH52" s="1097"/>
      <c r="BI52" s="1097"/>
      <c r="BJ52" s="1097"/>
      <c r="BK52" s="1097"/>
      <c r="BL52" s="1097"/>
      <c r="BM52" s="1097"/>
      <c r="BN52" s="1097"/>
      <c r="BO52" s="1097"/>
      <c r="BP52" s="1097"/>
      <c r="BQ52" s="1097"/>
      <c r="BR52" s="1097"/>
      <c r="BS52" s="1097"/>
      <c r="BT52" s="1097"/>
      <c r="BU52" s="1097"/>
      <c r="BV52" s="1097"/>
      <c r="BW52" s="1097"/>
      <c r="BX52" s="1097"/>
      <c r="BY52" s="1097"/>
      <c r="BZ52" s="1097"/>
    </row>
    <row r="53">
      <c r="A53" s="1097"/>
      <c r="B53" s="1097"/>
      <c r="C53" s="1097" t="s">
        <v>859</v>
      </c>
      <c r="D53" s="1112" t="str">
        <f>IFERROR(__xludf.DUMMYFUNCTION("""COMPUTED_VALUE"""),"1-1 Сбор КП^BB^ID_T009")</f>
        <v>1-1 Сбор КП^BB^ID_T009</v>
      </c>
      <c r="E53" s="1112" t="str">
        <f>IFERROR(__xludf.DUMMYFUNCTION("""COMPUTED_VALUE"""),"1-1 Сбор КП")</f>
        <v>1-1 Сбор КП</v>
      </c>
      <c r="F53" s="1112" t="str">
        <f>IFERROR(__xludf.DUMMYFUNCTION("""COMPUTED_VALUE"""),"BB")</f>
        <v>BB</v>
      </c>
      <c r="G53" s="1112" t="str">
        <f>IFERROR(__xludf.DUMMYFUNCTION("""COMPUTED_VALUE"""),"rt@air-part.ru")</f>
        <v>rt@air-part.ru</v>
      </c>
      <c r="H53" s="1113" t="str">
        <f>IFERROR(__xludf.DUMMYFUNCTION("""COMPUTED_VALUE"""),"ID_T009")</f>
        <v>ID_T009</v>
      </c>
      <c r="I53" s="1114">
        <f>IFERROR(__xludf.DUMMYFUNCTION("""COMPUTED_VALUE"""),1615440.0)</f>
        <v>1615440</v>
      </c>
      <c r="J53" s="1112" t="str">
        <f>IFERROR(__xludf.DUMMYFUNCTION("""COMPUTED_VALUE"""),"14 нед")</f>
        <v>14 нед</v>
      </c>
      <c r="K53" s="1112" t="str">
        <f>IFERROR(__xludf.DUMMYFUNCTION("""COMPUTED_VALUE"""),"2906075700 .")</f>
        <v>2906075700 .</v>
      </c>
      <c r="L53" s="1112"/>
      <c r="M53" s="1097"/>
      <c r="N53" s="1097"/>
      <c r="O53" s="1097"/>
      <c r="P53" s="1097"/>
      <c r="Q53" s="1097"/>
      <c r="R53" s="1097"/>
      <c r="S53" s="1097"/>
      <c r="T53" s="1097"/>
      <c r="U53" s="1097"/>
      <c r="V53" s="1097"/>
      <c r="W53" s="1097"/>
      <c r="X53" s="1097"/>
      <c r="Y53" s="1097"/>
      <c r="Z53" s="1097"/>
      <c r="AA53" s="1112" t="str">
        <f>IFERROR(__xludf.DUMMYFUNCTION("""COMPUTED_VALUE"""),"CC")</f>
        <v>CC</v>
      </c>
      <c r="AB53" s="1112" t="str">
        <f>IFERROR(__xludf.DUMMYFUNCTION("""COMPUTED_VALUE"""),"e.omelyusik@evlart.ru")</f>
        <v>e.omelyusik@evlart.ru</v>
      </c>
      <c r="AC53" s="1112" t="str">
        <f>IFERROR(__xludf.DUMMYFUNCTION("""COMPUTED_VALUE"""),"ID_T009")</f>
        <v>ID_T009</v>
      </c>
      <c r="AD53" s="1114">
        <f>IFERROR(__xludf.DUMMYFUNCTION("""COMPUTED_VALUE"""),183976.0)</f>
        <v>183976</v>
      </c>
      <c r="AE53" s="1112" t="str">
        <f>IFERROR(__xludf.DUMMYFUNCTION("""COMPUTED_VALUE"""),"15 нед")</f>
        <v>15 нед</v>
      </c>
      <c r="AF53" s="1112" t="str">
        <f>IFERROR(__xludf.DUMMYFUNCTION("""COMPUTED_VALUE"""),"Сервисный набор Atlas Copco
2906075700")</f>
        <v>Сервисный набор Atlas Copco
2906075700</v>
      </c>
      <c r="AG53" s="1097"/>
      <c r="AH53" s="1097"/>
      <c r="AI53" s="1097"/>
      <c r="AJ53" s="1097"/>
      <c r="AK53" s="1097"/>
      <c r="AL53" s="1097"/>
      <c r="AM53" s="1097"/>
      <c r="AN53" s="1097"/>
      <c r="AO53" s="1097"/>
      <c r="AP53" s="1097"/>
      <c r="AQ53" s="1097"/>
      <c r="AR53" s="1097"/>
      <c r="AS53" s="1097"/>
      <c r="AT53" s="1097"/>
      <c r="AU53" s="1097"/>
      <c r="AV53" s="1097"/>
      <c r="AW53" s="1097"/>
      <c r="AX53" s="1097"/>
      <c r="AY53" s="1097"/>
      <c r="AZ53" s="1097"/>
      <c r="BA53" s="1097"/>
      <c r="BB53" s="1097"/>
      <c r="BC53" s="1097"/>
      <c r="BD53" s="1114"/>
      <c r="BE53" s="1097"/>
      <c r="BF53" s="1097"/>
      <c r="BG53" s="1097"/>
      <c r="BH53" s="1097"/>
      <c r="BI53" s="1097"/>
      <c r="BJ53" s="1097"/>
      <c r="BK53" s="1097"/>
      <c r="BL53" s="1097"/>
      <c r="BM53" s="1097"/>
      <c r="BN53" s="1097"/>
      <c r="BO53" s="1097"/>
      <c r="BP53" s="1097"/>
      <c r="BQ53" s="1097"/>
      <c r="BR53" s="1097"/>
      <c r="BS53" s="1097"/>
      <c r="BT53" s="1097"/>
      <c r="BU53" s="1097"/>
      <c r="BV53" s="1097"/>
      <c r="BW53" s="1097"/>
      <c r="BX53" s="1097"/>
      <c r="BY53" s="1097"/>
      <c r="BZ53" s="1097"/>
    </row>
    <row r="54">
      <c r="A54" s="1097"/>
      <c r="B54" s="1097"/>
      <c r="C54" s="1097" t="s">
        <v>860</v>
      </c>
      <c r="D54" s="1112" t="str">
        <f>IFERROR(__xludf.DUMMYFUNCTION("""COMPUTED_VALUE"""),"1-1 Сбор КП^CC^ID_T009")</f>
        <v>1-1 Сбор КП^CC^ID_T009</v>
      </c>
      <c r="E54" s="1112" t="str">
        <f>IFERROR(__xludf.DUMMYFUNCTION("""COMPUTED_VALUE"""),"1-1 Сбор КП")</f>
        <v>1-1 Сбор КП</v>
      </c>
      <c r="F54" s="1112" t="str">
        <f>IFERROR(__xludf.DUMMYFUNCTION("""COMPUTED_VALUE"""),"CC")</f>
        <v>CC</v>
      </c>
      <c r="G54" s="1112" t="str">
        <f>IFERROR(__xludf.DUMMYFUNCTION("""COMPUTED_VALUE"""),"e.omelyusik@evlart.ru")</f>
        <v>e.omelyusik@evlart.ru</v>
      </c>
      <c r="H54" s="1113" t="str">
        <f>IFERROR(__xludf.DUMMYFUNCTION("""COMPUTED_VALUE"""),"ID_T009")</f>
        <v>ID_T009</v>
      </c>
      <c r="I54" s="1114">
        <f>IFERROR(__xludf.DUMMYFUNCTION("""COMPUTED_VALUE"""),183976.0)</f>
        <v>183976</v>
      </c>
      <c r="J54" s="1112" t="str">
        <f>IFERROR(__xludf.DUMMYFUNCTION("""COMPUTED_VALUE"""),"15 нед")</f>
        <v>15 нед</v>
      </c>
      <c r="K54" s="1112" t="str">
        <f>IFERROR(__xludf.DUMMYFUNCTION("""COMPUTED_VALUE"""),"Сервисный набор Atlas Copco
2906075700")</f>
        <v>Сервисный набор Atlas Copco
2906075700</v>
      </c>
      <c r="L54" s="1112"/>
      <c r="M54" s="1097"/>
      <c r="N54" s="1097"/>
      <c r="O54" s="1097"/>
      <c r="P54" s="1097"/>
      <c r="Q54" s="1097"/>
      <c r="R54" s="1097"/>
      <c r="S54" s="1097"/>
      <c r="T54" s="1097"/>
      <c r="U54" s="1097"/>
      <c r="V54" s="1097"/>
      <c r="W54" s="1097"/>
      <c r="X54" s="1097"/>
      <c r="Y54" s="1097"/>
      <c r="Z54" s="1097"/>
      <c r="AA54" s="1112" t="str">
        <f>IFERROR(__xludf.DUMMYFUNCTION("""COMPUTED_VALUE"""),"AJ")</f>
        <v>AJ</v>
      </c>
      <c r="AB54" s="1112" t="str">
        <f>IFERROR(__xludf.DUMMYFUNCTION("""COMPUTED_VALUE"""),"dg@air-part.ru")</f>
        <v>dg@air-part.ru</v>
      </c>
      <c r="AC54" s="1112" t="str">
        <f>IFERROR(__xludf.DUMMYFUNCTION("""COMPUTED_VALUE"""),"ID_T010")</f>
        <v>ID_T010</v>
      </c>
      <c r="AD54" s="1114">
        <f>IFERROR(__xludf.DUMMYFUNCTION("""COMPUTED_VALUE"""),59800.0)</f>
        <v>59800</v>
      </c>
      <c r="AE54" s="1112" t="str">
        <f>IFERROR(__xludf.DUMMYFUNCTION("""COMPUTED_VALUE"""),"5 рд")</f>
        <v>5 рд</v>
      </c>
      <c r="AF54" s="1112" t="str">
        <f>IFERROR(__xludf.DUMMYFUNCTION("""COMPUTED_VALUE"""),"Масляный сепаратор")</f>
        <v>Масляный сепаратор</v>
      </c>
      <c r="AG54" s="1097"/>
      <c r="AH54" s="1097"/>
      <c r="AI54" s="1097"/>
      <c r="AJ54" s="1097"/>
      <c r="AK54" s="1097"/>
      <c r="AL54" s="1097"/>
      <c r="AM54" s="1097"/>
      <c r="AN54" s="1097"/>
      <c r="AO54" s="1097"/>
      <c r="AP54" s="1097"/>
      <c r="AQ54" s="1097"/>
      <c r="AR54" s="1097"/>
      <c r="AS54" s="1097"/>
      <c r="AT54" s="1097"/>
      <c r="AU54" s="1097"/>
      <c r="AV54" s="1097"/>
      <c r="AW54" s="1097"/>
      <c r="AX54" s="1097"/>
      <c r="AY54" s="1097"/>
      <c r="AZ54" s="1097"/>
      <c r="BA54" s="1097"/>
      <c r="BB54" s="1097"/>
      <c r="BC54" s="1097"/>
      <c r="BD54" s="1114"/>
      <c r="BE54" s="1097"/>
      <c r="BF54" s="1097"/>
      <c r="BG54" s="1097"/>
      <c r="BH54" s="1097"/>
      <c r="BI54" s="1097"/>
      <c r="BJ54" s="1097"/>
      <c r="BK54" s="1097"/>
      <c r="BL54" s="1097"/>
      <c r="BM54" s="1097"/>
      <c r="BN54" s="1097"/>
      <c r="BO54" s="1097"/>
      <c r="BP54" s="1097"/>
      <c r="BQ54" s="1097"/>
      <c r="BR54" s="1097"/>
      <c r="BS54" s="1097"/>
      <c r="BT54" s="1097"/>
      <c r="BU54" s="1097"/>
      <c r="BV54" s="1097"/>
      <c r="BW54" s="1097"/>
      <c r="BX54" s="1097"/>
      <c r="BY54" s="1097"/>
      <c r="BZ54" s="1097"/>
    </row>
    <row r="55">
      <c r="A55" s="1097"/>
      <c r="B55" s="1097"/>
      <c r="C55" s="1097" t="s">
        <v>863</v>
      </c>
      <c r="D55" s="1112" t="str">
        <f>IFERROR(__xludf.DUMMYFUNCTION("""COMPUTED_VALUE"""),"1-1 Сбор КП^AJ^ID_T010")</f>
        <v>1-1 Сбор КП^AJ^ID_T010</v>
      </c>
      <c r="E55" s="1112" t="str">
        <f>IFERROR(__xludf.DUMMYFUNCTION("""COMPUTED_VALUE"""),"1-1 Сбор КП")</f>
        <v>1-1 Сбор КП</v>
      </c>
      <c r="F55" s="1112" t="str">
        <f>IFERROR(__xludf.DUMMYFUNCTION("""COMPUTED_VALUE"""),"AJ")</f>
        <v>AJ</v>
      </c>
      <c r="G55" s="1112" t="str">
        <f>IFERROR(__xludf.DUMMYFUNCTION("""COMPUTED_VALUE"""),"dg@air-part.ru")</f>
        <v>dg@air-part.ru</v>
      </c>
      <c r="H55" s="1113" t="str">
        <f>IFERROR(__xludf.DUMMYFUNCTION("""COMPUTED_VALUE"""),"ID_T010")</f>
        <v>ID_T010</v>
      </c>
      <c r="I55" s="1114">
        <f>IFERROR(__xludf.DUMMYFUNCTION("""COMPUTED_VALUE"""),59800.0)</f>
        <v>59800</v>
      </c>
      <c r="J55" s="1112" t="str">
        <f>IFERROR(__xludf.DUMMYFUNCTION("""COMPUTED_VALUE"""),"5 рд")</f>
        <v>5 рд</v>
      </c>
      <c r="K55" s="1112" t="str">
        <f>IFERROR(__xludf.DUMMYFUNCTION("""COMPUTED_VALUE"""),"Масляный сепаратор")</f>
        <v>Масляный сепаратор</v>
      </c>
      <c r="L55" s="1112"/>
      <c r="M55" s="1097"/>
      <c r="N55" s="1097"/>
      <c r="O55" s="1097"/>
      <c r="P55" s="1097"/>
      <c r="Q55" s="1097"/>
      <c r="R55" s="1097"/>
      <c r="S55" s="1097"/>
      <c r="T55" s="1097"/>
      <c r="U55" s="1097"/>
      <c r="V55" s="1097"/>
      <c r="W55" s="1097"/>
      <c r="X55" s="1097"/>
      <c r="Y55" s="1097"/>
      <c r="Z55" s="1097"/>
      <c r="AA55" s="1112" t="str">
        <f>IFERROR(__xludf.DUMMYFUNCTION("""COMPUTED_VALUE"""),"AJ")</f>
        <v>AJ</v>
      </c>
      <c r="AB55" s="1112" t="str">
        <f>IFERROR(__xludf.DUMMYFUNCTION("""COMPUTED_VALUE"""),"dg@air-part.ru")</f>
        <v>dg@air-part.ru</v>
      </c>
      <c r="AC55" s="1112" t="str">
        <f>IFERROR(__xludf.DUMMYFUNCTION("""COMPUTED_VALUE"""),"ID_T011")</f>
        <v>ID_T011</v>
      </c>
      <c r="AD55" s="1114">
        <f>IFERROR(__xludf.DUMMYFUNCTION("""COMPUTED_VALUE"""),5100.0)</f>
        <v>5100</v>
      </c>
      <c r="AE55" s="1112" t="str">
        <f>IFERROR(__xludf.DUMMYFUNCTION("""COMPUTED_VALUE"""),"5 рд")</f>
        <v>5 рд</v>
      </c>
      <c r="AF55" s="1112" t="str">
        <f>IFERROR(__xludf.DUMMYFUNCTION("""COMPUTED_VALUE"""),"Воздушный фильтр")</f>
        <v>Воздушный фильтр</v>
      </c>
      <c r="AG55" s="1097"/>
      <c r="AH55" s="1097"/>
      <c r="AI55" s="1097"/>
      <c r="AJ55" s="1097"/>
      <c r="AK55" s="1097"/>
      <c r="AL55" s="1097"/>
      <c r="AM55" s="1097"/>
      <c r="AN55" s="1097"/>
      <c r="AO55" s="1097"/>
      <c r="AP55" s="1097"/>
      <c r="AQ55" s="1097"/>
      <c r="AR55" s="1097"/>
      <c r="AS55" s="1097"/>
      <c r="AT55" s="1097"/>
      <c r="AU55" s="1097"/>
      <c r="AV55" s="1097"/>
      <c r="AW55" s="1097"/>
      <c r="AX55" s="1097"/>
      <c r="AY55" s="1097"/>
      <c r="AZ55" s="1097"/>
      <c r="BA55" s="1097"/>
      <c r="BB55" s="1097"/>
      <c r="BC55" s="1097"/>
      <c r="BD55" s="1114"/>
      <c r="BE55" s="1097"/>
      <c r="BF55" s="1097"/>
      <c r="BG55" s="1097"/>
      <c r="BH55" s="1097"/>
      <c r="BI55" s="1097"/>
      <c r="BJ55" s="1097"/>
      <c r="BK55" s="1097"/>
      <c r="BL55" s="1097"/>
      <c r="BM55" s="1097"/>
      <c r="BN55" s="1097"/>
      <c r="BO55" s="1097"/>
      <c r="BP55" s="1097"/>
      <c r="BQ55" s="1097"/>
      <c r="BR55" s="1097"/>
      <c r="BS55" s="1097"/>
      <c r="BT55" s="1097"/>
      <c r="BU55" s="1097"/>
      <c r="BV55" s="1097"/>
      <c r="BW55" s="1097"/>
      <c r="BX55" s="1097"/>
      <c r="BY55" s="1097"/>
      <c r="BZ55" s="1097"/>
    </row>
    <row r="56">
      <c r="A56" s="1097"/>
      <c r="B56" s="1097"/>
      <c r="C56" s="1097" t="s">
        <v>868</v>
      </c>
      <c r="D56" s="1112" t="str">
        <f>IFERROR(__xludf.DUMMYFUNCTION("""COMPUTED_VALUE"""),"1-1 Сбор КП^AJ^ID_T011")</f>
        <v>1-1 Сбор КП^AJ^ID_T011</v>
      </c>
      <c r="E56" s="1112" t="str">
        <f>IFERROR(__xludf.DUMMYFUNCTION("""COMPUTED_VALUE"""),"1-1 Сбор КП")</f>
        <v>1-1 Сбор КП</v>
      </c>
      <c r="F56" s="1112" t="str">
        <f>IFERROR(__xludf.DUMMYFUNCTION("""COMPUTED_VALUE"""),"AJ")</f>
        <v>AJ</v>
      </c>
      <c r="G56" s="1112" t="str">
        <f>IFERROR(__xludf.DUMMYFUNCTION("""COMPUTED_VALUE"""),"dg@air-part.ru")</f>
        <v>dg@air-part.ru</v>
      </c>
      <c r="H56" s="1113" t="str">
        <f>IFERROR(__xludf.DUMMYFUNCTION("""COMPUTED_VALUE"""),"ID_T011")</f>
        <v>ID_T011</v>
      </c>
      <c r="I56" s="1114">
        <f>IFERROR(__xludf.DUMMYFUNCTION("""COMPUTED_VALUE"""),5100.0)</f>
        <v>5100</v>
      </c>
      <c r="J56" s="1112" t="str">
        <f>IFERROR(__xludf.DUMMYFUNCTION("""COMPUTED_VALUE"""),"5 рд")</f>
        <v>5 рд</v>
      </c>
      <c r="K56" s="1112" t="str">
        <f>IFERROR(__xludf.DUMMYFUNCTION("""COMPUTED_VALUE"""),"Воздушный фильтр")</f>
        <v>Воздушный фильтр</v>
      </c>
      <c r="L56" s="1112"/>
      <c r="M56" s="1097"/>
      <c r="N56" s="1097"/>
      <c r="O56" s="1097"/>
      <c r="P56" s="1097"/>
      <c r="Q56" s="1097"/>
      <c r="R56" s="1097"/>
      <c r="S56" s="1097"/>
      <c r="T56" s="1097"/>
      <c r="U56" s="1097"/>
      <c r="V56" s="1097"/>
      <c r="W56" s="1097"/>
      <c r="X56" s="1097"/>
      <c r="Y56" s="1097"/>
      <c r="Z56" s="1097"/>
      <c r="AA56" s="1112" t="str">
        <f>IFERROR(__xludf.DUMMYFUNCTION("""COMPUTED_VALUE"""),"AD")</f>
        <v>AD</v>
      </c>
      <c r="AB56" s="1112" t="str">
        <f>IFERROR(__xludf.DUMMYFUNCTION("""COMPUTED_VALUE"""),"sales@noemi-parts.ru")</f>
        <v>sales@noemi-parts.ru</v>
      </c>
      <c r="AC56" s="1112" t="str">
        <f>IFERROR(__xludf.DUMMYFUNCTION("""COMPUTED_VALUE"""),"ID_T012")</f>
        <v>ID_T012</v>
      </c>
      <c r="AD56" s="1114">
        <f>IFERROR(__xludf.DUMMYFUNCTION("""COMPUTED_VALUE"""),7975.0058)</f>
        <v>7975.0058</v>
      </c>
      <c r="AE56" s="1112"/>
      <c r="AF56" s="1112" t="str">
        <f>IFERROR(__xludf.DUMMYFUNCTION("""COMPUTED_VALUE"""),"Масляный фильтр для
компрессора Dalgakiran Inversys
315+")</f>
        <v>Масляный фильтр для
компрессора Dalgakiran Inversys
315+</v>
      </c>
      <c r="AG56" s="1097"/>
      <c r="AH56" s="1097"/>
      <c r="AI56" s="1097"/>
      <c r="AJ56" s="1097"/>
      <c r="AK56" s="1097"/>
      <c r="AL56" s="1097"/>
      <c r="AM56" s="1097"/>
      <c r="AN56" s="1097"/>
      <c r="AO56" s="1097"/>
      <c r="AP56" s="1097"/>
      <c r="AQ56" s="1097"/>
      <c r="AR56" s="1097"/>
      <c r="AS56" s="1097"/>
      <c r="AT56" s="1097"/>
      <c r="AU56" s="1097"/>
      <c r="AV56" s="1097"/>
      <c r="AW56" s="1097"/>
      <c r="AX56" s="1097"/>
      <c r="AY56" s="1097"/>
      <c r="AZ56" s="1097"/>
      <c r="BA56" s="1097"/>
      <c r="BB56" s="1097"/>
      <c r="BC56" s="1097"/>
      <c r="BD56" s="1114"/>
      <c r="BE56" s="1097"/>
      <c r="BF56" s="1097"/>
      <c r="BG56" s="1097"/>
      <c r="BH56" s="1097"/>
      <c r="BI56" s="1097"/>
      <c r="BJ56" s="1097"/>
      <c r="BK56" s="1097"/>
      <c r="BL56" s="1097"/>
      <c r="BM56" s="1097"/>
      <c r="BN56" s="1097"/>
      <c r="BO56" s="1097"/>
      <c r="BP56" s="1097"/>
      <c r="BQ56" s="1097"/>
      <c r="BR56" s="1097"/>
      <c r="BS56" s="1097"/>
      <c r="BT56" s="1097"/>
      <c r="BU56" s="1097"/>
      <c r="BV56" s="1097"/>
      <c r="BW56" s="1097"/>
      <c r="BX56" s="1097"/>
      <c r="BY56" s="1097"/>
      <c r="BZ56" s="1097"/>
    </row>
    <row r="57">
      <c r="A57" s="1097"/>
      <c r="B57" s="1097"/>
      <c r="C57" s="1097" t="s">
        <v>871</v>
      </c>
      <c r="D57" s="1112" t="str">
        <f>IFERROR(__xludf.DUMMYFUNCTION("""COMPUTED_VALUE"""),"1-1 Сбор КП^AD^ID_T012")</f>
        <v>1-1 Сбор КП^AD^ID_T012</v>
      </c>
      <c r="E57" s="1112" t="str">
        <f>IFERROR(__xludf.DUMMYFUNCTION("""COMPUTED_VALUE"""),"1-1 Сбор КП")</f>
        <v>1-1 Сбор КП</v>
      </c>
      <c r="F57" s="1112" t="str">
        <f>IFERROR(__xludf.DUMMYFUNCTION("""COMPUTED_VALUE"""),"AD")</f>
        <v>AD</v>
      </c>
      <c r="G57" s="1112" t="str">
        <f>IFERROR(__xludf.DUMMYFUNCTION("""COMPUTED_VALUE"""),"sales@noemi-parts.ru")</f>
        <v>sales@noemi-parts.ru</v>
      </c>
      <c r="H57" s="1113" t="str">
        <f>IFERROR(__xludf.DUMMYFUNCTION("""COMPUTED_VALUE"""),"ID_T012")</f>
        <v>ID_T012</v>
      </c>
      <c r="I57" s="1114">
        <f>IFERROR(__xludf.DUMMYFUNCTION("""COMPUTED_VALUE"""),7975.0058)</f>
        <v>7975.0058</v>
      </c>
      <c r="J57" s="1112"/>
      <c r="K57" s="1112" t="str">
        <f>IFERROR(__xludf.DUMMYFUNCTION("""COMPUTED_VALUE"""),"Масляный фильтр для
компрессора Dalgakiran Inversys
315+")</f>
        <v>Масляный фильтр для
компрессора Dalgakiran Inversys
315+</v>
      </c>
      <c r="L57" s="1112"/>
      <c r="M57" s="1097"/>
      <c r="N57" s="1097"/>
      <c r="O57" s="1097"/>
      <c r="P57" s="1097"/>
      <c r="Q57" s="1097"/>
      <c r="R57" s="1097"/>
      <c r="S57" s="1097"/>
      <c r="T57" s="1097"/>
      <c r="U57" s="1097"/>
      <c r="V57" s="1097"/>
      <c r="W57" s="1097"/>
      <c r="X57" s="1097"/>
      <c r="Y57" s="1097"/>
      <c r="Z57" s="1097"/>
      <c r="AA57" s="1112" t="str">
        <f>IFERROR(__xludf.DUMMYFUNCTION("""COMPUTED_VALUE"""),"AJ")</f>
        <v>AJ</v>
      </c>
      <c r="AB57" s="1112" t="str">
        <f>IFERROR(__xludf.DUMMYFUNCTION("""COMPUTED_VALUE"""),"dg@air-part.ru")</f>
        <v>dg@air-part.ru</v>
      </c>
      <c r="AC57" s="1112" t="str">
        <f>IFERROR(__xludf.DUMMYFUNCTION("""COMPUTED_VALUE"""),"ID_T012")</f>
        <v>ID_T012</v>
      </c>
      <c r="AD57" s="1114">
        <f>IFERROR(__xludf.DUMMYFUNCTION("""COMPUTED_VALUE"""),3900.0)</f>
        <v>3900</v>
      </c>
      <c r="AE57" s="1112" t="str">
        <f>IFERROR(__xludf.DUMMYFUNCTION("""COMPUTED_VALUE"""),"5 рд")</f>
        <v>5 рд</v>
      </c>
      <c r="AF57" s="1112" t="str">
        <f>IFERROR(__xludf.DUMMYFUNCTION("""COMPUTED_VALUE"""),"Масляный фильтр")</f>
        <v>Масляный фильтр</v>
      </c>
      <c r="AG57" s="1097"/>
      <c r="AH57" s="1097"/>
      <c r="AI57" s="1097"/>
      <c r="AJ57" s="1097"/>
      <c r="AK57" s="1097"/>
      <c r="AL57" s="1097"/>
      <c r="AM57" s="1097"/>
      <c r="AN57" s="1097"/>
      <c r="AO57" s="1097"/>
      <c r="AP57" s="1097"/>
      <c r="AQ57" s="1097"/>
      <c r="AR57" s="1097"/>
      <c r="AS57" s="1097"/>
      <c r="AT57" s="1097"/>
      <c r="AU57" s="1097"/>
      <c r="AV57" s="1097"/>
      <c r="AW57" s="1097"/>
      <c r="AX57" s="1097"/>
      <c r="AY57" s="1097"/>
      <c r="AZ57" s="1097"/>
      <c r="BA57" s="1097"/>
      <c r="BB57" s="1097"/>
      <c r="BC57" s="1097"/>
      <c r="BD57" s="1114"/>
      <c r="BE57" s="1097"/>
      <c r="BF57" s="1097"/>
      <c r="BG57" s="1097"/>
      <c r="BH57" s="1097"/>
      <c r="BI57" s="1097"/>
      <c r="BJ57" s="1097"/>
      <c r="BK57" s="1097"/>
      <c r="BL57" s="1097"/>
      <c r="BM57" s="1097"/>
      <c r="BN57" s="1097"/>
      <c r="BO57" s="1097"/>
      <c r="BP57" s="1097"/>
      <c r="BQ57" s="1097"/>
      <c r="BR57" s="1097"/>
      <c r="BS57" s="1097"/>
      <c r="BT57" s="1097"/>
      <c r="BU57" s="1097"/>
      <c r="BV57" s="1097"/>
      <c r="BW57" s="1097"/>
      <c r="BX57" s="1097"/>
      <c r="BY57" s="1097"/>
      <c r="BZ57" s="1097"/>
    </row>
    <row r="58">
      <c r="A58" s="1097"/>
      <c r="B58" s="1097"/>
      <c r="C58" s="1097" t="s">
        <v>874</v>
      </c>
      <c r="D58" s="1112" t="str">
        <f>IFERROR(__xludf.DUMMYFUNCTION("""COMPUTED_VALUE"""),"1-1 Сбор КП^AJ^ID_T012")</f>
        <v>1-1 Сбор КП^AJ^ID_T012</v>
      </c>
      <c r="E58" s="1112" t="str">
        <f>IFERROR(__xludf.DUMMYFUNCTION("""COMPUTED_VALUE"""),"1-1 Сбор КП")</f>
        <v>1-1 Сбор КП</v>
      </c>
      <c r="F58" s="1112" t="str">
        <f>IFERROR(__xludf.DUMMYFUNCTION("""COMPUTED_VALUE"""),"AJ")</f>
        <v>AJ</v>
      </c>
      <c r="G58" s="1112" t="str">
        <f>IFERROR(__xludf.DUMMYFUNCTION("""COMPUTED_VALUE"""),"dg@air-part.ru")</f>
        <v>dg@air-part.ru</v>
      </c>
      <c r="H58" s="1113" t="str">
        <f>IFERROR(__xludf.DUMMYFUNCTION("""COMPUTED_VALUE"""),"ID_T012")</f>
        <v>ID_T012</v>
      </c>
      <c r="I58" s="1114">
        <f>IFERROR(__xludf.DUMMYFUNCTION("""COMPUTED_VALUE"""),3900.0)</f>
        <v>3900</v>
      </c>
      <c r="J58" s="1112" t="str">
        <f>IFERROR(__xludf.DUMMYFUNCTION("""COMPUTED_VALUE"""),"5 рд")</f>
        <v>5 рд</v>
      </c>
      <c r="K58" s="1112" t="str">
        <f>IFERROR(__xludf.DUMMYFUNCTION("""COMPUTED_VALUE"""),"Масляный фильтр")</f>
        <v>Масляный фильтр</v>
      </c>
      <c r="L58" s="1112"/>
      <c r="M58" s="1097"/>
      <c r="N58" s="1097"/>
      <c r="O58" s="1097"/>
      <c r="P58" s="1097"/>
      <c r="Q58" s="1097"/>
      <c r="R58" s="1097"/>
      <c r="S58" s="1097"/>
      <c r="T58" s="1097"/>
      <c r="U58" s="1097"/>
      <c r="V58" s="1097"/>
      <c r="W58" s="1097"/>
      <c r="X58" s="1097"/>
      <c r="Y58" s="1097"/>
      <c r="Z58" s="1097"/>
      <c r="AA58" s="1112" t="str">
        <f>IFERROR(__xludf.DUMMYFUNCTION("""COMPUTED_VALUE"""),"AA")</f>
        <v>AA</v>
      </c>
      <c r="AB58" s="1112" t="str">
        <f>IFERROR(__xludf.DUMMYFUNCTION("""COMPUTED_VALUE"""),"amkomplekt@mail.ru")</f>
        <v>amkomplekt@mail.ru</v>
      </c>
      <c r="AC58" s="1112" t="str">
        <f>IFERROR(__xludf.DUMMYFUNCTION("""COMPUTED_VALUE"""),"ID_T013")</f>
        <v>ID_T013</v>
      </c>
      <c r="AD58" s="1114">
        <f>IFERROR(__xludf.DUMMYFUNCTION("""COMPUTED_VALUE"""),55000.0)</f>
        <v>55000</v>
      </c>
      <c r="AE58" s="1112" t="str">
        <f>IFERROR(__xludf.DUMMYFUNCTION("""COMPUTED_VALUE"""),"10 д")</f>
        <v>10 д</v>
      </c>
      <c r="AF58" s="1112" t="str">
        <f>IFERROR(__xludf.DUMMYFUNCTION("""COMPUTED_VALUE"""),"Масляный сепаратор DS 3084 = NS 008430")</f>
        <v>Масляный сепаратор DS 3084 = NS 008430</v>
      </c>
      <c r="AG58" s="1097"/>
      <c r="AH58" s="1097"/>
      <c r="AI58" s="1097"/>
      <c r="AJ58" s="1097"/>
      <c r="AK58" s="1097"/>
      <c r="AL58" s="1097"/>
      <c r="AM58" s="1097"/>
      <c r="AN58" s="1097"/>
      <c r="AO58" s="1097"/>
      <c r="AP58" s="1097"/>
      <c r="AQ58" s="1097"/>
      <c r="AR58" s="1097"/>
      <c r="AS58" s="1097"/>
      <c r="AT58" s="1097"/>
      <c r="AU58" s="1097"/>
      <c r="AV58" s="1097"/>
      <c r="AW58" s="1097"/>
      <c r="AX58" s="1097"/>
      <c r="AY58" s="1097"/>
      <c r="AZ58" s="1097"/>
      <c r="BA58" s="1097"/>
      <c r="BB58" s="1097"/>
      <c r="BC58" s="1097"/>
      <c r="BD58" s="1114"/>
      <c r="BE58" s="1097"/>
      <c r="BF58" s="1097"/>
      <c r="BG58" s="1097"/>
      <c r="BH58" s="1097"/>
      <c r="BI58" s="1097"/>
      <c r="BJ58" s="1097"/>
      <c r="BK58" s="1097"/>
      <c r="BL58" s="1097"/>
      <c r="BM58" s="1097"/>
      <c r="BN58" s="1097"/>
      <c r="BO58" s="1097"/>
      <c r="BP58" s="1097"/>
      <c r="BQ58" s="1097"/>
      <c r="BR58" s="1097"/>
      <c r="BS58" s="1097"/>
      <c r="BT58" s="1097"/>
      <c r="BU58" s="1097"/>
      <c r="BV58" s="1097"/>
      <c r="BW58" s="1097"/>
      <c r="BX58" s="1097"/>
      <c r="BY58" s="1097"/>
      <c r="BZ58" s="1097"/>
    </row>
    <row r="59">
      <c r="A59" s="1097"/>
      <c r="B59" s="1097"/>
      <c r="C59" s="1097" t="s">
        <v>879</v>
      </c>
      <c r="D59" s="1112" t="str">
        <f>IFERROR(__xludf.DUMMYFUNCTION("""COMPUTED_VALUE"""),"1-1 Сбор КП^AA^ID_T013")</f>
        <v>1-1 Сбор КП^AA^ID_T013</v>
      </c>
      <c r="E59" s="1112" t="str">
        <f>IFERROR(__xludf.DUMMYFUNCTION("""COMPUTED_VALUE"""),"1-1 Сбор КП")</f>
        <v>1-1 Сбор КП</v>
      </c>
      <c r="F59" s="1112" t="str">
        <f>IFERROR(__xludf.DUMMYFUNCTION("""COMPUTED_VALUE"""),"AA")</f>
        <v>AA</v>
      </c>
      <c r="G59" s="1112" t="str">
        <f>IFERROR(__xludf.DUMMYFUNCTION("""COMPUTED_VALUE"""),"amkomplekt@mail.ru")</f>
        <v>amkomplekt@mail.ru</v>
      </c>
      <c r="H59" s="1113" t="str">
        <f>IFERROR(__xludf.DUMMYFUNCTION("""COMPUTED_VALUE"""),"ID_T013")</f>
        <v>ID_T013</v>
      </c>
      <c r="I59" s="1114">
        <f>IFERROR(__xludf.DUMMYFUNCTION("""COMPUTED_VALUE"""),55000.0)</f>
        <v>55000</v>
      </c>
      <c r="J59" s="1112" t="str">
        <f>IFERROR(__xludf.DUMMYFUNCTION("""COMPUTED_VALUE"""),"10 д")</f>
        <v>10 д</v>
      </c>
      <c r="K59" s="1112" t="str">
        <f>IFERROR(__xludf.DUMMYFUNCTION("""COMPUTED_VALUE"""),"Масляный сепаратор DS 3084 = NS 008430")</f>
        <v>Масляный сепаратор DS 3084 = NS 008430</v>
      </c>
      <c r="L59" s="1112"/>
      <c r="M59" s="1097"/>
      <c r="N59" s="1097"/>
      <c r="O59" s="1097"/>
      <c r="P59" s="1097"/>
      <c r="Q59" s="1097"/>
      <c r="R59" s="1097"/>
      <c r="S59" s="1097"/>
      <c r="T59" s="1097"/>
      <c r="U59" s="1097"/>
      <c r="V59" s="1097"/>
      <c r="W59" s="1097"/>
      <c r="X59" s="1097"/>
      <c r="Y59" s="1097"/>
      <c r="Z59" s="1097"/>
      <c r="AA59" s="1112" t="str">
        <f>IFERROR(__xludf.DUMMYFUNCTION("""COMPUTED_VALUE"""),"AG")</f>
        <v>AG</v>
      </c>
      <c r="AB59" s="1112" t="str">
        <f>IFERROR(__xludf.DUMMYFUNCTION("""COMPUTED_VALUE"""),"aa@kentek.ru")</f>
        <v>aa@kentek.ru</v>
      </c>
      <c r="AC59" s="1112" t="str">
        <f>IFERROR(__xludf.DUMMYFUNCTION("""COMPUTED_VALUE"""),"ID_T013")</f>
        <v>ID_T013</v>
      </c>
      <c r="AD59" s="1114">
        <f>IFERROR(__xludf.DUMMYFUNCTION("""COMPUTED_VALUE"""),30825.0)</f>
        <v>30825</v>
      </c>
      <c r="AE59" s="1112" t="str">
        <f>IFERROR(__xludf.DUMMYFUNCTION("""COMPUTED_VALUE"""),"нал")</f>
        <v>нал</v>
      </c>
      <c r="AF59" s="1112" t="str">
        <f>IFERROR(__xludf.DUMMYFUNCTION("""COMPUTED_VALUE"""),"Масляный сепаратор DS 3084")</f>
        <v>Масляный сепаратор DS 3084</v>
      </c>
      <c r="AG59" s="1097"/>
      <c r="AH59" s="1097"/>
      <c r="AI59" s="1097"/>
      <c r="AJ59" s="1097"/>
      <c r="AK59" s="1097"/>
      <c r="AL59" s="1097"/>
      <c r="AM59" s="1097"/>
      <c r="AN59" s="1097"/>
      <c r="AO59" s="1097"/>
      <c r="AP59" s="1097"/>
      <c r="AQ59" s="1097"/>
      <c r="AR59" s="1097"/>
      <c r="AS59" s="1097"/>
      <c r="AT59" s="1097"/>
      <c r="AU59" s="1097"/>
      <c r="AV59" s="1097"/>
      <c r="AW59" s="1097"/>
      <c r="AX59" s="1097"/>
      <c r="AY59" s="1097"/>
      <c r="AZ59" s="1097"/>
      <c r="BA59" s="1097"/>
      <c r="BB59" s="1097"/>
      <c r="BC59" s="1097"/>
      <c r="BD59" s="1114"/>
      <c r="BE59" s="1097"/>
      <c r="BF59" s="1097"/>
      <c r="BG59" s="1097"/>
      <c r="BH59" s="1097"/>
      <c r="BI59" s="1097"/>
      <c r="BJ59" s="1097"/>
      <c r="BK59" s="1097"/>
      <c r="BL59" s="1097"/>
      <c r="BM59" s="1097"/>
      <c r="BN59" s="1097"/>
      <c r="BO59" s="1097"/>
      <c r="BP59" s="1097"/>
      <c r="BQ59" s="1097"/>
      <c r="BR59" s="1097"/>
      <c r="BS59" s="1097"/>
      <c r="BT59" s="1097"/>
      <c r="BU59" s="1097"/>
      <c r="BV59" s="1097"/>
      <c r="BW59" s="1097"/>
      <c r="BX59" s="1097"/>
      <c r="BY59" s="1097"/>
      <c r="BZ59" s="1097"/>
    </row>
    <row r="60">
      <c r="A60" s="1097"/>
      <c r="B60" s="1097"/>
      <c r="C60" s="1097" t="s">
        <v>882</v>
      </c>
      <c r="D60" s="1112" t="str">
        <f>IFERROR(__xludf.DUMMYFUNCTION("""COMPUTED_VALUE"""),"1-1 Сбор КП^AG^ID_T013")</f>
        <v>1-1 Сбор КП^AG^ID_T013</v>
      </c>
      <c r="E60" s="1112" t="str">
        <f>IFERROR(__xludf.DUMMYFUNCTION("""COMPUTED_VALUE"""),"1-1 Сбор КП")</f>
        <v>1-1 Сбор КП</v>
      </c>
      <c r="F60" s="1112" t="str">
        <f>IFERROR(__xludf.DUMMYFUNCTION("""COMPUTED_VALUE"""),"AG")</f>
        <v>AG</v>
      </c>
      <c r="G60" s="1112" t="str">
        <f>IFERROR(__xludf.DUMMYFUNCTION("""COMPUTED_VALUE"""),"aa@kentek.ru")</f>
        <v>aa@kentek.ru</v>
      </c>
      <c r="H60" s="1113" t="str">
        <f>IFERROR(__xludf.DUMMYFUNCTION("""COMPUTED_VALUE"""),"ID_T013")</f>
        <v>ID_T013</v>
      </c>
      <c r="I60" s="1114">
        <f>IFERROR(__xludf.DUMMYFUNCTION("""COMPUTED_VALUE"""),30825.0)</f>
        <v>30825</v>
      </c>
      <c r="J60" s="1112" t="str">
        <f>IFERROR(__xludf.DUMMYFUNCTION("""COMPUTED_VALUE"""),"нал")</f>
        <v>нал</v>
      </c>
      <c r="K60" s="1112" t="str">
        <f>IFERROR(__xludf.DUMMYFUNCTION("""COMPUTED_VALUE"""),"Масляный сепаратор DS 3084")</f>
        <v>Масляный сепаратор DS 3084</v>
      </c>
      <c r="L60" s="1112"/>
      <c r="M60" s="1097"/>
      <c r="N60" s="1097"/>
      <c r="O60" s="1097"/>
      <c r="P60" s="1097"/>
      <c r="Q60" s="1097"/>
      <c r="R60" s="1097"/>
      <c r="S60" s="1097"/>
      <c r="T60" s="1097"/>
      <c r="U60" s="1097"/>
      <c r="V60" s="1097"/>
      <c r="W60" s="1097"/>
      <c r="X60" s="1097"/>
      <c r="Y60" s="1097"/>
      <c r="Z60" s="1097"/>
      <c r="AA60" s="1112" t="str">
        <f>IFERROR(__xludf.DUMMYFUNCTION("""COMPUTED_VALUE"""),"AS")</f>
        <v>AS</v>
      </c>
      <c r="AB60" s="1112" t="str">
        <f>IFERROR(__xludf.DUMMYFUNCTION("""COMPUTED_VALUE"""),"bmd@melcom-ural.ru")</f>
        <v>bmd@melcom-ural.ru</v>
      </c>
      <c r="AC60" s="1112" t="str">
        <f>IFERROR(__xludf.DUMMYFUNCTION("""COMPUTED_VALUE"""),"ID_T013")</f>
        <v>ID_T013</v>
      </c>
      <c r="AD60" s="1114">
        <f>IFERROR(__xludf.DUMMYFUNCTION("""COMPUTED_VALUE"""),47250.0)</f>
        <v>47250</v>
      </c>
      <c r="AE60" s="1112" t="str">
        <f>IFERROR(__xludf.DUMMYFUNCTION("""COMPUTED_VALUE"""),"15 рд")</f>
        <v>15 рд</v>
      </c>
      <c r="AF60" s="1112" t="str">
        <f>IFERROR(__xludf.DUMMYFUNCTION("""COMPUTED_VALUE"""),"Масляный сепаратор DS 3084")</f>
        <v>Масляный сепаратор DS 3084</v>
      </c>
      <c r="AG60" s="1097"/>
      <c r="AH60" s="1097"/>
      <c r="AI60" s="1097"/>
      <c r="AJ60" s="1097"/>
      <c r="AK60" s="1097"/>
      <c r="AL60" s="1097"/>
      <c r="AM60" s="1097"/>
      <c r="AN60" s="1097"/>
      <c r="AO60" s="1097"/>
      <c r="AP60" s="1097"/>
      <c r="AQ60" s="1097"/>
      <c r="AR60" s="1097"/>
      <c r="AS60" s="1097"/>
      <c r="AT60" s="1097"/>
      <c r="AU60" s="1097"/>
      <c r="AV60" s="1097"/>
      <c r="AW60" s="1097"/>
      <c r="AX60" s="1097"/>
      <c r="AY60" s="1097"/>
      <c r="AZ60" s="1097"/>
      <c r="BA60" s="1097"/>
      <c r="BB60" s="1097"/>
      <c r="BC60" s="1097"/>
      <c r="BD60" s="1114"/>
      <c r="BE60" s="1097"/>
      <c r="BF60" s="1097"/>
      <c r="BG60" s="1097"/>
      <c r="BH60" s="1097"/>
      <c r="BI60" s="1097"/>
      <c r="BJ60" s="1097"/>
      <c r="BK60" s="1097"/>
      <c r="BL60" s="1097"/>
      <c r="BM60" s="1097"/>
      <c r="BN60" s="1097"/>
      <c r="BO60" s="1097"/>
      <c r="BP60" s="1097"/>
      <c r="BQ60" s="1097"/>
      <c r="BR60" s="1097"/>
      <c r="BS60" s="1097"/>
      <c r="BT60" s="1097"/>
      <c r="BU60" s="1097"/>
      <c r="BV60" s="1097"/>
      <c r="BW60" s="1097"/>
      <c r="BX60" s="1097"/>
      <c r="BY60" s="1097"/>
      <c r="BZ60" s="1097"/>
    </row>
    <row r="61">
      <c r="A61" s="1097"/>
      <c r="B61" s="1097"/>
      <c r="C61" s="1097" t="s">
        <v>889</v>
      </c>
      <c r="D61" s="1112" t="str">
        <f>IFERROR(__xludf.DUMMYFUNCTION("""COMPUTED_VALUE"""),"1-1 Сбор КП^AS^ID_T013")</f>
        <v>1-1 Сбор КП^AS^ID_T013</v>
      </c>
      <c r="E61" s="1112" t="str">
        <f>IFERROR(__xludf.DUMMYFUNCTION("""COMPUTED_VALUE"""),"1-1 Сбор КП")</f>
        <v>1-1 Сбор КП</v>
      </c>
      <c r="F61" s="1112" t="str">
        <f>IFERROR(__xludf.DUMMYFUNCTION("""COMPUTED_VALUE"""),"AS")</f>
        <v>AS</v>
      </c>
      <c r="G61" s="1112" t="str">
        <f>IFERROR(__xludf.DUMMYFUNCTION("""COMPUTED_VALUE"""),"bmd@melcom-ural.ru")</f>
        <v>bmd@melcom-ural.ru</v>
      </c>
      <c r="H61" s="1113" t="str">
        <f>IFERROR(__xludf.DUMMYFUNCTION("""COMPUTED_VALUE"""),"ID_T013")</f>
        <v>ID_T013</v>
      </c>
      <c r="I61" s="1114">
        <f>IFERROR(__xludf.DUMMYFUNCTION("""COMPUTED_VALUE"""),47250.0)</f>
        <v>47250</v>
      </c>
      <c r="J61" s="1112" t="str">
        <f>IFERROR(__xludf.DUMMYFUNCTION("""COMPUTED_VALUE"""),"15 рд")</f>
        <v>15 рд</v>
      </c>
      <c r="K61" s="1112" t="str">
        <f>IFERROR(__xludf.DUMMYFUNCTION("""COMPUTED_VALUE"""),"Масляный сепаратор DS 3084")</f>
        <v>Масляный сепаратор DS 3084</v>
      </c>
      <c r="L61" s="1112"/>
      <c r="M61" s="1097"/>
      <c r="N61" s="1097"/>
      <c r="O61" s="1097"/>
      <c r="P61" s="1097"/>
      <c r="Q61" s="1097"/>
      <c r="R61" s="1097"/>
      <c r="S61" s="1097"/>
      <c r="T61" s="1097"/>
      <c r="U61" s="1097"/>
      <c r="V61" s="1097"/>
      <c r="W61" s="1097"/>
      <c r="X61" s="1097"/>
      <c r="Y61" s="1097"/>
      <c r="Z61" s="1097"/>
      <c r="AA61" s="1112" t="str">
        <f>IFERROR(__xludf.DUMMYFUNCTION("""COMPUTED_VALUE"""),"AV")</f>
        <v>AV</v>
      </c>
      <c r="AB61" s="1112" t="str">
        <f>IFERROR(__xludf.DUMMYFUNCTION("""COMPUTED_VALUE"""),"utkm@mail.ru")</f>
        <v>utkm@mail.ru</v>
      </c>
      <c r="AC61" s="1112" t="str">
        <f>IFERROR(__xludf.DUMMYFUNCTION("""COMPUTED_VALUE"""),"ID_T013")</f>
        <v>ID_T013</v>
      </c>
      <c r="AD61" s="1114">
        <f>IFERROR(__xludf.DUMMYFUNCTION("""COMPUTED_VALUE"""),50500.0)</f>
        <v>50500</v>
      </c>
      <c r="AE61" s="1112" t="str">
        <f>IFERROR(__xludf.DUMMYFUNCTION("""COMPUTED_VALUE"""),"7 д")</f>
        <v>7 д</v>
      </c>
      <c r="AF61" s="1112" t="str">
        <f>IFERROR(__xludf.DUMMYFUNCTION("""COMPUTED_VALUE"""),"DS 3084")</f>
        <v>DS 3084</v>
      </c>
      <c r="AG61" s="1097"/>
      <c r="AH61" s="1097"/>
      <c r="AI61" s="1097"/>
      <c r="AJ61" s="1097"/>
      <c r="AK61" s="1097"/>
      <c r="AL61" s="1097"/>
      <c r="AM61" s="1097"/>
      <c r="AN61" s="1097"/>
      <c r="AO61" s="1097"/>
      <c r="AP61" s="1097"/>
      <c r="AQ61" s="1097"/>
      <c r="AR61" s="1097"/>
      <c r="AS61" s="1097"/>
      <c r="AT61" s="1097"/>
      <c r="AU61" s="1097"/>
      <c r="AV61" s="1097"/>
      <c r="AW61" s="1097"/>
      <c r="AX61" s="1097"/>
      <c r="AY61" s="1097"/>
      <c r="AZ61" s="1097"/>
      <c r="BA61" s="1097"/>
      <c r="BB61" s="1097"/>
      <c r="BC61" s="1097"/>
      <c r="BD61" s="1114"/>
      <c r="BE61" s="1097"/>
      <c r="BF61" s="1097"/>
      <c r="BG61" s="1097"/>
      <c r="BH61" s="1097"/>
      <c r="BI61" s="1097"/>
      <c r="BJ61" s="1097"/>
      <c r="BK61" s="1097"/>
      <c r="BL61" s="1097"/>
      <c r="BM61" s="1097"/>
      <c r="BN61" s="1097"/>
      <c r="BO61" s="1097"/>
      <c r="BP61" s="1097"/>
      <c r="BQ61" s="1097"/>
      <c r="BR61" s="1097"/>
      <c r="BS61" s="1097"/>
      <c r="BT61" s="1097"/>
      <c r="BU61" s="1097"/>
      <c r="BV61" s="1097"/>
      <c r="BW61" s="1097"/>
      <c r="BX61" s="1097"/>
      <c r="BY61" s="1097"/>
      <c r="BZ61" s="1097"/>
    </row>
    <row r="62">
      <c r="A62" s="1097"/>
      <c r="B62" s="1097"/>
      <c r="C62" s="1097" t="s">
        <v>890</v>
      </c>
      <c r="D62" s="1112" t="str">
        <f>IFERROR(__xludf.DUMMYFUNCTION("""COMPUTED_VALUE"""),"1-1 Сбор КП^AV^ID_T013")</f>
        <v>1-1 Сбор КП^AV^ID_T013</v>
      </c>
      <c r="E62" s="1112" t="str">
        <f>IFERROR(__xludf.DUMMYFUNCTION("""COMPUTED_VALUE"""),"1-1 Сбор КП")</f>
        <v>1-1 Сбор КП</v>
      </c>
      <c r="F62" s="1112" t="str">
        <f>IFERROR(__xludf.DUMMYFUNCTION("""COMPUTED_VALUE"""),"AV")</f>
        <v>AV</v>
      </c>
      <c r="G62" s="1112" t="str">
        <f>IFERROR(__xludf.DUMMYFUNCTION("""COMPUTED_VALUE"""),"utkm@mail.ru")</f>
        <v>utkm@mail.ru</v>
      </c>
      <c r="H62" s="1113" t="str">
        <f>IFERROR(__xludf.DUMMYFUNCTION("""COMPUTED_VALUE"""),"ID_T013")</f>
        <v>ID_T013</v>
      </c>
      <c r="I62" s="1114">
        <f>IFERROR(__xludf.DUMMYFUNCTION("""COMPUTED_VALUE"""),50500.0)</f>
        <v>50500</v>
      </c>
      <c r="J62" s="1112" t="str">
        <f>IFERROR(__xludf.DUMMYFUNCTION("""COMPUTED_VALUE"""),"7 д")</f>
        <v>7 д</v>
      </c>
      <c r="K62" s="1112" t="str">
        <f>IFERROR(__xludf.DUMMYFUNCTION("""COMPUTED_VALUE"""),"DS 3084")</f>
        <v>DS 3084</v>
      </c>
      <c r="L62" s="1112"/>
      <c r="M62" s="1097"/>
      <c r="N62" s="1097"/>
      <c r="O62" s="1097"/>
      <c r="P62" s="1097"/>
      <c r="Q62" s="1097"/>
      <c r="R62" s="1097"/>
      <c r="S62" s="1097"/>
      <c r="T62" s="1097"/>
      <c r="U62" s="1097"/>
      <c r="V62" s="1097"/>
      <c r="W62" s="1097"/>
      <c r="X62" s="1097"/>
      <c r="Y62" s="1097"/>
      <c r="Z62" s="1097"/>
      <c r="AA62" s="1112" t="str">
        <f>IFERROR(__xludf.DUMMYFUNCTION("""COMPUTED_VALUE"""),"BE")</f>
        <v>BE</v>
      </c>
      <c r="AB62" s="1112" t="str">
        <f>IFERROR(__xludf.DUMMYFUNCTION("""COMPUTED_VALUE"""),"order@techfil.ru")</f>
        <v>order@techfil.ru</v>
      </c>
      <c r="AC62" s="1112" t="str">
        <f>IFERROR(__xludf.DUMMYFUNCTION("""COMPUTED_VALUE"""),"ID_T013")</f>
        <v>ID_T013</v>
      </c>
      <c r="AD62" s="1114">
        <f>IFERROR(__xludf.DUMMYFUNCTION("""COMPUTED_VALUE"""),36900.0)</f>
        <v>36900</v>
      </c>
      <c r="AE62" s="1112" t="str">
        <f>IFERROR(__xludf.DUMMYFUNCTION("""COMPUTED_VALUE"""),"5 рд")</f>
        <v>5 рд</v>
      </c>
      <c r="AF62" s="1112" t="str">
        <f>IFERROR(__xludf.DUMMYFUNCTION("""COMPUTED_VALUE"""),"Cепаратор DS 3084 [ Аналог DC/S3084 ] ")</f>
        <v>Cепаратор DS 3084 [ Аналог DC/S3084 ] </v>
      </c>
      <c r="AG62" s="1097"/>
      <c r="AH62" s="1097"/>
      <c r="AI62" s="1097"/>
      <c r="AJ62" s="1097"/>
      <c r="AK62" s="1097"/>
      <c r="AL62" s="1097"/>
      <c r="AM62" s="1097"/>
      <c r="AN62" s="1097"/>
      <c r="AO62" s="1097"/>
      <c r="AP62" s="1097"/>
      <c r="AQ62" s="1097"/>
      <c r="AR62" s="1097"/>
      <c r="AS62" s="1097"/>
      <c r="AT62" s="1097"/>
      <c r="AU62" s="1097"/>
      <c r="AV62" s="1097"/>
      <c r="AW62" s="1097"/>
      <c r="AX62" s="1097"/>
      <c r="AY62" s="1097"/>
      <c r="AZ62" s="1097"/>
      <c r="BA62" s="1097"/>
      <c r="BB62" s="1097"/>
      <c r="BC62" s="1097"/>
      <c r="BD62" s="1114"/>
      <c r="BE62" s="1097"/>
      <c r="BF62" s="1097"/>
      <c r="BG62" s="1097"/>
      <c r="BH62" s="1097"/>
      <c r="BI62" s="1097"/>
      <c r="BJ62" s="1097"/>
      <c r="BK62" s="1097"/>
      <c r="BL62" s="1097"/>
      <c r="BM62" s="1097"/>
      <c r="BN62" s="1097"/>
      <c r="BO62" s="1097"/>
      <c r="BP62" s="1097"/>
      <c r="BQ62" s="1097"/>
      <c r="BR62" s="1097"/>
      <c r="BS62" s="1097"/>
      <c r="BT62" s="1097"/>
      <c r="BU62" s="1097"/>
      <c r="BV62" s="1097"/>
      <c r="BW62" s="1097"/>
      <c r="BX62" s="1097"/>
      <c r="BY62" s="1097"/>
      <c r="BZ62" s="1097"/>
    </row>
    <row r="63">
      <c r="A63" s="1097"/>
      <c r="B63" s="1097"/>
      <c r="C63" s="1097" t="s">
        <v>893</v>
      </c>
      <c r="D63" s="1112" t="str">
        <f>IFERROR(__xludf.DUMMYFUNCTION("""COMPUTED_VALUE"""),"1-1 Сбор КП^BE^ID_T013")</f>
        <v>1-1 Сбор КП^BE^ID_T013</v>
      </c>
      <c r="E63" s="1112" t="str">
        <f>IFERROR(__xludf.DUMMYFUNCTION("""COMPUTED_VALUE"""),"1-1 Сбор КП")</f>
        <v>1-1 Сбор КП</v>
      </c>
      <c r="F63" s="1112" t="str">
        <f>IFERROR(__xludf.DUMMYFUNCTION("""COMPUTED_VALUE"""),"BE")</f>
        <v>BE</v>
      </c>
      <c r="G63" s="1112" t="str">
        <f>IFERROR(__xludf.DUMMYFUNCTION("""COMPUTED_VALUE"""),"order@techfil.ru")</f>
        <v>order@techfil.ru</v>
      </c>
      <c r="H63" s="1113" t="str">
        <f>IFERROR(__xludf.DUMMYFUNCTION("""COMPUTED_VALUE"""),"ID_T013")</f>
        <v>ID_T013</v>
      </c>
      <c r="I63" s="1114">
        <f>IFERROR(__xludf.DUMMYFUNCTION("""COMPUTED_VALUE"""),36900.0)</f>
        <v>36900</v>
      </c>
      <c r="J63" s="1112" t="str">
        <f>IFERROR(__xludf.DUMMYFUNCTION("""COMPUTED_VALUE"""),"5 рд")</f>
        <v>5 рд</v>
      </c>
      <c r="K63" s="1112" t="str">
        <f>IFERROR(__xludf.DUMMYFUNCTION("""COMPUTED_VALUE"""),"Cепаратор DS 3084 [ Аналог DC/S3084 ] ")</f>
        <v>Cепаратор DS 3084 [ Аналог DC/S3084 ] </v>
      </c>
      <c r="L63" s="1112"/>
      <c r="M63" s="1097"/>
      <c r="N63" s="1097"/>
      <c r="O63" s="1097"/>
      <c r="P63" s="1097"/>
      <c r="Q63" s="1097"/>
      <c r="R63" s="1097"/>
      <c r="S63" s="1097"/>
      <c r="T63" s="1097"/>
      <c r="U63" s="1097"/>
      <c r="V63" s="1097"/>
      <c r="W63" s="1097"/>
      <c r="X63" s="1097"/>
      <c r="Y63" s="1097"/>
      <c r="Z63" s="1097"/>
      <c r="AA63" s="1112" t="str">
        <f>IFERROR(__xludf.DUMMYFUNCTION("""COMPUTED_VALUE"""),"BN")</f>
        <v>BN</v>
      </c>
      <c r="AB63" s="1112" t="str">
        <f>IFERROR(__xludf.DUMMYFUNCTION("""COMPUTED_VALUE"""),"m.rulev@a-ac.ru")</f>
        <v>m.rulev@a-ac.ru</v>
      </c>
      <c r="AC63" s="1112" t="str">
        <f>IFERROR(__xludf.DUMMYFUNCTION("""COMPUTED_VALUE"""),"ID_T013")</f>
        <v>ID_T013</v>
      </c>
      <c r="AD63" s="1114">
        <f>IFERROR(__xludf.DUMMYFUNCTION("""COMPUTED_VALUE"""),58476.0)</f>
        <v>58476</v>
      </c>
      <c r="AE63" s="1112" t="str">
        <f>IFERROR(__xludf.DUMMYFUNCTION("""COMPUTED_VALUE"""),"10 д")</f>
        <v>10 д</v>
      </c>
      <c r="AF63" s="1112" t="str">
        <f>IFERROR(__xludf.DUMMYFUNCTION("""COMPUTED_VALUE"""),"Фильтр сепаратор SOTRAS DC 3084")</f>
        <v>Фильтр сепаратор SOTRAS DC 3084</v>
      </c>
      <c r="AG63" s="1097"/>
      <c r="AH63" s="1097"/>
      <c r="AI63" s="1097"/>
      <c r="AJ63" s="1097"/>
      <c r="AK63" s="1097"/>
      <c r="AL63" s="1097"/>
      <c r="AM63" s="1097"/>
      <c r="AN63" s="1097"/>
      <c r="AO63" s="1097"/>
      <c r="AP63" s="1097"/>
      <c r="AQ63" s="1097"/>
      <c r="AR63" s="1097"/>
      <c r="AS63" s="1097"/>
      <c r="AT63" s="1097"/>
      <c r="AU63" s="1097"/>
      <c r="AV63" s="1097"/>
      <c r="AW63" s="1097"/>
      <c r="AX63" s="1097"/>
      <c r="AY63" s="1097"/>
      <c r="AZ63" s="1097"/>
      <c r="BA63" s="1097"/>
      <c r="BB63" s="1097"/>
      <c r="BC63" s="1097"/>
      <c r="BD63" s="1114"/>
      <c r="BE63" s="1097"/>
      <c r="BF63" s="1097"/>
      <c r="BG63" s="1097"/>
      <c r="BH63" s="1097"/>
      <c r="BI63" s="1097"/>
      <c r="BJ63" s="1097"/>
      <c r="BK63" s="1097"/>
      <c r="BL63" s="1097"/>
      <c r="BM63" s="1097"/>
      <c r="BN63" s="1097"/>
      <c r="BO63" s="1097"/>
      <c r="BP63" s="1097"/>
      <c r="BQ63" s="1097"/>
      <c r="BR63" s="1097"/>
      <c r="BS63" s="1097"/>
      <c r="BT63" s="1097"/>
      <c r="BU63" s="1097"/>
      <c r="BV63" s="1097"/>
      <c r="BW63" s="1097"/>
      <c r="BX63" s="1097"/>
      <c r="BY63" s="1097"/>
      <c r="BZ63" s="1097"/>
    </row>
    <row r="64">
      <c r="A64" s="1097"/>
      <c r="B64" s="1097"/>
      <c r="C64" s="1097" t="s">
        <v>894</v>
      </c>
      <c r="D64" s="1112" t="str">
        <f>IFERROR(__xludf.DUMMYFUNCTION("""COMPUTED_VALUE"""),"1-1 Сбор КП^BN^ID_T013")</f>
        <v>1-1 Сбор КП^BN^ID_T013</v>
      </c>
      <c r="E64" s="1112" t="str">
        <f>IFERROR(__xludf.DUMMYFUNCTION("""COMPUTED_VALUE"""),"1-1 Сбор КП")</f>
        <v>1-1 Сбор КП</v>
      </c>
      <c r="F64" s="1112" t="str">
        <f>IFERROR(__xludf.DUMMYFUNCTION("""COMPUTED_VALUE"""),"BN")</f>
        <v>BN</v>
      </c>
      <c r="G64" s="1112" t="str">
        <f>IFERROR(__xludf.DUMMYFUNCTION("""COMPUTED_VALUE"""),"m.rulev@a-ac.ru")</f>
        <v>m.rulev@a-ac.ru</v>
      </c>
      <c r="H64" s="1113" t="str">
        <f>IFERROR(__xludf.DUMMYFUNCTION("""COMPUTED_VALUE"""),"ID_T013")</f>
        <v>ID_T013</v>
      </c>
      <c r="I64" s="1114">
        <f>IFERROR(__xludf.DUMMYFUNCTION("""COMPUTED_VALUE"""),58476.0)</f>
        <v>58476</v>
      </c>
      <c r="J64" s="1112" t="str">
        <f>IFERROR(__xludf.DUMMYFUNCTION("""COMPUTED_VALUE"""),"10 д")</f>
        <v>10 д</v>
      </c>
      <c r="K64" s="1112" t="str">
        <f>IFERROR(__xludf.DUMMYFUNCTION("""COMPUTED_VALUE"""),"Фильтр сепаратор SOTRAS DC 3084")</f>
        <v>Фильтр сепаратор SOTRAS DC 3084</v>
      </c>
      <c r="L64" s="1112"/>
      <c r="M64" s="1097"/>
      <c r="N64" s="1097"/>
      <c r="O64" s="1097"/>
      <c r="P64" s="1097"/>
      <c r="Q64" s="1097"/>
      <c r="R64" s="1097"/>
      <c r="S64" s="1097"/>
      <c r="T64" s="1097"/>
      <c r="U64" s="1097"/>
      <c r="V64" s="1097"/>
      <c r="W64" s="1097"/>
      <c r="X64" s="1097"/>
      <c r="Y64" s="1097"/>
      <c r="Z64" s="1097"/>
      <c r="AA64" s="1112" t="str">
        <f>IFERROR(__xludf.DUMMYFUNCTION("""COMPUTED_VALUE"""),"AA")</f>
        <v>AA</v>
      </c>
      <c r="AB64" s="1112" t="str">
        <f>IFERROR(__xludf.DUMMYFUNCTION("""COMPUTED_VALUE"""),"amkomplekt@mail.ru")</f>
        <v>amkomplekt@mail.ru</v>
      </c>
      <c r="AC64" s="1112" t="str">
        <f>IFERROR(__xludf.DUMMYFUNCTION("""COMPUTED_VALUE"""),"ID_T014")</f>
        <v>ID_T014</v>
      </c>
      <c r="AD64" s="1114">
        <f>IFERROR(__xludf.DUMMYFUNCTION("""COMPUTED_VALUE"""),2900.0)</f>
        <v>2900</v>
      </c>
      <c r="AE64" s="1112" t="str">
        <f>IFERROR(__xludf.DUMMYFUNCTION("""COMPUTED_VALUE"""),"7 д")</f>
        <v>7 д</v>
      </c>
      <c r="AF64" s="1112" t="str">
        <f>IFERROR(__xludf.DUMMYFUNCTION("""COMPUTED_VALUE"""),"Воздушный фильтр ЛААЗ ЭФВ 721.1109560 (7405. 1109560) ")</f>
        <v>Воздушный фильтр ЛААЗ ЭФВ 721.1109560 (7405. 1109560) </v>
      </c>
      <c r="AG64" s="1097"/>
      <c r="AH64" s="1097"/>
      <c r="AI64" s="1097"/>
      <c r="AJ64" s="1097"/>
      <c r="AK64" s="1097"/>
      <c r="AL64" s="1097"/>
      <c r="AM64" s="1097"/>
      <c r="AN64" s="1097"/>
      <c r="AO64" s="1097"/>
      <c r="AP64" s="1097"/>
      <c r="AQ64" s="1097"/>
      <c r="AR64" s="1097"/>
      <c r="AS64" s="1097"/>
      <c r="AT64" s="1097"/>
      <c r="AU64" s="1097"/>
      <c r="AV64" s="1097"/>
      <c r="AW64" s="1097"/>
      <c r="AX64" s="1097"/>
      <c r="AY64" s="1097"/>
      <c r="AZ64" s="1097"/>
      <c r="BA64" s="1097"/>
      <c r="BB64" s="1097"/>
      <c r="BC64" s="1097"/>
      <c r="BD64" s="1114"/>
      <c r="BE64" s="1097"/>
      <c r="BF64" s="1097"/>
      <c r="BG64" s="1097"/>
      <c r="BH64" s="1097"/>
      <c r="BI64" s="1097"/>
      <c r="BJ64" s="1097"/>
      <c r="BK64" s="1097"/>
      <c r="BL64" s="1097"/>
      <c r="BM64" s="1097"/>
      <c r="BN64" s="1097"/>
      <c r="BO64" s="1097"/>
      <c r="BP64" s="1097"/>
      <c r="BQ64" s="1097"/>
      <c r="BR64" s="1097"/>
      <c r="BS64" s="1097"/>
      <c r="BT64" s="1097"/>
      <c r="BU64" s="1097"/>
      <c r="BV64" s="1097"/>
      <c r="BW64" s="1097"/>
      <c r="BX64" s="1097"/>
      <c r="BY64" s="1097"/>
      <c r="BZ64" s="1097"/>
    </row>
    <row r="65">
      <c r="A65" s="1097"/>
      <c r="B65" s="1097"/>
      <c r="C65" s="1097" t="s">
        <v>895</v>
      </c>
      <c r="D65" s="1112" t="str">
        <f>IFERROR(__xludf.DUMMYFUNCTION("""COMPUTED_VALUE"""),"1-1 Сбор КП^AA^ID_T014")</f>
        <v>1-1 Сбор КП^AA^ID_T014</v>
      </c>
      <c r="E65" s="1112" t="str">
        <f>IFERROR(__xludf.DUMMYFUNCTION("""COMPUTED_VALUE"""),"1-1 Сбор КП")</f>
        <v>1-1 Сбор КП</v>
      </c>
      <c r="F65" s="1112" t="str">
        <f>IFERROR(__xludf.DUMMYFUNCTION("""COMPUTED_VALUE"""),"AA")</f>
        <v>AA</v>
      </c>
      <c r="G65" s="1112" t="str">
        <f>IFERROR(__xludf.DUMMYFUNCTION("""COMPUTED_VALUE"""),"amkomplekt@mail.ru")</f>
        <v>amkomplekt@mail.ru</v>
      </c>
      <c r="H65" s="1113" t="str">
        <f>IFERROR(__xludf.DUMMYFUNCTION("""COMPUTED_VALUE"""),"ID_T014")</f>
        <v>ID_T014</v>
      </c>
      <c r="I65" s="1114">
        <f>IFERROR(__xludf.DUMMYFUNCTION("""COMPUTED_VALUE"""),2900.0)</f>
        <v>2900</v>
      </c>
      <c r="J65" s="1112" t="str">
        <f>IFERROR(__xludf.DUMMYFUNCTION("""COMPUTED_VALUE"""),"7 д")</f>
        <v>7 д</v>
      </c>
      <c r="K65" s="1112" t="str">
        <f>IFERROR(__xludf.DUMMYFUNCTION("""COMPUTED_VALUE"""),"Воздушный фильтр ЛААЗ ЭФВ 721.1109560 (7405. 1109560) ")</f>
        <v>Воздушный фильтр ЛААЗ ЭФВ 721.1109560 (7405. 1109560) </v>
      </c>
      <c r="L65" s="1112"/>
      <c r="M65" s="1097"/>
      <c r="N65" s="1097"/>
      <c r="O65" s="1097"/>
      <c r="P65" s="1097"/>
      <c r="Q65" s="1097"/>
      <c r="R65" s="1097"/>
      <c r="S65" s="1097"/>
      <c r="T65" s="1097"/>
      <c r="U65" s="1097"/>
      <c r="V65" s="1097"/>
      <c r="W65" s="1097"/>
      <c r="X65" s="1097"/>
      <c r="Y65" s="1097"/>
      <c r="Z65" s="1097"/>
      <c r="AA65" s="1112" t="str">
        <f>IFERROR(__xludf.DUMMYFUNCTION("""COMPUTED_VALUE"""),"AG")</f>
        <v>AG</v>
      </c>
      <c r="AB65" s="1112" t="str">
        <f>IFERROR(__xludf.DUMMYFUNCTION("""COMPUTED_VALUE"""),"aa@kentek.ru")</f>
        <v>aa@kentek.ru</v>
      </c>
      <c r="AC65" s="1112" t="str">
        <f>IFERROR(__xludf.DUMMYFUNCTION("""COMPUTED_VALUE"""),"ID_T014")</f>
        <v>ID_T014</v>
      </c>
      <c r="AD65" s="1114">
        <f>IFERROR(__xludf.DUMMYFUNCTION("""COMPUTED_VALUE"""),1326.0)</f>
        <v>1326</v>
      </c>
      <c r="AE65" s="1112" t="str">
        <f>IFERROR(__xludf.DUMMYFUNCTION("""COMPUTED_VALUE"""),"нал")</f>
        <v>нал</v>
      </c>
      <c r="AF65" s="1112" t="str">
        <f>IFERROR(__xludf.DUMMYFUNCTION("""COMPUTED_VALUE"""),"Аналог DIFA4319M")</f>
        <v>Аналог DIFA4319M</v>
      </c>
      <c r="AG65" s="1097"/>
      <c r="AH65" s="1097"/>
      <c r="AI65" s="1097"/>
      <c r="AJ65" s="1097"/>
      <c r="AK65" s="1097"/>
      <c r="AL65" s="1097"/>
      <c r="AM65" s="1097"/>
      <c r="AN65" s="1097"/>
      <c r="AO65" s="1097"/>
      <c r="AP65" s="1097"/>
      <c r="AQ65" s="1097"/>
      <c r="AR65" s="1097"/>
      <c r="AS65" s="1097"/>
      <c r="AT65" s="1097"/>
      <c r="AU65" s="1097"/>
      <c r="AV65" s="1097"/>
      <c r="AW65" s="1097"/>
      <c r="AX65" s="1097"/>
      <c r="AY65" s="1097"/>
      <c r="AZ65" s="1097"/>
      <c r="BA65" s="1097"/>
      <c r="BB65" s="1097"/>
      <c r="BC65" s="1097"/>
      <c r="BD65" s="1114"/>
      <c r="BE65" s="1097"/>
      <c r="BF65" s="1097"/>
      <c r="BG65" s="1097"/>
      <c r="BH65" s="1097"/>
      <c r="BI65" s="1097"/>
      <c r="BJ65" s="1097"/>
      <c r="BK65" s="1097"/>
      <c r="BL65" s="1097"/>
      <c r="BM65" s="1097"/>
      <c r="BN65" s="1097"/>
      <c r="BO65" s="1097"/>
      <c r="BP65" s="1097"/>
      <c r="BQ65" s="1097"/>
      <c r="BR65" s="1097"/>
      <c r="BS65" s="1097"/>
      <c r="BT65" s="1097"/>
      <c r="BU65" s="1097"/>
      <c r="BV65" s="1097"/>
      <c r="BW65" s="1097"/>
      <c r="BX65" s="1097"/>
      <c r="BY65" s="1097"/>
      <c r="BZ65" s="1097"/>
    </row>
    <row r="66">
      <c r="A66" s="1097"/>
      <c r="B66" s="1097"/>
      <c r="C66" s="1097" t="s">
        <v>896</v>
      </c>
      <c r="D66" s="1112" t="str">
        <f>IFERROR(__xludf.DUMMYFUNCTION("""COMPUTED_VALUE"""),"1-1 Сбор КП^AG^ID_T014")</f>
        <v>1-1 Сбор КП^AG^ID_T014</v>
      </c>
      <c r="E66" s="1112" t="str">
        <f>IFERROR(__xludf.DUMMYFUNCTION("""COMPUTED_VALUE"""),"1-1 Сбор КП")</f>
        <v>1-1 Сбор КП</v>
      </c>
      <c r="F66" s="1112" t="str">
        <f>IFERROR(__xludf.DUMMYFUNCTION("""COMPUTED_VALUE"""),"AG")</f>
        <v>AG</v>
      </c>
      <c r="G66" s="1112" t="str">
        <f>IFERROR(__xludf.DUMMYFUNCTION("""COMPUTED_VALUE"""),"aa@kentek.ru")</f>
        <v>aa@kentek.ru</v>
      </c>
      <c r="H66" s="1113" t="str">
        <f>IFERROR(__xludf.DUMMYFUNCTION("""COMPUTED_VALUE"""),"ID_T014")</f>
        <v>ID_T014</v>
      </c>
      <c r="I66" s="1114">
        <f>IFERROR(__xludf.DUMMYFUNCTION("""COMPUTED_VALUE"""),1326.0)</f>
        <v>1326</v>
      </c>
      <c r="J66" s="1112" t="str">
        <f>IFERROR(__xludf.DUMMYFUNCTION("""COMPUTED_VALUE"""),"нал")</f>
        <v>нал</v>
      </c>
      <c r="K66" s="1112" t="str">
        <f>IFERROR(__xludf.DUMMYFUNCTION("""COMPUTED_VALUE"""),"Аналог DIFA4319M")</f>
        <v>Аналог DIFA4319M</v>
      </c>
      <c r="L66" s="1112"/>
      <c r="M66" s="1097"/>
      <c r="N66" s="1097"/>
      <c r="O66" s="1097"/>
      <c r="P66" s="1097"/>
      <c r="Q66" s="1097"/>
      <c r="R66" s="1097"/>
      <c r="S66" s="1097"/>
      <c r="T66" s="1097"/>
      <c r="U66" s="1097"/>
      <c r="V66" s="1097"/>
      <c r="W66" s="1097"/>
      <c r="X66" s="1097"/>
      <c r="Y66" s="1097"/>
      <c r="Z66" s="1097"/>
      <c r="AA66" s="1112" t="str">
        <f>IFERROR(__xludf.DUMMYFUNCTION("""COMPUTED_VALUE"""),"AS")</f>
        <v>AS</v>
      </c>
      <c r="AB66" s="1112" t="str">
        <f>IFERROR(__xludf.DUMMYFUNCTION("""COMPUTED_VALUE"""),"bmd@melcom-ural.ru")</f>
        <v>bmd@melcom-ural.ru</v>
      </c>
      <c r="AC66" s="1112" t="str">
        <f>IFERROR(__xludf.DUMMYFUNCTION("""COMPUTED_VALUE"""),"ID_T014")</f>
        <v>ID_T014</v>
      </c>
      <c r="AD66" s="1114">
        <f>IFERROR(__xludf.DUMMYFUNCTION("""COMPUTED_VALUE"""),6100.0)</f>
        <v>6100</v>
      </c>
      <c r="AE66" s="1112" t="str">
        <f>IFERROR(__xludf.DUMMYFUNCTION("""COMPUTED_VALUE"""),"7 рд")</f>
        <v>7 рд</v>
      </c>
      <c r="AF66" s="1112" t="str">
        <f>IFERROR(__xludf.DUMMYFUNCTION("""COMPUTED_VALUE"""),"721.1109560, Элемент фильтрующий очистки воздуха (основной), 
721.1109560, Элемент фильтрующий очистки воздуха (внутренний)")</f>
        <v>721.1109560, Элемент фильтрующий очистки воздуха (основной), 
721.1109560, Элемент фильтрующий очистки воздуха (внутренний)</v>
      </c>
      <c r="AG66" s="1097"/>
      <c r="AH66" s="1097"/>
      <c r="AI66" s="1097"/>
      <c r="AJ66" s="1097"/>
      <c r="AK66" s="1097"/>
      <c r="AL66" s="1097"/>
      <c r="AM66" s="1097"/>
      <c r="AN66" s="1097"/>
      <c r="AO66" s="1097"/>
      <c r="AP66" s="1097"/>
      <c r="AQ66" s="1097"/>
      <c r="AR66" s="1097"/>
      <c r="AS66" s="1097"/>
      <c r="AT66" s="1097"/>
      <c r="AU66" s="1097"/>
      <c r="AV66" s="1097"/>
      <c r="AW66" s="1097"/>
      <c r="AX66" s="1097"/>
      <c r="AY66" s="1097"/>
      <c r="AZ66" s="1097"/>
      <c r="BA66" s="1097"/>
      <c r="BB66" s="1097"/>
      <c r="BC66" s="1097"/>
      <c r="BD66" s="1114"/>
      <c r="BE66" s="1097"/>
      <c r="BF66" s="1097"/>
      <c r="BG66" s="1097"/>
      <c r="BH66" s="1097"/>
      <c r="BI66" s="1097"/>
      <c r="BJ66" s="1097"/>
      <c r="BK66" s="1097"/>
      <c r="BL66" s="1097"/>
      <c r="BM66" s="1097"/>
      <c r="BN66" s="1097"/>
      <c r="BO66" s="1097"/>
      <c r="BP66" s="1097"/>
      <c r="BQ66" s="1097"/>
      <c r="BR66" s="1097"/>
      <c r="BS66" s="1097"/>
      <c r="BT66" s="1097"/>
      <c r="BU66" s="1097"/>
      <c r="BV66" s="1097"/>
      <c r="BW66" s="1097"/>
      <c r="BX66" s="1097"/>
      <c r="BY66" s="1097"/>
      <c r="BZ66" s="1097"/>
    </row>
    <row r="67">
      <c r="A67" s="1097"/>
      <c r="B67" s="1097"/>
      <c r="C67" s="1097" t="s">
        <v>897</v>
      </c>
      <c r="D67" s="1112" t="str">
        <f>IFERROR(__xludf.DUMMYFUNCTION("""COMPUTED_VALUE"""),"1-1 Сбор КП^AS^ID_T014")</f>
        <v>1-1 Сбор КП^AS^ID_T014</v>
      </c>
      <c r="E67" s="1112" t="str">
        <f>IFERROR(__xludf.DUMMYFUNCTION("""COMPUTED_VALUE"""),"1-1 Сбор КП")</f>
        <v>1-1 Сбор КП</v>
      </c>
      <c r="F67" s="1112" t="str">
        <f>IFERROR(__xludf.DUMMYFUNCTION("""COMPUTED_VALUE"""),"AS")</f>
        <v>AS</v>
      </c>
      <c r="G67" s="1112" t="str">
        <f>IFERROR(__xludf.DUMMYFUNCTION("""COMPUTED_VALUE"""),"bmd@melcom-ural.ru")</f>
        <v>bmd@melcom-ural.ru</v>
      </c>
      <c r="H67" s="1113" t="str">
        <f>IFERROR(__xludf.DUMMYFUNCTION("""COMPUTED_VALUE"""),"ID_T014")</f>
        <v>ID_T014</v>
      </c>
      <c r="I67" s="1114">
        <f>IFERROR(__xludf.DUMMYFUNCTION("""COMPUTED_VALUE"""),6100.0)</f>
        <v>6100</v>
      </c>
      <c r="J67" s="1112" t="str">
        <f>IFERROR(__xludf.DUMMYFUNCTION("""COMPUTED_VALUE"""),"7 рд")</f>
        <v>7 рд</v>
      </c>
      <c r="K67" s="1112" t="str">
        <f>IFERROR(__xludf.DUMMYFUNCTION("""COMPUTED_VALUE"""),"721.1109560, Элемент фильтрующий очистки воздуха (основной), 
721.1109560, Элемент фильтрующий очистки воздуха (внутренний)")</f>
        <v>721.1109560, Элемент фильтрующий очистки воздуха (основной), 
721.1109560, Элемент фильтрующий очистки воздуха (внутренний)</v>
      </c>
      <c r="L67" s="1112"/>
      <c r="M67" s="1097"/>
      <c r="N67" s="1097"/>
      <c r="O67" s="1097"/>
      <c r="P67" s="1097"/>
      <c r="Q67" s="1097"/>
      <c r="R67" s="1097"/>
      <c r="S67" s="1097"/>
      <c r="T67" s="1097"/>
      <c r="U67" s="1097"/>
      <c r="V67" s="1097"/>
      <c r="W67" s="1097"/>
      <c r="X67" s="1097"/>
      <c r="Y67" s="1097"/>
      <c r="Z67" s="1097"/>
      <c r="AA67" s="1112" t="str">
        <f>IFERROR(__xludf.DUMMYFUNCTION("""COMPUTED_VALUE"""),"AV")</f>
        <v>AV</v>
      </c>
      <c r="AB67" s="1112" t="str">
        <f>IFERROR(__xludf.DUMMYFUNCTION("""COMPUTED_VALUE"""),"utkm@mail.ru")</f>
        <v>utkm@mail.ru</v>
      </c>
      <c r="AC67" s="1112" t="str">
        <f>IFERROR(__xludf.DUMMYFUNCTION("""COMPUTED_VALUE"""),"ID_T014")</f>
        <v>ID_T014</v>
      </c>
      <c r="AD67" s="1114">
        <f>IFERROR(__xludf.DUMMYFUNCTION("""COMPUTED_VALUE"""),900.0)</f>
        <v>900</v>
      </c>
      <c r="AE67" s="1112" t="str">
        <f>IFERROR(__xludf.DUMMYFUNCTION("""COMPUTED_VALUE"""),"нал")</f>
        <v>нал</v>
      </c>
      <c r="AF67" s="1112" t="str">
        <f>IFERROR(__xludf.DUMMYFUNCTION("""COMPUTED_VALUE"""),"7405. 1109560")</f>
        <v>7405. 1109560</v>
      </c>
      <c r="AG67" s="1097"/>
      <c r="AH67" s="1097"/>
      <c r="AI67" s="1097"/>
      <c r="AJ67" s="1097"/>
      <c r="AK67" s="1097"/>
      <c r="AL67" s="1097"/>
      <c r="AM67" s="1097"/>
      <c r="AN67" s="1097"/>
      <c r="AO67" s="1097"/>
      <c r="AP67" s="1097"/>
      <c r="AQ67" s="1097"/>
      <c r="AR67" s="1097"/>
      <c r="AS67" s="1097"/>
      <c r="AT67" s="1097"/>
      <c r="AU67" s="1097"/>
      <c r="AV67" s="1097"/>
      <c r="AW67" s="1097"/>
      <c r="AX67" s="1097"/>
      <c r="AY67" s="1097"/>
      <c r="AZ67" s="1097"/>
      <c r="BA67" s="1097"/>
      <c r="BB67" s="1097"/>
      <c r="BC67" s="1097"/>
      <c r="BD67" s="1114"/>
      <c r="BE67" s="1097"/>
      <c r="BF67" s="1097"/>
      <c r="BG67" s="1097"/>
      <c r="BH67" s="1097"/>
      <c r="BI67" s="1097"/>
      <c r="BJ67" s="1097"/>
      <c r="BK67" s="1097"/>
      <c r="BL67" s="1097"/>
      <c r="BM67" s="1097"/>
      <c r="BN67" s="1097"/>
      <c r="BO67" s="1097"/>
      <c r="BP67" s="1097"/>
      <c r="BQ67" s="1097"/>
      <c r="BR67" s="1097"/>
      <c r="BS67" s="1097"/>
      <c r="BT67" s="1097"/>
      <c r="BU67" s="1097"/>
      <c r="BV67" s="1097"/>
      <c r="BW67" s="1097"/>
      <c r="BX67" s="1097"/>
      <c r="BY67" s="1097"/>
      <c r="BZ67" s="1097"/>
    </row>
    <row r="68">
      <c r="A68" s="1097"/>
      <c r="B68" s="1097"/>
      <c r="C68" s="1097" t="s">
        <v>898</v>
      </c>
      <c r="D68" s="1112" t="str">
        <f>IFERROR(__xludf.DUMMYFUNCTION("""COMPUTED_VALUE"""),"1-1 Сбор КП^AV^ID_T014")</f>
        <v>1-1 Сбор КП^AV^ID_T014</v>
      </c>
      <c r="E68" s="1112" t="str">
        <f>IFERROR(__xludf.DUMMYFUNCTION("""COMPUTED_VALUE"""),"1-1 Сбор КП")</f>
        <v>1-1 Сбор КП</v>
      </c>
      <c r="F68" s="1112" t="str">
        <f>IFERROR(__xludf.DUMMYFUNCTION("""COMPUTED_VALUE"""),"AV")</f>
        <v>AV</v>
      </c>
      <c r="G68" s="1112" t="str">
        <f>IFERROR(__xludf.DUMMYFUNCTION("""COMPUTED_VALUE"""),"utkm@mail.ru")</f>
        <v>utkm@mail.ru</v>
      </c>
      <c r="H68" s="1113" t="str">
        <f>IFERROR(__xludf.DUMMYFUNCTION("""COMPUTED_VALUE"""),"ID_T014")</f>
        <v>ID_T014</v>
      </c>
      <c r="I68" s="1114">
        <f>IFERROR(__xludf.DUMMYFUNCTION("""COMPUTED_VALUE"""),900.0)</f>
        <v>900</v>
      </c>
      <c r="J68" s="1112" t="str">
        <f>IFERROR(__xludf.DUMMYFUNCTION("""COMPUTED_VALUE"""),"нал")</f>
        <v>нал</v>
      </c>
      <c r="K68" s="1112" t="str">
        <f>IFERROR(__xludf.DUMMYFUNCTION("""COMPUTED_VALUE"""),"7405. 1109560")</f>
        <v>7405. 1109560</v>
      </c>
      <c r="L68" s="1112"/>
      <c r="M68" s="1097"/>
      <c r="N68" s="1097"/>
      <c r="O68" s="1097"/>
      <c r="P68" s="1097"/>
      <c r="Q68" s="1097"/>
      <c r="R68" s="1097"/>
      <c r="S68" s="1097"/>
      <c r="T68" s="1097"/>
      <c r="U68" s="1097"/>
      <c r="V68" s="1097"/>
      <c r="W68" s="1097"/>
      <c r="X68" s="1097"/>
      <c r="Y68" s="1097"/>
      <c r="Z68" s="1097"/>
      <c r="AA68" s="1112" t="str">
        <f>IFERROR(__xludf.DUMMYFUNCTION("""COMPUTED_VALUE"""),"AY")</f>
        <v>AY</v>
      </c>
      <c r="AB68" s="1112" t="str">
        <f>IFERROR(__xludf.DUMMYFUNCTION("""COMPUTED_VALUE"""),"engelsfilter@mail.ru")</f>
        <v>engelsfilter@mail.ru</v>
      </c>
      <c r="AC68" s="1112" t="str">
        <f>IFERROR(__xludf.DUMMYFUNCTION("""COMPUTED_VALUE"""),"ID_T014")</f>
        <v>ID_T014</v>
      </c>
      <c r="AD68" s="1114">
        <f>IFERROR(__xludf.DUMMYFUNCTION("""COMPUTED_VALUE"""),1838.86)</f>
        <v>1838.86</v>
      </c>
      <c r="AE68" s="1112"/>
      <c r="AF68" s="1112" t="str">
        <f>IFERROR(__xludf.DUMMYFUNCTION("""COMPUTED_VALUE"""),"NF4502 Фильтрэлемент очистки воздуха (ФП 207.1-04 Optima) КАМАЗ-7405 Евро-1 /
OEM: 7405-1109.560")</f>
        <v>NF4502 Фильтрэлемент очистки воздуха (ФП 207.1-04 Optima) КАМАЗ-7405 Евро-1 /
OEM: 7405-1109.560</v>
      </c>
      <c r="AG68" s="1097"/>
      <c r="AH68" s="1097"/>
      <c r="AI68" s="1097"/>
      <c r="AJ68" s="1097"/>
      <c r="AK68" s="1097"/>
      <c r="AL68" s="1097"/>
      <c r="AM68" s="1097"/>
      <c r="AN68" s="1097"/>
      <c r="AO68" s="1097"/>
      <c r="AP68" s="1097"/>
      <c r="AQ68" s="1097"/>
      <c r="AR68" s="1097"/>
      <c r="AS68" s="1097"/>
      <c r="AT68" s="1097"/>
      <c r="AU68" s="1097"/>
      <c r="AV68" s="1097"/>
      <c r="AW68" s="1097"/>
      <c r="AX68" s="1097"/>
      <c r="AY68" s="1097"/>
      <c r="AZ68" s="1097"/>
      <c r="BA68" s="1097"/>
      <c r="BB68" s="1097"/>
      <c r="BC68" s="1097"/>
      <c r="BD68" s="1114"/>
      <c r="BE68" s="1097"/>
      <c r="BF68" s="1097"/>
      <c r="BG68" s="1097"/>
      <c r="BH68" s="1097"/>
      <c r="BI68" s="1097"/>
      <c r="BJ68" s="1097"/>
      <c r="BK68" s="1097"/>
      <c r="BL68" s="1097"/>
      <c r="BM68" s="1097"/>
      <c r="BN68" s="1097"/>
      <c r="BO68" s="1097"/>
      <c r="BP68" s="1097"/>
      <c r="BQ68" s="1097"/>
      <c r="BR68" s="1097"/>
      <c r="BS68" s="1097"/>
      <c r="BT68" s="1097"/>
      <c r="BU68" s="1097"/>
      <c r="BV68" s="1097"/>
      <c r="BW68" s="1097"/>
      <c r="BX68" s="1097"/>
      <c r="BY68" s="1097"/>
      <c r="BZ68" s="1097"/>
    </row>
    <row r="69">
      <c r="A69" s="1097"/>
      <c r="B69" s="1097"/>
      <c r="C69" s="1097" t="s">
        <v>899</v>
      </c>
      <c r="D69" s="1112" t="str">
        <f>IFERROR(__xludf.DUMMYFUNCTION("""COMPUTED_VALUE"""),"1-1 Сбор КП^AY^ID_T014")</f>
        <v>1-1 Сбор КП^AY^ID_T014</v>
      </c>
      <c r="E69" s="1112" t="str">
        <f>IFERROR(__xludf.DUMMYFUNCTION("""COMPUTED_VALUE"""),"1-1 Сбор КП")</f>
        <v>1-1 Сбор КП</v>
      </c>
      <c r="F69" s="1112" t="str">
        <f>IFERROR(__xludf.DUMMYFUNCTION("""COMPUTED_VALUE"""),"AY")</f>
        <v>AY</v>
      </c>
      <c r="G69" s="1112" t="str">
        <f>IFERROR(__xludf.DUMMYFUNCTION("""COMPUTED_VALUE"""),"engelsfilter@mail.ru")</f>
        <v>engelsfilter@mail.ru</v>
      </c>
      <c r="H69" s="1113" t="str">
        <f>IFERROR(__xludf.DUMMYFUNCTION("""COMPUTED_VALUE"""),"ID_T014")</f>
        <v>ID_T014</v>
      </c>
      <c r="I69" s="1114">
        <f>IFERROR(__xludf.DUMMYFUNCTION("""COMPUTED_VALUE"""),1838.86)</f>
        <v>1838.86</v>
      </c>
      <c r="J69" s="1112"/>
      <c r="K69" s="1112" t="str">
        <f>IFERROR(__xludf.DUMMYFUNCTION("""COMPUTED_VALUE"""),"NF4502 Фильтрэлемент очистки воздуха (ФП 207.1-04 Optima) КАМАЗ-7405 Евро-1 /
OEM: 7405-1109.560")</f>
        <v>NF4502 Фильтрэлемент очистки воздуха (ФП 207.1-04 Optima) КАМАЗ-7405 Евро-1 /
OEM: 7405-1109.560</v>
      </c>
      <c r="L69" s="1112"/>
      <c r="M69" s="1097"/>
      <c r="N69" s="1097"/>
      <c r="O69" s="1097"/>
      <c r="P69" s="1097"/>
      <c r="Q69" s="1097"/>
      <c r="R69" s="1097"/>
      <c r="S69" s="1097"/>
      <c r="T69" s="1097"/>
      <c r="U69" s="1097"/>
      <c r="V69" s="1097"/>
      <c r="W69" s="1097"/>
      <c r="X69" s="1097"/>
      <c r="Y69" s="1097"/>
      <c r="Z69" s="1097"/>
      <c r="AA69" s="1112" t="str">
        <f>IFERROR(__xludf.DUMMYFUNCTION("""COMPUTED_VALUE"""),"BN")</f>
        <v>BN</v>
      </c>
      <c r="AB69" s="1112" t="str">
        <f>IFERROR(__xludf.DUMMYFUNCTION("""COMPUTED_VALUE"""),"m.rulev@a-ac.ru")</f>
        <v>m.rulev@a-ac.ru</v>
      </c>
      <c r="AC69" s="1112" t="str">
        <f>IFERROR(__xludf.DUMMYFUNCTION("""COMPUTED_VALUE"""),"ID_T014")</f>
        <v>ID_T014</v>
      </c>
      <c r="AD69" s="1114">
        <f>IFERROR(__xludf.DUMMYFUNCTION("""COMPUTED_VALUE"""),1064.0)</f>
        <v>1064</v>
      </c>
      <c r="AE69" s="1112" t="str">
        <f>IFERROR(__xludf.DUMMYFUNCTION("""COMPUTED_VALUE"""),"10 д")</f>
        <v>10 д</v>
      </c>
      <c r="AF69" s="1112" t="str">
        <f>IFERROR(__xludf.DUMMYFUNCTION("""COMPUTED_VALUE"""),"701.01.059 DOKA Элемент вфильтра")</f>
        <v>701.01.059 DOKA Элемент вфильтра</v>
      </c>
      <c r="AG69" s="1097"/>
      <c r="AH69" s="1097"/>
      <c r="AI69" s="1097"/>
      <c r="AJ69" s="1097"/>
      <c r="AK69" s="1097"/>
      <c r="AL69" s="1097"/>
      <c r="AM69" s="1097"/>
      <c r="AN69" s="1097"/>
      <c r="AO69" s="1097"/>
      <c r="AP69" s="1097"/>
      <c r="AQ69" s="1097"/>
      <c r="AR69" s="1097"/>
      <c r="AS69" s="1097"/>
      <c r="AT69" s="1097"/>
      <c r="AU69" s="1097"/>
      <c r="AV69" s="1097"/>
      <c r="AW69" s="1097"/>
      <c r="AX69" s="1097"/>
      <c r="AY69" s="1097"/>
      <c r="AZ69" s="1097"/>
      <c r="BA69" s="1097"/>
      <c r="BB69" s="1097"/>
      <c r="BC69" s="1097"/>
      <c r="BD69" s="1114"/>
      <c r="BE69" s="1097"/>
      <c r="BF69" s="1097"/>
      <c r="BG69" s="1097"/>
      <c r="BH69" s="1097"/>
      <c r="BI69" s="1097"/>
      <c r="BJ69" s="1097"/>
      <c r="BK69" s="1097"/>
      <c r="BL69" s="1097"/>
      <c r="BM69" s="1097"/>
      <c r="BN69" s="1097"/>
      <c r="BO69" s="1097"/>
      <c r="BP69" s="1097"/>
      <c r="BQ69" s="1097"/>
      <c r="BR69" s="1097"/>
      <c r="BS69" s="1097"/>
      <c r="BT69" s="1097"/>
      <c r="BU69" s="1097"/>
      <c r="BV69" s="1097"/>
      <c r="BW69" s="1097"/>
      <c r="BX69" s="1097"/>
      <c r="BY69" s="1097"/>
      <c r="BZ69" s="1097"/>
    </row>
    <row r="70">
      <c r="A70" s="1097"/>
      <c r="B70" s="1097"/>
      <c r="C70" s="1097" t="s">
        <v>900</v>
      </c>
      <c r="D70" s="1112" t="str">
        <f>IFERROR(__xludf.DUMMYFUNCTION("""COMPUTED_VALUE"""),"1-1 Сбор КП^BN^ID_T014")</f>
        <v>1-1 Сбор КП^BN^ID_T014</v>
      </c>
      <c r="E70" s="1112" t="str">
        <f>IFERROR(__xludf.DUMMYFUNCTION("""COMPUTED_VALUE"""),"1-1 Сбор КП")</f>
        <v>1-1 Сбор КП</v>
      </c>
      <c r="F70" s="1112" t="str">
        <f>IFERROR(__xludf.DUMMYFUNCTION("""COMPUTED_VALUE"""),"BN")</f>
        <v>BN</v>
      </c>
      <c r="G70" s="1112" t="str">
        <f>IFERROR(__xludf.DUMMYFUNCTION("""COMPUTED_VALUE"""),"m.rulev@a-ac.ru")</f>
        <v>m.rulev@a-ac.ru</v>
      </c>
      <c r="H70" s="1113" t="str">
        <f>IFERROR(__xludf.DUMMYFUNCTION("""COMPUTED_VALUE"""),"ID_T014")</f>
        <v>ID_T014</v>
      </c>
      <c r="I70" s="1114">
        <f>IFERROR(__xludf.DUMMYFUNCTION("""COMPUTED_VALUE"""),1064.0)</f>
        <v>1064</v>
      </c>
      <c r="J70" s="1112" t="str">
        <f>IFERROR(__xludf.DUMMYFUNCTION("""COMPUTED_VALUE"""),"10 д")</f>
        <v>10 д</v>
      </c>
      <c r="K70" s="1112" t="str">
        <f>IFERROR(__xludf.DUMMYFUNCTION("""COMPUTED_VALUE"""),"701.01.059 DOKA Элемент вфильтра")</f>
        <v>701.01.059 DOKA Элемент вфильтра</v>
      </c>
      <c r="L70" s="1112"/>
      <c r="M70" s="1097"/>
      <c r="N70" s="1097"/>
      <c r="O70" s="1097"/>
      <c r="P70" s="1097"/>
      <c r="Q70" s="1097"/>
      <c r="R70" s="1097"/>
      <c r="S70" s="1097"/>
      <c r="T70" s="1097"/>
      <c r="U70" s="1097"/>
      <c r="V70" s="1097"/>
      <c r="W70" s="1097"/>
      <c r="X70" s="1097"/>
      <c r="Y70" s="1097"/>
      <c r="Z70" s="1097"/>
      <c r="AA70" s="1112" t="str">
        <f>IFERROR(__xludf.DUMMYFUNCTION("""COMPUTED_VALUE"""),"AA")</f>
        <v>AA</v>
      </c>
      <c r="AB70" s="1112" t="str">
        <f>IFERROR(__xludf.DUMMYFUNCTION("""COMPUTED_VALUE"""),"amkomplekt@mail.ru")</f>
        <v>amkomplekt@mail.ru</v>
      </c>
      <c r="AC70" s="1112" t="str">
        <f>IFERROR(__xludf.DUMMYFUNCTION("""COMPUTED_VALUE"""),"ID_T015")</f>
        <v>ID_T015</v>
      </c>
      <c r="AD70" s="1114">
        <f>IFERROR(__xludf.DUMMYFUNCTION("""COMPUTED_VALUE"""),3900.0)</f>
        <v>3900</v>
      </c>
      <c r="AE70" s="1112" t="str">
        <f>IFERROR(__xludf.DUMMYFUNCTION("""COMPUTED_VALUE"""),"еал")</f>
        <v>еал</v>
      </c>
      <c r="AF70" s="1112" t="str">
        <f>IFERROR(__xludf.DUMMYFUNCTION("""COMPUTED_VALUE"""),"Масляный фильтр W13145/3 = PO14300")</f>
        <v>Масляный фильтр W13145/3 = PO14300</v>
      </c>
      <c r="AG70" s="1097"/>
      <c r="AH70" s="1097"/>
      <c r="AI70" s="1097"/>
      <c r="AJ70" s="1097"/>
      <c r="AK70" s="1097"/>
      <c r="AL70" s="1097"/>
      <c r="AM70" s="1097"/>
      <c r="AN70" s="1097"/>
      <c r="AO70" s="1097"/>
      <c r="AP70" s="1097"/>
      <c r="AQ70" s="1097"/>
      <c r="AR70" s="1097"/>
      <c r="AS70" s="1097"/>
      <c r="AT70" s="1097"/>
      <c r="AU70" s="1097"/>
      <c r="AV70" s="1097"/>
      <c r="AW70" s="1097"/>
      <c r="AX70" s="1097"/>
      <c r="AY70" s="1097"/>
      <c r="AZ70" s="1097"/>
      <c r="BA70" s="1097"/>
      <c r="BB70" s="1097"/>
      <c r="BC70" s="1097"/>
      <c r="BD70" s="1114"/>
      <c r="BE70" s="1097"/>
      <c r="BF70" s="1097"/>
      <c r="BG70" s="1097"/>
      <c r="BH70" s="1097"/>
      <c r="BI70" s="1097"/>
      <c r="BJ70" s="1097"/>
      <c r="BK70" s="1097"/>
      <c r="BL70" s="1097"/>
      <c r="BM70" s="1097"/>
      <c r="BN70" s="1097"/>
      <c r="BO70" s="1097"/>
      <c r="BP70" s="1097"/>
      <c r="BQ70" s="1097"/>
      <c r="BR70" s="1097"/>
      <c r="BS70" s="1097"/>
      <c r="BT70" s="1097"/>
      <c r="BU70" s="1097"/>
      <c r="BV70" s="1097"/>
      <c r="BW70" s="1097"/>
      <c r="BX70" s="1097"/>
      <c r="BY70" s="1097"/>
      <c r="BZ70" s="1097"/>
    </row>
    <row r="71">
      <c r="A71" s="1097"/>
      <c r="B71" s="1097"/>
      <c r="C71" s="1097" t="s">
        <v>901</v>
      </c>
      <c r="D71" s="1112" t="str">
        <f>IFERROR(__xludf.DUMMYFUNCTION("""COMPUTED_VALUE"""),"1-1 Сбор КП^AA^ID_T015")</f>
        <v>1-1 Сбор КП^AA^ID_T015</v>
      </c>
      <c r="E71" s="1112" t="str">
        <f>IFERROR(__xludf.DUMMYFUNCTION("""COMPUTED_VALUE"""),"1-1 Сбор КП")</f>
        <v>1-1 Сбор КП</v>
      </c>
      <c r="F71" s="1112" t="str">
        <f>IFERROR(__xludf.DUMMYFUNCTION("""COMPUTED_VALUE"""),"AA")</f>
        <v>AA</v>
      </c>
      <c r="G71" s="1112" t="str">
        <f>IFERROR(__xludf.DUMMYFUNCTION("""COMPUTED_VALUE"""),"amkomplekt@mail.ru")</f>
        <v>amkomplekt@mail.ru</v>
      </c>
      <c r="H71" s="1113" t="str">
        <f>IFERROR(__xludf.DUMMYFUNCTION("""COMPUTED_VALUE"""),"ID_T015")</f>
        <v>ID_T015</v>
      </c>
      <c r="I71" s="1114">
        <f>IFERROR(__xludf.DUMMYFUNCTION("""COMPUTED_VALUE"""),3900.0)</f>
        <v>3900</v>
      </c>
      <c r="J71" s="1112" t="str">
        <f>IFERROR(__xludf.DUMMYFUNCTION("""COMPUTED_VALUE"""),"еал")</f>
        <v>еал</v>
      </c>
      <c r="K71" s="1112" t="str">
        <f>IFERROR(__xludf.DUMMYFUNCTION("""COMPUTED_VALUE"""),"Масляный фильтр W13145/3 = PO14300")</f>
        <v>Масляный фильтр W13145/3 = PO14300</v>
      </c>
      <c r="L71" s="1112"/>
      <c r="M71" s="1097"/>
      <c r="N71" s="1097"/>
      <c r="O71" s="1097"/>
      <c r="P71" s="1097"/>
      <c r="Q71" s="1097"/>
      <c r="R71" s="1097"/>
      <c r="S71" s="1097"/>
      <c r="T71" s="1097"/>
      <c r="U71" s="1097"/>
      <c r="V71" s="1097"/>
      <c r="W71" s="1097"/>
      <c r="X71" s="1097"/>
      <c r="Y71" s="1097"/>
      <c r="Z71" s="1097"/>
      <c r="AA71" s="1112" t="str">
        <f>IFERROR(__xludf.DUMMYFUNCTION("""COMPUTED_VALUE"""),"AG")</f>
        <v>AG</v>
      </c>
      <c r="AB71" s="1112" t="str">
        <f>IFERROR(__xludf.DUMMYFUNCTION("""COMPUTED_VALUE"""),"aa@kentek.ru")</f>
        <v>aa@kentek.ru</v>
      </c>
      <c r="AC71" s="1112" t="str">
        <f>IFERROR(__xludf.DUMMYFUNCTION("""COMPUTED_VALUE"""),"ID_T015")</f>
        <v>ID_T015</v>
      </c>
      <c r="AD71" s="1114">
        <f>IFERROR(__xludf.DUMMYFUNCTION("""COMPUTED_VALUE"""),2855.0)</f>
        <v>2855</v>
      </c>
      <c r="AE71" s="1112" t="str">
        <f>IFERROR(__xludf.DUMMYFUNCTION("""COMPUTED_VALUE"""),"нал")</f>
        <v>нал</v>
      </c>
      <c r="AF71" s="1112" t="str">
        <f>IFERROR(__xludf.DUMMYFUNCTION("""COMPUTED_VALUE"""),"Аналог SP4146 ")</f>
        <v>Аналог SP4146 </v>
      </c>
      <c r="AG71" s="1097"/>
      <c r="AH71" s="1097"/>
      <c r="AI71" s="1097"/>
      <c r="AJ71" s="1097"/>
      <c r="AK71" s="1097"/>
      <c r="AL71" s="1097"/>
      <c r="AM71" s="1097"/>
      <c r="AN71" s="1097"/>
      <c r="AO71" s="1097"/>
      <c r="AP71" s="1097"/>
      <c r="AQ71" s="1097"/>
      <c r="AR71" s="1097"/>
      <c r="AS71" s="1097"/>
      <c r="AT71" s="1097"/>
      <c r="AU71" s="1097"/>
      <c r="AV71" s="1097"/>
      <c r="AW71" s="1097"/>
      <c r="AX71" s="1097"/>
      <c r="AY71" s="1097"/>
      <c r="AZ71" s="1097"/>
      <c r="BA71" s="1097"/>
      <c r="BB71" s="1097"/>
      <c r="BC71" s="1097"/>
      <c r="BD71" s="1114"/>
      <c r="BE71" s="1097"/>
      <c r="BF71" s="1097"/>
      <c r="BG71" s="1097"/>
      <c r="BH71" s="1097"/>
      <c r="BI71" s="1097"/>
      <c r="BJ71" s="1097"/>
      <c r="BK71" s="1097"/>
      <c r="BL71" s="1097"/>
      <c r="BM71" s="1097"/>
      <c r="BN71" s="1097"/>
      <c r="BO71" s="1097"/>
      <c r="BP71" s="1097"/>
      <c r="BQ71" s="1097"/>
      <c r="BR71" s="1097"/>
      <c r="BS71" s="1097"/>
      <c r="BT71" s="1097"/>
      <c r="BU71" s="1097"/>
      <c r="BV71" s="1097"/>
      <c r="BW71" s="1097"/>
      <c r="BX71" s="1097"/>
      <c r="BY71" s="1097"/>
      <c r="BZ71" s="1097"/>
    </row>
    <row r="72">
      <c r="A72" s="1097"/>
      <c r="B72" s="1097"/>
      <c r="C72" s="1097" t="s">
        <v>902</v>
      </c>
      <c r="D72" s="1112" t="str">
        <f>IFERROR(__xludf.DUMMYFUNCTION("""COMPUTED_VALUE"""),"1-1 Сбор КП^AG^ID_T015")</f>
        <v>1-1 Сбор КП^AG^ID_T015</v>
      </c>
      <c r="E72" s="1112" t="str">
        <f>IFERROR(__xludf.DUMMYFUNCTION("""COMPUTED_VALUE"""),"1-1 Сбор КП")</f>
        <v>1-1 Сбор КП</v>
      </c>
      <c r="F72" s="1112" t="str">
        <f>IFERROR(__xludf.DUMMYFUNCTION("""COMPUTED_VALUE"""),"AG")</f>
        <v>AG</v>
      </c>
      <c r="G72" s="1112" t="str">
        <f>IFERROR(__xludf.DUMMYFUNCTION("""COMPUTED_VALUE"""),"aa@kentek.ru")</f>
        <v>aa@kentek.ru</v>
      </c>
      <c r="H72" s="1113" t="str">
        <f>IFERROR(__xludf.DUMMYFUNCTION("""COMPUTED_VALUE"""),"ID_T015")</f>
        <v>ID_T015</v>
      </c>
      <c r="I72" s="1114">
        <f>IFERROR(__xludf.DUMMYFUNCTION("""COMPUTED_VALUE"""),2855.0)</f>
        <v>2855</v>
      </c>
      <c r="J72" s="1112" t="str">
        <f>IFERROR(__xludf.DUMMYFUNCTION("""COMPUTED_VALUE"""),"нал")</f>
        <v>нал</v>
      </c>
      <c r="K72" s="1112" t="str">
        <f>IFERROR(__xludf.DUMMYFUNCTION("""COMPUTED_VALUE"""),"Аналог SP4146 ")</f>
        <v>Аналог SP4146 </v>
      </c>
      <c r="L72" s="1112"/>
      <c r="M72" s="1097"/>
      <c r="N72" s="1097"/>
      <c r="O72" s="1097"/>
      <c r="P72" s="1097"/>
      <c r="Q72" s="1097"/>
      <c r="R72" s="1097"/>
      <c r="S72" s="1097"/>
      <c r="T72" s="1097"/>
      <c r="U72" s="1097"/>
      <c r="V72" s="1097"/>
      <c r="W72" s="1097"/>
      <c r="X72" s="1097"/>
      <c r="Y72" s="1097"/>
      <c r="Z72" s="1097"/>
      <c r="AA72" s="1112" t="str">
        <f>IFERROR(__xludf.DUMMYFUNCTION("""COMPUTED_VALUE"""),"AS")</f>
        <v>AS</v>
      </c>
      <c r="AB72" s="1112" t="str">
        <f>IFERROR(__xludf.DUMMYFUNCTION("""COMPUTED_VALUE"""),"bmd@melcom-ural.ru")</f>
        <v>bmd@melcom-ural.ru</v>
      </c>
      <c r="AC72" s="1112" t="str">
        <f>IFERROR(__xludf.DUMMYFUNCTION("""COMPUTED_VALUE"""),"ID_T015")</f>
        <v>ID_T015</v>
      </c>
      <c r="AD72" s="1114">
        <f>IFERROR(__xludf.DUMMYFUNCTION("""COMPUTED_VALUE"""),4200.0)</f>
        <v>4200</v>
      </c>
      <c r="AE72" s="1112" t="str">
        <f>IFERROR(__xludf.DUMMYFUNCTION("""COMPUTED_VALUE"""),"15 рд")</f>
        <v>15 рд</v>
      </c>
      <c r="AF72" s="1112" t="str">
        <f>IFERROR(__xludf.DUMMYFUNCTION("""COMPUTED_VALUE"""),"Масляный фильтр W13145/3- Аналог")</f>
        <v>Масляный фильтр W13145/3- Аналог</v>
      </c>
      <c r="AG72" s="1097"/>
      <c r="AH72" s="1097"/>
      <c r="AI72" s="1097"/>
      <c r="AJ72" s="1097"/>
      <c r="AK72" s="1097"/>
      <c r="AL72" s="1097"/>
      <c r="AM72" s="1097"/>
      <c r="AN72" s="1097"/>
      <c r="AO72" s="1097"/>
      <c r="AP72" s="1097"/>
      <c r="AQ72" s="1097"/>
      <c r="AR72" s="1097"/>
      <c r="AS72" s="1097"/>
      <c r="AT72" s="1097"/>
      <c r="AU72" s="1097"/>
      <c r="AV72" s="1097"/>
      <c r="AW72" s="1097"/>
      <c r="AX72" s="1097"/>
      <c r="AY72" s="1097"/>
      <c r="AZ72" s="1097"/>
      <c r="BA72" s="1097"/>
      <c r="BB72" s="1097"/>
      <c r="BC72" s="1097"/>
      <c r="BD72" s="1114"/>
      <c r="BE72" s="1097"/>
      <c r="BF72" s="1097"/>
      <c r="BG72" s="1097"/>
      <c r="BH72" s="1097"/>
      <c r="BI72" s="1097"/>
      <c r="BJ72" s="1097"/>
      <c r="BK72" s="1097"/>
      <c r="BL72" s="1097"/>
      <c r="BM72" s="1097"/>
      <c r="BN72" s="1097"/>
      <c r="BO72" s="1097"/>
      <c r="BP72" s="1097"/>
      <c r="BQ72" s="1097"/>
      <c r="BR72" s="1097"/>
      <c r="BS72" s="1097"/>
      <c r="BT72" s="1097"/>
      <c r="BU72" s="1097"/>
      <c r="BV72" s="1097"/>
      <c r="BW72" s="1097"/>
      <c r="BX72" s="1097"/>
      <c r="BY72" s="1097"/>
      <c r="BZ72" s="1097"/>
    </row>
    <row r="73">
      <c r="A73" s="1097"/>
      <c r="B73" s="1097"/>
      <c r="C73" s="1097" t="s">
        <v>903</v>
      </c>
      <c r="D73" s="1112" t="str">
        <f>IFERROR(__xludf.DUMMYFUNCTION("""COMPUTED_VALUE"""),"1-1 Сбор КП^AS^ID_T015")</f>
        <v>1-1 Сбор КП^AS^ID_T015</v>
      </c>
      <c r="E73" s="1112" t="str">
        <f>IFERROR(__xludf.DUMMYFUNCTION("""COMPUTED_VALUE"""),"1-1 Сбор КП")</f>
        <v>1-1 Сбор КП</v>
      </c>
      <c r="F73" s="1112" t="str">
        <f>IFERROR(__xludf.DUMMYFUNCTION("""COMPUTED_VALUE"""),"AS")</f>
        <v>AS</v>
      </c>
      <c r="G73" s="1112" t="str">
        <f>IFERROR(__xludf.DUMMYFUNCTION("""COMPUTED_VALUE"""),"bmd@melcom-ural.ru")</f>
        <v>bmd@melcom-ural.ru</v>
      </c>
      <c r="H73" s="1113" t="str">
        <f>IFERROR(__xludf.DUMMYFUNCTION("""COMPUTED_VALUE"""),"ID_T015")</f>
        <v>ID_T015</v>
      </c>
      <c r="I73" s="1114">
        <f>IFERROR(__xludf.DUMMYFUNCTION("""COMPUTED_VALUE"""),4200.0)</f>
        <v>4200</v>
      </c>
      <c r="J73" s="1112" t="str">
        <f>IFERROR(__xludf.DUMMYFUNCTION("""COMPUTED_VALUE"""),"15 рд")</f>
        <v>15 рд</v>
      </c>
      <c r="K73" s="1112" t="str">
        <f>IFERROR(__xludf.DUMMYFUNCTION("""COMPUTED_VALUE"""),"Масляный фильтр W13145/3- Аналог")</f>
        <v>Масляный фильтр W13145/3- Аналог</v>
      </c>
      <c r="L73" s="1112"/>
      <c r="M73" s="1097"/>
      <c r="N73" s="1097"/>
      <c r="O73" s="1097"/>
      <c r="P73" s="1097"/>
      <c r="Q73" s="1097"/>
      <c r="R73" s="1097"/>
      <c r="S73" s="1097"/>
      <c r="T73" s="1097"/>
      <c r="U73" s="1097"/>
      <c r="V73" s="1097"/>
      <c r="W73" s="1097"/>
      <c r="X73" s="1097"/>
      <c r="Y73" s="1097"/>
      <c r="Z73" s="1097"/>
      <c r="AA73" s="1112" t="str">
        <f>IFERROR(__xludf.DUMMYFUNCTION("""COMPUTED_VALUE"""),"AV")</f>
        <v>AV</v>
      </c>
      <c r="AB73" s="1112" t="str">
        <f>IFERROR(__xludf.DUMMYFUNCTION("""COMPUTED_VALUE"""),"utkm@mail.ru")</f>
        <v>utkm@mail.ru</v>
      </c>
      <c r="AC73" s="1112" t="str">
        <f>IFERROR(__xludf.DUMMYFUNCTION("""COMPUTED_VALUE"""),"ID_T015")</f>
        <v>ID_T015</v>
      </c>
      <c r="AD73" s="1114">
        <f>IFERROR(__xludf.DUMMYFUNCTION("""COMPUTED_VALUE"""),2200.0)</f>
        <v>2200</v>
      </c>
      <c r="AE73" s="1112" t="str">
        <f>IFERROR(__xludf.DUMMYFUNCTION("""COMPUTED_VALUE"""),"14 д")</f>
        <v>14 д</v>
      </c>
      <c r="AF73" s="1112" t="str">
        <f>IFERROR(__xludf.DUMMYFUNCTION("""COMPUTED_VALUE"""),"W13145/3")</f>
        <v>W13145/3</v>
      </c>
      <c r="AG73" s="1097"/>
      <c r="AH73" s="1097"/>
      <c r="AI73" s="1097"/>
      <c r="AJ73" s="1097"/>
      <c r="AK73" s="1097"/>
      <c r="AL73" s="1097"/>
      <c r="AM73" s="1097"/>
      <c r="AN73" s="1097"/>
      <c r="AO73" s="1097"/>
      <c r="AP73" s="1097"/>
      <c r="AQ73" s="1097"/>
      <c r="AR73" s="1097"/>
      <c r="AS73" s="1097"/>
      <c r="AT73" s="1097"/>
      <c r="AU73" s="1097"/>
      <c r="AV73" s="1097"/>
      <c r="AW73" s="1097"/>
      <c r="AX73" s="1097"/>
      <c r="AY73" s="1097"/>
      <c r="AZ73" s="1097"/>
      <c r="BA73" s="1097"/>
      <c r="BB73" s="1097"/>
      <c r="BC73" s="1097"/>
      <c r="BD73" s="1114"/>
      <c r="BE73" s="1097"/>
      <c r="BF73" s="1097"/>
      <c r="BG73" s="1097"/>
      <c r="BH73" s="1097"/>
      <c r="BI73" s="1097"/>
      <c r="BJ73" s="1097"/>
      <c r="BK73" s="1097"/>
      <c r="BL73" s="1097"/>
      <c r="BM73" s="1097"/>
      <c r="BN73" s="1097"/>
      <c r="BO73" s="1097"/>
      <c r="BP73" s="1097"/>
      <c r="BQ73" s="1097"/>
      <c r="BR73" s="1097"/>
      <c r="BS73" s="1097"/>
      <c r="BT73" s="1097"/>
      <c r="BU73" s="1097"/>
      <c r="BV73" s="1097"/>
      <c r="BW73" s="1097"/>
      <c r="BX73" s="1097"/>
      <c r="BY73" s="1097"/>
      <c r="BZ73" s="1097"/>
    </row>
    <row r="74">
      <c r="A74" s="1097"/>
      <c r="B74" s="1097"/>
      <c r="C74" s="1097" t="s">
        <v>904</v>
      </c>
      <c r="D74" s="1112" t="str">
        <f>IFERROR(__xludf.DUMMYFUNCTION("""COMPUTED_VALUE"""),"1-1 Сбор КП^AV^ID_T015")</f>
        <v>1-1 Сбор КП^AV^ID_T015</v>
      </c>
      <c r="E74" s="1112" t="str">
        <f>IFERROR(__xludf.DUMMYFUNCTION("""COMPUTED_VALUE"""),"1-1 Сбор КП")</f>
        <v>1-1 Сбор КП</v>
      </c>
      <c r="F74" s="1112" t="str">
        <f>IFERROR(__xludf.DUMMYFUNCTION("""COMPUTED_VALUE"""),"AV")</f>
        <v>AV</v>
      </c>
      <c r="G74" s="1112" t="str">
        <f>IFERROR(__xludf.DUMMYFUNCTION("""COMPUTED_VALUE"""),"utkm@mail.ru")</f>
        <v>utkm@mail.ru</v>
      </c>
      <c r="H74" s="1113" t="str">
        <f>IFERROR(__xludf.DUMMYFUNCTION("""COMPUTED_VALUE"""),"ID_T015")</f>
        <v>ID_T015</v>
      </c>
      <c r="I74" s="1114">
        <f>IFERROR(__xludf.DUMMYFUNCTION("""COMPUTED_VALUE"""),2200.0)</f>
        <v>2200</v>
      </c>
      <c r="J74" s="1112" t="str">
        <f>IFERROR(__xludf.DUMMYFUNCTION("""COMPUTED_VALUE"""),"14 д")</f>
        <v>14 д</v>
      </c>
      <c r="K74" s="1112" t="str">
        <f>IFERROR(__xludf.DUMMYFUNCTION("""COMPUTED_VALUE"""),"W13145/3")</f>
        <v>W13145/3</v>
      </c>
      <c r="L74" s="1112"/>
      <c r="M74" s="1097"/>
      <c r="N74" s="1097"/>
      <c r="O74" s="1097"/>
      <c r="P74" s="1097"/>
      <c r="Q74" s="1097"/>
      <c r="R74" s="1097"/>
      <c r="S74" s="1097"/>
      <c r="T74" s="1097"/>
      <c r="U74" s="1097"/>
      <c r="V74" s="1097"/>
      <c r="W74" s="1097"/>
      <c r="X74" s="1097"/>
      <c r="Y74" s="1097"/>
      <c r="Z74" s="1097"/>
      <c r="AA74" s="1112" t="str">
        <f>IFERROR(__xludf.DUMMYFUNCTION("""COMPUTED_VALUE"""),"BE")</f>
        <v>BE</v>
      </c>
      <c r="AB74" s="1112" t="str">
        <f>IFERROR(__xludf.DUMMYFUNCTION("""COMPUTED_VALUE"""),"order@techfil.ru")</f>
        <v>order@techfil.ru</v>
      </c>
      <c r="AC74" s="1112" t="str">
        <f>IFERROR(__xludf.DUMMYFUNCTION("""COMPUTED_VALUE"""),"ID_T015")</f>
        <v>ID_T015</v>
      </c>
      <c r="AD74" s="1114">
        <f>IFERROR(__xludf.DUMMYFUNCTION("""COMPUTED_VALUE"""),3600.0)</f>
        <v>3600</v>
      </c>
      <c r="AE74" s="1112" t="str">
        <f>IFERROR(__xludf.DUMMYFUNCTION("""COMPUTED_VALUE"""),"5 рд")</f>
        <v>5 рд</v>
      </c>
      <c r="AF74" s="1112" t="str">
        <f>IFERROR(__xludf.DUMMYFUNCTION("""COMPUTED_VALUE"""),"Масляный фильтр W13145/3 [ Аналог W13145 ] ")</f>
        <v>Масляный фильтр W13145/3 [ Аналог W13145 ] </v>
      </c>
      <c r="AG74" s="1097"/>
      <c r="AH74" s="1097"/>
      <c r="AI74" s="1097"/>
      <c r="AJ74" s="1097"/>
      <c r="AK74" s="1097"/>
      <c r="AL74" s="1097"/>
      <c r="AM74" s="1097"/>
      <c r="AN74" s="1097"/>
      <c r="AO74" s="1097"/>
      <c r="AP74" s="1097"/>
      <c r="AQ74" s="1097"/>
      <c r="AR74" s="1097"/>
      <c r="AS74" s="1097"/>
      <c r="AT74" s="1097"/>
      <c r="AU74" s="1097"/>
      <c r="AV74" s="1097"/>
      <c r="AW74" s="1097"/>
      <c r="AX74" s="1097"/>
      <c r="AY74" s="1097"/>
      <c r="AZ74" s="1097"/>
      <c r="BA74" s="1097"/>
      <c r="BB74" s="1097"/>
      <c r="BC74" s="1097"/>
      <c r="BD74" s="1114"/>
      <c r="BE74" s="1097"/>
      <c r="BF74" s="1097"/>
      <c r="BG74" s="1097"/>
      <c r="BH74" s="1097"/>
      <c r="BI74" s="1097"/>
      <c r="BJ74" s="1097"/>
      <c r="BK74" s="1097"/>
      <c r="BL74" s="1097"/>
      <c r="BM74" s="1097"/>
      <c r="BN74" s="1097"/>
      <c r="BO74" s="1097"/>
      <c r="BP74" s="1097"/>
      <c r="BQ74" s="1097"/>
      <c r="BR74" s="1097"/>
      <c r="BS74" s="1097"/>
      <c r="BT74" s="1097"/>
      <c r="BU74" s="1097"/>
      <c r="BV74" s="1097"/>
      <c r="BW74" s="1097"/>
      <c r="BX74" s="1097"/>
      <c r="BY74" s="1097"/>
      <c r="BZ74" s="1097"/>
    </row>
    <row r="75">
      <c r="A75" s="1097"/>
      <c r="B75" s="1097"/>
      <c r="C75" s="1097" t="s">
        <v>905</v>
      </c>
      <c r="D75" s="1112" t="str">
        <f>IFERROR(__xludf.DUMMYFUNCTION("""COMPUTED_VALUE"""),"1-1 Сбор КП^BE^ID_T015")</f>
        <v>1-1 Сбор КП^BE^ID_T015</v>
      </c>
      <c r="E75" s="1112" t="str">
        <f>IFERROR(__xludf.DUMMYFUNCTION("""COMPUTED_VALUE"""),"1-1 Сбор КП")</f>
        <v>1-1 Сбор КП</v>
      </c>
      <c r="F75" s="1112" t="str">
        <f>IFERROR(__xludf.DUMMYFUNCTION("""COMPUTED_VALUE"""),"BE")</f>
        <v>BE</v>
      </c>
      <c r="G75" s="1112" t="str">
        <f>IFERROR(__xludf.DUMMYFUNCTION("""COMPUTED_VALUE"""),"order@techfil.ru")</f>
        <v>order@techfil.ru</v>
      </c>
      <c r="H75" s="1113" t="str">
        <f>IFERROR(__xludf.DUMMYFUNCTION("""COMPUTED_VALUE"""),"ID_T015")</f>
        <v>ID_T015</v>
      </c>
      <c r="I75" s="1114">
        <f>IFERROR(__xludf.DUMMYFUNCTION("""COMPUTED_VALUE"""),3600.0)</f>
        <v>3600</v>
      </c>
      <c r="J75" s="1112" t="str">
        <f>IFERROR(__xludf.DUMMYFUNCTION("""COMPUTED_VALUE"""),"5 рд")</f>
        <v>5 рд</v>
      </c>
      <c r="K75" s="1112" t="str">
        <f>IFERROR(__xludf.DUMMYFUNCTION("""COMPUTED_VALUE"""),"Масляный фильтр W13145/3 [ Аналог W13145 ] ")</f>
        <v>Масляный фильтр W13145/3 [ Аналог W13145 ] </v>
      </c>
      <c r="L75" s="1112"/>
      <c r="M75" s="1097"/>
      <c r="N75" s="1097"/>
      <c r="O75" s="1097"/>
      <c r="P75" s="1097"/>
      <c r="Q75" s="1097"/>
      <c r="R75" s="1097"/>
      <c r="S75" s="1097"/>
      <c r="T75" s="1097"/>
      <c r="U75" s="1097"/>
      <c r="V75" s="1097"/>
      <c r="W75" s="1097"/>
      <c r="X75" s="1097"/>
      <c r="Y75" s="1097"/>
      <c r="Z75" s="1097"/>
      <c r="AA75" s="1112" t="str">
        <f>IFERROR(__xludf.DUMMYFUNCTION("""COMPUTED_VALUE"""),"BN")</f>
        <v>BN</v>
      </c>
      <c r="AB75" s="1112" t="str">
        <f>IFERROR(__xludf.DUMMYFUNCTION("""COMPUTED_VALUE"""),"m.rulev@a-ac.ru")</f>
        <v>m.rulev@a-ac.ru</v>
      </c>
      <c r="AC75" s="1112" t="str">
        <f>IFERROR(__xludf.DUMMYFUNCTION("""COMPUTED_VALUE"""),"ID_T015")</f>
        <v>ID_T015</v>
      </c>
      <c r="AD75" s="1114">
        <f>IFERROR(__xludf.DUMMYFUNCTION("""COMPUTED_VALUE"""),2781.0)</f>
        <v>2781</v>
      </c>
      <c r="AE75" s="1112" t="str">
        <f>IFERROR(__xludf.DUMMYFUNCTION("""COMPUTED_VALUE"""),"10 д")</f>
        <v>10 д</v>
      </c>
      <c r="AF75" s="1112" t="str">
        <f>IFERROR(__xludf.DUMMYFUNCTION("""COMPUTED_VALUE"""),"P550341 Donaldson Фильтр масляный")</f>
        <v>P550341 Donaldson Фильтр масляный</v>
      </c>
      <c r="AG75" s="1097"/>
      <c r="AH75" s="1097"/>
      <c r="AI75" s="1097"/>
      <c r="AJ75" s="1097"/>
      <c r="AK75" s="1097"/>
      <c r="AL75" s="1097"/>
      <c r="AM75" s="1097"/>
      <c r="AN75" s="1097"/>
      <c r="AO75" s="1097"/>
      <c r="AP75" s="1097"/>
      <c r="AQ75" s="1097"/>
      <c r="AR75" s="1097"/>
      <c r="AS75" s="1097"/>
      <c r="AT75" s="1097"/>
      <c r="AU75" s="1097"/>
      <c r="AV75" s="1097"/>
      <c r="AW75" s="1097"/>
      <c r="AX75" s="1097"/>
      <c r="AY75" s="1097"/>
      <c r="AZ75" s="1097"/>
      <c r="BA75" s="1097"/>
      <c r="BB75" s="1097"/>
      <c r="BC75" s="1097"/>
      <c r="BD75" s="1114"/>
      <c r="BE75" s="1097"/>
      <c r="BF75" s="1097"/>
      <c r="BG75" s="1097"/>
      <c r="BH75" s="1097"/>
      <c r="BI75" s="1097"/>
      <c r="BJ75" s="1097"/>
      <c r="BK75" s="1097"/>
      <c r="BL75" s="1097"/>
      <c r="BM75" s="1097"/>
      <c r="BN75" s="1097"/>
      <c r="BO75" s="1097"/>
      <c r="BP75" s="1097"/>
      <c r="BQ75" s="1097"/>
      <c r="BR75" s="1097"/>
      <c r="BS75" s="1097"/>
      <c r="BT75" s="1097"/>
      <c r="BU75" s="1097"/>
      <c r="BV75" s="1097"/>
      <c r="BW75" s="1097"/>
      <c r="BX75" s="1097"/>
      <c r="BY75" s="1097"/>
      <c r="BZ75" s="1097"/>
    </row>
    <row r="76">
      <c r="A76" s="1097"/>
      <c r="B76" s="1097"/>
      <c r="C76" s="1097" t="s">
        <v>906</v>
      </c>
      <c r="D76" s="1112" t="str">
        <f>IFERROR(__xludf.DUMMYFUNCTION("""COMPUTED_VALUE"""),"1-1 Сбор КП^BN^ID_T015")</f>
        <v>1-1 Сбор КП^BN^ID_T015</v>
      </c>
      <c r="E76" s="1112" t="str">
        <f>IFERROR(__xludf.DUMMYFUNCTION("""COMPUTED_VALUE"""),"1-1 Сбор КП")</f>
        <v>1-1 Сбор КП</v>
      </c>
      <c r="F76" s="1112" t="str">
        <f>IFERROR(__xludf.DUMMYFUNCTION("""COMPUTED_VALUE"""),"BN")</f>
        <v>BN</v>
      </c>
      <c r="G76" s="1112" t="str">
        <f>IFERROR(__xludf.DUMMYFUNCTION("""COMPUTED_VALUE"""),"m.rulev@a-ac.ru")</f>
        <v>m.rulev@a-ac.ru</v>
      </c>
      <c r="H76" s="1113" t="str">
        <f>IFERROR(__xludf.DUMMYFUNCTION("""COMPUTED_VALUE"""),"ID_T015")</f>
        <v>ID_T015</v>
      </c>
      <c r="I76" s="1114">
        <f>IFERROR(__xludf.DUMMYFUNCTION("""COMPUTED_VALUE"""),2781.0)</f>
        <v>2781</v>
      </c>
      <c r="J76" s="1112" t="str">
        <f>IFERROR(__xludf.DUMMYFUNCTION("""COMPUTED_VALUE"""),"10 д")</f>
        <v>10 д</v>
      </c>
      <c r="K76" s="1112" t="str">
        <f>IFERROR(__xludf.DUMMYFUNCTION("""COMPUTED_VALUE"""),"P550341 Donaldson Фильтр масляный")</f>
        <v>P550341 Donaldson Фильтр масляный</v>
      </c>
      <c r="L76" s="1112"/>
      <c r="M76" s="1097"/>
      <c r="N76" s="1097"/>
      <c r="O76" s="1097"/>
      <c r="P76" s="1097"/>
      <c r="Q76" s="1097"/>
      <c r="R76" s="1097"/>
      <c r="S76" s="1097"/>
      <c r="T76" s="1097"/>
      <c r="U76" s="1097"/>
      <c r="V76" s="1097"/>
      <c r="W76" s="1097"/>
      <c r="X76" s="1097"/>
      <c r="Y76" s="1097"/>
      <c r="Z76" s="1097"/>
      <c r="AA76" s="1112"/>
      <c r="AB76" s="1112"/>
      <c r="AC76" s="1112"/>
      <c r="AD76" s="1114"/>
      <c r="AE76" s="1112"/>
      <c r="AF76" s="1112"/>
      <c r="AG76" s="1097"/>
      <c r="AH76" s="1097"/>
      <c r="AI76" s="1097"/>
      <c r="AJ76" s="1097"/>
      <c r="AK76" s="1097"/>
      <c r="AL76" s="1097"/>
      <c r="AM76" s="1097"/>
      <c r="AN76" s="1097"/>
      <c r="AO76" s="1097"/>
      <c r="AP76" s="1097"/>
      <c r="AQ76" s="1097"/>
      <c r="AR76" s="1097"/>
      <c r="AS76" s="1097"/>
      <c r="AT76" s="1097"/>
      <c r="AU76" s="1097"/>
      <c r="AV76" s="1097"/>
      <c r="AW76" s="1097"/>
      <c r="AX76" s="1097"/>
      <c r="AY76" s="1097"/>
      <c r="AZ76" s="1097"/>
      <c r="BA76" s="1097"/>
      <c r="BB76" s="1097"/>
      <c r="BC76" s="1097"/>
      <c r="BD76" s="1114"/>
      <c r="BE76" s="1097"/>
      <c r="BF76" s="1097"/>
      <c r="BG76" s="1097"/>
      <c r="BH76" s="1097"/>
      <c r="BI76" s="1097"/>
      <c r="BJ76" s="1097"/>
      <c r="BK76" s="1097"/>
      <c r="BL76" s="1097"/>
      <c r="BM76" s="1097"/>
      <c r="BN76" s="1097"/>
      <c r="BO76" s="1097"/>
      <c r="BP76" s="1097"/>
      <c r="BQ76" s="1097"/>
      <c r="BR76" s="1097"/>
      <c r="BS76" s="1097"/>
      <c r="BT76" s="1097"/>
      <c r="BU76" s="1097"/>
      <c r="BV76" s="1097"/>
      <c r="BW76" s="1097"/>
      <c r="BX76" s="1097"/>
      <c r="BY76" s="1097"/>
      <c r="BZ76" s="1097"/>
    </row>
    <row r="77">
      <c r="A77" s="1097"/>
      <c r="B77" s="1097"/>
      <c r="C77" s="1097" t="s">
        <v>96</v>
      </c>
      <c r="D77" s="1112"/>
      <c r="E77" s="1112"/>
      <c r="F77" s="1112"/>
      <c r="G77" s="1112"/>
      <c r="H77" s="1113"/>
      <c r="I77" s="1114"/>
      <c r="J77" s="1112"/>
      <c r="K77" s="1112"/>
      <c r="L77" s="1112"/>
      <c r="M77" s="1097"/>
      <c r="N77" s="1097"/>
      <c r="O77" s="1097"/>
      <c r="P77" s="1097"/>
      <c r="Q77" s="1097"/>
      <c r="R77" s="1097"/>
      <c r="S77" s="1097"/>
      <c r="T77" s="1097"/>
      <c r="U77" s="1097"/>
      <c r="V77" s="1097"/>
      <c r="W77" s="1097"/>
      <c r="X77" s="1097"/>
      <c r="Y77" s="1097"/>
      <c r="Z77" s="1097"/>
      <c r="AA77" s="1112"/>
      <c r="AB77" s="1112"/>
      <c r="AC77" s="1112"/>
      <c r="AD77" s="1114"/>
      <c r="AE77" s="1112"/>
      <c r="AF77" s="1112"/>
      <c r="AG77" s="1097"/>
      <c r="AH77" s="1097"/>
      <c r="AI77" s="1097"/>
      <c r="AJ77" s="1097"/>
      <c r="AK77" s="1097"/>
      <c r="AL77" s="1097"/>
      <c r="AM77" s="1097"/>
      <c r="AN77" s="1097"/>
      <c r="AO77" s="1097"/>
      <c r="AP77" s="1097"/>
      <c r="AQ77" s="1097"/>
      <c r="AR77" s="1097"/>
      <c r="AS77" s="1097"/>
      <c r="AT77" s="1097"/>
      <c r="AU77" s="1097"/>
      <c r="AV77" s="1097"/>
      <c r="AW77" s="1097"/>
      <c r="AX77" s="1097"/>
      <c r="AY77" s="1097"/>
      <c r="AZ77" s="1097"/>
      <c r="BA77" s="1097"/>
      <c r="BB77" s="1097"/>
      <c r="BC77" s="1097"/>
      <c r="BD77" s="1114"/>
      <c r="BE77" s="1097"/>
      <c r="BF77" s="1097"/>
      <c r="BG77" s="1097"/>
      <c r="BH77" s="1097"/>
      <c r="BI77" s="1097"/>
      <c r="BJ77" s="1097"/>
      <c r="BK77" s="1097"/>
      <c r="BL77" s="1097"/>
      <c r="BM77" s="1097"/>
      <c r="BN77" s="1097"/>
      <c r="BO77" s="1097"/>
      <c r="BP77" s="1097"/>
      <c r="BQ77" s="1097"/>
      <c r="BR77" s="1097"/>
      <c r="BS77" s="1097"/>
      <c r="BT77" s="1097"/>
      <c r="BU77" s="1097"/>
      <c r="BV77" s="1097"/>
      <c r="BW77" s="1097"/>
      <c r="BX77" s="1097"/>
      <c r="BY77" s="1097"/>
      <c r="BZ77" s="1097"/>
    </row>
    <row r="78">
      <c r="A78" s="1097"/>
      <c r="B78" s="1097"/>
      <c r="C78" s="1097" t="s">
        <v>96</v>
      </c>
      <c r="D78" s="1112"/>
      <c r="E78" s="1112"/>
      <c r="F78" s="1112"/>
      <c r="G78" s="1112"/>
      <c r="H78" s="1113"/>
      <c r="I78" s="1114"/>
      <c r="J78" s="1112"/>
      <c r="K78" s="1112"/>
      <c r="L78" s="1112"/>
      <c r="M78" s="1097"/>
      <c r="N78" s="1097"/>
      <c r="O78" s="1097"/>
      <c r="P78" s="1097"/>
      <c r="Q78" s="1097"/>
      <c r="R78" s="1097"/>
      <c r="S78" s="1097"/>
      <c r="T78" s="1097"/>
      <c r="U78" s="1097"/>
      <c r="V78" s="1097"/>
      <c r="W78" s="1097"/>
      <c r="X78" s="1097"/>
      <c r="Y78" s="1097"/>
      <c r="Z78" s="1097"/>
      <c r="AA78" s="1112"/>
      <c r="AB78" s="1112"/>
      <c r="AC78" s="1112"/>
      <c r="AD78" s="1114"/>
      <c r="AE78" s="1112"/>
      <c r="AF78" s="1112"/>
      <c r="AG78" s="1097"/>
      <c r="AH78" s="1097"/>
      <c r="AI78" s="1097"/>
      <c r="AJ78" s="1097"/>
      <c r="AK78" s="1097"/>
      <c r="AL78" s="1097"/>
      <c r="AM78" s="1097"/>
      <c r="AN78" s="1097"/>
      <c r="AO78" s="1097"/>
      <c r="AP78" s="1097"/>
      <c r="AQ78" s="1097"/>
      <c r="AR78" s="1097"/>
      <c r="AS78" s="1097"/>
      <c r="AT78" s="1097"/>
      <c r="AU78" s="1097"/>
      <c r="AV78" s="1097"/>
      <c r="AW78" s="1097"/>
      <c r="AX78" s="1097"/>
      <c r="AY78" s="1097"/>
      <c r="AZ78" s="1097"/>
      <c r="BA78" s="1097"/>
      <c r="BB78" s="1097"/>
      <c r="BC78" s="1097"/>
      <c r="BD78" s="1114"/>
      <c r="BE78" s="1097"/>
      <c r="BF78" s="1097"/>
      <c r="BG78" s="1097"/>
      <c r="BH78" s="1097"/>
      <c r="BI78" s="1097"/>
      <c r="BJ78" s="1097"/>
      <c r="BK78" s="1097"/>
      <c r="BL78" s="1097"/>
      <c r="BM78" s="1097"/>
      <c r="BN78" s="1097"/>
      <c r="BO78" s="1097"/>
      <c r="BP78" s="1097"/>
      <c r="BQ78" s="1097"/>
      <c r="BR78" s="1097"/>
      <c r="BS78" s="1097"/>
      <c r="BT78" s="1097"/>
      <c r="BU78" s="1097"/>
      <c r="BV78" s="1097"/>
      <c r="BW78" s="1097"/>
      <c r="BX78" s="1097"/>
      <c r="BY78" s="1097"/>
      <c r="BZ78" s="1097"/>
    </row>
    <row r="79">
      <c r="A79" s="1097"/>
      <c r="B79" s="1097"/>
      <c r="C79" s="1097" t="s">
        <v>96</v>
      </c>
      <c r="D79" s="1112"/>
      <c r="E79" s="1112"/>
      <c r="F79" s="1112"/>
      <c r="G79" s="1112"/>
      <c r="H79" s="1113"/>
      <c r="I79" s="1114"/>
      <c r="J79" s="1112"/>
      <c r="K79" s="1112"/>
      <c r="L79" s="1112"/>
      <c r="M79" s="1097"/>
      <c r="N79" s="1097"/>
      <c r="O79" s="1097"/>
      <c r="P79" s="1097"/>
      <c r="Q79" s="1097"/>
      <c r="R79" s="1097"/>
      <c r="S79" s="1097"/>
      <c r="T79" s="1097"/>
      <c r="U79" s="1097"/>
      <c r="V79" s="1097"/>
      <c r="W79" s="1097"/>
      <c r="X79" s="1097"/>
      <c r="Y79" s="1097"/>
      <c r="Z79" s="1097"/>
      <c r="AA79" s="1112"/>
      <c r="AB79" s="1112"/>
      <c r="AC79" s="1112"/>
      <c r="AD79" s="1114"/>
      <c r="AE79" s="1112"/>
      <c r="AF79" s="1112"/>
      <c r="AG79" s="1097"/>
      <c r="AH79" s="1097"/>
      <c r="AI79" s="1097"/>
      <c r="AJ79" s="1097"/>
      <c r="AK79" s="1097"/>
      <c r="AL79" s="1097"/>
      <c r="AM79" s="1097"/>
      <c r="AN79" s="1097"/>
      <c r="AO79" s="1097"/>
      <c r="AP79" s="1097"/>
      <c r="AQ79" s="1097"/>
      <c r="AR79" s="1097"/>
      <c r="AS79" s="1097"/>
      <c r="AT79" s="1097"/>
      <c r="AU79" s="1097"/>
      <c r="AV79" s="1097"/>
      <c r="AW79" s="1097"/>
      <c r="AX79" s="1097"/>
      <c r="AY79" s="1097"/>
      <c r="AZ79" s="1097"/>
      <c r="BA79" s="1097"/>
      <c r="BB79" s="1097"/>
      <c r="BC79" s="1097"/>
      <c r="BD79" s="1114"/>
      <c r="BE79" s="1097"/>
      <c r="BF79" s="1097"/>
      <c r="BG79" s="1097"/>
      <c r="BH79" s="1097"/>
      <c r="BI79" s="1097"/>
      <c r="BJ79" s="1097"/>
      <c r="BK79" s="1097"/>
      <c r="BL79" s="1097"/>
      <c r="BM79" s="1097"/>
      <c r="BN79" s="1097"/>
      <c r="BO79" s="1097"/>
      <c r="BP79" s="1097"/>
      <c r="BQ79" s="1097"/>
      <c r="BR79" s="1097"/>
      <c r="BS79" s="1097"/>
      <c r="BT79" s="1097"/>
      <c r="BU79" s="1097"/>
      <c r="BV79" s="1097"/>
      <c r="BW79" s="1097"/>
      <c r="BX79" s="1097"/>
      <c r="BY79" s="1097"/>
      <c r="BZ79" s="1097"/>
    </row>
    <row r="80">
      <c r="A80" s="1097"/>
      <c r="B80" s="1097"/>
      <c r="C80" s="1097" t="s">
        <v>96</v>
      </c>
      <c r="D80" s="1112"/>
      <c r="E80" s="1112"/>
      <c r="F80" s="1112"/>
      <c r="G80" s="1112"/>
      <c r="H80" s="1113"/>
      <c r="I80" s="1114"/>
      <c r="J80" s="1112"/>
      <c r="K80" s="1112"/>
      <c r="L80" s="1112"/>
      <c r="M80" s="1097"/>
      <c r="N80" s="1097"/>
      <c r="O80" s="1097"/>
      <c r="P80" s="1097"/>
      <c r="Q80" s="1097"/>
      <c r="R80" s="1097"/>
      <c r="S80" s="1097"/>
      <c r="T80" s="1097"/>
      <c r="U80" s="1097"/>
      <c r="V80" s="1097"/>
      <c r="W80" s="1097"/>
      <c r="X80" s="1097"/>
      <c r="Y80" s="1097"/>
      <c r="Z80" s="1097"/>
      <c r="AA80" s="1112"/>
      <c r="AB80" s="1112"/>
      <c r="AC80" s="1112"/>
      <c r="AD80" s="1114"/>
      <c r="AE80" s="1112"/>
      <c r="AF80" s="1112"/>
      <c r="AG80" s="1097"/>
      <c r="AH80" s="1097"/>
      <c r="AI80" s="1097"/>
      <c r="AJ80" s="1097"/>
      <c r="AK80" s="1097"/>
      <c r="AL80" s="1097"/>
      <c r="AM80" s="1097"/>
      <c r="AN80" s="1097"/>
      <c r="AO80" s="1097"/>
      <c r="AP80" s="1097"/>
      <c r="AQ80" s="1097"/>
      <c r="AR80" s="1097"/>
      <c r="AS80" s="1097"/>
      <c r="AT80" s="1097"/>
      <c r="AU80" s="1097"/>
      <c r="AV80" s="1097"/>
      <c r="AW80" s="1097"/>
      <c r="AX80" s="1097"/>
      <c r="AY80" s="1097"/>
      <c r="AZ80" s="1097"/>
      <c r="BA80" s="1097"/>
      <c r="BB80" s="1097"/>
      <c r="BC80" s="1097"/>
      <c r="BD80" s="1114"/>
      <c r="BE80" s="1097"/>
      <c r="BF80" s="1097"/>
      <c r="BG80" s="1097"/>
      <c r="BH80" s="1097"/>
      <c r="BI80" s="1097"/>
      <c r="BJ80" s="1097"/>
      <c r="BK80" s="1097"/>
      <c r="BL80" s="1097"/>
      <c r="BM80" s="1097"/>
      <c r="BN80" s="1097"/>
      <c r="BO80" s="1097"/>
      <c r="BP80" s="1097"/>
      <c r="BQ80" s="1097"/>
      <c r="BR80" s="1097"/>
      <c r="BS80" s="1097"/>
      <c r="BT80" s="1097"/>
      <c r="BU80" s="1097"/>
      <c r="BV80" s="1097"/>
      <c r="BW80" s="1097"/>
      <c r="BX80" s="1097"/>
      <c r="BY80" s="1097"/>
      <c r="BZ80" s="1097"/>
    </row>
    <row r="81">
      <c r="A81" s="1097"/>
      <c r="B81" s="1097"/>
      <c r="C81" s="1097" t="s">
        <v>96</v>
      </c>
      <c r="D81" s="1112"/>
      <c r="E81" s="1112"/>
      <c r="F81" s="1112"/>
      <c r="G81" s="1112"/>
      <c r="H81" s="1113"/>
      <c r="I81" s="1114"/>
      <c r="J81" s="1112"/>
      <c r="K81" s="1112"/>
      <c r="L81" s="1112"/>
      <c r="M81" s="1097"/>
      <c r="N81" s="1097"/>
      <c r="O81" s="1097"/>
      <c r="P81" s="1097"/>
      <c r="Q81" s="1097"/>
      <c r="R81" s="1097"/>
      <c r="S81" s="1097"/>
      <c r="T81" s="1097"/>
      <c r="U81" s="1097"/>
      <c r="V81" s="1097"/>
      <c r="W81" s="1097"/>
      <c r="X81" s="1097"/>
      <c r="Y81" s="1097"/>
      <c r="Z81" s="1097"/>
      <c r="AA81" s="1112"/>
      <c r="AB81" s="1112"/>
      <c r="AC81" s="1112"/>
      <c r="AD81" s="1114"/>
      <c r="AE81" s="1112"/>
      <c r="AF81" s="1112"/>
      <c r="AG81" s="1097"/>
      <c r="AH81" s="1097"/>
      <c r="AI81" s="1097"/>
      <c r="AJ81" s="1097"/>
      <c r="AK81" s="1097"/>
      <c r="AL81" s="1097"/>
      <c r="AM81" s="1097"/>
      <c r="AN81" s="1097"/>
      <c r="AO81" s="1097"/>
      <c r="AP81" s="1097"/>
      <c r="AQ81" s="1097"/>
      <c r="AR81" s="1097"/>
      <c r="AS81" s="1097"/>
      <c r="AT81" s="1097"/>
      <c r="AU81" s="1097"/>
      <c r="AV81" s="1097"/>
      <c r="AW81" s="1097"/>
      <c r="AX81" s="1097"/>
      <c r="AY81" s="1097"/>
      <c r="AZ81" s="1097"/>
      <c r="BA81" s="1097"/>
      <c r="BB81" s="1097"/>
      <c r="BC81" s="1097"/>
      <c r="BD81" s="1114"/>
      <c r="BE81" s="1097"/>
      <c r="BF81" s="1097"/>
      <c r="BG81" s="1097"/>
      <c r="BH81" s="1097"/>
      <c r="BI81" s="1097"/>
      <c r="BJ81" s="1097"/>
      <c r="BK81" s="1097"/>
      <c r="BL81" s="1097"/>
      <c r="BM81" s="1097"/>
      <c r="BN81" s="1097"/>
      <c r="BO81" s="1097"/>
      <c r="BP81" s="1097"/>
      <c r="BQ81" s="1097"/>
      <c r="BR81" s="1097"/>
      <c r="BS81" s="1097"/>
      <c r="BT81" s="1097"/>
      <c r="BU81" s="1097"/>
      <c r="BV81" s="1097"/>
      <c r="BW81" s="1097"/>
      <c r="BX81" s="1097"/>
      <c r="BY81" s="1097"/>
      <c r="BZ81" s="1097"/>
    </row>
    <row r="82">
      <c r="A82" s="1097"/>
      <c r="B82" s="1097"/>
      <c r="C82" s="1097" t="s">
        <v>96</v>
      </c>
      <c r="D82" s="1112"/>
      <c r="E82" s="1112"/>
      <c r="F82" s="1112"/>
      <c r="G82" s="1112"/>
      <c r="H82" s="1113"/>
      <c r="I82" s="1114"/>
      <c r="J82" s="1112"/>
      <c r="K82" s="1112"/>
      <c r="L82" s="1112"/>
      <c r="M82" s="1097"/>
      <c r="N82" s="1097"/>
      <c r="O82" s="1097"/>
      <c r="P82" s="1097"/>
      <c r="Q82" s="1097"/>
      <c r="R82" s="1097"/>
      <c r="S82" s="1097"/>
      <c r="T82" s="1097"/>
      <c r="U82" s="1097"/>
      <c r="V82" s="1097"/>
      <c r="W82" s="1097"/>
      <c r="X82" s="1097"/>
      <c r="Y82" s="1097"/>
      <c r="Z82" s="1097"/>
      <c r="AA82" s="1112"/>
      <c r="AB82" s="1112"/>
      <c r="AC82" s="1112"/>
      <c r="AD82" s="1114"/>
      <c r="AE82" s="1112"/>
      <c r="AF82" s="1112"/>
      <c r="AG82" s="1097"/>
      <c r="AH82" s="1097"/>
      <c r="AI82" s="1097"/>
      <c r="AJ82" s="1097"/>
      <c r="AK82" s="1097"/>
      <c r="AL82" s="1097"/>
      <c r="AM82" s="1097"/>
      <c r="AN82" s="1097"/>
      <c r="AO82" s="1097"/>
      <c r="AP82" s="1097"/>
      <c r="AQ82" s="1097"/>
      <c r="AR82" s="1097"/>
      <c r="AS82" s="1097"/>
      <c r="AT82" s="1097"/>
      <c r="AU82" s="1097"/>
      <c r="AV82" s="1097"/>
      <c r="AW82" s="1097"/>
      <c r="AX82" s="1097"/>
      <c r="AY82" s="1097"/>
      <c r="AZ82" s="1097"/>
      <c r="BA82" s="1097"/>
      <c r="BB82" s="1097"/>
      <c r="BC82" s="1097"/>
      <c r="BD82" s="1114"/>
      <c r="BE82" s="1097"/>
      <c r="BF82" s="1097"/>
      <c r="BG82" s="1097"/>
      <c r="BH82" s="1097"/>
      <c r="BI82" s="1097"/>
      <c r="BJ82" s="1097"/>
      <c r="BK82" s="1097"/>
      <c r="BL82" s="1097"/>
      <c r="BM82" s="1097"/>
      <c r="BN82" s="1097"/>
      <c r="BO82" s="1097"/>
      <c r="BP82" s="1097"/>
      <c r="BQ82" s="1097"/>
      <c r="BR82" s="1097"/>
      <c r="BS82" s="1097"/>
      <c r="BT82" s="1097"/>
      <c r="BU82" s="1097"/>
      <c r="BV82" s="1097"/>
      <c r="BW82" s="1097"/>
      <c r="BX82" s="1097"/>
      <c r="BY82" s="1097"/>
      <c r="BZ82" s="1097"/>
    </row>
    <row r="83">
      <c r="A83" s="1097"/>
      <c r="B83" s="1097"/>
      <c r="C83" s="1097" t="s">
        <v>96</v>
      </c>
      <c r="D83" s="1112"/>
      <c r="E83" s="1112"/>
      <c r="F83" s="1112"/>
      <c r="G83" s="1112"/>
      <c r="H83" s="1113"/>
      <c r="I83" s="1114"/>
      <c r="J83" s="1112"/>
      <c r="K83" s="1112"/>
      <c r="L83" s="1112"/>
      <c r="M83" s="1097"/>
      <c r="N83" s="1097"/>
      <c r="O83" s="1097"/>
      <c r="P83" s="1097"/>
      <c r="Q83" s="1097"/>
      <c r="R83" s="1097"/>
      <c r="S83" s="1097"/>
      <c r="T83" s="1097"/>
      <c r="U83" s="1097"/>
      <c r="V83" s="1097"/>
      <c r="W83" s="1097"/>
      <c r="X83" s="1097"/>
      <c r="Y83" s="1097"/>
      <c r="Z83" s="1097"/>
      <c r="AA83" s="1112"/>
      <c r="AB83" s="1112"/>
      <c r="AC83" s="1112"/>
      <c r="AD83" s="1114"/>
      <c r="AE83" s="1112"/>
      <c r="AF83" s="1112"/>
      <c r="AG83" s="1097"/>
      <c r="AH83" s="1097"/>
      <c r="AI83" s="1097"/>
      <c r="AJ83" s="1097"/>
      <c r="AK83" s="1097"/>
      <c r="AL83" s="1097"/>
      <c r="AM83" s="1097"/>
      <c r="AN83" s="1097"/>
      <c r="AO83" s="1097"/>
      <c r="AP83" s="1097"/>
      <c r="AQ83" s="1097"/>
      <c r="AR83" s="1097"/>
      <c r="AS83" s="1097"/>
      <c r="AT83" s="1097"/>
      <c r="AU83" s="1097"/>
      <c r="AV83" s="1097"/>
      <c r="AW83" s="1097"/>
      <c r="AX83" s="1097"/>
      <c r="AY83" s="1097"/>
      <c r="AZ83" s="1097"/>
      <c r="BA83" s="1097"/>
      <c r="BB83" s="1097"/>
      <c r="BC83" s="1097"/>
      <c r="BD83" s="1114"/>
      <c r="BE83" s="1097"/>
      <c r="BF83" s="1097"/>
      <c r="BG83" s="1097"/>
      <c r="BH83" s="1097"/>
      <c r="BI83" s="1097"/>
      <c r="BJ83" s="1097"/>
      <c r="BK83" s="1097"/>
      <c r="BL83" s="1097"/>
      <c r="BM83" s="1097"/>
      <c r="BN83" s="1097"/>
      <c r="BO83" s="1097"/>
      <c r="BP83" s="1097"/>
      <c r="BQ83" s="1097"/>
      <c r="BR83" s="1097"/>
      <c r="BS83" s="1097"/>
      <c r="BT83" s="1097"/>
      <c r="BU83" s="1097"/>
      <c r="BV83" s="1097"/>
      <c r="BW83" s="1097"/>
      <c r="BX83" s="1097"/>
      <c r="BY83" s="1097"/>
      <c r="BZ83" s="1097"/>
    </row>
    <row r="84">
      <c r="A84" s="1097"/>
      <c r="B84" s="1097"/>
      <c r="C84" s="1097" t="s">
        <v>96</v>
      </c>
      <c r="D84" s="1112"/>
      <c r="E84" s="1112"/>
      <c r="F84" s="1112"/>
      <c r="G84" s="1112"/>
      <c r="H84" s="1113"/>
      <c r="I84" s="1114"/>
      <c r="J84" s="1112"/>
      <c r="K84" s="1112"/>
      <c r="L84" s="1112"/>
      <c r="M84" s="1097"/>
      <c r="N84" s="1097"/>
      <c r="O84" s="1097"/>
      <c r="P84" s="1097"/>
      <c r="Q84" s="1097"/>
      <c r="R84" s="1097"/>
      <c r="S84" s="1097"/>
      <c r="T84" s="1097"/>
      <c r="U84" s="1097"/>
      <c r="V84" s="1097"/>
      <c r="W84" s="1097"/>
      <c r="X84" s="1097"/>
      <c r="Y84" s="1097"/>
      <c r="Z84" s="1097"/>
      <c r="AA84" s="1112"/>
      <c r="AB84" s="1112"/>
      <c r="AC84" s="1112"/>
      <c r="AD84" s="1114"/>
      <c r="AE84" s="1112"/>
      <c r="AF84" s="1112"/>
      <c r="AG84" s="1097"/>
      <c r="AH84" s="1097"/>
      <c r="AI84" s="1097"/>
      <c r="AJ84" s="1097"/>
      <c r="AK84" s="1097"/>
      <c r="AL84" s="1097"/>
      <c r="AM84" s="1097"/>
      <c r="AN84" s="1097"/>
      <c r="AO84" s="1097"/>
      <c r="AP84" s="1097"/>
      <c r="AQ84" s="1097"/>
      <c r="AR84" s="1097"/>
      <c r="AS84" s="1097"/>
      <c r="AT84" s="1097"/>
      <c r="AU84" s="1097"/>
      <c r="AV84" s="1097"/>
      <c r="AW84" s="1097"/>
      <c r="AX84" s="1097"/>
      <c r="AY84" s="1097"/>
      <c r="AZ84" s="1097"/>
      <c r="BA84" s="1097"/>
      <c r="BB84" s="1097"/>
      <c r="BC84" s="1097"/>
      <c r="BD84" s="1114"/>
      <c r="BE84" s="1097"/>
      <c r="BF84" s="1097"/>
      <c r="BG84" s="1097"/>
      <c r="BH84" s="1097"/>
      <c r="BI84" s="1097"/>
      <c r="BJ84" s="1097"/>
      <c r="BK84" s="1097"/>
      <c r="BL84" s="1097"/>
      <c r="BM84" s="1097"/>
      <c r="BN84" s="1097"/>
      <c r="BO84" s="1097"/>
      <c r="BP84" s="1097"/>
      <c r="BQ84" s="1097"/>
      <c r="BR84" s="1097"/>
      <c r="BS84" s="1097"/>
      <c r="BT84" s="1097"/>
      <c r="BU84" s="1097"/>
      <c r="BV84" s="1097"/>
      <c r="BW84" s="1097"/>
      <c r="BX84" s="1097"/>
      <c r="BY84" s="1097"/>
      <c r="BZ84" s="1097"/>
    </row>
    <row r="85">
      <c r="A85" s="1097"/>
      <c r="B85" s="1097"/>
      <c r="C85" s="1097" t="s">
        <v>96</v>
      </c>
      <c r="D85" s="1112"/>
      <c r="E85" s="1112"/>
      <c r="F85" s="1112"/>
      <c r="G85" s="1112"/>
      <c r="H85" s="1113"/>
      <c r="I85" s="1114"/>
      <c r="J85" s="1112"/>
      <c r="K85" s="1112"/>
      <c r="L85" s="1112"/>
      <c r="M85" s="1097"/>
      <c r="N85" s="1097"/>
      <c r="O85" s="1097"/>
      <c r="P85" s="1097"/>
      <c r="Q85" s="1097"/>
      <c r="R85" s="1097"/>
      <c r="S85" s="1097"/>
      <c r="T85" s="1097"/>
      <c r="U85" s="1097"/>
      <c r="V85" s="1097"/>
      <c r="W85" s="1097"/>
      <c r="X85" s="1097"/>
      <c r="Y85" s="1097"/>
      <c r="Z85" s="1097"/>
      <c r="AA85" s="1112"/>
      <c r="AB85" s="1112"/>
      <c r="AC85" s="1112"/>
      <c r="AD85" s="1114"/>
      <c r="AE85" s="1112"/>
      <c r="AF85" s="1112"/>
      <c r="AG85" s="1097"/>
      <c r="AH85" s="1097"/>
      <c r="AI85" s="1097"/>
      <c r="AJ85" s="1097"/>
      <c r="AK85" s="1097"/>
      <c r="AL85" s="1097"/>
      <c r="AM85" s="1097"/>
      <c r="AN85" s="1097"/>
      <c r="AO85" s="1097"/>
      <c r="AP85" s="1097"/>
      <c r="AQ85" s="1097"/>
      <c r="AR85" s="1097"/>
      <c r="AS85" s="1097"/>
      <c r="AT85" s="1097"/>
      <c r="AU85" s="1097"/>
      <c r="AV85" s="1097"/>
      <c r="AW85" s="1097"/>
      <c r="AX85" s="1097"/>
      <c r="AY85" s="1097"/>
      <c r="AZ85" s="1097"/>
      <c r="BA85" s="1097"/>
      <c r="BB85" s="1097"/>
      <c r="BC85" s="1097"/>
      <c r="BD85" s="1114"/>
      <c r="BE85" s="1097"/>
      <c r="BF85" s="1097"/>
      <c r="BG85" s="1097"/>
      <c r="BH85" s="1097"/>
      <c r="BI85" s="1097"/>
      <c r="BJ85" s="1097"/>
      <c r="BK85" s="1097"/>
      <c r="BL85" s="1097"/>
      <c r="BM85" s="1097"/>
      <c r="BN85" s="1097"/>
      <c r="BO85" s="1097"/>
      <c r="BP85" s="1097"/>
      <c r="BQ85" s="1097"/>
      <c r="BR85" s="1097"/>
      <c r="BS85" s="1097"/>
      <c r="BT85" s="1097"/>
      <c r="BU85" s="1097"/>
      <c r="BV85" s="1097"/>
      <c r="BW85" s="1097"/>
      <c r="BX85" s="1097"/>
      <c r="BY85" s="1097"/>
      <c r="BZ85" s="1097"/>
    </row>
    <row r="86">
      <c r="A86" s="1097"/>
      <c r="B86" s="1097"/>
      <c r="C86" s="1097" t="s">
        <v>96</v>
      </c>
      <c r="D86" s="1112"/>
      <c r="E86" s="1112"/>
      <c r="F86" s="1112"/>
      <c r="G86" s="1112"/>
      <c r="H86" s="1113"/>
      <c r="I86" s="1114"/>
      <c r="J86" s="1112"/>
      <c r="K86" s="1112"/>
      <c r="L86" s="1112"/>
      <c r="M86" s="1097"/>
      <c r="N86" s="1097"/>
      <c r="O86" s="1097"/>
      <c r="P86" s="1097"/>
      <c r="Q86" s="1097"/>
      <c r="R86" s="1097"/>
      <c r="S86" s="1097"/>
      <c r="T86" s="1097"/>
      <c r="U86" s="1097"/>
      <c r="V86" s="1097"/>
      <c r="W86" s="1097"/>
      <c r="X86" s="1097"/>
      <c r="Y86" s="1097"/>
      <c r="Z86" s="1097"/>
      <c r="AA86" s="1112"/>
      <c r="AB86" s="1112"/>
      <c r="AC86" s="1112"/>
      <c r="AD86" s="1114"/>
      <c r="AE86" s="1112"/>
      <c r="AF86" s="1112"/>
      <c r="AG86" s="1097"/>
      <c r="AH86" s="1097"/>
      <c r="AI86" s="1097"/>
      <c r="AJ86" s="1097"/>
      <c r="AK86" s="1097"/>
      <c r="AL86" s="1097"/>
      <c r="AM86" s="1097"/>
      <c r="AN86" s="1097"/>
      <c r="AO86" s="1097"/>
      <c r="AP86" s="1097"/>
      <c r="AQ86" s="1097"/>
      <c r="AR86" s="1097"/>
      <c r="AS86" s="1097"/>
      <c r="AT86" s="1097"/>
      <c r="AU86" s="1097"/>
      <c r="AV86" s="1097"/>
      <c r="AW86" s="1097"/>
      <c r="AX86" s="1097"/>
      <c r="AY86" s="1097"/>
      <c r="AZ86" s="1097"/>
      <c r="BA86" s="1097"/>
      <c r="BB86" s="1097"/>
      <c r="BC86" s="1097"/>
      <c r="BD86" s="1114"/>
      <c r="BE86" s="1097"/>
      <c r="BF86" s="1097"/>
      <c r="BG86" s="1097"/>
      <c r="BH86" s="1097"/>
      <c r="BI86" s="1097"/>
      <c r="BJ86" s="1097"/>
      <c r="BK86" s="1097"/>
      <c r="BL86" s="1097"/>
      <c r="BM86" s="1097"/>
      <c r="BN86" s="1097"/>
      <c r="BO86" s="1097"/>
      <c r="BP86" s="1097"/>
      <c r="BQ86" s="1097"/>
      <c r="BR86" s="1097"/>
      <c r="BS86" s="1097"/>
      <c r="BT86" s="1097"/>
      <c r="BU86" s="1097"/>
      <c r="BV86" s="1097"/>
      <c r="BW86" s="1097"/>
      <c r="BX86" s="1097"/>
      <c r="BY86" s="1097"/>
      <c r="BZ86" s="1097"/>
    </row>
    <row r="87">
      <c r="A87" s="1097"/>
      <c r="B87" s="1097"/>
      <c r="C87" s="1097" t="s">
        <v>96</v>
      </c>
      <c r="D87" s="1112"/>
      <c r="E87" s="1112"/>
      <c r="F87" s="1112"/>
      <c r="G87" s="1112"/>
      <c r="H87" s="1113"/>
      <c r="I87" s="1114"/>
      <c r="J87" s="1112"/>
      <c r="K87" s="1112"/>
      <c r="L87" s="1112"/>
      <c r="M87" s="1097"/>
      <c r="N87" s="1097"/>
      <c r="O87" s="1097"/>
      <c r="P87" s="1097"/>
      <c r="Q87" s="1097"/>
      <c r="R87" s="1097"/>
      <c r="S87" s="1097"/>
      <c r="T87" s="1097"/>
      <c r="U87" s="1097"/>
      <c r="V87" s="1097"/>
      <c r="W87" s="1097"/>
      <c r="X87" s="1097"/>
      <c r="Y87" s="1097"/>
      <c r="Z87" s="1097"/>
      <c r="AA87" s="1112"/>
      <c r="AB87" s="1112"/>
      <c r="AC87" s="1112"/>
      <c r="AD87" s="1114"/>
      <c r="AE87" s="1112"/>
      <c r="AF87" s="1112"/>
      <c r="AG87" s="1097"/>
      <c r="AH87" s="1097"/>
      <c r="AI87" s="1097"/>
      <c r="AJ87" s="1097"/>
      <c r="AK87" s="1097"/>
      <c r="AL87" s="1097"/>
      <c r="AM87" s="1097"/>
      <c r="AN87" s="1097"/>
      <c r="AO87" s="1097"/>
      <c r="AP87" s="1097"/>
      <c r="AQ87" s="1097"/>
      <c r="AR87" s="1097"/>
      <c r="AS87" s="1097"/>
      <c r="AT87" s="1097"/>
      <c r="AU87" s="1097"/>
      <c r="AV87" s="1097"/>
      <c r="AW87" s="1097"/>
      <c r="AX87" s="1097"/>
      <c r="AY87" s="1097"/>
      <c r="AZ87" s="1097"/>
      <c r="BA87" s="1097"/>
      <c r="BB87" s="1097"/>
      <c r="BC87" s="1097"/>
      <c r="BD87" s="1114"/>
      <c r="BE87" s="1097"/>
      <c r="BF87" s="1097"/>
      <c r="BG87" s="1097"/>
      <c r="BH87" s="1097"/>
      <c r="BI87" s="1097"/>
      <c r="BJ87" s="1097"/>
      <c r="BK87" s="1097"/>
      <c r="BL87" s="1097"/>
      <c r="BM87" s="1097"/>
      <c r="BN87" s="1097"/>
      <c r="BO87" s="1097"/>
      <c r="BP87" s="1097"/>
      <c r="BQ87" s="1097"/>
      <c r="BR87" s="1097"/>
      <c r="BS87" s="1097"/>
      <c r="BT87" s="1097"/>
      <c r="BU87" s="1097"/>
      <c r="BV87" s="1097"/>
      <c r="BW87" s="1097"/>
      <c r="BX87" s="1097"/>
      <c r="BY87" s="1097"/>
      <c r="BZ87" s="1097"/>
    </row>
    <row r="88">
      <c r="A88" s="1097"/>
      <c r="B88" s="1097"/>
      <c r="C88" s="1097" t="s">
        <v>96</v>
      </c>
      <c r="D88" s="1112"/>
      <c r="E88" s="1112"/>
      <c r="F88" s="1112"/>
      <c r="G88" s="1112"/>
      <c r="H88" s="1113"/>
      <c r="I88" s="1114"/>
      <c r="J88" s="1112"/>
      <c r="K88" s="1112"/>
      <c r="L88" s="1112"/>
      <c r="M88" s="1097"/>
      <c r="N88" s="1097"/>
      <c r="O88" s="1097"/>
      <c r="P88" s="1097"/>
      <c r="Q88" s="1097"/>
      <c r="R88" s="1097"/>
      <c r="S88" s="1097"/>
      <c r="T88" s="1097"/>
      <c r="U88" s="1097"/>
      <c r="V88" s="1097"/>
      <c r="W88" s="1097"/>
      <c r="X88" s="1097"/>
      <c r="Y88" s="1097"/>
      <c r="Z88" s="1097"/>
      <c r="AA88" s="1112"/>
      <c r="AB88" s="1112"/>
      <c r="AC88" s="1112"/>
      <c r="AD88" s="1114"/>
      <c r="AE88" s="1112"/>
      <c r="AF88" s="1112"/>
      <c r="AG88" s="1097"/>
      <c r="AH88" s="1097"/>
      <c r="AI88" s="1097"/>
      <c r="AJ88" s="1097"/>
      <c r="AK88" s="1097"/>
      <c r="AL88" s="1097"/>
      <c r="AM88" s="1097"/>
      <c r="AN88" s="1097"/>
      <c r="AO88" s="1097"/>
      <c r="AP88" s="1097"/>
      <c r="AQ88" s="1097"/>
      <c r="AR88" s="1097"/>
      <c r="AS88" s="1097"/>
      <c r="AT88" s="1097"/>
      <c r="AU88" s="1097"/>
      <c r="AV88" s="1097"/>
      <c r="AW88" s="1097"/>
      <c r="AX88" s="1097"/>
      <c r="AY88" s="1097"/>
      <c r="AZ88" s="1097"/>
      <c r="BA88" s="1097"/>
      <c r="BB88" s="1097"/>
      <c r="BC88" s="1097"/>
      <c r="BD88" s="1114"/>
      <c r="BE88" s="1097"/>
      <c r="BF88" s="1097"/>
      <c r="BG88" s="1097"/>
      <c r="BH88" s="1097"/>
      <c r="BI88" s="1097"/>
      <c r="BJ88" s="1097"/>
      <c r="BK88" s="1097"/>
      <c r="BL88" s="1097"/>
      <c r="BM88" s="1097"/>
      <c r="BN88" s="1097"/>
      <c r="BO88" s="1097"/>
      <c r="BP88" s="1097"/>
      <c r="BQ88" s="1097"/>
      <c r="BR88" s="1097"/>
      <c r="BS88" s="1097"/>
      <c r="BT88" s="1097"/>
      <c r="BU88" s="1097"/>
      <c r="BV88" s="1097"/>
      <c r="BW88" s="1097"/>
      <c r="BX88" s="1097"/>
      <c r="BY88" s="1097"/>
      <c r="BZ88" s="1097"/>
    </row>
    <row r="89">
      <c r="A89" s="1097"/>
      <c r="B89" s="1097"/>
      <c r="C89" s="1097" t="s">
        <v>96</v>
      </c>
      <c r="D89" s="1112"/>
      <c r="E89" s="1112"/>
      <c r="F89" s="1112"/>
      <c r="G89" s="1112"/>
      <c r="H89" s="1113"/>
      <c r="I89" s="1114"/>
      <c r="J89" s="1112"/>
      <c r="K89" s="1112"/>
      <c r="L89" s="1112"/>
      <c r="M89" s="1097"/>
      <c r="N89" s="1097"/>
      <c r="O89" s="1097"/>
      <c r="P89" s="1097"/>
      <c r="Q89" s="1097"/>
      <c r="R89" s="1097"/>
      <c r="S89" s="1097"/>
      <c r="T89" s="1097"/>
      <c r="U89" s="1097"/>
      <c r="V89" s="1097"/>
      <c r="W89" s="1097"/>
      <c r="X89" s="1097"/>
      <c r="Y89" s="1097"/>
      <c r="Z89" s="1097"/>
      <c r="AA89" s="1112"/>
      <c r="AB89" s="1112"/>
      <c r="AC89" s="1112"/>
      <c r="AD89" s="1114"/>
      <c r="AE89" s="1112"/>
      <c r="AF89" s="1112"/>
      <c r="AG89" s="1097"/>
      <c r="AH89" s="1097"/>
      <c r="AI89" s="1097"/>
      <c r="AJ89" s="1097"/>
      <c r="AK89" s="1097"/>
      <c r="AL89" s="1097"/>
      <c r="AM89" s="1097"/>
      <c r="AN89" s="1097"/>
      <c r="AO89" s="1097"/>
      <c r="AP89" s="1097"/>
      <c r="AQ89" s="1097"/>
      <c r="AR89" s="1097"/>
      <c r="AS89" s="1097"/>
      <c r="AT89" s="1097"/>
      <c r="AU89" s="1097"/>
      <c r="AV89" s="1097"/>
      <c r="AW89" s="1097"/>
      <c r="AX89" s="1097"/>
      <c r="AY89" s="1097"/>
      <c r="AZ89" s="1097"/>
      <c r="BA89" s="1097"/>
      <c r="BB89" s="1097"/>
      <c r="BC89" s="1097"/>
      <c r="BD89" s="1114"/>
      <c r="BE89" s="1097"/>
      <c r="BF89" s="1097"/>
      <c r="BG89" s="1097"/>
      <c r="BH89" s="1097"/>
      <c r="BI89" s="1097"/>
      <c r="BJ89" s="1097"/>
      <c r="BK89" s="1097"/>
      <c r="BL89" s="1097"/>
      <c r="BM89" s="1097"/>
      <c r="BN89" s="1097"/>
      <c r="BO89" s="1097"/>
      <c r="BP89" s="1097"/>
      <c r="BQ89" s="1097"/>
      <c r="BR89" s="1097"/>
      <c r="BS89" s="1097"/>
      <c r="BT89" s="1097"/>
      <c r="BU89" s="1097"/>
      <c r="BV89" s="1097"/>
      <c r="BW89" s="1097"/>
      <c r="BX89" s="1097"/>
      <c r="BY89" s="1097"/>
      <c r="BZ89" s="1097"/>
    </row>
    <row r="90">
      <c r="A90" s="1097"/>
      <c r="B90" s="1097"/>
      <c r="C90" s="1097" t="s">
        <v>96</v>
      </c>
      <c r="D90" s="1112"/>
      <c r="E90" s="1112"/>
      <c r="F90" s="1112"/>
      <c r="G90" s="1112"/>
      <c r="H90" s="1113"/>
      <c r="I90" s="1114"/>
      <c r="J90" s="1112"/>
      <c r="K90" s="1112"/>
      <c r="L90" s="1112"/>
      <c r="M90" s="1097"/>
      <c r="N90" s="1097"/>
      <c r="O90" s="1097"/>
      <c r="P90" s="1097"/>
      <c r="Q90" s="1097"/>
      <c r="R90" s="1097"/>
      <c r="S90" s="1097"/>
      <c r="T90" s="1097"/>
      <c r="U90" s="1097"/>
      <c r="V90" s="1097"/>
      <c r="W90" s="1097"/>
      <c r="X90" s="1097"/>
      <c r="Y90" s="1097"/>
      <c r="Z90" s="1097"/>
      <c r="AA90" s="1112"/>
      <c r="AB90" s="1112"/>
      <c r="AC90" s="1112"/>
      <c r="AD90" s="1114"/>
      <c r="AE90" s="1112"/>
      <c r="AF90" s="1112"/>
      <c r="AG90" s="1097"/>
      <c r="AH90" s="1097"/>
      <c r="AI90" s="1097"/>
      <c r="AJ90" s="1097"/>
      <c r="AK90" s="1097"/>
      <c r="AL90" s="1097"/>
      <c r="AM90" s="1097"/>
      <c r="AN90" s="1097"/>
      <c r="AO90" s="1097"/>
      <c r="AP90" s="1097"/>
      <c r="AQ90" s="1097"/>
      <c r="AR90" s="1097"/>
      <c r="AS90" s="1097"/>
      <c r="AT90" s="1097"/>
      <c r="AU90" s="1097"/>
      <c r="AV90" s="1097"/>
      <c r="AW90" s="1097"/>
      <c r="AX90" s="1097"/>
      <c r="AY90" s="1097"/>
      <c r="AZ90" s="1097"/>
      <c r="BA90" s="1097"/>
      <c r="BB90" s="1097"/>
      <c r="BC90" s="1097"/>
      <c r="BD90" s="1114"/>
      <c r="BE90" s="1097"/>
      <c r="BF90" s="1097"/>
      <c r="BG90" s="1097"/>
      <c r="BH90" s="1097"/>
      <c r="BI90" s="1097"/>
      <c r="BJ90" s="1097"/>
      <c r="BK90" s="1097"/>
      <c r="BL90" s="1097"/>
      <c r="BM90" s="1097"/>
      <c r="BN90" s="1097"/>
      <c r="BO90" s="1097"/>
      <c r="BP90" s="1097"/>
      <c r="BQ90" s="1097"/>
      <c r="BR90" s="1097"/>
      <c r="BS90" s="1097"/>
      <c r="BT90" s="1097"/>
      <c r="BU90" s="1097"/>
      <c r="BV90" s="1097"/>
      <c r="BW90" s="1097"/>
      <c r="BX90" s="1097"/>
      <c r="BY90" s="1097"/>
      <c r="BZ90" s="1097"/>
    </row>
    <row r="91">
      <c r="A91" s="1097"/>
      <c r="B91" s="1097"/>
      <c r="C91" s="1097" t="s">
        <v>96</v>
      </c>
      <c r="D91" s="1112"/>
      <c r="E91" s="1112"/>
      <c r="F91" s="1112"/>
      <c r="G91" s="1112"/>
      <c r="H91" s="1113"/>
      <c r="I91" s="1114"/>
      <c r="J91" s="1112"/>
      <c r="K91" s="1112"/>
      <c r="L91" s="1112"/>
      <c r="M91" s="1097"/>
      <c r="N91" s="1097"/>
      <c r="O91" s="1097"/>
      <c r="P91" s="1097"/>
      <c r="Q91" s="1097"/>
      <c r="R91" s="1097"/>
      <c r="S91" s="1097"/>
      <c r="T91" s="1097"/>
      <c r="U91" s="1097"/>
      <c r="V91" s="1097"/>
      <c r="W91" s="1097"/>
      <c r="X91" s="1097"/>
      <c r="Y91" s="1097"/>
      <c r="Z91" s="1097"/>
      <c r="AA91" s="1112"/>
      <c r="AB91" s="1112"/>
      <c r="AC91" s="1112"/>
      <c r="AD91" s="1114"/>
      <c r="AE91" s="1112"/>
      <c r="AF91" s="1112"/>
      <c r="AG91" s="1097"/>
      <c r="AH91" s="1097"/>
      <c r="AI91" s="1097"/>
      <c r="AJ91" s="1097"/>
      <c r="AK91" s="1097"/>
      <c r="AL91" s="1097"/>
      <c r="AM91" s="1097"/>
      <c r="AN91" s="1097"/>
      <c r="AO91" s="1097"/>
      <c r="AP91" s="1097"/>
      <c r="AQ91" s="1097"/>
      <c r="AR91" s="1097"/>
      <c r="AS91" s="1097"/>
      <c r="AT91" s="1097"/>
      <c r="AU91" s="1097"/>
      <c r="AV91" s="1097"/>
      <c r="AW91" s="1097"/>
      <c r="AX91" s="1097"/>
      <c r="AY91" s="1097"/>
      <c r="AZ91" s="1097"/>
      <c r="BA91" s="1097"/>
      <c r="BB91" s="1097"/>
      <c r="BC91" s="1097"/>
      <c r="BD91" s="1114"/>
      <c r="BE91" s="1097"/>
      <c r="BF91" s="1097"/>
      <c r="BG91" s="1097"/>
      <c r="BH91" s="1097"/>
      <c r="BI91" s="1097"/>
      <c r="BJ91" s="1097"/>
      <c r="BK91" s="1097"/>
      <c r="BL91" s="1097"/>
      <c r="BM91" s="1097"/>
      <c r="BN91" s="1097"/>
      <c r="BO91" s="1097"/>
      <c r="BP91" s="1097"/>
      <c r="BQ91" s="1097"/>
      <c r="BR91" s="1097"/>
      <c r="BS91" s="1097"/>
      <c r="BT91" s="1097"/>
      <c r="BU91" s="1097"/>
      <c r="BV91" s="1097"/>
      <c r="BW91" s="1097"/>
      <c r="BX91" s="1097"/>
      <c r="BY91" s="1097"/>
      <c r="BZ91" s="1097"/>
    </row>
    <row r="92">
      <c r="A92" s="1097"/>
      <c r="B92" s="1097"/>
      <c r="C92" s="1097" t="s">
        <v>96</v>
      </c>
      <c r="D92" s="1112"/>
      <c r="E92" s="1112"/>
      <c r="F92" s="1112"/>
      <c r="G92" s="1112"/>
      <c r="H92" s="1113"/>
      <c r="I92" s="1114"/>
      <c r="J92" s="1112"/>
      <c r="K92" s="1112"/>
      <c r="L92" s="1112"/>
      <c r="M92" s="1097"/>
      <c r="N92" s="1097"/>
      <c r="O92" s="1097"/>
      <c r="P92" s="1097"/>
      <c r="Q92" s="1097"/>
      <c r="R92" s="1097"/>
      <c r="S92" s="1097"/>
      <c r="T92" s="1097"/>
      <c r="U92" s="1097"/>
      <c r="V92" s="1097"/>
      <c r="W92" s="1097"/>
      <c r="X92" s="1097"/>
      <c r="Y92" s="1097"/>
      <c r="Z92" s="1097"/>
      <c r="AA92" s="1112"/>
      <c r="AB92" s="1112"/>
      <c r="AC92" s="1112"/>
      <c r="AD92" s="1114"/>
      <c r="AE92" s="1112"/>
      <c r="AF92" s="1112"/>
      <c r="AG92" s="1097"/>
      <c r="AH92" s="1097"/>
      <c r="AI92" s="1097"/>
      <c r="AJ92" s="1097"/>
      <c r="AK92" s="1097"/>
      <c r="AL92" s="1097"/>
      <c r="AM92" s="1097"/>
      <c r="AN92" s="1097"/>
      <c r="AO92" s="1097"/>
      <c r="AP92" s="1097"/>
      <c r="AQ92" s="1097"/>
      <c r="AR92" s="1097"/>
      <c r="AS92" s="1097"/>
      <c r="AT92" s="1097"/>
      <c r="AU92" s="1097"/>
      <c r="AV92" s="1097"/>
      <c r="AW92" s="1097"/>
      <c r="AX92" s="1097"/>
      <c r="AY92" s="1097"/>
      <c r="AZ92" s="1097"/>
      <c r="BA92" s="1097"/>
      <c r="BB92" s="1097"/>
      <c r="BC92" s="1097"/>
      <c r="BD92" s="1114"/>
      <c r="BE92" s="1097"/>
      <c r="BF92" s="1097"/>
      <c r="BG92" s="1097"/>
      <c r="BH92" s="1097"/>
      <c r="BI92" s="1097"/>
      <c r="BJ92" s="1097"/>
      <c r="BK92" s="1097"/>
      <c r="BL92" s="1097"/>
      <c r="BM92" s="1097"/>
      <c r="BN92" s="1097"/>
      <c r="BO92" s="1097"/>
      <c r="BP92" s="1097"/>
      <c r="BQ92" s="1097"/>
      <c r="BR92" s="1097"/>
      <c r="BS92" s="1097"/>
      <c r="BT92" s="1097"/>
      <c r="BU92" s="1097"/>
      <c r="BV92" s="1097"/>
      <c r="BW92" s="1097"/>
      <c r="BX92" s="1097"/>
      <c r="BY92" s="1097"/>
      <c r="BZ92" s="1097"/>
    </row>
    <row r="93">
      <c r="A93" s="1097"/>
      <c r="B93" s="1097"/>
      <c r="C93" s="1097" t="s">
        <v>96</v>
      </c>
      <c r="D93" s="1112"/>
      <c r="E93" s="1112"/>
      <c r="F93" s="1112"/>
      <c r="G93" s="1112"/>
      <c r="H93" s="1113"/>
      <c r="I93" s="1114"/>
      <c r="J93" s="1112"/>
      <c r="K93" s="1112"/>
      <c r="L93" s="1112"/>
      <c r="M93" s="1097"/>
      <c r="N93" s="1097"/>
      <c r="O93" s="1097"/>
      <c r="P93" s="1097"/>
      <c r="Q93" s="1097"/>
      <c r="R93" s="1097"/>
      <c r="S93" s="1097"/>
      <c r="T93" s="1097"/>
      <c r="U93" s="1097"/>
      <c r="V93" s="1097"/>
      <c r="W93" s="1097"/>
      <c r="X93" s="1097"/>
      <c r="Y93" s="1097"/>
      <c r="Z93" s="1097"/>
      <c r="AA93" s="1112"/>
      <c r="AB93" s="1112"/>
      <c r="AC93" s="1112"/>
      <c r="AD93" s="1114"/>
      <c r="AE93" s="1112"/>
      <c r="AF93" s="1112"/>
      <c r="AG93" s="1097"/>
      <c r="AH93" s="1097"/>
      <c r="AI93" s="1097"/>
      <c r="AJ93" s="1097"/>
      <c r="AK93" s="1097"/>
      <c r="AL93" s="1097"/>
      <c r="AM93" s="1097"/>
      <c r="AN93" s="1097"/>
      <c r="AO93" s="1097"/>
      <c r="AP93" s="1097"/>
      <c r="AQ93" s="1097"/>
      <c r="AR93" s="1097"/>
      <c r="AS93" s="1097"/>
      <c r="AT93" s="1097"/>
      <c r="AU93" s="1097"/>
      <c r="AV93" s="1097"/>
      <c r="AW93" s="1097"/>
      <c r="AX93" s="1097"/>
      <c r="AY93" s="1097"/>
      <c r="AZ93" s="1097"/>
      <c r="BA93" s="1097"/>
      <c r="BB93" s="1097"/>
      <c r="BC93" s="1097"/>
      <c r="BD93" s="1114"/>
      <c r="BE93" s="1097"/>
      <c r="BF93" s="1097"/>
      <c r="BG93" s="1097"/>
      <c r="BH93" s="1097"/>
      <c r="BI93" s="1097"/>
      <c r="BJ93" s="1097"/>
      <c r="BK93" s="1097"/>
      <c r="BL93" s="1097"/>
      <c r="BM93" s="1097"/>
      <c r="BN93" s="1097"/>
      <c r="BO93" s="1097"/>
      <c r="BP93" s="1097"/>
      <c r="BQ93" s="1097"/>
      <c r="BR93" s="1097"/>
      <c r="BS93" s="1097"/>
      <c r="BT93" s="1097"/>
      <c r="BU93" s="1097"/>
      <c r="BV93" s="1097"/>
      <c r="BW93" s="1097"/>
      <c r="BX93" s="1097"/>
      <c r="BY93" s="1097"/>
      <c r="BZ93" s="1097"/>
    </row>
    <row r="94">
      <c r="A94" s="1097"/>
      <c r="B94" s="1097"/>
      <c r="C94" s="1097" t="s">
        <v>96</v>
      </c>
      <c r="D94" s="1112"/>
      <c r="E94" s="1112"/>
      <c r="F94" s="1112"/>
      <c r="G94" s="1112"/>
      <c r="H94" s="1113"/>
      <c r="I94" s="1114"/>
      <c r="J94" s="1112"/>
      <c r="K94" s="1112"/>
      <c r="L94" s="1112"/>
      <c r="M94" s="1097"/>
      <c r="N94" s="1097"/>
      <c r="O94" s="1097"/>
      <c r="P94" s="1097"/>
      <c r="Q94" s="1097"/>
      <c r="R94" s="1097"/>
      <c r="S94" s="1097"/>
      <c r="T94" s="1097"/>
      <c r="U94" s="1097"/>
      <c r="V94" s="1097"/>
      <c r="W94" s="1097"/>
      <c r="X94" s="1097"/>
      <c r="Y94" s="1097"/>
      <c r="Z94" s="1097"/>
      <c r="AA94" s="1112"/>
      <c r="AB94" s="1112"/>
      <c r="AC94" s="1112"/>
      <c r="AD94" s="1114"/>
      <c r="AE94" s="1112"/>
      <c r="AF94" s="1112"/>
      <c r="AG94" s="1097"/>
      <c r="AH94" s="1097"/>
      <c r="AI94" s="1097"/>
      <c r="AJ94" s="1097"/>
      <c r="AK94" s="1097"/>
      <c r="AL94" s="1097"/>
      <c r="AM94" s="1097"/>
      <c r="AN94" s="1097"/>
      <c r="AO94" s="1097"/>
      <c r="AP94" s="1097"/>
      <c r="AQ94" s="1097"/>
      <c r="AR94" s="1097"/>
      <c r="AS94" s="1097"/>
      <c r="AT94" s="1097"/>
      <c r="AU94" s="1097"/>
      <c r="AV94" s="1097"/>
      <c r="AW94" s="1097"/>
      <c r="AX94" s="1097"/>
      <c r="AY94" s="1097"/>
      <c r="AZ94" s="1097"/>
      <c r="BA94" s="1097"/>
      <c r="BB94" s="1097"/>
      <c r="BC94" s="1097"/>
      <c r="BD94" s="1114"/>
      <c r="BE94" s="1097"/>
      <c r="BF94" s="1097"/>
      <c r="BG94" s="1097"/>
      <c r="BH94" s="1097"/>
      <c r="BI94" s="1097"/>
      <c r="BJ94" s="1097"/>
      <c r="BK94" s="1097"/>
      <c r="BL94" s="1097"/>
      <c r="BM94" s="1097"/>
      <c r="BN94" s="1097"/>
      <c r="BO94" s="1097"/>
      <c r="BP94" s="1097"/>
      <c r="BQ94" s="1097"/>
      <c r="BR94" s="1097"/>
      <c r="BS94" s="1097"/>
      <c r="BT94" s="1097"/>
      <c r="BU94" s="1097"/>
      <c r="BV94" s="1097"/>
      <c r="BW94" s="1097"/>
      <c r="BX94" s="1097"/>
      <c r="BY94" s="1097"/>
      <c r="BZ94" s="1097"/>
    </row>
    <row r="95">
      <c r="A95" s="1097"/>
      <c r="B95" s="1097"/>
      <c r="C95" s="1097" t="s">
        <v>96</v>
      </c>
      <c r="D95" s="1112"/>
      <c r="E95" s="1112"/>
      <c r="F95" s="1112"/>
      <c r="G95" s="1112"/>
      <c r="H95" s="1113"/>
      <c r="I95" s="1114"/>
      <c r="J95" s="1112"/>
      <c r="K95" s="1112"/>
      <c r="L95" s="1112"/>
      <c r="M95" s="1097"/>
      <c r="N95" s="1097"/>
      <c r="O95" s="1097"/>
      <c r="P95" s="1097"/>
      <c r="Q95" s="1097"/>
      <c r="R95" s="1097"/>
      <c r="S95" s="1097"/>
      <c r="T95" s="1097"/>
      <c r="U95" s="1097"/>
      <c r="V95" s="1097"/>
      <c r="W95" s="1097"/>
      <c r="X95" s="1097"/>
      <c r="Y95" s="1097"/>
      <c r="Z95" s="1097"/>
      <c r="AA95" s="1112"/>
      <c r="AB95" s="1112"/>
      <c r="AC95" s="1112"/>
      <c r="AD95" s="1114"/>
      <c r="AE95" s="1112"/>
      <c r="AF95" s="1112"/>
      <c r="AG95" s="1097"/>
      <c r="AH95" s="1097"/>
      <c r="AI95" s="1097"/>
      <c r="AJ95" s="1097"/>
      <c r="AK95" s="1097"/>
      <c r="AL95" s="1097"/>
      <c r="AM95" s="1097"/>
      <c r="AN95" s="1097"/>
      <c r="AO95" s="1097"/>
      <c r="AP95" s="1097"/>
      <c r="AQ95" s="1097"/>
      <c r="AR95" s="1097"/>
      <c r="AS95" s="1097"/>
      <c r="AT95" s="1097"/>
      <c r="AU95" s="1097"/>
      <c r="AV95" s="1097"/>
      <c r="AW95" s="1097"/>
      <c r="AX95" s="1097"/>
      <c r="AY95" s="1097"/>
      <c r="AZ95" s="1097"/>
      <c r="BA95" s="1097"/>
      <c r="BB95" s="1097"/>
      <c r="BC95" s="1097"/>
      <c r="BD95" s="1114"/>
      <c r="BE95" s="1097"/>
      <c r="BF95" s="1097"/>
      <c r="BG95" s="1097"/>
      <c r="BH95" s="1097"/>
      <c r="BI95" s="1097"/>
      <c r="BJ95" s="1097"/>
      <c r="BK95" s="1097"/>
      <c r="BL95" s="1097"/>
      <c r="BM95" s="1097"/>
      <c r="BN95" s="1097"/>
      <c r="BO95" s="1097"/>
      <c r="BP95" s="1097"/>
      <c r="BQ95" s="1097"/>
      <c r="BR95" s="1097"/>
      <c r="BS95" s="1097"/>
      <c r="BT95" s="1097"/>
      <c r="BU95" s="1097"/>
      <c r="BV95" s="1097"/>
      <c r="BW95" s="1097"/>
      <c r="BX95" s="1097"/>
      <c r="BY95" s="1097"/>
      <c r="BZ95" s="1097"/>
    </row>
    <row r="96">
      <c r="A96" s="1097"/>
      <c r="B96" s="1097"/>
      <c r="C96" s="1097" t="s">
        <v>96</v>
      </c>
      <c r="D96" s="1112"/>
      <c r="E96" s="1112"/>
      <c r="F96" s="1112"/>
      <c r="G96" s="1112"/>
      <c r="H96" s="1113"/>
      <c r="I96" s="1114"/>
      <c r="J96" s="1112"/>
      <c r="K96" s="1112"/>
      <c r="L96" s="1112"/>
      <c r="M96" s="1097"/>
      <c r="N96" s="1097"/>
      <c r="O96" s="1097"/>
      <c r="P96" s="1097"/>
      <c r="Q96" s="1097"/>
      <c r="R96" s="1097"/>
      <c r="S96" s="1097"/>
      <c r="T96" s="1097"/>
      <c r="U96" s="1097"/>
      <c r="V96" s="1097"/>
      <c r="W96" s="1097"/>
      <c r="X96" s="1097"/>
      <c r="Y96" s="1097"/>
      <c r="Z96" s="1097"/>
      <c r="AA96" s="1112"/>
      <c r="AB96" s="1112"/>
      <c r="AC96" s="1112"/>
      <c r="AD96" s="1114"/>
      <c r="AE96" s="1112"/>
      <c r="AF96" s="1112"/>
      <c r="AG96" s="1097"/>
      <c r="AH96" s="1097"/>
      <c r="AI96" s="1097"/>
      <c r="AJ96" s="1097"/>
      <c r="AK96" s="1097"/>
      <c r="AL96" s="1097"/>
      <c r="AM96" s="1097"/>
      <c r="AN96" s="1097"/>
      <c r="AO96" s="1097"/>
      <c r="AP96" s="1097"/>
      <c r="AQ96" s="1097"/>
      <c r="AR96" s="1097"/>
      <c r="AS96" s="1097"/>
      <c r="AT96" s="1097"/>
      <c r="AU96" s="1097"/>
      <c r="AV96" s="1097"/>
      <c r="AW96" s="1097"/>
      <c r="AX96" s="1097"/>
      <c r="AY96" s="1097"/>
      <c r="AZ96" s="1097"/>
      <c r="BA96" s="1097"/>
      <c r="BB96" s="1097"/>
      <c r="BC96" s="1097"/>
      <c r="BD96" s="1114"/>
      <c r="BE96" s="1097"/>
      <c r="BF96" s="1097"/>
      <c r="BG96" s="1097"/>
      <c r="BH96" s="1097"/>
      <c r="BI96" s="1097"/>
      <c r="BJ96" s="1097"/>
      <c r="BK96" s="1097"/>
      <c r="BL96" s="1097"/>
      <c r="BM96" s="1097"/>
      <c r="BN96" s="1097"/>
      <c r="BO96" s="1097"/>
      <c r="BP96" s="1097"/>
      <c r="BQ96" s="1097"/>
      <c r="BR96" s="1097"/>
      <c r="BS96" s="1097"/>
      <c r="BT96" s="1097"/>
      <c r="BU96" s="1097"/>
      <c r="BV96" s="1097"/>
      <c r="BW96" s="1097"/>
      <c r="BX96" s="1097"/>
      <c r="BY96" s="1097"/>
      <c r="BZ96" s="1097"/>
    </row>
    <row r="97">
      <c r="A97" s="1097"/>
      <c r="B97" s="1097"/>
      <c r="C97" s="1097" t="s">
        <v>96</v>
      </c>
      <c r="D97" s="1112"/>
      <c r="E97" s="1112"/>
      <c r="F97" s="1112"/>
      <c r="G97" s="1112"/>
      <c r="H97" s="1113"/>
      <c r="I97" s="1114"/>
      <c r="J97" s="1112"/>
      <c r="K97" s="1112"/>
      <c r="L97" s="1112"/>
      <c r="M97" s="1097"/>
      <c r="N97" s="1097"/>
      <c r="O97" s="1097"/>
      <c r="P97" s="1097"/>
      <c r="Q97" s="1097"/>
      <c r="R97" s="1097"/>
      <c r="S97" s="1097"/>
      <c r="T97" s="1097"/>
      <c r="U97" s="1097"/>
      <c r="V97" s="1097"/>
      <c r="W97" s="1097"/>
      <c r="X97" s="1097"/>
      <c r="Y97" s="1097"/>
      <c r="Z97" s="1097"/>
      <c r="AA97" s="1112"/>
      <c r="AB97" s="1112"/>
      <c r="AC97" s="1112"/>
      <c r="AD97" s="1114"/>
      <c r="AE97" s="1112"/>
      <c r="AF97" s="1112"/>
      <c r="AG97" s="1097"/>
      <c r="AH97" s="1097"/>
      <c r="AI97" s="1097"/>
      <c r="AJ97" s="1097"/>
      <c r="AK97" s="1097"/>
      <c r="AL97" s="1097"/>
      <c r="AM97" s="1097"/>
      <c r="AN97" s="1097"/>
      <c r="AO97" s="1097"/>
      <c r="AP97" s="1097"/>
      <c r="AQ97" s="1097"/>
      <c r="AR97" s="1097"/>
      <c r="AS97" s="1097"/>
      <c r="AT97" s="1097"/>
      <c r="AU97" s="1097"/>
      <c r="AV97" s="1097"/>
      <c r="AW97" s="1097"/>
      <c r="AX97" s="1097"/>
      <c r="AY97" s="1097"/>
      <c r="AZ97" s="1097"/>
      <c r="BA97" s="1097"/>
      <c r="BB97" s="1097"/>
      <c r="BC97" s="1097"/>
      <c r="BD97" s="1114"/>
      <c r="BE97" s="1097"/>
      <c r="BF97" s="1097"/>
      <c r="BG97" s="1097"/>
      <c r="BH97" s="1097"/>
      <c r="BI97" s="1097"/>
      <c r="BJ97" s="1097"/>
      <c r="BK97" s="1097"/>
      <c r="BL97" s="1097"/>
      <c r="BM97" s="1097"/>
      <c r="BN97" s="1097"/>
      <c r="BO97" s="1097"/>
      <c r="BP97" s="1097"/>
      <c r="BQ97" s="1097"/>
      <c r="BR97" s="1097"/>
      <c r="BS97" s="1097"/>
      <c r="BT97" s="1097"/>
      <c r="BU97" s="1097"/>
      <c r="BV97" s="1097"/>
      <c r="BW97" s="1097"/>
      <c r="BX97" s="1097"/>
      <c r="BY97" s="1097"/>
      <c r="BZ97" s="1097"/>
    </row>
    <row r="98">
      <c r="A98" s="1097"/>
      <c r="B98" s="1097"/>
      <c r="C98" s="1097" t="s">
        <v>96</v>
      </c>
      <c r="D98" s="1112"/>
      <c r="E98" s="1112"/>
      <c r="F98" s="1112"/>
      <c r="G98" s="1112"/>
      <c r="H98" s="1113"/>
      <c r="I98" s="1114"/>
      <c r="J98" s="1112"/>
      <c r="K98" s="1112"/>
      <c r="L98" s="1112"/>
      <c r="M98" s="1097"/>
      <c r="N98" s="1097"/>
      <c r="O98" s="1097"/>
      <c r="P98" s="1097"/>
      <c r="Q98" s="1097"/>
      <c r="R98" s="1097"/>
      <c r="S98" s="1097"/>
      <c r="T98" s="1097"/>
      <c r="U98" s="1097"/>
      <c r="V98" s="1097"/>
      <c r="W98" s="1097"/>
      <c r="X98" s="1097"/>
      <c r="Y98" s="1097"/>
      <c r="Z98" s="1097"/>
      <c r="AA98" s="1112"/>
      <c r="AB98" s="1112"/>
      <c r="AC98" s="1112"/>
      <c r="AD98" s="1114"/>
      <c r="AE98" s="1112"/>
      <c r="AF98" s="1112"/>
      <c r="AG98" s="1097"/>
      <c r="AH98" s="1097"/>
      <c r="AI98" s="1097"/>
      <c r="AJ98" s="1097"/>
      <c r="AK98" s="1097"/>
      <c r="AL98" s="1097"/>
      <c r="AM98" s="1097"/>
      <c r="AN98" s="1097"/>
      <c r="AO98" s="1097"/>
      <c r="AP98" s="1097"/>
      <c r="AQ98" s="1097"/>
      <c r="AR98" s="1097"/>
      <c r="AS98" s="1097"/>
      <c r="AT98" s="1097"/>
      <c r="AU98" s="1097"/>
      <c r="AV98" s="1097"/>
      <c r="AW98" s="1097"/>
      <c r="AX98" s="1097"/>
      <c r="AY98" s="1097"/>
      <c r="AZ98" s="1097"/>
      <c r="BA98" s="1097"/>
      <c r="BB98" s="1097"/>
      <c r="BC98" s="1097"/>
      <c r="BD98" s="1114"/>
      <c r="BE98" s="1097"/>
      <c r="BF98" s="1097"/>
      <c r="BG98" s="1097"/>
      <c r="BH98" s="1097"/>
      <c r="BI98" s="1097"/>
      <c r="BJ98" s="1097"/>
      <c r="BK98" s="1097"/>
      <c r="BL98" s="1097"/>
      <c r="BM98" s="1097"/>
      <c r="BN98" s="1097"/>
      <c r="BO98" s="1097"/>
      <c r="BP98" s="1097"/>
      <c r="BQ98" s="1097"/>
      <c r="BR98" s="1097"/>
      <c r="BS98" s="1097"/>
      <c r="BT98" s="1097"/>
      <c r="BU98" s="1097"/>
      <c r="BV98" s="1097"/>
      <c r="BW98" s="1097"/>
      <c r="BX98" s="1097"/>
      <c r="BY98" s="1097"/>
      <c r="BZ98" s="1097"/>
    </row>
    <row r="99">
      <c r="A99" s="1097"/>
      <c r="B99" s="1097"/>
      <c r="C99" s="1097" t="s">
        <v>96</v>
      </c>
      <c r="D99" s="1112"/>
      <c r="E99" s="1112"/>
      <c r="F99" s="1112"/>
      <c r="G99" s="1112"/>
      <c r="H99" s="1113"/>
      <c r="I99" s="1114"/>
      <c r="J99" s="1112"/>
      <c r="K99" s="1112"/>
      <c r="L99" s="1112"/>
      <c r="M99" s="1097"/>
      <c r="N99" s="1097"/>
      <c r="O99" s="1097"/>
      <c r="P99" s="1097"/>
      <c r="Q99" s="1097"/>
      <c r="R99" s="1097"/>
      <c r="S99" s="1097"/>
      <c r="T99" s="1097"/>
      <c r="U99" s="1097"/>
      <c r="V99" s="1097"/>
      <c r="W99" s="1097"/>
      <c r="X99" s="1097"/>
      <c r="Y99" s="1097"/>
      <c r="Z99" s="1097"/>
      <c r="AA99" s="1112"/>
      <c r="AB99" s="1112"/>
      <c r="AC99" s="1112"/>
      <c r="AD99" s="1114"/>
      <c r="AE99" s="1112"/>
      <c r="AF99" s="1112"/>
      <c r="AG99" s="1097"/>
      <c r="AH99" s="1097"/>
      <c r="AI99" s="1097"/>
      <c r="AJ99" s="1097"/>
      <c r="AK99" s="1097"/>
      <c r="AL99" s="1097"/>
      <c r="AM99" s="1097"/>
      <c r="AN99" s="1097"/>
      <c r="AO99" s="1097"/>
      <c r="AP99" s="1097"/>
      <c r="AQ99" s="1097"/>
      <c r="AR99" s="1097"/>
      <c r="AS99" s="1097"/>
      <c r="AT99" s="1097"/>
      <c r="AU99" s="1097"/>
      <c r="AV99" s="1097"/>
      <c r="AW99" s="1097"/>
      <c r="AX99" s="1097"/>
      <c r="AY99" s="1097"/>
      <c r="AZ99" s="1097"/>
      <c r="BA99" s="1097"/>
      <c r="BB99" s="1097"/>
      <c r="BC99" s="1097"/>
      <c r="BD99" s="1114"/>
      <c r="BE99" s="1097"/>
      <c r="BF99" s="1097"/>
      <c r="BG99" s="1097"/>
      <c r="BH99" s="1097"/>
      <c r="BI99" s="1097"/>
      <c r="BJ99" s="1097"/>
      <c r="BK99" s="1097"/>
      <c r="BL99" s="1097"/>
      <c r="BM99" s="1097"/>
      <c r="BN99" s="1097"/>
      <c r="BO99" s="1097"/>
      <c r="BP99" s="1097"/>
      <c r="BQ99" s="1097"/>
      <c r="BR99" s="1097"/>
      <c r="BS99" s="1097"/>
      <c r="BT99" s="1097"/>
      <c r="BU99" s="1097"/>
      <c r="BV99" s="1097"/>
      <c r="BW99" s="1097"/>
      <c r="BX99" s="1097"/>
      <c r="BY99" s="1097"/>
      <c r="BZ99" s="1097"/>
    </row>
  </sheetData>
  <autoFilter ref="$A$10:$BZ$99"/>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3" width="12.63"/>
    <col customWidth="1" min="4" max="4" width="20.25"/>
    <col customWidth="1" min="5" max="5" width="20.38"/>
    <col customWidth="1" min="6" max="6" width="18.13"/>
    <col customWidth="1" min="7" max="11" width="12.63"/>
    <col customWidth="1" min="12" max="12" width="25.13"/>
    <col customWidth="1" min="13" max="13" width="27.0"/>
    <col customWidth="1" min="14" max="14" width="24.5"/>
    <col customWidth="1" min="15" max="15" width="21.5"/>
    <col customWidth="1" min="16" max="17" width="12.63"/>
  </cols>
  <sheetData>
    <row r="1">
      <c r="A1" s="1088"/>
      <c r="B1" s="1088"/>
      <c r="C1" s="1127" t="s">
        <v>0</v>
      </c>
      <c r="D1" s="1088"/>
      <c r="E1" s="1088"/>
      <c r="F1" s="1088"/>
      <c r="G1" s="1088"/>
      <c r="H1" s="1088"/>
      <c r="I1" s="1088"/>
      <c r="J1" s="1084"/>
      <c r="K1" s="1088"/>
      <c r="L1" s="1088"/>
      <c r="M1" s="1088"/>
      <c r="N1" s="1088"/>
      <c r="O1" s="1088"/>
      <c r="P1" s="108"/>
      <c r="Q1" s="1088"/>
    </row>
    <row r="2" outlineLevel="1">
      <c r="A2" s="1088"/>
      <c r="B2" s="1088"/>
      <c r="C2" s="1127" t="s">
        <v>7</v>
      </c>
      <c r="D2" s="1088" t="s">
        <v>817</v>
      </c>
      <c r="E2" s="1088" t="s">
        <v>56</v>
      </c>
      <c r="F2" s="1088" t="s">
        <v>706</v>
      </c>
      <c r="G2" s="1088" t="s">
        <v>724</v>
      </c>
      <c r="H2" s="1088" t="s">
        <v>818</v>
      </c>
      <c r="I2" s="1088" t="s">
        <v>716</v>
      </c>
      <c r="J2" s="1084" t="s">
        <v>56</v>
      </c>
      <c r="K2" s="1088" t="s">
        <v>731</v>
      </c>
      <c r="L2" s="1088" t="s">
        <v>732</v>
      </c>
      <c r="M2" s="1128" t="s">
        <v>725</v>
      </c>
      <c r="N2" s="1129" t="s">
        <v>726</v>
      </c>
      <c r="O2" s="1129" t="s">
        <v>556</v>
      </c>
      <c r="P2" s="1130" t="s">
        <v>819</v>
      </c>
      <c r="Q2" s="1088"/>
    </row>
    <row r="3" outlineLevel="1">
      <c r="A3" s="1088"/>
      <c r="B3" s="1088"/>
      <c r="C3" s="1127" t="s">
        <v>25</v>
      </c>
      <c r="D3" s="1127" t="s">
        <v>25</v>
      </c>
      <c r="E3" s="1127" t="s">
        <v>25</v>
      </c>
      <c r="F3" s="1127" t="s">
        <v>25</v>
      </c>
      <c r="G3" s="1127" t="s">
        <v>32</v>
      </c>
      <c r="H3" s="1127" t="s">
        <v>32</v>
      </c>
      <c r="I3" s="1127" t="s">
        <v>32</v>
      </c>
      <c r="J3" s="1131" t="s">
        <v>32</v>
      </c>
      <c r="K3" s="1127" t="s">
        <v>32</v>
      </c>
      <c r="L3" s="1127" t="s">
        <v>32</v>
      </c>
      <c r="M3" s="1127" t="s">
        <v>25</v>
      </c>
      <c r="N3" s="1127" t="s">
        <v>32</v>
      </c>
      <c r="O3" s="1127" t="s">
        <v>32</v>
      </c>
      <c r="P3" s="1132" t="s">
        <v>25</v>
      </c>
      <c r="Q3" s="1088"/>
    </row>
    <row r="4" outlineLevel="1">
      <c r="A4" s="1088"/>
      <c r="B4" s="1088"/>
      <c r="C4" s="1133" t="s">
        <v>28</v>
      </c>
      <c r="D4" s="1088" t="s">
        <v>705</v>
      </c>
      <c r="E4" s="1088"/>
      <c r="F4" s="1088"/>
      <c r="G4" s="1088"/>
      <c r="H4" s="1088"/>
      <c r="I4" s="1088"/>
      <c r="J4" s="1084"/>
      <c r="K4" s="1088"/>
      <c r="L4" s="1088"/>
      <c r="M4" s="1088"/>
      <c r="N4" s="1088"/>
      <c r="O4" s="1088"/>
      <c r="P4" s="108"/>
      <c r="Q4" s="1088"/>
    </row>
    <row r="5" outlineLevel="1">
      <c r="A5" s="1088"/>
      <c r="B5" s="1088"/>
      <c r="C5" s="1133" t="s">
        <v>31</v>
      </c>
      <c r="D5" s="1088" t="s">
        <v>705</v>
      </c>
      <c r="E5" s="1088"/>
      <c r="F5" s="1088"/>
      <c r="G5" s="1088"/>
      <c r="H5" s="1088"/>
      <c r="I5" s="1088"/>
      <c r="J5" s="1084"/>
      <c r="K5" s="1088"/>
      <c r="L5" s="1088"/>
      <c r="M5" s="1088"/>
      <c r="N5" s="1088"/>
      <c r="O5" s="1088"/>
      <c r="P5" s="108"/>
      <c r="Q5" s="1088"/>
    </row>
    <row r="6" outlineLevel="1">
      <c r="A6" s="1088"/>
      <c r="B6" s="1088"/>
      <c r="C6" s="1133" t="s">
        <v>35</v>
      </c>
      <c r="D6" s="1134" t="str">
        <f t="array" ref="D6">LAMBDA(theKey,theData, IFERROR( VLOOKUP(theKey,theData,2,FALSE), ))("footer_01",{'5-3 Выбор поставщиков Закупки'!C1:C1000,'5-3 Выбор поставщиков Закупки'!F1:F1000})</f>
        <v>5-1 Сбор КП Закупки, 1-1 Сбор КП</v>
      </c>
      <c r="E6" s="1134" t="str">
        <f>IFERROR(__xludf.DUMMYFUNCTION("LAMBDA(doMake,theStr,IF (theStr&lt;&gt;"""",""And ( ""&amp; doMake(theStr)  &amp;"" ) "",)   )(
LAMBDA(theStr, TEXTJOIN("" or "",TRUE, BYCOL( Split(theStr,"", "",FALSE,TRUE),Lambda(ts,"" Col2='""&amp;ts&amp;""' "")))),
'S-10 Топ 5-3'!D6)"),"And (  Col2='5-1 Сбор КП Закупки'  or  Col2='1-1 Сбор КП'  ) ")</f>
        <v>And (  Col2='5-1 Сбор КП Закупки'  or  Col2='1-1 Сбор КП'  ) </v>
      </c>
      <c r="F6" s="1088"/>
      <c r="G6" s="1088"/>
      <c r="H6" s="1088"/>
      <c r="I6" s="1088"/>
      <c r="J6" s="1084"/>
      <c r="K6" s="1088"/>
      <c r="L6" s="1088"/>
      <c r="M6" s="1088"/>
      <c r="N6" s="1088"/>
      <c r="O6" s="1088"/>
      <c r="P6" s="108"/>
      <c r="Q6" s="1088"/>
    </row>
    <row r="7" outlineLevel="1">
      <c r="A7" s="1088"/>
      <c r="B7" s="1088"/>
      <c r="C7" s="1088" t="s">
        <v>52</v>
      </c>
      <c r="D7" s="1088"/>
      <c r="E7" s="1088"/>
      <c r="F7" s="1088"/>
      <c r="G7" s="1088"/>
      <c r="H7" s="1088"/>
      <c r="I7" s="1088"/>
      <c r="J7" s="1084"/>
      <c r="K7" s="1088"/>
      <c r="L7" s="1088"/>
      <c r="M7" s="1088"/>
      <c r="N7" s="1088"/>
      <c r="O7" s="1088"/>
      <c r="P7" s="108"/>
      <c r="Q7" s="1088"/>
    </row>
    <row r="8" outlineLevel="1">
      <c r="A8" s="1088"/>
      <c r="B8" s="1088"/>
      <c r="C8" s="1088" t="s">
        <v>39</v>
      </c>
      <c r="D8" s="1088"/>
      <c r="E8" s="1088"/>
      <c r="F8" s="1088"/>
      <c r="G8" s="1088"/>
      <c r="H8" s="1088"/>
      <c r="I8" s="1088"/>
      <c r="J8" s="1084"/>
      <c r="K8" s="1088"/>
      <c r="L8" s="1088"/>
      <c r="M8" s="1088"/>
      <c r="N8" s="1088"/>
      <c r="O8" s="1088"/>
      <c r="P8" s="108"/>
      <c r="Q8" s="1088"/>
    </row>
    <row r="9" outlineLevel="1">
      <c r="A9" s="1088"/>
      <c r="B9" s="1088"/>
      <c r="C9" s="1127" t="s">
        <v>44</v>
      </c>
      <c r="D9" s="1135">
        <v>1.0</v>
      </c>
      <c r="E9" s="1135">
        <v>2.0</v>
      </c>
      <c r="F9" s="1135">
        <v>3.0</v>
      </c>
      <c r="G9" s="1135">
        <v>4.0</v>
      </c>
      <c r="H9" s="1135">
        <v>5.0</v>
      </c>
      <c r="I9" s="1135">
        <v>6.0</v>
      </c>
      <c r="J9" s="1135">
        <v>7.0</v>
      </c>
      <c r="K9" s="1135">
        <v>8.0</v>
      </c>
      <c r="L9" s="1135">
        <v>9.0</v>
      </c>
      <c r="M9" s="1135">
        <v>10.0</v>
      </c>
      <c r="N9" s="1135">
        <v>11.0</v>
      </c>
      <c r="O9" s="1135">
        <v>12.0</v>
      </c>
      <c r="P9" s="108">
        <v>13.0</v>
      </c>
      <c r="Q9" s="1088"/>
    </row>
    <row r="10">
      <c r="A10" s="1106"/>
      <c r="B10" s="1106"/>
      <c r="C10" s="1106" t="s">
        <v>823</v>
      </c>
      <c r="D10" s="1106" t="str">
        <f>IFERROR(__xludf.DUMMYFUNCTION("{""Лист^Предложение^Товар"";LAMBDA(
doFilterProducts, doForEachProducts, doGetProductOffers,doSplitByLines, theProducts, theOffers, theNumTop, theWhereAnd,
doSplitByLines(doForEachProducts(doFilterProducts (theProducts),theNumTop,theWhereAnd,theOffers,doG"&amp;"etProductOffers))
)(
LAMBDA(theProducts,FILTER(theProducts,theProducts&lt;&gt;"""")),
LAMBDA(theProducts,theNumTop,theWhereAnd,theOffers,doGetProductOffers,BYROW(theProducts,LAMBDA(theProd,doGetProductOffers(theProd,theNumTop,theWhereAnd,theOffers)))),
LAMBDA(t"&amp;"heProd,theNumTop,theWhereAnd,theOffers,TEXTJOIN(CHAR(10) ,TRUE,  BYROW( ARRAY_CONSTRAIN( IFERROR( QUERY(theOffers,""Select Col2, Col3, Col5 Where Col5='""&amp;theProd&amp;""' ""&amp;theWhereAnd&amp;"" order by Col6"",0),),theNumTop,4),LAMBDA(theR,TEXTJOIN(""^"",FALSE,the"&amp;"R))))),
LAMBDA(theData,TRANSPOSE(IFERROR( split(TEXTJOIN(CHAR(10),TRUE,theData),CHAR(10),FALSE,TRUE),))),
'5-0 Товары'!C11:C1000,'S-10 Предложения'!D11:K1000, 7, 'S-10 Топ 5-3'!E6
)}"),"Лист^Предложение^Товар")</f>
        <v>Лист^Предложение^Товар</v>
      </c>
      <c r="E10" s="1106" t="str">
        <f t="array" ref="E10:E1000">{"ЛистИПредложение";LAMBDA(doRez,theData,doRez(theData))
(
  LAMBDA(theData,BYROW(theData,LAMBDA(theR,IF(INDEX(theR,,1)&lt;&gt;"",textJoin(" ",FALSE,theR),))))
  ,{F11:F1000 , G11:G1000}
)}</f>
        <v>ЛистИПредложение</v>
      </c>
      <c r="F10" s="1106" t="str">
        <f t="array" ref="F10:L1000">{F2:L2;LAMBDA( doComplereOffer, doTreatOffers, theOffersKey, theOffers,
doComplereOffer(theOffersKey,doTreatOffers(theOffers)))
(
LAMBDA(theOffersKey,theOffers,  IFERROR( VLOOKUP(theOffersKey,theOffers,{2,3,4,5,6,7,8},FALSE),) ),
LAMBDA(theOffers,theOffers),
'S-10 Топ 5-3'!D11:D1000,
'S-10 Предложения'!D11:K1000
)}</f>
        <v>Лист</v>
      </c>
      <c r="G10" s="1106" t="s">
        <v>724</v>
      </c>
      <c r="H10" s="1106" t="s">
        <v>818</v>
      </c>
      <c r="I10" s="1106" t="s">
        <v>716</v>
      </c>
      <c r="J10" s="1108" t="s">
        <v>56</v>
      </c>
      <c r="K10" s="1106" t="s">
        <v>731</v>
      </c>
      <c r="L10" s="1106" t="s">
        <v>732</v>
      </c>
      <c r="M10" s="1106" t="str">
        <f>IFERROR(__xludf.DUMMYFUNCTION("{{'S-10 Топ 5-3'!$M$2:$O$2};LAMBDA( doFind, doOrderMax, doMakeData, doFindByKey,
theFilter, theKeys, 
theDFilter,theDKey, theDMng, theDExp, theDFsh, theDTim,
{
  doFind(doFindByKey,theKeys,doOrderMax(doMakeData(theDKey, theDMng, theDTim, theDFilter),theFi"&amp;"lter)),
  doFind(doFindByKey,theKeys,doOrderMax(doMakeData(theDKey, theDExp, theDTim, theDFilter),theFilter)),
  doFind(doFindByKey,theKeys,doOrderMax(doMakeData(theDKey, theDFsh, theDTim, theDFilter),theFilter)) 
}
)(
LAMBDA(doFindByKey,theKeys,theDatas,"&amp;"BYROW(theKeys,LAMBDA(theKey,IF(theKey&lt;&gt;"""", doFindByKey(theKey,theDatas) ,)))),
LAMBDA(theDatas,theFilter,QUERY(theDatas,""Select Col1, Col2 Where Col1 is not null and Col2 is not null order by Col3 desc "")),
LAMBDA(theCol1,theCol2,theCol3,theCol4,{theC"&amp;"ol1,theCol2,theCol3,theCol4}),
LAMBDA(theKey,theDatas,IFERROR(VLOOKUP(theKey,theDatas,2,FALSE),)),
'S-10 Топ 5-3'!$E$6,
ARRAYFORMULA(IF('S-10 Топ 5-3'!$E$11:$E1000&amp;'S-10 Топ 5-3'!$I$11:$I1000="""",, 'S-10 Топ 5-3'!$E$11:$E1000&amp;"" ""&amp;'S-10 Топ 5-3'!$I$11:$"&amp;"I1000)),
'S-10 Комментарии'!$L$11:$L1000, ARRAYFORMULA( IF( 'S-10 Комментарии'!$F$11:$F1000&amp;'S-10 Комментарии'!$G$11:$G1000="""",,'S-10 Комментарии'!$F$11:$F1000&amp;"" ""&amp;'S-10 Комментарии'!$G$11:$G1000)), 
'S-10 Комментарии'!$H$11:$H1000,'S-10 Комментарии'!"&amp;"$I$11:$I1000,'S-10 Комментарии'!$J$11:$J1000,'S-10 Комментарии'!$D$11:$D1000 
)}"),"Манаджер")</f>
        <v>Манаджер</v>
      </c>
      <c r="N10" s="1106" t="str">
        <f>IFERROR(__xludf.DUMMYFUNCTION("""COMPUTED_VALUE"""),"Эксперт")</f>
        <v>Эксперт</v>
      </c>
      <c r="O10" s="1106" t="str">
        <f>IFERROR(__xludf.DUMMYFUNCTION("""COMPUTED_VALUE"""),"Сделка")</f>
        <v>Сделка</v>
      </c>
      <c r="P10" s="1136" t="str">
        <f t="array" ref="P10:P1000">{"Сборный Коммент";  L11:L1000&amp; IF(N11:N1000&lt;&gt;"",  CHAR(10)&amp;N11:N1000,)}</f>
        <v>Сборный Коммент</v>
      </c>
      <c r="Q10" s="1106"/>
    </row>
    <row r="11">
      <c r="A11" s="1109"/>
      <c r="B11" s="1109"/>
      <c r="C11" s="1109"/>
      <c r="D11" s="1109" t="str">
        <f>IFERROR(__xludf.DUMMYFUNCTION("""COMPUTED_VALUE"""),"1-1 Сбор КП^CI^ID_T001")</f>
        <v>1-1 Сбор КП^CI^ID_T001</v>
      </c>
      <c r="E11" s="1109" t="s">
        <v>838</v>
      </c>
      <c r="F11" s="1109" t="s">
        <v>839</v>
      </c>
      <c r="G11" s="1109" t="s">
        <v>840</v>
      </c>
      <c r="H11" s="1109" t="s">
        <v>261</v>
      </c>
      <c r="I11" s="1109" t="s">
        <v>282</v>
      </c>
      <c r="J11" s="1111">
        <v>5450.0</v>
      </c>
      <c r="K11" s="1109" t="s">
        <v>283</v>
      </c>
      <c r="L11" s="1109" t="s">
        <v>294</v>
      </c>
      <c r="M11" s="1109"/>
      <c r="N11" s="1109"/>
      <c r="O11" s="1109"/>
      <c r="P11" s="1109" t="s">
        <v>294</v>
      </c>
      <c r="Q11" s="1109"/>
    </row>
    <row r="12">
      <c r="A12" s="1112"/>
      <c r="B12" s="1112"/>
      <c r="C12" s="1112"/>
      <c r="D12" s="1112" t="str">
        <f>IFERROR(__xludf.DUMMYFUNCTION("""COMPUTED_VALUE"""),"1-1 Сбор КП^BQ^ID_T001")</f>
        <v>1-1 Сбор КП^BQ^ID_T001</v>
      </c>
      <c r="E12" s="1112" t="s">
        <v>843</v>
      </c>
      <c r="F12" s="1112" t="s">
        <v>839</v>
      </c>
      <c r="G12" s="1112" t="s">
        <v>844</v>
      </c>
      <c r="H12" s="1112" t="s">
        <v>255</v>
      </c>
      <c r="I12" s="1112" t="s">
        <v>282</v>
      </c>
      <c r="J12" s="1114">
        <v>6250.0</v>
      </c>
      <c r="K12" s="1112" t="s">
        <v>289</v>
      </c>
      <c r="L12" s="1112" t="s">
        <v>290</v>
      </c>
      <c r="M12" s="1112"/>
      <c r="N12" s="1112"/>
      <c r="O12" s="1112"/>
      <c r="P12" s="1112" t="s">
        <v>290</v>
      </c>
      <c r="Q12" s="1112"/>
    </row>
    <row r="13">
      <c r="A13" s="1112"/>
      <c r="B13" s="1112"/>
      <c r="C13" s="1112"/>
      <c r="D13" s="1112" t="str">
        <f>IFERROR(__xludf.DUMMYFUNCTION("""COMPUTED_VALUE"""),"1-1 Сбор КП^BZ^ID_T001")</f>
        <v>1-1 Сбор КП^BZ^ID_T001</v>
      </c>
      <c r="E13" s="1112" t="s">
        <v>845</v>
      </c>
      <c r="F13" s="1112" t="s">
        <v>839</v>
      </c>
      <c r="G13" s="1112" t="s">
        <v>846</v>
      </c>
      <c r="H13" s="1112" t="s">
        <v>258</v>
      </c>
      <c r="I13" s="1112" t="s">
        <v>282</v>
      </c>
      <c r="J13" s="1114">
        <v>6433.68</v>
      </c>
      <c r="K13" s="1112" t="s">
        <v>287</v>
      </c>
      <c r="L13" s="1112" t="s">
        <v>291</v>
      </c>
      <c r="M13" s="1112"/>
      <c r="N13" s="1112"/>
      <c r="O13" s="1112"/>
      <c r="P13" s="1112" t="s">
        <v>291</v>
      </c>
      <c r="Q13" s="1112"/>
    </row>
    <row r="14">
      <c r="A14" s="1112"/>
      <c r="B14" s="1112"/>
      <c r="C14" s="1112"/>
      <c r="D14" s="1112" t="str">
        <f>IFERROR(__xludf.DUMMYFUNCTION("""COMPUTED_VALUE"""),"1-1 Сбор КП^BE^ID_T001")</f>
        <v>1-1 Сбор КП^BE^ID_T001</v>
      </c>
      <c r="E14" s="1112" t="s">
        <v>847</v>
      </c>
      <c r="F14" s="1112" t="s">
        <v>839</v>
      </c>
      <c r="G14" s="1112" t="s">
        <v>848</v>
      </c>
      <c r="H14" s="1112" t="s">
        <v>251</v>
      </c>
      <c r="I14" s="1112" t="s">
        <v>282</v>
      </c>
      <c r="J14" s="1114">
        <v>6900.0</v>
      </c>
      <c r="K14" s="1112" t="s">
        <v>283</v>
      </c>
      <c r="L14" s="1112" t="s">
        <v>284</v>
      </c>
      <c r="M14" s="1112"/>
      <c r="N14" s="1112"/>
      <c r="O14" s="1112"/>
      <c r="P14" s="1112" t="s">
        <v>284</v>
      </c>
      <c r="Q14" s="1112"/>
    </row>
    <row r="15">
      <c r="A15" s="1112"/>
      <c r="B15" s="1112"/>
      <c r="C15" s="1112"/>
      <c r="D15" s="1112" t="str">
        <f>IFERROR(__xludf.DUMMYFUNCTION("""COMPUTED_VALUE"""),"1-1 Сбор КП^BK^ID_T001")</f>
        <v>1-1 Сбор КП^BK^ID_T001</v>
      </c>
      <c r="E15" s="1112" t="s">
        <v>850</v>
      </c>
      <c r="F15" s="1112" t="s">
        <v>839</v>
      </c>
      <c r="G15" s="1112" t="s">
        <v>851</v>
      </c>
      <c r="H15" s="1112" t="s">
        <v>253</v>
      </c>
      <c r="I15" s="1112" t="s">
        <v>282</v>
      </c>
      <c r="J15" s="1114">
        <v>8600.0</v>
      </c>
      <c r="K15" s="1112" t="s">
        <v>287</v>
      </c>
      <c r="L15" s="1112" t="s">
        <v>288</v>
      </c>
      <c r="M15" s="1112"/>
      <c r="N15" s="1112"/>
      <c r="O15" s="1112"/>
      <c r="P15" s="1112" t="s">
        <v>288</v>
      </c>
      <c r="Q15" s="1112"/>
    </row>
    <row r="16">
      <c r="A16" s="1112"/>
      <c r="B16" s="1112"/>
      <c r="C16" s="1112"/>
      <c r="D16" s="1112" t="str">
        <f>IFERROR(__xludf.DUMMYFUNCTION("""COMPUTED_VALUE"""),"1-1 Сбор КП^BH^ID_T001")</f>
        <v>1-1 Сбор КП^BH^ID_T001</v>
      </c>
      <c r="E16" s="1112" t="s">
        <v>852</v>
      </c>
      <c r="F16" s="1112" t="s">
        <v>839</v>
      </c>
      <c r="G16" s="1112" t="s">
        <v>853</v>
      </c>
      <c r="H16" s="1112" t="s">
        <v>252</v>
      </c>
      <c r="I16" s="1112" t="s">
        <v>282</v>
      </c>
      <c r="J16" s="1114">
        <v>19500.0</v>
      </c>
      <c r="K16" s="1112" t="s">
        <v>285</v>
      </c>
      <c r="L16" s="1112" t="s">
        <v>286</v>
      </c>
      <c r="M16" s="1112"/>
      <c r="N16" s="1112"/>
      <c r="O16" s="1112"/>
      <c r="P16" s="1112" t="s">
        <v>286</v>
      </c>
      <c r="Q16" s="1112"/>
    </row>
    <row r="17">
      <c r="A17" s="1112"/>
      <c r="B17" s="1112"/>
      <c r="C17" s="1112"/>
      <c r="D17" s="1112" t="str">
        <f>IFERROR(__xludf.DUMMYFUNCTION("""COMPUTED_VALUE"""),"1-1 Сбор КП^CI^ID_T002")</f>
        <v>1-1 Сбор КП^CI^ID_T002</v>
      </c>
      <c r="E17" s="1112" t="s">
        <v>838</v>
      </c>
      <c r="F17" s="1112" t="s">
        <v>839</v>
      </c>
      <c r="G17" s="1112" t="s">
        <v>840</v>
      </c>
      <c r="H17" s="1112" t="s">
        <v>261</v>
      </c>
      <c r="I17" s="1112" t="s">
        <v>303</v>
      </c>
      <c r="J17" s="1114">
        <v>5450.0</v>
      </c>
      <c r="K17" s="1112" t="s">
        <v>283</v>
      </c>
      <c r="L17" s="1112" t="s">
        <v>309</v>
      </c>
      <c r="M17" s="1112"/>
      <c r="N17" s="1112"/>
      <c r="O17" s="1112"/>
      <c r="P17" s="1112" t="s">
        <v>309</v>
      </c>
      <c r="Q17" s="1112"/>
    </row>
    <row r="18">
      <c r="A18" s="1112"/>
      <c r="B18" s="1112"/>
      <c r="C18" s="1112"/>
      <c r="D18" s="1112" t="str">
        <f>IFERROR(__xludf.DUMMYFUNCTION("""COMPUTED_VALUE"""),"1-1 Сбор КП^BQ^ID_T002")</f>
        <v>1-1 Сбор КП^BQ^ID_T002</v>
      </c>
      <c r="E18" s="1112" t="s">
        <v>843</v>
      </c>
      <c r="F18" s="1112" t="s">
        <v>839</v>
      </c>
      <c r="G18" s="1112" t="s">
        <v>844</v>
      </c>
      <c r="H18" s="1112" t="s">
        <v>255</v>
      </c>
      <c r="I18" s="1112" t="s">
        <v>303</v>
      </c>
      <c r="J18" s="1114">
        <v>6400.0</v>
      </c>
      <c r="K18" s="1112" t="s">
        <v>289</v>
      </c>
      <c r="L18" s="1112" t="s">
        <v>307</v>
      </c>
      <c r="M18" s="1112"/>
      <c r="N18" s="1112"/>
      <c r="O18" s="1112"/>
      <c r="P18" s="1112" t="s">
        <v>307</v>
      </c>
      <c r="Q18" s="1112"/>
    </row>
    <row r="19">
      <c r="A19" s="1112"/>
      <c r="B19" s="1112"/>
      <c r="C19" s="1112"/>
      <c r="D19" s="1112" t="str">
        <f>IFERROR(__xludf.DUMMYFUNCTION("""COMPUTED_VALUE"""),"1-1 Сбор КП^BE^ID_T002")</f>
        <v>1-1 Сбор КП^BE^ID_T002</v>
      </c>
      <c r="E19" s="1112" t="s">
        <v>847</v>
      </c>
      <c r="F19" s="1112" t="s">
        <v>839</v>
      </c>
      <c r="G19" s="1112" t="s">
        <v>848</v>
      </c>
      <c r="H19" s="1112" t="s">
        <v>251</v>
      </c>
      <c r="I19" s="1112" t="s">
        <v>303</v>
      </c>
      <c r="J19" s="1114">
        <v>6900.0</v>
      </c>
      <c r="K19" s="1112" t="s">
        <v>283</v>
      </c>
      <c r="L19" s="1112" t="s">
        <v>304</v>
      </c>
      <c r="M19" s="1112"/>
      <c r="N19" s="1112"/>
      <c r="O19" s="1112"/>
      <c r="P19" s="1112" t="s">
        <v>304</v>
      </c>
      <c r="Q19" s="1112"/>
    </row>
    <row r="20">
      <c r="A20" s="1112"/>
      <c r="B20" s="1112"/>
      <c r="C20" s="1112"/>
      <c r="D20" s="1112" t="str">
        <f>IFERROR(__xludf.DUMMYFUNCTION("""COMPUTED_VALUE"""),"1-1 Сбор КП^BK^ID_T002")</f>
        <v>1-1 Сбор КП^BK^ID_T002</v>
      </c>
      <c r="E20" s="1112" t="s">
        <v>850</v>
      </c>
      <c r="F20" s="1112" t="s">
        <v>839</v>
      </c>
      <c r="G20" s="1112" t="s">
        <v>851</v>
      </c>
      <c r="H20" s="1112" t="s">
        <v>253</v>
      </c>
      <c r="I20" s="1112" t="s">
        <v>303</v>
      </c>
      <c r="J20" s="1114">
        <v>8600.0</v>
      </c>
      <c r="K20" s="1112" t="s">
        <v>287</v>
      </c>
      <c r="L20" s="1112" t="s">
        <v>306</v>
      </c>
      <c r="M20" s="1112"/>
      <c r="N20" s="1112"/>
      <c r="O20" s="1112"/>
      <c r="P20" s="1112" t="s">
        <v>306</v>
      </c>
      <c r="Q20" s="1112"/>
    </row>
    <row r="21">
      <c r="A21" s="1112"/>
      <c r="B21" s="1112"/>
      <c r="C21" s="1112"/>
      <c r="D21" s="1112" t="str">
        <f>IFERROR(__xludf.DUMMYFUNCTION("""COMPUTED_VALUE"""),"1-1 Сбор КП^BZ^ID_T002")</f>
        <v>1-1 Сбор КП^BZ^ID_T002</v>
      </c>
      <c r="E21" s="1112" t="s">
        <v>845</v>
      </c>
      <c r="F21" s="1112" t="s">
        <v>839</v>
      </c>
      <c r="G21" s="1112" t="s">
        <v>846</v>
      </c>
      <c r="H21" s="1112" t="s">
        <v>258</v>
      </c>
      <c r="I21" s="1112" t="s">
        <v>303</v>
      </c>
      <c r="J21" s="1114">
        <v>11956.0</v>
      </c>
      <c r="K21" s="1112" t="s">
        <v>287</v>
      </c>
      <c r="L21" s="1112" t="s">
        <v>299</v>
      </c>
      <c r="M21" s="1112"/>
      <c r="N21" s="1112"/>
      <c r="O21" s="1112"/>
      <c r="P21" s="1112" t="s">
        <v>299</v>
      </c>
      <c r="Q21" s="1112"/>
    </row>
    <row r="22">
      <c r="A22" s="1112"/>
      <c r="B22" s="1112"/>
      <c r="C22" s="1112"/>
      <c r="D22" s="1112" t="str">
        <f>IFERROR(__xludf.DUMMYFUNCTION("""COMPUTED_VALUE"""),"1-1 Сбор КП^BH^ID_T002")</f>
        <v>1-1 Сбор КП^BH^ID_T002</v>
      </c>
      <c r="E22" s="1112" t="s">
        <v>852</v>
      </c>
      <c r="F22" s="1112" t="s">
        <v>839</v>
      </c>
      <c r="G22" s="1112" t="s">
        <v>853</v>
      </c>
      <c r="H22" s="1112" t="s">
        <v>252</v>
      </c>
      <c r="I22" s="1112" t="s">
        <v>303</v>
      </c>
      <c r="J22" s="1114">
        <v>17700.0</v>
      </c>
      <c r="K22" s="1112" t="s">
        <v>285</v>
      </c>
      <c r="L22" s="1112" t="s">
        <v>305</v>
      </c>
      <c r="M22" s="1112"/>
      <c r="N22" s="1112"/>
      <c r="O22" s="1112"/>
      <c r="P22" s="1112" t="s">
        <v>305</v>
      </c>
      <c r="Q22" s="1112"/>
    </row>
    <row r="23">
      <c r="A23" s="1112"/>
      <c r="B23" s="1112"/>
      <c r="C23" s="1112"/>
      <c r="D23" s="1112" t="str">
        <f>IFERROR(__xludf.DUMMYFUNCTION("""COMPUTED_VALUE"""),"1-1 Сбор КП^BQ^ID_T003")</f>
        <v>1-1 Сбор КП^BQ^ID_T003</v>
      </c>
      <c r="E23" s="1112" t="s">
        <v>843</v>
      </c>
      <c r="F23" s="1112" t="s">
        <v>839</v>
      </c>
      <c r="G23" s="1112" t="s">
        <v>844</v>
      </c>
      <c r="H23" s="1112" t="s">
        <v>255</v>
      </c>
      <c r="I23" s="1112" t="s">
        <v>319</v>
      </c>
      <c r="J23" s="1114">
        <v>4700.0</v>
      </c>
      <c r="K23" s="1112" t="s">
        <v>289</v>
      </c>
      <c r="L23" s="1112" t="s">
        <v>323</v>
      </c>
      <c r="M23" s="1112"/>
      <c r="N23" s="1112"/>
      <c r="O23" s="1112"/>
      <c r="P23" s="1112" t="s">
        <v>323</v>
      </c>
      <c r="Q23" s="1112"/>
    </row>
    <row r="24">
      <c r="A24" s="1112"/>
      <c r="B24" s="1112"/>
      <c r="C24" s="1112"/>
      <c r="D24" s="1112" t="str">
        <f>IFERROR(__xludf.DUMMYFUNCTION("""COMPUTED_VALUE"""),"1-1 Сбор КП^BZ^ID_T003")</f>
        <v>1-1 Сбор КП^BZ^ID_T003</v>
      </c>
      <c r="E24" s="1112" t="s">
        <v>845</v>
      </c>
      <c r="F24" s="1112" t="s">
        <v>839</v>
      </c>
      <c r="G24" s="1112" t="s">
        <v>846</v>
      </c>
      <c r="H24" s="1112" t="s">
        <v>258</v>
      </c>
      <c r="I24" s="1112" t="s">
        <v>319</v>
      </c>
      <c r="J24" s="1114">
        <v>4902.0</v>
      </c>
      <c r="K24" s="1112" t="s">
        <v>287</v>
      </c>
      <c r="L24" s="1112" t="s">
        <v>325</v>
      </c>
      <c r="M24" s="1112"/>
      <c r="N24" s="1112"/>
      <c r="O24" s="1112"/>
      <c r="P24" s="1112" t="s">
        <v>325</v>
      </c>
      <c r="Q24" s="1112"/>
    </row>
    <row r="25">
      <c r="A25" s="1112"/>
      <c r="B25" s="1112"/>
      <c r="C25" s="1112"/>
      <c r="D25" s="1112" t="str">
        <f>IFERROR(__xludf.DUMMYFUNCTION("""COMPUTED_VALUE"""),"1-1 Сбор КП^CI^ID_T003")</f>
        <v>1-1 Сбор КП^CI^ID_T003</v>
      </c>
      <c r="E25" s="1112" t="s">
        <v>838</v>
      </c>
      <c r="F25" s="1112" t="s">
        <v>839</v>
      </c>
      <c r="G25" s="1112" t="s">
        <v>840</v>
      </c>
      <c r="H25" s="1112" t="s">
        <v>261</v>
      </c>
      <c r="I25" s="1112" t="s">
        <v>319</v>
      </c>
      <c r="J25" s="1114">
        <v>5000.0</v>
      </c>
      <c r="K25" s="1112" t="s">
        <v>283</v>
      </c>
      <c r="L25" s="1112" t="s">
        <v>327</v>
      </c>
      <c r="M25" s="1112"/>
      <c r="N25" s="1112"/>
      <c r="O25" s="1112"/>
      <c r="P25" s="1112" t="s">
        <v>327</v>
      </c>
      <c r="Q25" s="1112"/>
    </row>
    <row r="26">
      <c r="A26" s="1112"/>
      <c r="B26" s="1112"/>
      <c r="C26" s="1112"/>
      <c r="D26" s="1112" t="str">
        <f>IFERROR(__xludf.DUMMYFUNCTION("""COMPUTED_VALUE"""),"1-1 Сбор КП^BE^ID_T003")</f>
        <v>1-1 Сбор КП^BE^ID_T003</v>
      </c>
      <c r="E26" s="1112" t="s">
        <v>847</v>
      </c>
      <c r="F26" s="1112" t="s">
        <v>839</v>
      </c>
      <c r="G26" s="1112" t="s">
        <v>848</v>
      </c>
      <c r="H26" s="1112" t="s">
        <v>251</v>
      </c>
      <c r="I26" s="1112" t="s">
        <v>319</v>
      </c>
      <c r="J26" s="1114">
        <v>6400.0</v>
      </c>
      <c r="K26" s="1112" t="s">
        <v>283</v>
      </c>
      <c r="L26" s="1112" t="s">
        <v>320</v>
      </c>
      <c r="M26" s="1112"/>
      <c r="N26" s="1112"/>
      <c r="O26" s="1112"/>
      <c r="P26" s="1112" t="s">
        <v>320</v>
      </c>
      <c r="Q26" s="1112"/>
    </row>
    <row r="27">
      <c r="A27" s="1112"/>
      <c r="B27" s="1112"/>
      <c r="C27" s="1112"/>
      <c r="D27" s="1112" t="str">
        <f>IFERROR(__xludf.DUMMYFUNCTION("""COMPUTED_VALUE"""),"1-1 Сбор КП^BK^ID_T003")</f>
        <v>1-1 Сбор КП^BK^ID_T003</v>
      </c>
      <c r="E27" s="1112" t="s">
        <v>850</v>
      </c>
      <c r="F27" s="1112" t="s">
        <v>839</v>
      </c>
      <c r="G27" s="1112" t="s">
        <v>851</v>
      </c>
      <c r="H27" s="1112" t="s">
        <v>253</v>
      </c>
      <c r="I27" s="1112" t="s">
        <v>319</v>
      </c>
      <c r="J27" s="1114">
        <v>6500.0</v>
      </c>
      <c r="K27" s="1112" t="s">
        <v>287</v>
      </c>
      <c r="L27" s="1112" t="s">
        <v>322</v>
      </c>
      <c r="M27" s="1112"/>
      <c r="N27" s="1112"/>
      <c r="O27" s="1112"/>
      <c r="P27" s="1112" t="s">
        <v>322</v>
      </c>
      <c r="Q27" s="1112"/>
    </row>
    <row r="28">
      <c r="A28" s="1112"/>
      <c r="B28" s="1112"/>
      <c r="C28" s="1112"/>
      <c r="D28" s="1112" t="str">
        <f>IFERROR(__xludf.DUMMYFUNCTION("""COMPUTED_VALUE"""),"1-1 Сбор КП^BH^ID_T003")</f>
        <v>1-1 Сбор КП^BH^ID_T003</v>
      </c>
      <c r="E28" s="1112" t="s">
        <v>852</v>
      </c>
      <c r="F28" s="1112" t="s">
        <v>839</v>
      </c>
      <c r="G28" s="1112" t="s">
        <v>853</v>
      </c>
      <c r="H28" s="1112" t="s">
        <v>252</v>
      </c>
      <c r="I28" s="1112" t="s">
        <v>319</v>
      </c>
      <c r="J28" s="1114">
        <v>19800.0</v>
      </c>
      <c r="K28" s="1112" t="s">
        <v>285</v>
      </c>
      <c r="L28" s="1112" t="s">
        <v>321</v>
      </c>
      <c r="M28" s="1112"/>
      <c r="N28" s="1112"/>
      <c r="O28" s="1112"/>
      <c r="P28" s="1112" t="s">
        <v>321</v>
      </c>
      <c r="Q28" s="1112"/>
    </row>
    <row r="29">
      <c r="A29" s="1112"/>
      <c r="B29" s="1112"/>
      <c r="C29" s="1112"/>
      <c r="D29" s="1112" t="str">
        <f>IFERROR(__xludf.DUMMYFUNCTION("""COMPUTED_VALUE"""),"1-1 Сбор КП^CI^ID_T005")</f>
        <v>1-1 Сбор КП^CI^ID_T005</v>
      </c>
      <c r="E29" s="1112" t="s">
        <v>838</v>
      </c>
      <c r="F29" s="1112" t="s">
        <v>839</v>
      </c>
      <c r="G29" s="1112" t="s">
        <v>840</v>
      </c>
      <c r="H29" s="1112" t="s">
        <v>261</v>
      </c>
      <c r="I29" s="1112" t="s">
        <v>342</v>
      </c>
      <c r="J29" s="1114">
        <v>9900.0</v>
      </c>
      <c r="K29" s="1112" t="s">
        <v>283</v>
      </c>
      <c r="L29" s="1112" t="s">
        <v>351</v>
      </c>
      <c r="M29" s="1112"/>
      <c r="N29" s="1112"/>
      <c r="O29" s="1112"/>
      <c r="P29" s="1112" t="s">
        <v>351</v>
      </c>
      <c r="Q29" s="1112"/>
    </row>
    <row r="30">
      <c r="A30" s="1112"/>
      <c r="B30" s="1112"/>
      <c r="C30" s="1112"/>
      <c r="D30" s="1112" t="str">
        <f>IFERROR(__xludf.DUMMYFUNCTION("""COMPUTED_VALUE"""),"1-1 Сбор КП^BZ^ID_T005")</f>
        <v>1-1 Сбор КП^BZ^ID_T005</v>
      </c>
      <c r="E30" s="1112" t="s">
        <v>845</v>
      </c>
      <c r="F30" s="1112" t="s">
        <v>839</v>
      </c>
      <c r="G30" s="1112" t="s">
        <v>846</v>
      </c>
      <c r="H30" s="1112" t="s">
        <v>258</v>
      </c>
      <c r="I30" s="1112" t="s">
        <v>342</v>
      </c>
      <c r="J30" s="1114">
        <v>11956.0</v>
      </c>
      <c r="K30" s="1112" t="s">
        <v>349</v>
      </c>
      <c r="L30" s="1112" t="s">
        <v>338</v>
      </c>
      <c r="M30" s="1112"/>
      <c r="N30" s="1112"/>
      <c r="O30" s="1112"/>
      <c r="P30" s="1112" t="s">
        <v>338</v>
      </c>
      <c r="Q30" s="1112"/>
    </row>
    <row r="31">
      <c r="A31" s="1112"/>
      <c r="B31" s="1112"/>
      <c r="C31" s="1112"/>
      <c r="D31" s="1112" t="str">
        <f>IFERROR(__xludf.DUMMYFUNCTION("""COMPUTED_VALUE"""),"1-1 Сбор КП^BQ^ID_T005")</f>
        <v>1-1 Сбор КП^BQ^ID_T005</v>
      </c>
      <c r="E31" s="1112" t="s">
        <v>843</v>
      </c>
      <c r="F31" s="1112" t="s">
        <v>839</v>
      </c>
      <c r="G31" s="1112" t="s">
        <v>844</v>
      </c>
      <c r="H31" s="1112" t="s">
        <v>255</v>
      </c>
      <c r="I31" s="1112" t="s">
        <v>342</v>
      </c>
      <c r="J31" s="1114">
        <v>12000.0</v>
      </c>
      <c r="K31" s="1112" t="s">
        <v>289</v>
      </c>
      <c r="L31" s="1112" t="s">
        <v>346</v>
      </c>
      <c r="M31" s="1112"/>
      <c r="N31" s="1112"/>
      <c r="O31" s="1112"/>
      <c r="P31" s="1112" t="s">
        <v>346</v>
      </c>
      <c r="Q31" s="1112"/>
    </row>
    <row r="32">
      <c r="A32" s="1112"/>
      <c r="B32" s="1112"/>
      <c r="C32" s="1112"/>
      <c r="D32" s="1112" t="str">
        <f>IFERROR(__xludf.DUMMYFUNCTION("""COMPUTED_VALUE"""),"1-1 Сбор КП^BE^ID_T005")</f>
        <v>1-1 Сбор КП^BE^ID_T005</v>
      </c>
      <c r="E32" s="1112" t="s">
        <v>847</v>
      </c>
      <c r="F32" s="1112" t="s">
        <v>839</v>
      </c>
      <c r="G32" s="1112" t="s">
        <v>848</v>
      </c>
      <c r="H32" s="1112" t="s">
        <v>251</v>
      </c>
      <c r="I32" s="1112" t="s">
        <v>342</v>
      </c>
      <c r="J32" s="1114">
        <v>12800.0</v>
      </c>
      <c r="K32" s="1112" t="s">
        <v>283</v>
      </c>
      <c r="L32" s="1112" t="s">
        <v>343</v>
      </c>
      <c r="M32" s="1112"/>
      <c r="N32" s="1112"/>
      <c r="O32" s="1112"/>
      <c r="P32" s="1112" t="s">
        <v>343</v>
      </c>
      <c r="Q32" s="1112"/>
    </row>
    <row r="33">
      <c r="A33" s="1112"/>
      <c r="B33" s="1112"/>
      <c r="C33" s="1112"/>
      <c r="D33" s="1112" t="str">
        <f>IFERROR(__xludf.DUMMYFUNCTION("""COMPUTED_VALUE"""),"1-1 Сбор КП^BK^ID_T005")</f>
        <v>1-1 Сбор КП^BK^ID_T005</v>
      </c>
      <c r="E33" s="1112" t="s">
        <v>850</v>
      </c>
      <c r="F33" s="1112" t="s">
        <v>839</v>
      </c>
      <c r="G33" s="1112" t="s">
        <v>851</v>
      </c>
      <c r="H33" s="1112" t="s">
        <v>253</v>
      </c>
      <c r="I33" s="1112" t="s">
        <v>342</v>
      </c>
      <c r="J33" s="1114">
        <v>12900.0</v>
      </c>
      <c r="K33" s="1112" t="s">
        <v>287</v>
      </c>
      <c r="L33" s="1112" t="s">
        <v>345</v>
      </c>
      <c r="M33" s="1112"/>
      <c r="N33" s="1112"/>
      <c r="O33" s="1112"/>
      <c r="P33" s="1112" t="s">
        <v>345</v>
      </c>
      <c r="Q33" s="1112"/>
    </row>
    <row r="34">
      <c r="A34" s="1112"/>
      <c r="B34" s="1112"/>
      <c r="C34" s="1112"/>
      <c r="D34" s="1112" t="str">
        <f>IFERROR(__xludf.DUMMYFUNCTION("""COMPUTED_VALUE"""),"1-1 Сбор КП^BH^ID_T005")</f>
        <v>1-1 Сбор КП^BH^ID_T005</v>
      </c>
      <c r="E34" s="1112" t="s">
        <v>852</v>
      </c>
      <c r="F34" s="1112" t="s">
        <v>839</v>
      </c>
      <c r="G34" s="1112" t="s">
        <v>853</v>
      </c>
      <c r="H34" s="1112" t="s">
        <v>252</v>
      </c>
      <c r="I34" s="1112" t="s">
        <v>342</v>
      </c>
      <c r="J34" s="1114">
        <v>16600.0</v>
      </c>
      <c r="K34" s="1112" t="s">
        <v>285</v>
      </c>
      <c r="L34" s="1112" t="s">
        <v>344</v>
      </c>
      <c r="M34" s="1112"/>
      <c r="N34" s="1112"/>
      <c r="O34" s="1112"/>
      <c r="P34" s="1112" t="s">
        <v>344</v>
      </c>
      <c r="Q34" s="1112"/>
    </row>
    <row r="35">
      <c r="A35" s="1112"/>
      <c r="B35" s="1112"/>
      <c r="C35" s="1112"/>
      <c r="D35" s="1112" t="str">
        <f>IFERROR(__xludf.DUMMYFUNCTION("""COMPUTED_VALUE"""),"1-1 Сбор КП^BQ^ID_T006")</f>
        <v>1-1 Сбор КП^BQ^ID_T006</v>
      </c>
      <c r="E35" s="1112" t="s">
        <v>843</v>
      </c>
      <c r="F35" s="1112" t="s">
        <v>839</v>
      </c>
      <c r="G35" s="1112" t="s">
        <v>844</v>
      </c>
      <c r="H35" s="1112" t="s">
        <v>255</v>
      </c>
      <c r="I35" s="1112" t="s">
        <v>360</v>
      </c>
      <c r="J35" s="1114">
        <v>950.0</v>
      </c>
      <c r="K35" s="1112" t="s">
        <v>289</v>
      </c>
      <c r="L35" s="1112" t="s">
        <v>364</v>
      </c>
      <c r="M35" s="1112"/>
      <c r="N35" s="1112"/>
      <c r="O35" s="1112"/>
      <c r="P35" s="1112" t="s">
        <v>364</v>
      </c>
      <c r="Q35" s="1112"/>
    </row>
    <row r="36">
      <c r="A36" s="1112"/>
      <c r="B36" s="1112"/>
      <c r="C36" s="1112"/>
      <c r="D36" s="1112" t="str">
        <f>IFERROR(__xludf.DUMMYFUNCTION("""COMPUTED_VALUE"""),"1-1 Сбор КП^BZ^ID_T006")</f>
        <v>1-1 Сбор КП^BZ^ID_T006</v>
      </c>
      <c r="E36" s="1112" t="s">
        <v>845</v>
      </c>
      <c r="F36" s="1112" t="s">
        <v>839</v>
      </c>
      <c r="G36" s="1112" t="s">
        <v>846</v>
      </c>
      <c r="H36" s="1112" t="s">
        <v>258</v>
      </c>
      <c r="I36" s="1112" t="s">
        <v>360</v>
      </c>
      <c r="J36" s="1114">
        <v>2547.36</v>
      </c>
      <c r="K36" s="1112" t="s">
        <v>349</v>
      </c>
      <c r="L36" s="1112" t="s">
        <v>357</v>
      </c>
      <c r="M36" s="1112"/>
      <c r="N36" s="1112"/>
      <c r="O36" s="1112"/>
      <c r="P36" s="1112" t="s">
        <v>357</v>
      </c>
      <c r="Q36" s="1112"/>
    </row>
    <row r="37">
      <c r="A37" s="1112"/>
      <c r="B37" s="1112"/>
      <c r="C37" s="1112"/>
      <c r="D37" s="1112" t="str">
        <f>IFERROR(__xludf.DUMMYFUNCTION("""COMPUTED_VALUE"""),"1-1 Сбор КП^BE^ID_T006")</f>
        <v>1-1 Сбор КП^BE^ID_T006</v>
      </c>
      <c r="E37" s="1112" t="s">
        <v>847</v>
      </c>
      <c r="F37" s="1112" t="s">
        <v>839</v>
      </c>
      <c r="G37" s="1112" t="s">
        <v>848</v>
      </c>
      <c r="H37" s="1112" t="s">
        <v>251</v>
      </c>
      <c r="I37" s="1112" t="s">
        <v>360</v>
      </c>
      <c r="J37" s="1114">
        <v>2750.0</v>
      </c>
      <c r="K37" s="1112" t="s">
        <v>283</v>
      </c>
      <c r="L37" s="1112" t="s">
        <v>361</v>
      </c>
      <c r="M37" s="1112"/>
      <c r="N37" s="1112"/>
      <c r="O37" s="1112"/>
      <c r="P37" s="1112" t="s">
        <v>361</v>
      </c>
      <c r="Q37" s="1112"/>
    </row>
    <row r="38">
      <c r="A38" s="1112"/>
      <c r="B38" s="1112"/>
      <c r="C38" s="1112"/>
      <c r="D38" s="1112" t="str">
        <f>IFERROR(__xludf.DUMMYFUNCTION("""COMPUTED_VALUE"""),"1-1 Сбор КП^CI^ID_T006")</f>
        <v>1-1 Сбор КП^CI^ID_T006</v>
      </c>
      <c r="E38" s="1112" t="s">
        <v>838</v>
      </c>
      <c r="F38" s="1112" t="s">
        <v>839</v>
      </c>
      <c r="G38" s="1112" t="s">
        <v>840</v>
      </c>
      <c r="H38" s="1112" t="s">
        <v>261</v>
      </c>
      <c r="I38" s="1112" t="s">
        <v>360</v>
      </c>
      <c r="J38" s="1114">
        <v>3650.0</v>
      </c>
      <c r="K38" s="1112" t="s">
        <v>283</v>
      </c>
      <c r="L38" s="1112" t="s">
        <v>368</v>
      </c>
      <c r="M38" s="1112"/>
      <c r="N38" s="1112"/>
      <c r="O38" s="1112"/>
      <c r="P38" s="1112" t="s">
        <v>368</v>
      </c>
      <c r="Q38" s="1112"/>
    </row>
    <row r="39">
      <c r="A39" s="1112"/>
      <c r="B39" s="1112"/>
      <c r="C39" s="1112"/>
      <c r="D39" s="1112" t="str">
        <f>IFERROR(__xludf.DUMMYFUNCTION("""COMPUTED_VALUE"""),"1-1 Сбор КП^BK^ID_T006")</f>
        <v>1-1 Сбор КП^BK^ID_T006</v>
      </c>
      <c r="E39" s="1112" t="s">
        <v>850</v>
      </c>
      <c r="F39" s="1112" t="s">
        <v>839</v>
      </c>
      <c r="G39" s="1112" t="s">
        <v>851</v>
      </c>
      <c r="H39" s="1112" t="s">
        <v>253</v>
      </c>
      <c r="I39" s="1112" t="s">
        <v>360</v>
      </c>
      <c r="J39" s="1114">
        <v>3900.0</v>
      </c>
      <c r="K39" s="1112" t="s">
        <v>287</v>
      </c>
      <c r="L39" s="1112" t="s">
        <v>363</v>
      </c>
      <c r="M39" s="1112"/>
      <c r="N39" s="1112"/>
      <c r="O39" s="1112"/>
      <c r="P39" s="1112" t="s">
        <v>363</v>
      </c>
      <c r="Q39" s="1112"/>
    </row>
    <row r="40">
      <c r="A40" s="1112"/>
      <c r="B40" s="1112"/>
      <c r="C40" s="1112"/>
      <c r="D40" s="1112" t="str">
        <f>IFERROR(__xludf.DUMMYFUNCTION("""COMPUTED_VALUE"""),"1-1 Сбор КП^BH^ID_T006")</f>
        <v>1-1 Сбор КП^BH^ID_T006</v>
      </c>
      <c r="E40" s="1112" t="s">
        <v>852</v>
      </c>
      <c r="F40" s="1112" t="s">
        <v>839</v>
      </c>
      <c r="G40" s="1112" t="s">
        <v>853</v>
      </c>
      <c r="H40" s="1112" t="s">
        <v>252</v>
      </c>
      <c r="I40" s="1112" t="s">
        <v>360</v>
      </c>
      <c r="J40" s="1114">
        <v>9800.0</v>
      </c>
      <c r="K40" s="1112" t="s">
        <v>285</v>
      </c>
      <c r="L40" s="1112" t="s">
        <v>362</v>
      </c>
      <c r="M40" s="1112"/>
      <c r="N40" s="1112"/>
      <c r="O40" s="1112"/>
      <c r="P40" s="1112" t="s">
        <v>362</v>
      </c>
      <c r="Q40" s="1112"/>
    </row>
    <row r="41">
      <c r="A41" s="1112"/>
      <c r="B41" s="1112"/>
      <c r="C41" s="1112"/>
      <c r="D41" s="1112" t="str">
        <f>IFERROR(__xludf.DUMMYFUNCTION("""COMPUTED_VALUE"""),"1-1 Сбор КП^CI^ID_T007")</f>
        <v>1-1 Сбор КП^CI^ID_T007</v>
      </c>
      <c r="E41" s="1112" t="s">
        <v>838</v>
      </c>
      <c r="F41" s="1112" t="s">
        <v>839</v>
      </c>
      <c r="G41" s="1112" t="s">
        <v>840</v>
      </c>
      <c r="H41" s="1112" t="s">
        <v>261</v>
      </c>
      <c r="I41" s="1112" t="s">
        <v>376</v>
      </c>
      <c r="J41" s="1114">
        <v>1600.0</v>
      </c>
      <c r="K41" s="1112" t="s">
        <v>283</v>
      </c>
      <c r="L41" s="1112" t="s">
        <v>383</v>
      </c>
      <c r="M41" s="1112"/>
      <c r="N41" s="1112"/>
      <c r="O41" s="1112"/>
      <c r="P41" s="1112" t="s">
        <v>383</v>
      </c>
      <c r="Q41" s="1112"/>
    </row>
    <row r="42">
      <c r="A42" s="1112"/>
      <c r="B42" s="1112"/>
      <c r="C42" s="1112"/>
      <c r="D42" s="1112" t="str">
        <f>IFERROR(__xludf.DUMMYFUNCTION("""COMPUTED_VALUE"""),"1-1 Сбор КП^BE^ID_T007")</f>
        <v>1-1 Сбор КП^BE^ID_T007</v>
      </c>
      <c r="E42" s="1112" t="s">
        <v>847</v>
      </c>
      <c r="F42" s="1112" t="s">
        <v>839</v>
      </c>
      <c r="G42" s="1112" t="s">
        <v>848</v>
      </c>
      <c r="H42" s="1112" t="s">
        <v>251</v>
      </c>
      <c r="I42" s="1112" t="s">
        <v>376</v>
      </c>
      <c r="J42" s="1114">
        <v>1850.0</v>
      </c>
      <c r="K42" s="1112" t="s">
        <v>283</v>
      </c>
      <c r="L42" s="1112" t="s">
        <v>377</v>
      </c>
      <c r="M42" s="1112"/>
      <c r="N42" s="1112"/>
      <c r="O42" s="1112"/>
      <c r="P42" s="1112" t="s">
        <v>377</v>
      </c>
      <c r="Q42" s="1112"/>
    </row>
    <row r="43">
      <c r="A43" s="1112"/>
      <c r="B43" s="1112"/>
      <c r="C43" s="1112"/>
      <c r="D43" s="1112" t="str">
        <f>IFERROR(__xludf.DUMMYFUNCTION("""COMPUTED_VALUE"""),"1-1 Сбор КП^BQ^ID_T007")</f>
        <v>1-1 Сбор КП^BQ^ID_T007</v>
      </c>
      <c r="E43" s="1112" t="s">
        <v>843</v>
      </c>
      <c r="F43" s="1112" t="s">
        <v>839</v>
      </c>
      <c r="G43" s="1112" t="s">
        <v>844</v>
      </c>
      <c r="H43" s="1112" t="s">
        <v>255</v>
      </c>
      <c r="I43" s="1112" t="s">
        <v>376</v>
      </c>
      <c r="J43" s="1114">
        <v>1900.0</v>
      </c>
      <c r="K43" s="1112" t="s">
        <v>289</v>
      </c>
      <c r="L43" s="1112" t="s">
        <v>380</v>
      </c>
      <c r="M43" s="1112"/>
      <c r="N43" s="1112"/>
      <c r="O43" s="1112"/>
      <c r="P43" s="1112" t="s">
        <v>380</v>
      </c>
      <c r="Q43" s="1112"/>
    </row>
    <row r="44">
      <c r="A44" s="1112"/>
      <c r="B44" s="1112"/>
      <c r="C44" s="1112"/>
      <c r="D44" s="1112" t="str">
        <f>IFERROR(__xludf.DUMMYFUNCTION("""COMPUTED_VALUE"""),"1-1 Сбор КП^BZ^ID_T007")</f>
        <v>1-1 Сбор КП^BZ^ID_T007</v>
      </c>
      <c r="E44" s="1112" t="s">
        <v>845</v>
      </c>
      <c r="F44" s="1112" t="s">
        <v>839</v>
      </c>
      <c r="G44" s="1112" t="s">
        <v>846</v>
      </c>
      <c r="H44" s="1112" t="s">
        <v>258</v>
      </c>
      <c r="I44" s="1112" t="s">
        <v>376</v>
      </c>
      <c r="J44" s="1114">
        <v>2275.0</v>
      </c>
      <c r="K44" s="1112" t="s">
        <v>349</v>
      </c>
      <c r="L44" s="1112" t="s">
        <v>373</v>
      </c>
      <c r="M44" s="1112"/>
      <c r="N44" s="1112"/>
      <c r="O44" s="1112"/>
      <c r="P44" s="1112" t="s">
        <v>373</v>
      </c>
      <c r="Q44" s="1112"/>
    </row>
    <row r="45">
      <c r="A45" s="1112"/>
      <c r="B45" s="1112"/>
      <c r="C45" s="1112"/>
      <c r="D45" s="1112" t="str">
        <f>IFERROR(__xludf.DUMMYFUNCTION("""COMPUTED_VALUE"""),"1-1 Сбор КП^BK^ID_T007")</f>
        <v>1-1 Сбор КП^BK^ID_T007</v>
      </c>
      <c r="E45" s="1112" t="s">
        <v>850</v>
      </c>
      <c r="F45" s="1112" t="s">
        <v>839</v>
      </c>
      <c r="G45" s="1112" t="s">
        <v>851</v>
      </c>
      <c r="H45" s="1112" t="s">
        <v>253</v>
      </c>
      <c r="I45" s="1112" t="s">
        <v>376</v>
      </c>
      <c r="J45" s="1114">
        <v>4400.0</v>
      </c>
      <c r="K45" s="1112" t="s">
        <v>287</v>
      </c>
      <c r="L45" s="1112" t="s">
        <v>379</v>
      </c>
      <c r="M45" s="1112"/>
      <c r="N45" s="1112"/>
      <c r="O45" s="1112"/>
      <c r="P45" s="1112" t="s">
        <v>379</v>
      </c>
      <c r="Q45" s="1112"/>
    </row>
    <row r="46">
      <c r="A46" s="1112"/>
      <c r="B46" s="1112"/>
      <c r="C46" s="1112"/>
      <c r="D46" s="1112" t="str">
        <f>IFERROR(__xludf.DUMMYFUNCTION("""COMPUTED_VALUE"""),"1-1 Сбор КП^BH^ID_T007")</f>
        <v>1-1 Сбор КП^BH^ID_T007</v>
      </c>
      <c r="E46" s="1112" t="s">
        <v>852</v>
      </c>
      <c r="F46" s="1112" t="s">
        <v>839</v>
      </c>
      <c r="G46" s="1112" t="s">
        <v>853</v>
      </c>
      <c r="H46" s="1112" t="s">
        <v>252</v>
      </c>
      <c r="I46" s="1112" t="s">
        <v>376</v>
      </c>
      <c r="J46" s="1114">
        <v>9500.0</v>
      </c>
      <c r="K46" s="1112" t="s">
        <v>285</v>
      </c>
      <c r="L46" s="1112" t="s">
        <v>378</v>
      </c>
      <c r="M46" s="1112"/>
      <c r="N46" s="1112"/>
      <c r="O46" s="1112"/>
      <c r="P46" s="1112" t="s">
        <v>378</v>
      </c>
      <c r="Q46" s="1112"/>
    </row>
    <row r="47">
      <c r="A47" s="1112"/>
      <c r="B47" s="1112"/>
      <c r="C47" s="1112"/>
      <c r="D47" s="1112" t="str">
        <f>IFERROR(__xludf.DUMMYFUNCTION("""COMPUTED_VALUE"""),"1-1 Сбор КП^CC^ID_T008")</f>
        <v>1-1 Сбор КП^CC^ID_T008</v>
      </c>
      <c r="E47" s="1112" t="s">
        <v>861</v>
      </c>
      <c r="F47" s="1112" t="s">
        <v>839</v>
      </c>
      <c r="G47" s="1112" t="s">
        <v>862</v>
      </c>
      <c r="H47" s="1112" t="s">
        <v>259</v>
      </c>
      <c r="I47" s="1112" t="s">
        <v>384</v>
      </c>
      <c r="J47" s="1114">
        <v>42883.0</v>
      </c>
      <c r="K47" s="1112" t="s">
        <v>433</v>
      </c>
      <c r="L47" s="1112" t="s">
        <v>434</v>
      </c>
      <c r="M47" s="1112"/>
      <c r="N47" s="1112"/>
      <c r="O47" s="1112"/>
      <c r="P47" s="1112" t="s">
        <v>434</v>
      </c>
      <c r="Q47" s="1112"/>
    </row>
    <row r="48">
      <c r="A48" s="1112"/>
      <c r="B48" s="1112"/>
      <c r="C48" s="1112"/>
      <c r="D48" s="1112" t="str">
        <f>IFERROR(__xludf.DUMMYFUNCTION("""COMPUTED_VALUE"""),"1-1 Сбор КП^AP^ID_T008")</f>
        <v>1-1 Сбор КП^AP^ID_T008</v>
      </c>
      <c r="E48" s="1112" t="s">
        <v>864</v>
      </c>
      <c r="F48" s="1112" t="s">
        <v>839</v>
      </c>
      <c r="G48" s="1112" t="s">
        <v>865</v>
      </c>
      <c r="H48" s="1112" t="s">
        <v>246</v>
      </c>
      <c r="I48" s="1112" t="s">
        <v>384</v>
      </c>
      <c r="J48" s="1114">
        <v>104000.0</v>
      </c>
      <c r="K48" s="1112" t="s">
        <v>349</v>
      </c>
      <c r="L48" s="1112" t="s">
        <v>428</v>
      </c>
      <c r="M48" s="1112"/>
      <c r="N48" s="1112"/>
      <c r="O48" s="1112"/>
      <c r="P48" s="1112" t="s">
        <v>428</v>
      </c>
      <c r="Q48" s="1112"/>
    </row>
    <row r="49">
      <c r="A49" s="1112"/>
      <c r="B49" s="1112"/>
      <c r="C49" s="1112"/>
      <c r="D49" s="1112" t="str">
        <f>IFERROR(__xludf.DUMMYFUNCTION("""COMPUTED_VALUE"""),"1-1 Сбор КП^AM^ID_T008")</f>
        <v>1-1 Сбор КП^AM^ID_T008</v>
      </c>
      <c r="E49" s="1112" t="s">
        <v>866</v>
      </c>
      <c r="F49" s="1112" t="s">
        <v>839</v>
      </c>
      <c r="G49" s="1112" t="s">
        <v>867</v>
      </c>
      <c r="H49" s="1112" t="s">
        <v>245</v>
      </c>
      <c r="I49" s="1112" t="s">
        <v>384</v>
      </c>
      <c r="J49" s="1114">
        <v>156500.0</v>
      </c>
      <c r="K49" s="1112" t="s">
        <v>349</v>
      </c>
      <c r="L49" s="1112" t="s">
        <v>427</v>
      </c>
      <c r="M49" s="1112"/>
      <c r="N49" s="1112"/>
      <c r="O49" s="1112"/>
      <c r="P49" s="1112" t="s">
        <v>427</v>
      </c>
      <c r="Q49" s="1112"/>
    </row>
    <row r="50">
      <c r="A50" s="1112"/>
      <c r="B50" s="1112"/>
      <c r="C50" s="1112"/>
      <c r="D50" s="1112" t="str">
        <f>IFERROR(__xludf.DUMMYFUNCTION("""COMPUTED_VALUE"""),"1-1 Сбор КП^BB^ID_T008")</f>
        <v>1-1 Сбор КП^BB^ID_T008</v>
      </c>
      <c r="E50" s="1112" t="s">
        <v>869</v>
      </c>
      <c r="F50" s="1112" t="s">
        <v>839</v>
      </c>
      <c r="G50" s="1112" t="s">
        <v>870</v>
      </c>
      <c r="H50" s="1112" t="s">
        <v>250</v>
      </c>
      <c r="I50" s="1112" t="s">
        <v>384</v>
      </c>
      <c r="J50" s="1114">
        <v>417300.0</v>
      </c>
      <c r="K50" s="1112" t="s">
        <v>429</v>
      </c>
      <c r="L50" s="1112" t="s">
        <v>430</v>
      </c>
      <c r="M50" s="1112"/>
      <c r="N50" s="1112"/>
      <c r="O50" s="1112"/>
      <c r="P50" s="1112" t="s">
        <v>430</v>
      </c>
      <c r="Q50" s="1112"/>
    </row>
    <row r="51">
      <c r="A51" s="1112"/>
      <c r="B51" s="1112"/>
      <c r="C51" s="1112"/>
      <c r="D51" s="1112" t="str">
        <f>IFERROR(__xludf.DUMMYFUNCTION("""COMPUTED_VALUE"""),"1-1 Сбор КП^CC^ID_T009")</f>
        <v>1-1 Сбор КП^CC^ID_T009</v>
      </c>
      <c r="E51" s="1112" t="s">
        <v>861</v>
      </c>
      <c r="F51" s="1112" t="s">
        <v>839</v>
      </c>
      <c r="G51" s="1112" t="s">
        <v>862</v>
      </c>
      <c r="H51" s="1112" t="s">
        <v>259</v>
      </c>
      <c r="I51" s="1112" t="s">
        <v>387</v>
      </c>
      <c r="J51" s="1114">
        <v>183976.0</v>
      </c>
      <c r="K51" s="1112" t="s">
        <v>433</v>
      </c>
      <c r="L51" s="1112" t="s">
        <v>451</v>
      </c>
      <c r="M51" s="1112"/>
      <c r="N51" s="1112"/>
      <c r="O51" s="1112"/>
      <c r="P51" s="1112" t="s">
        <v>451</v>
      </c>
      <c r="Q51" s="1112"/>
    </row>
    <row r="52">
      <c r="A52" s="1112"/>
      <c r="B52" s="1112"/>
      <c r="C52" s="1112"/>
      <c r="D52" s="1112" t="str">
        <f>IFERROR(__xludf.DUMMYFUNCTION("""COMPUTED_VALUE"""),"1-1 Сбор КП^AM^ID_T009")</f>
        <v>1-1 Сбор КП^AM^ID_T009</v>
      </c>
      <c r="E52" s="1112" t="s">
        <v>866</v>
      </c>
      <c r="F52" s="1112" t="s">
        <v>839</v>
      </c>
      <c r="G52" s="1112" t="s">
        <v>867</v>
      </c>
      <c r="H52" s="1112" t="s">
        <v>245</v>
      </c>
      <c r="I52" s="1112" t="s">
        <v>387</v>
      </c>
      <c r="J52" s="1114">
        <v>599500.0</v>
      </c>
      <c r="K52" s="1112" t="s">
        <v>349</v>
      </c>
      <c r="L52" s="1112" t="s">
        <v>447</v>
      </c>
      <c r="M52" s="1112"/>
      <c r="N52" s="1112"/>
      <c r="O52" s="1112"/>
      <c r="P52" s="1112" t="s">
        <v>447</v>
      </c>
      <c r="Q52" s="1112"/>
    </row>
    <row r="53">
      <c r="A53" s="1112"/>
      <c r="B53" s="1112"/>
      <c r="C53" s="1112"/>
      <c r="D53" s="1112" t="str">
        <f>IFERROR(__xludf.DUMMYFUNCTION("""COMPUTED_VALUE"""),"1-1 Сбор КП^AP^ID_T009")</f>
        <v>1-1 Сбор КП^AP^ID_T009</v>
      </c>
      <c r="E53" s="1112" t="s">
        <v>864</v>
      </c>
      <c r="F53" s="1112" t="s">
        <v>839</v>
      </c>
      <c r="G53" s="1112" t="s">
        <v>865</v>
      </c>
      <c r="H53" s="1112" t="s">
        <v>246</v>
      </c>
      <c r="I53" s="1112" t="s">
        <v>387</v>
      </c>
      <c r="J53" s="1114">
        <v>1057940.0</v>
      </c>
      <c r="K53" s="1112" t="s">
        <v>349</v>
      </c>
      <c r="L53" s="1112" t="s">
        <v>448</v>
      </c>
      <c r="M53" s="1112"/>
      <c r="N53" s="1112"/>
      <c r="O53" s="1112"/>
      <c r="P53" s="1112" t="s">
        <v>448</v>
      </c>
      <c r="Q53" s="1112"/>
    </row>
    <row r="54">
      <c r="A54" s="1112"/>
      <c r="B54" s="1112"/>
      <c r="C54" s="1112"/>
      <c r="D54" s="1112" t="str">
        <f>IFERROR(__xludf.DUMMYFUNCTION("""COMPUTED_VALUE"""),"1-1 Сбор КП^BB^ID_T009")</f>
        <v>1-1 Сбор КП^BB^ID_T009</v>
      </c>
      <c r="E54" s="1112" t="s">
        <v>869</v>
      </c>
      <c r="F54" s="1112" t="s">
        <v>839</v>
      </c>
      <c r="G54" s="1112" t="s">
        <v>870</v>
      </c>
      <c r="H54" s="1112" t="s">
        <v>250</v>
      </c>
      <c r="I54" s="1112" t="s">
        <v>387</v>
      </c>
      <c r="J54" s="1114">
        <v>1615440.0</v>
      </c>
      <c r="K54" s="1112" t="s">
        <v>429</v>
      </c>
      <c r="L54" s="1112" t="s">
        <v>449</v>
      </c>
      <c r="M54" s="1112"/>
      <c r="N54" s="1112"/>
      <c r="O54" s="1112"/>
      <c r="P54" s="1112" t="s">
        <v>449</v>
      </c>
      <c r="Q54" s="1112"/>
    </row>
    <row r="55">
      <c r="A55" s="1112"/>
      <c r="B55" s="1112"/>
      <c r="C55" s="1112"/>
      <c r="D55" s="1112" t="str">
        <f>IFERROR(__xludf.DUMMYFUNCTION("""COMPUTED_VALUE"""),"1-1 Сбор КП^AJ^ID_T010")</f>
        <v>1-1 Сбор КП^AJ^ID_T010</v>
      </c>
      <c r="E55" s="1112" t="s">
        <v>872</v>
      </c>
      <c r="F55" s="1112" t="s">
        <v>839</v>
      </c>
      <c r="G55" s="1112" t="s">
        <v>873</v>
      </c>
      <c r="H55" s="1112" t="s">
        <v>244</v>
      </c>
      <c r="I55" s="1112" t="s">
        <v>390</v>
      </c>
      <c r="J55" s="1114">
        <v>59800.0</v>
      </c>
      <c r="K55" s="1112" t="s">
        <v>283</v>
      </c>
      <c r="L55" s="1112" t="s">
        <v>464</v>
      </c>
      <c r="M55" s="1112"/>
      <c r="N55" s="1112"/>
      <c r="O55" s="1112"/>
      <c r="P55" s="1112" t="s">
        <v>464</v>
      </c>
      <c r="Q55" s="1112"/>
    </row>
    <row r="56">
      <c r="A56" s="1112"/>
      <c r="B56" s="1112"/>
      <c r="C56" s="1112"/>
      <c r="D56" s="1112" t="str">
        <f>IFERROR(__xludf.DUMMYFUNCTION("""COMPUTED_VALUE"""),"1-1 Сбор КП^AJ^ID_T011")</f>
        <v>1-1 Сбор КП^AJ^ID_T011</v>
      </c>
      <c r="E56" s="1112" t="s">
        <v>872</v>
      </c>
      <c r="F56" s="1112" t="s">
        <v>839</v>
      </c>
      <c r="G56" s="1112" t="s">
        <v>873</v>
      </c>
      <c r="H56" s="1112" t="s">
        <v>244</v>
      </c>
      <c r="I56" s="1112" t="s">
        <v>393</v>
      </c>
      <c r="J56" s="1114">
        <v>5100.0</v>
      </c>
      <c r="K56" s="1112" t="s">
        <v>283</v>
      </c>
      <c r="L56" s="1112" t="s">
        <v>395</v>
      </c>
      <c r="M56" s="1112"/>
      <c r="N56" s="1112"/>
      <c r="O56" s="1112"/>
      <c r="P56" s="1112" t="s">
        <v>395</v>
      </c>
      <c r="Q56" s="1112"/>
    </row>
    <row r="57">
      <c r="A57" s="1112"/>
      <c r="B57" s="1112"/>
      <c r="C57" s="1112"/>
      <c r="D57" s="1112" t="str">
        <f>IFERROR(__xludf.DUMMYFUNCTION("""COMPUTED_VALUE"""),"1-1 Сбор КП^AJ^ID_T012")</f>
        <v>1-1 Сбор КП^AJ^ID_T012</v>
      </c>
      <c r="E57" s="1112" t="s">
        <v>872</v>
      </c>
      <c r="F57" s="1112" t="s">
        <v>839</v>
      </c>
      <c r="G57" s="1112" t="s">
        <v>873</v>
      </c>
      <c r="H57" s="1112" t="s">
        <v>244</v>
      </c>
      <c r="I57" s="1112" t="s">
        <v>396</v>
      </c>
      <c r="J57" s="1114">
        <v>3900.0</v>
      </c>
      <c r="K57" s="1112" t="s">
        <v>283</v>
      </c>
      <c r="L57" s="1112" t="s">
        <v>398</v>
      </c>
      <c r="M57" s="1112"/>
      <c r="N57" s="1112"/>
      <c r="O57" s="1112"/>
      <c r="P57" s="1112" t="s">
        <v>398</v>
      </c>
      <c r="Q57" s="1112"/>
    </row>
    <row r="58">
      <c r="A58" s="1112"/>
      <c r="B58" s="1112"/>
      <c r="C58" s="1112"/>
      <c r="D58" s="1112" t="str">
        <f>IFERROR(__xludf.DUMMYFUNCTION("""COMPUTED_VALUE"""),"1-1 Сбор КП^AD^ID_T012")</f>
        <v>1-1 Сбор КП^AD^ID_T012</v>
      </c>
      <c r="E58" s="1112" t="s">
        <v>875</v>
      </c>
      <c r="F58" s="1112" t="s">
        <v>839</v>
      </c>
      <c r="G58" s="1112" t="s">
        <v>876</v>
      </c>
      <c r="H58" s="1112" t="s">
        <v>242</v>
      </c>
      <c r="I58" s="1112" t="s">
        <v>396</v>
      </c>
      <c r="J58" s="1114">
        <v>7975.0058</v>
      </c>
      <c r="K58" s="1112"/>
      <c r="L58" s="1112" t="s">
        <v>472</v>
      </c>
      <c r="M58" s="1112"/>
      <c r="N58" s="1112"/>
      <c r="O58" s="1112"/>
      <c r="P58" s="1112" t="s">
        <v>472</v>
      </c>
      <c r="Q58" s="1112"/>
    </row>
    <row r="59">
      <c r="A59" s="1112"/>
      <c r="B59" s="1112"/>
      <c r="C59" s="1112"/>
      <c r="D59" s="1112" t="str">
        <f>IFERROR(__xludf.DUMMYFUNCTION("""COMPUTED_VALUE"""),"1-1 Сбор КП^AG^ID_T013")</f>
        <v>1-1 Сбор КП^AG^ID_T013</v>
      </c>
      <c r="E59" s="1112" t="s">
        <v>877</v>
      </c>
      <c r="F59" s="1112" t="s">
        <v>839</v>
      </c>
      <c r="G59" s="1112" t="s">
        <v>878</v>
      </c>
      <c r="H59" s="1112" t="s">
        <v>243</v>
      </c>
      <c r="I59" s="1112" t="s">
        <v>399</v>
      </c>
      <c r="J59" s="1114">
        <v>30825.0</v>
      </c>
      <c r="K59" s="1112" t="s">
        <v>287</v>
      </c>
      <c r="L59" s="1112" t="s">
        <v>495</v>
      </c>
      <c r="M59" s="1112"/>
      <c r="N59" s="1112"/>
      <c r="O59" s="1112"/>
      <c r="P59" s="1112" t="s">
        <v>495</v>
      </c>
      <c r="Q59" s="1112"/>
    </row>
    <row r="60">
      <c r="A60" s="1112"/>
      <c r="B60" s="1112"/>
      <c r="C60" s="1112"/>
      <c r="D60" s="1112" t="str">
        <f>IFERROR(__xludf.DUMMYFUNCTION("""COMPUTED_VALUE"""),"1-1 Сбор КП^BE^ID_T013")</f>
        <v>1-1 Сбор КП^BE^ID_T013</v>
      </c>
      <c r="E60" s="1112" t="s">
        <v>847</v>
      </c>
      <c r="F60" s="1112" t="s">
        <v>839</v>
      </c>
      <c r="G60" s="1112" t="s">
        <v>848</v>
      </c>
      <c r="H60" s="1112" t="s">
        <v>251</v>
      </c>
      <c r="I60" s="1112" t="s">
        <v>399</v>
      </c>
      <c r="J60" s="1114">
        <v>36900.0</v>
      </c>
      <c r="K60" s="1112" t="s">
        <v>283</v>
      </c>
      <c r="L60" s="1112" t="s">
        <v>499</v>
      </c>
      <c r="M60" s="1112"/>
      <c r="N60" s="1112"/>
      <c r="O60" s="1112"/>
      <c r="P60" s="1112" t="s">
        <v>499</v>
      </c>
      <c r="Q60" s="1112"/>
    </row>
    <row r="61">
      <c r="A61" s="1112"/>
      <c r="B61" s="1112"/>
      <c r="C61" s="1112"/>
      <c r="D61" s="1112" t="str">
        <f>IFERROR(__xludf.DUMMYFUNCTION("""COMPUTED_VALUE"""),"1-1 Сбор КП^AS^ID_T013")</f>
        <v>1-1 Сбор КП^AS^ID_T013</v>
      </c>
      <c r="E61" s="1112" t="s">
        <v>880</v>
      </c>
      <c r="F61" s="1112" t="s">
        <v>839</v>
      </c>
      <c r="G61" s="1112" t="s">
        <v>881</v>
      </c>
      <c r="H61" s="1112" t="s">
        <v>247</v>
      </c>
      <c r="I61" s="1112" t="s">
        <v>399</v>
      </c>
      <c r="J61" s="1114">
        <v>47250.0</v>
      </c>
      <c r="K61" s="1112" t="s">
        <v>496</v>
      </c>
      <c r="L61" s="1112" t="s">
        <v>495</v>
      </c>
      <c r="M61" s="1112"/>
      <c r="N61" s="1112"/>
      <c r="O61" s="1112"/>
      <c r="P61" s="1112" t="s">
        <v>495</v>
      </c>
      <c r="Q61" s="1112"/>
    </row>
    <row r="62">
      <c r="A62" s="1112"/>
      <c r="B62" s="1112"/>
      <c r="C62" s="1112"/>
      <c r="D62" s="1112" t="str">
        <f>IFERROR(__xludf.DUMMYFUNCTION("""COMPUTED_VALUE"""),"1-1 Сбор КП^AV^ID_T013")</f>
        <v>1-1 Сбор КП^AV^ID_T013</v>
      </c>
      <c r="E62" s="1112" t="s">
        <v>883</v>
      </c>
      <c r="F62" s="1112" t="s">
        <v>839</v>
      </c>
      <c r="G62" s="1112" t="s">
        <v>884</v>
      </c>
      <c r="H62" s="1112" t="s">
        <v>248</v>
      </c>
      <c r="I62" s="1112" t="s">
        <v>399</v>
      </c>
      <c r="J62" s="1114">
        <v>50500.0</v>
      </c>
      <c r="K62" s="1112" t="s">
        <v>497</v>
      </c>
      <c r="L62" s="1112" t="s">
        <v>498</v>
      </c>
      <c r="M62" s="1112"/>
      <c r="N62" s="1112"/>
      <c r="O62" s="1112"/>
      <c r="P62" s="1112" t="s">
        <v>498</v>
      </c>
      <c r="Q62" s="1112"/>
    </row>
    <row r="63">
      <c r="A63" s="1112"/>
      <c r="B63" s="1112"/>
      <c r="C63" s="1112"/>
      <c r="D63" s="1112" t="str">
        <f>IFERROR(__xludf.DUMMYFUNCTION("""COMPUTED_VALUE"""),"1-1 Сбор КП^AA^ID_T013")</f>
        <v>1-1 Сбор КП^AA^ID_T013</v>
      </c>
      <c r="E63" s="1112" t="s">
        <v>885</v>
      </c>
      <c r="F63" s="1112" t="s">
        <v>839</v>
      </c>
      <c r="G63" s="1112" t="s">
        <v>886</v>
      </c>
      <c r="H63" s="1112" t="s">
        <v>241</v>
      </c>
      <c r="I63" s="1112" t="s">
        <v>399</v>
      </c>
      <c r="J63" s="1114">
        <v>55000.0</v>
      </c>
      <c r="K63" s="1112" t="s">
        <v>493</v>
      </c>
      <c r="L63" s="1112" t="s">
        <v>494</v>
      </c>
      <c r="M63" s="1112"/>
      <c r="N63" s="1112"/>
      <c r="O63" s="1112"/>
      <c r="P63" s="1112" t="s">
        <v>494</v>
      </c>
      <c r="Q63" s="1112"/>
    </row>
    <row r="64">
      <c r="A64" s="1112"/>
      <c r="B64" s="1112"/>
      <c r="C64" s="1112"/>
      <c r="D64" s="1112" t="str">
        <f>IFERROR(__xludf.DUMMYFUNCTION("""COMPUTED_VALUE"""),"1-1 Сбор КП^BN^ID_T013")</f>
        <v>1-1 Сбор КП^BN^ID_T013</v>
      </c>
      <c r="E64" s="1112" t="s">
        <v>887</v>
      </c>
      <c r="F64" s="1112" t="s">
        <v>839</v>
      </c>
      <c r="G64" s="1112" t="s">
        <v>888</v>
      </c>
      <c r="H64" s="1112" t="s">
        <v>254</v>
      </c>
      <c r="I64" s="1112" t="s">
        <v>399</v>
      </c>
      <c r="J64" s="1114">
        <v>58476.0</v>
      </c>
      <c r="K64" s="1112" t="s">
        <v>493</v>
      </c>
      <c r="L64" s="1112" t="s">
        <v>500</v>
      </c>
      <c r="M64" s="1112"/>
      <c r="N64" s="1112"/>
      <c r="O64" s="1112"/>
      <c r="P64" s="1112" t="s">
        <v>500</v>
      </c>
      <c r="Q64" s="1112"/>
    </row>
    <row r="65">
      <c r="A65" s="1112"/>
      <c r="B65" s="1112"/>
      <c r="C65" s="1112"/>
      <c r="D65" s="1112" t="str">
        <f>IFERROR(__xludf.DUMMYFUNCTION("""COMPUTED_VALUE"""),"1-1 Сбор КП^AV^ID_T014")</f>
        <v>1-1 Сбор КП^AV^ID_T014</v>
      </c>
      <c r="E65" s="1112" t="s">
        <v>883</v>
      </c>
      <c r="F65" s="1112" t="s">
        <v>839</v>
      </c>
      <c r="G65" s="1112" t="s">
        <v>884</v>
      </c>
      <c r="H65" s="1112" t="s">
        <v>248</v>
      </c>
      <c r="I65" s="1112" t="s">
        <v>402</v>
      </c>
      <c r="J65" s="1114">
        <v>900.0</v>
      </c>
      <c r="K65" s="1112" t="s">
        <v>287</v>
      </c>
      <c r="L65" s="1112" t="s">
        <v>513</v>
      </c>
      <c r="M65" s="1112"/>
      <c r="N65" s="1112"/>
      <c r="O65" s="1112"/>
      <c r="P65" s="1112" t="s">
        <v>513</v>
      </c>
      <c r="Q65" s="1112"/>
    </row>
    <row r="66">
      <c r="A66" s="1112"/>
      <c r="B66" s="1112"/>
      <c r="C66" s="1112"/>
      <c r="D66" s="1112" t="str">
        <f>IFERROR(__xludf.DUMMYFUNCTION("""COMPUTED_VALUE"""),"1-1 Сбор КП^BN^ID_T014")</f>
        <v>1-1 Сбор КП^BN^ID_T014</v>
      </c>
      <c r="E66" s="1112" t="s">
        <v>887</v>
      </c>
      <c r="F66" s="1112" t="s">
        <v>839</v>
      </c>
      <c r="G66" s="1112" t="s">
        <v>888</v>
      </c>
      <c r="H66" s="1112" t="s">
        <v>254</v>
      </c>
      <c r="I66" s="1112" t="s">
        <v>402</v>
      </c>
      <c r="J66" s="1114">
        <v>1064.0</v>
      </c>
      <c r="K66" s="1112" t="s">
        <v>493</v>
      </c>
      <c r="L66" s="1112" t="s">
        <v>515</v>
      </c>
      <c r="M66" s="1112"/>
      <c r="N66" s="1112"/>
      <c r="O66" s="1112"/>
      <c r="P66" s="1112" t="s">
        <v>515</v>
      </c>
      <c r="Q66" s="1112"/>
    </row>
    <row r="67">
      <c r="A67" s="1112"/>
      <c r="B67" s="1112"/>
      <c r="C67" s="1112"/>
      <c r="D67" s="1112" t="str">
        <f>IFERROR(__xludf.DUMMYFUNCTION("""COMPUTED_VALUE"""),"1-1 Сбор КП^AG^ID_T014")</f>
        <v>1-1 Сбор КП^AG^ID_T014</v>
      </c>
      <c r="E67" s="1112" t="s">
        <v>877</v>
      </c>
      <c r="F67" s="1112" t="s">
        <v>839</v>
      </c>
      <c r="G67" s="1112" t="s">
        <v>878</v>
      </c>
      <c r="H67" s="1112" t="s">
        <v>243</v>
      </c>
      <c r="I67" s="1112" t="s">
        <v>402</v>
      </c>
      <c r="J67" s="1114">
        <v>1326.0</v>
      </c>
      <c r="K67" s="1112" t="s">
        <v>287</v>
      </c>
      <c r="L67" s="1112" t="s">
        <v>511</v>
      </c>
      <c r="M67" s="1112"/>
      <c r="N67" s="1112"/>
      <c r="O67" s="1112"/>
      <c r="P67" s="1112" t="s">
        <v>511</v>
      </c>
      <c r="Q67" s="1112"/>
    </row>
    <row r="68">
      <c r="A68" s="1112"/>
      <c r="B68" s="1112"/>
      <c r="C68" s="1112"/>
      <c r="D68" s="1112" t="str">
        <f>IFERROR(__xludf.DUMMYFUNCTION("""COMPUTED_VALUE"""),"1-1 Сбор КП^AY^ID_T014")</f>
        <v>1-1 Сбор КП^AY^ID_T014</v>
      </c>
      <c r="E68" s="1112" t="s">
        <v>891</v>
      </c>
      <c r="F68" s="1112" t="s">
        <v>839</v>
      </c>
      <c r="G68" s="1112" t="s">
        <v>892</v>
      </c>
      <c r="H68" s="1112" t="s">
        <v>249</v>
      </c>
      <c r="I68" s="1112" t="s">
        <v>402</v>
      </c>
      <c r="J68" s="1114">
        <v>1838.86</v>
      </c>
      <c r="K68" s="1112"/>
      <c r="L68" s="1112" t="s">
        <v>514</v>
      </c>
      <c r="M68" s="1112"/>
      <c r="N68" s="1112"/>
      <c r="O68" s="1112"/>
      <c r="P68" s="1112" t="s">
        <v>514</v>
      </c>
      <c r="Q68" s="1112"/>
    </row>
    <row r="69">
      <c r="A69" s="1112"/>
      <c r="B69" s="1112"/>
      <c r="C69" s="1112"/>
      <c r="D69" s="1112" t="str">
        <f>IFERROR(__xludf.DUMMYFUNCTION("""COMPUTED_VALUE"""),"1-1 Сбор КП^AA^ID_T014")</f>
        <v>1-1 Сбор КП^AA^ID_T014</v>
      </c>
      <c r="E69" s="1112" t="s">
        <v>885</v>
      </c>
      <c r="F69" s="1112" t="s">
        <v>839</v>
      </c>
      <c r="G69" s="1112" t="s">
        <v>886</v>
      </c>
      <c r="H69" s="1112" t="s">
        <v>241</v>
      </c>
      <c r="I69" s="1112" t="s">
        <v>402</v>
      </c>
      <c r="J69" s="1114">
        <v>2900.0</v>
      </c>
      <c r="K69" s="1112" t="s">
        <v>497</v>
      </c>
      <c r="L69" s="1112" t="s">
        <v>510</v>
      </c>
      <c r="M69" s="1112"/>
      <c r="N69" s="1112"/>
      <c r="O69" s="1112"/>
      <c r="P69" s="1112" t="s">
        <v>510</v>
      </c>
      <c r="Q69" s="1112"/>
    </row>
    <row r="70">
      <c r="A70" s="1112"/>
      <c r="B70" s="1112"/>
      <c r="C70" s="1112"/>
      <c r="D70" s="1112" t="str">
        <f>IFERROR(__xludf.DUMMYFUNCTION("""COMPUTED_VALUE"""),"1-1 Сбор КП^AS^ID_T014")</f>
        <v>1-1 Сбор КП^AS^ID_T014</v>
      </c>
      <c r="E70" s="1112" t="s">
        <v>880</v>
      </c>
      <c r="F70" s="1112" t="s">
        <v>839</v>
      </c>
      <c r="G70" s="1112" t="s">
        <v>881</v>
      </c>
      <c r="H70" s="1112" t="s">
        <v>247</v>
      </c>
      <c r="I70" s="1112" t="s">
        <v>402</v>
      </c>
      <c r="J70" s="1114">
        <v>6100.0</v>
      </c>
      <c r="K70" s="1112" t="s">
        <v>289</v>
      </c>
      <c r="L70" s="1112" t="s">
        <v>512</v>
      </c>
      <c r="M70" s="1112"/>
      <c r="N70" s="1112"/>
      <c r="O70" s="1112"/>
      <c r="P70" s="1112" t="s">
        <v>512</v>
      </c>
      <c r="Q70" s="1112"/>
    </row>
    <row r="71">
      <c r="A71" s="1112"/>
      <c r="B71" s="1112"/>
      <c r="C71" s="1112"/>
      <c r="D71" s="1112" t="str">
        <f>IFERROR(__xludf.DUMMYFUNCTION("""COMPUTED_VALUE"""),"1-1 Сбор КП^AV^ID_T015")</f>
        <v>1-1 Сбор КП^AV^ID_T015</v>
      </c>
      <c r="E71" s="1112" t="s">
        <v>883</v>
      </c>
      <c r="F71" s="1112" t="s">
        <v>839</v>
      </c>
      <c r="G71" s="1112" t="s">
        <v>884</v>
      </c>
      <c r="H71" s="1112" t="s">
        <v>248</v>
      </c>
      <c r="I71" s="1112" t="s">
        <v>405</v>
      </c>
      <c r="J71" s="1114">
        <v>2200.0</v>
      </c>
      <c r="K71" s="1112" t="s">
        <v>526</v>
      </c>
      <c r="L71" s="1112" t="s">
        <v>527</v>
      </c>
      <c r="M71" s="1112"/>
      <c r="N71" s="1112"/>
      <c r="O71" s="1112"/>
      <c r="P71" s="1112" t="s">
        <v>527</v>
      </c>
      <c r="Q71" s="1112"/>
    </row>
    <row r="72">
      <c r="A72" s="1112"/>
      <c r="B72" s="1112"/>
      <c r="C72" s="1112"/>
      <c r="D72" s="1112" t="str">
        <f>IFERROR(__xludf.DUMMYFUNCTION("""COMPUTED_VALUE"""),"1-1 Сбор КП^BN^ID_T015")</f>
        <v>1-1 Сбор КП^BN^ID_T015</v>
      </c>
      <c r="E72" s="1112" t="s">
        <v>887</v>
      </c>
      <c r="F72" s="1112" t="s">
        <v>839</v>
      </c>
      <c r="G72" s="1112" t="s">
        <v>888</v>
      </c>
      <c r="H72" s="1112" t="s">
        <v>254</v>
      </c>
      <c r="I72" s="1112" t="s">
        <v>405</v>
      </c>
      <c r="J72" s="1114">
        <v>2781.0</v>
      </c>
      <c r="K72" s="1112" t="s">
        <v>493</v>
      </c>
      <c r="L72" s="1112" t="s">
        <v>529</v>
      </c>
      <c r="M72" s="1112"/>
      <c r="N72" s="1112"/>
      <c r="O72" s="1112"/>
      <c r="P72" s="1112" t="s">
        <v>529</v>
      </c>
      <c r="Q72" s="1112"/>
    </row>
    <row r="73">
      <c r="A73" s="1112"/>
      <c r="B73" s="1112"/>
      <c r="C73" s="1112"/>
      <c r="D73" s="1112" t="str">
        <f>IFERROR(__xludf.DUMMYFUNCTION("""COMPUTED_VALUE"""),"1-1 Сбор КП^AG^ID_T015")</f>
        <v>1-1 Сбор КП^AG^ID_T015</v>
      </c>
      <c r="E73" s="1112" t="s">
        <v>877</v>
      </c>
      <c r="F73" s="1112" t="s">
        <v>839</v>
      </c>
      <c r="G73" s="1112" t="s">
        <v>878</v>
      </c>
      <c r="H73" s="1112" t="s">
        <v>243</v>
      </c>
      <c r="I73" s="1112" t="s">
        <v>405</v>
      </c>
      <c r="J73" s="1114">
        <v>2855.0</v>
      </c>
      <c r="K73" s="1112" t="s">
        <v>287</v>
      </c>
      <c r="L73" s="1112" t="s">
        <v>524</v>
      </c>
      <c r="M73" s="1112"/>
      <c r="N73" s="1112"/>
      <c r="O73" s="1112"/>
      <c r="P73" s="1112" t="s">
        <v>524</v>
      </c>
      <c r="Q73" s="1112"/>
    </row>
    <row r="74">
      <c r="A74" s="1112"/>
      <c r="B74" s="1112"/>
      <c r="C74" s="1112"/>
      <c r="D74" s="1112" t="str">
        <f>IFERROR(__xludf.DUMMYFUNCTION("""COMPUTED_VALUE"""),"1-1 Сбор КП^BE^ID_T015")</f>
        <v>1-1 Сбор КП^BE^ID_T015</v>
      </c>
      <c r="E74" s="1112" t="s">
        <v>847</v>
      </c>
      <c r="F74" s="1112" t="s">
        <v>839</v>
      </c>
      <c r="G74" s="1112" t="s">
        <v>848</v>
      </c>
      <c r="H74" s="1112" t="s">
        <v>251</v>
      </c>
      <c r="I74" s="1112" t="s">
        <v>405</v>
      </c>
      <c r="J74" s="1114">
        <v>3600.0</v>
      </c>
      <c r="K74" s="1112" t="s">
        <v>283</v>
      </c>
      <c r="L74" s="1112" t="s">
        <v>528</v>
      </c>
      <c r="M74" s="1112"/>
      <c r="N74" s="1112"/>
      <c r="O74" s="1112"/>
      <c r="P74" s="1112" t="s">
        <v>528</v>
      </c>
      <c r="Q74" s="1112"/>
    </row>
    <row r="75">
      <c r="A75" s="1112"/>
      <c r="B75" s="1112"/>
      <c r="C75" s="1112"/>
      <c r="D75" s="1112" t="str">
        <f>IFERROR(__xludf.DUMMYFUNCTION("""COMPUTED_VALUE"""),"1-1 Сбор КП^AA^ID_T015")</f>
        <v>1-1 Сбор КП^AA^ID_T015</v>
      </c>
      <c r="E75" s="1112" t="s">
        <v>885</v>
      </c>
      <c r="F75" s="1112" t="s">
        <v>839</v>
      </c>
      <c r="G75" s="1112" t="s">
        <v>886</v>
      </c>
      <c r="H75" s="1112" t="s">
        <v>241</v>
      </c>
      <c r="I75" s="1112" t="s">
        <v>405</v>
      </c>
      <c r="J75" s="1114">
        <v>3900.0</v>
      </c>
      <c r="K75" s="1112" t="s">
        <v>522</v>
      </c>
      <c r="L75" s="1112" t="s">
        <v>523</v>
      </c>
      <c r="M75" s="1112"/>
      <c r="N75" s="1112"/>
      <c r="O75" s="1112"/>
      <c r="P75" s="1112" t="s">
        <v>523</v>
      </c>
      <c r="Q75" s="1112"/>
    </row>
    <row r="76">
      <c r="A76" s="1112"/>
      <c r="B76" s="1112"/>
      <c r="C76" s="1112"/>
      <c r="D76" s="1112" t="str">
        <f>IFERROR(__xludf.DUMMYFUNCTION("""COMPUTED_VALUE"""),"1-1 Сбор КП^AS^ID_T015")</f>
        <v>1-1 Сбор КП^AS^ID_T015</v>
      </c>
      <c r="E76" s="1112" t="s">
        <v>880</v>
      </c>
      <c r="F76" s="1112" t="s">
        <v>839</v>
      </c>
      <c r="G76" s="1112" t="s">
        <v>881</v>
      </c>
      <c r="H76" s="1112" t="s">
        <v>247</v>
      </c>
      <c r="I76" s="1112" t="s">
        <v>405</v>
      </c>
      <c r="J76" s="1114">
        <v>4200.0</v>
      </c>
      <c r="K76" s="1112" t="s">
        <v>496</v>
      </c>
      <c r="L76" s="1112" t="s">
        <v>525</v>
      </c>
      <c r="M76" s="1112"/>
      <c r="N76" s="1112"/>
      <c r="O76" s="1112"/>
      <c r="P76" s="1112" t="s">
        <v>525</v>
      </c>
      <c r="Q76" s="1112"/>
    </row>
    <row r="77">
      <c r="A77" s="1112"/>
      <c r="B77" s="1112"/>
      <c r="C77" s="1112"/>
      <c r="D77" s="1112"/>
      <c r="E77" s="1112"/>
      <c r="F77" s="1112"/>
      <c r="G77" s="1112"/>
      <c r="H77" s="1112"/>
      <c r="I77" s="1112"/>
      <c r="J77" s="1114"/>
      <c r="K77" s="1112"/>
      <c r="L77" s="1112"/>
      <c r="M77" s="1112"/>
      <c r="N77" s="1112"/>
      <c r="O77" s="1112"/>
      <c r="P77" s="1112" t="s">
        <v>96</v>
      </c>
      <c r="Q77" s="1112"/>
    </row>
    <row r="78">
      <c r="A78" s="1112"/>
      <c r="B78" s="1112"/>
      <c r="C78" s="1112"/>
      <c r="D78" s="1112"/>
      <c r="E78" s="1112"/>
      <c r="F78" s="1112"/>
      <c r="G78" s="1112"/>
      <c r="H78" s="1112"/>
      <c r="I78" s="1112"/>
      <c r="J78" s="1114"/>
      <c r="K78" s="1112"/>
      <c r="L78" s="1112"/>
      <c r="M78" s="1112"/>
      <c r="N78" s="1112"/>
      <c r="O78" s="1112"/>
      <c r="P78" s="1112" t="s">
        <v>96</v>
      </c>
      <c r="Q78" s="1112"/>
    </row>
    <row r="79">
      <c r="A79" s="1112"/>
      <c r="B79" s="1112"/>
      <c r="C79" s="1112"/>
      <c r="D79" s="1112"/>
      <c r="E79" s="1112"/>
      <c r="F79" s="1112"/>
      <c r="G79" s="1112"/>
      <c r="H79" s="1112"/>
      <c r="I79" s="1112"/>
      <c r="J79" s="1114"/>
      <c r="K79" s="1112"/>
      <c r="L79" s="1112"/>
      <c r="M79" s="1112"/>
      <c r="N79" s="1112"/>
      <c r="O79" s="1112"/>
      <c r="P79" s="1112" t="s">
        <v>96</v>
      </c>
      <c r="Q79" s="1112"/>
    </row>
    <row r="80">
      <c r="A80" s="1112"/>
      <c r="B80" s="1112"/>
      <c r="C80" s="1112"/>
      <c r="D80" s="1112"/>
      <c r="E80" s="1112"/>
      <c r="F80" s="1112"/>
      <c r="G80" s="1112"/>
      <c r="H80" s="1112"/>
      <c r="I80" s="1112"/>
      <c r="J80" s="1114"/>
      <c r="K80" s="1112"/>
      <c r="L80" s="1112"/>
      <c r="M80" s="1112"/>
      <c r="N80" s="1112"/>
      <c r="O80" s="1112"/>
      <c r="P80" s="1112" t="s">
        <v>96</v>
      </c>
      <c r="Q80" s="1112"/>
    </row>
    <row r="81">
      <c r="A81" s="1112"/>
      <c r="B81" s="1112"/>
      <c r="C81" s="1112"/>
      <c r="D81" s="1112"/>
      <c r="E81" s="1112"/>
      <c r="F81" s="1112"/>
      <c r="G81" s="1112"/>
      <c r="H81" s="1112"/>
      <c r="I81" s="1112"/>
      <c r="J81" s="1114"/>
      <c r="K81" s="1112"/>
      <c r="L81" s="1112"/>
      <c r="M81" s="1112"/>
      <c r="N81" s="1112"/>
      <c r="O81" s="1112"/>
      <c r="P81" s="1112" t="s">
        <v>96</v>
      </c>
      <c r="Q81" s="1112"/>
    </row>
    <row r="82">
      <c r="A82" s="1112"/>
      <c r="B82" s="1112"/>
      <c r="C82" s="1112"/>
      <c r="D82" s="1112"/>
      <c r="E82" s="1112"/>
      <c r="F82" s="1112"/>
      <c r="G82" s="1112"/>
      <c r="H82" s="1112"/>
      <c r="I82" s="1112"/>
      <c r="J82" s="1114"/>
      <c r="K82" s="1112"/>
      <c r="L82" s="1112"/>
      <c r="M82" s="1112"/>
      <c r="N82" s="1112"/>
      <c r="O82" s="1112"/>
      <c r="P82" s="1112" t="s">
        <v>96</v>
      </c>
      <c r="Q82" s="1112"/>
    </row>
    <row r="83">
      <c r="A83" s="1112"/>
      <c r="B83" s="1112"/>
      <c r="C83" s="1112"/>
      <c r="D83" s="1112"/>
      <c r="E83" s="1112"/>
      <c r="F83" s="1112"/>
      <c r="G83" s="1112"/>
      <c r="H83" s="1112"/>
      <c r="I83" s="1112"/>
      <c r="J83" s="1114"/>
      <c r="K83" s="1112"/>
      <c r="L83" s="1112"/>
      <c r="M83" s="1112"/>
      <c r="N83" s="1112"/>
      <c r="O83" s="1112"/>
      <c r="P83" s="1112" t="s">
        <v>96</v>
      </c>
      <c r="Q83" s="1112"/>
    </row>
    <row r="84">
      <c r="A84" s="1112"/>
      <c r="B84" s="1112"/>
      <c r="C84" s="1112"/>
      <c r="D84" s="1112"/>
      <c r="E84" s="1112"/>
      <c r="F84" s="1112"/>
      <c r="G84" s="1112"/>
      <c r="H84" s="1112"/>
      <c r="I84" s="1112"/>
      <c r="J84" s="1114"/>
      <c r="K84" s="1112"/>
      <c r="L84" s="1112"/>
      <c r="M84" s="1112"/>
      <c r="N84" s="1112"/>
      <c r="O84" s="1112"/>
      <c r="P84" s="1112" t="s">
        <v>96</v>
      </c>
      <c r="Q84" s="1112"/>
    </row>
    <row r="85">
      <c r="A85" s="1112"/>
      <c r="B85" s="1112"/>
      <c r="C85" s="1112"/>
      <c r="D85" s="1112"/>
      <c r="E85" s="1112"/>
      <c r="F85" s="1112"/>
      <c r="G85" s="1112"/>
      <c r="H85" s="1112"/>
      <c r="I85" s="1112"/>
      <c r="J85" s="1114"/>
      <c r="K85" s="1112"/>
      <c r="L85" s="1112"/>
      <c r="M85" s="1112"/>
      <c r="N85" s="1112"/>
      <c r="O85" s="1112"/>
      <c r="P85" s="1112" t="s">
        <v>96</v>
      </c>
      <c r="Q85" s="1112"/>
    </row>
    <row r="86">
      <c r="A86" s="1112"/>
      <c r="B86" s="1112"/>
      <c r="C86" s="1112"/>
      <c r="D86" s="1112"/>
      <c r="E86" s="1112"/>
      <c r="F86" s="1112"/>
      <c r="G86" s="1112"/>
      <c r="H86" s="1112"/>
      <c r="I86" s="1112"/>
      <c r="J86" s="1114"/>
      <c r="K86" s="1112"/>
      <c r="L86" s="1112"/>
      <c r="M86" s="1112"/>
      <c r="N86" s="1112"/>
      <c r="O86" s="1112"/>
      <c r="P86" s="1112" t="s">
        <v>96</v>
      </c>
      <c r="Q86" s="1112"/>
    </row>
    <row r="87">
      <c r="A87" s="1112"/>
      <c r="B87" s="1112"/>
      <c r="C87" s="1112"/>
      <c r="D87" s="1112"/>
      <c r="E87" s="1112"/>
      <c r="F87" s="1112"/>
      <c r="G87" s="1112"/>
      <c r="H87" s="1112"/>
      <c r="I87" s="1112"/>
      <c r="J87" s="1114"/>
      <c r="K87" s="1112"/>
      <c r="L87" s="1112"/>
      <c r="M87" s="1112"/>
      <c r="N87" s="1112"/>
      <c r="O87" s="1112"/>
      <c r="P87" s="1112" t="s">
        <v>96</v>
      </c>
      <c r="Q87" s="1112"/>
    </row>
    <row r="88">
      <c r="A88" s="1112"/>
      <c r="B88" s="1112"/>
      <c r="C88" s="1112"/>
      <c r="D88" s="1112"/>
      <c r="E88" s="1112"/>
      <c r="F88" s="1112"/>
      <c r="G88" s="1112"/>
      <c r="H88" s="1112"/>
      <c r="I88" s="1112"/>
      <c r="J88" s="1114"/>
      <c r="K88" s="1112"/>
      <c r="L88" s="1112"/>
      <c r="M88" s="1112"/>
      <c r="N88" s="1112"/>
      <c r="O88" s="1112"/>
      <c r="P88" s="1112" t="s">
        <v>96</v>
      </c>
      <c r="Q88" s="1112"/>
    </row>
    <row r="89">
      <c r="A89" s="1112"/>
      <c r="B89" s="1112"/>
      <c r="C89" s="1112"/>
      <c r="D89" s="1112"/>
      <c r="E89" s="1112"/>
      <c r="F89" s="1112"/>
      <c r="G89" s="1112"/>
      <c r="H89" s="1112"/>
      <c r="I89" s="1112"/>
      <c r="J89" s="1114"/>
      <c r="K89" s="1112"/>
      <c r="L89" s="1112"/>
      <c r="M89" s="1112"/>
      <c r="N89" s="1112"/>
      <c r="O89" s="1112"/>
      <c r="P89" s="1112" t="s">
        <v>96</v>
      </c>
      <c r="Q89" s="1112"/>
    </row>
    <row r="90">
      <c r="A90" s="1112"/>
      <c r="B90" s="1112"/>
      <c r="C90" s="1112"/>
      <c r="D90" s="1112"/>
      <c r="E90" s="1112"/>
      <c r="F90" s="1112"/>
      <c r="G90" s="1112"/>
      <c r="H90" s="1112"/>
      <c r="I90" s="1112"/>
      <c r="J90" s="1114"/>
      <c r="K90" s="1112"/>
      <c r="L90" s="1112"/>
      <c r="M90" s="1112"/>
      <c r="N90" s="1112"/>
      <c r="O90" s="1112"/>
      <c r="P90" s="1112" t="s">
        <v>96</v>
      </c>
      <c r="Q90" s="1112"/>
    </row>
    <row r="91">
      <c r="A91" s="1112"/>
      <c r="B91" s="1112"/>
      <c r="C91" s="1112"/>
      <c r="D91" s="1112"/>
      <c r="E91" s="1112"/>
      <c r="F91" s="1112"/>
      <c r="G91" s="1112"/>
      <c r="H91" s="1112"/>
      <c r="I91" s="1112"/>
      <c r="J91" s="1114"/>
      <c r="K91" s="1112"/>
      <c r="L91" s="1112"/>
      <c r="M91" s="1112"/>
      <c r="N91" s="1112"/>
      <c r="O91" s="1112"/>
      <c r="P91" s="1112" t="s">
        <v>96</v>
      </c>
      <c r="Q91" s="1112"/>
    </row>
    <row r="92">
      <c r="A92" s="1112"/>
      <c r="B92" s="1112"/>
      <c r="C92" s="1112"/>
      <c r="D92" s="1112"/>
      <c r="E92" s="1112"/>
      <c r="F92" s="1112"/>
      <c r="G92" s="1112"/>
      <c r="H92" s="1112"/>
      <c r="I92" s="1112"/>
      <c r="J92" s="1114"/>
      <c r="K92" s="1112"/>
      <c r="L92" s="1112"/>
      <c r="M92" s="1112"/>
      <c r="N92" s="1112"/>
      <c r="O92" s="1112"/>
      <c r="P92" s="1112" t="s">
        <v>96</v>
      </c>
      <c r="Q92" s="1112"/>
    </row>
    <row r="93">
      <c r="A93" s="1112"/>
      <c r="B93" s="1112"/>
      <c r="C93" s="1112"/>
      <c r="D93" s="1112"/>
      <c r="E93" s="1112"/>
      <c r="F93" s="1112"/>
      <c r="G93" s="1112"/>
      <c r="H93" s="1112"/>
      <c r="I93" s="1112"/>
      <c r="J93" s="1114"/>
      <c r="K93" s="1112"/>
      <c r="L93" s="1112"/>
      <c r="M93" s="1112"/>
      <c r="N93" s="1112"/>
      <c r="O93" s="1112"/>
      <c r="P93" s="1112" t="s">
        <v>96</v>
      </c>
      <c r="Q93" s="1112"/>
    </row>
    <row r="94">
      <c r="A94" s="1112"/>
      <c r="B94" s="1112"/>
      <c r="C94" s="1112"/>
      <c r="D94" s="1112"/>
      <c r="E94" s="1112"/>
      <c r="F94" s="1112"/>
      <c r="G94" s="1112"/>
      <c r="H94" s="1112"/>
      <c r="I94" s="1112"/>
      <c r="J94" s="1114"/>
      <c r="K94" s="1112"/>
      <c r="L94" s="1112"/>
      <c r="M94" s="1112"/>
      <c r="N94" s="1112"/>
      <c r="O94" s="1112"/>
      <c r="P94" s="1112" t="s">
        <v>96</v>
      </c>
      <c r="Q94" s="1112"/>
    </row>
    <row r="95">
      <c r="A95" s="1112"/>
      <c r="B95" s="1112"/>
      <c r="C95" s="1112"/>
      <c r="D95" s="1112"/>
      <c r="E95" s="1112"/>
      <c r="F95" s="1112"/>
      <c r="G95" s="1112"/>
      <c r="H95" s="1112"/>
      <c r="I95" s="1112"/>
      <c r="J95" s="1114"/>
      <c r="K95" s="1112"/>
      <c r="L95" s="1112"/>
      <c r="M95" s="1112"/>
      <c r="N95" s="1112"/>
      <c r="O95" s="1112"/>
      <c r="P95" s="1112" t="s">
        <v>96</v>
      </c>
      <c r="Q95" s="1112"/>
    </row>
    <row r="96">
      <c r="A96" s="1112"/>
      <c r="B96" s="1112"/>
      <c r="C96" s="1112"/>
      <c r="D96" s="1112"/>
      <c r="E96" s="1112"/>
      <c r="F96" s="1112"/>
      <c r="G96" s="1112"/>
      <c r="H96" s="1112"/>
      <c r="I96" s="1112"/>
      <c r="J96" s="1114"/>
      <c r="K96" s="1112"/>
      <c r="L96" s="1112"/>
      <c r="M96" s="1112"/>
      <c r="N96" s="1112"/>
      <c r="O96" s="1112"/>
      <c r="P96" s="1112" t="s">
        <v>96</v>
      </c>
      <c r="Q96" s="1112"/>
    </row>
    <row r="97">
      <c r="A97" s="1112"/>
      <c r="B97" s="1112"/>
      <c r="C97" s="1112"/>
      <c r="D97" s="1112"/>
      <c r="E97" s="1112"/>
      <c r="F97" s="1112"/>
      <c r="G97" s="1112"/>
      <c r="H97" s="1112"/>
      <c r="I97" s="1112"/>
      <c r="J97" s="1114"/>
      <c r="K97" s="1112"/>
      <c r="L97" s="1112"/>
      <c r="M97" s="1112"/>
      <c r="N97" s="1112"/>
      <c r="O97" s="1112"/>
      <c r="P97" s="1112" t="s">
        <v>96</v>
      </c>
      <c r="Q97" s="1112"/>
    </row>
    <row r="98">
      <c r="A98" s="1112"/>
      <c r="B98" s="1112"/>
      <c r="C98" s="1112"/>
      <c r="D98" s="1112"/>
      <c r="E98" s="1112"/>
      <c r="F98" s="1112"/>
      <c r="G98" s="1112"/>
      <c r="H98" s="1112"/>
      <c r="I98" s="1112"/>
      <c r="J98" s="1114"/>
      <c r="K98" s="1112"/>
      <c r="L98" s="1112"/>
      <c r="M98" s="1112"/>
      <c r="N98" s="1112"/>
      <c r="O98" s="1112"/>
      <c r="P98" s="1112" t="s">
        <v>96</v>
      </c>
      <c r="Q98" s="1112"/>
    </row>
    <row r="99">
      <c r="A99" s="1112"/>
      <c r="B99" s="1112"/>
      <c r="C99" s="1112"/>
      <c r="D99" s="1112"/>
      <c r="E99" s="1112"/>
      <c r="F99" s="1112"/>
      <c r="G99" s="1112"/>
      <c r="H99" s="1112"/>
      <c r="I99" s="1112"/>
      <c r="J99" s="1114"/>
      <c r="K99" s="1112"/>
      <c r="L99" s="1112"/>
      <c r="M99" s="1112"/>
      <c r="N99" s="1112"/>
      <c r="O99" s="1112"/>
      <c r="P99" s="1112" t="s">
        <v>96</v>
      </c>
      <c r="Q99" s="1112"/>
    </row>
    <row r="100">
      <c r="A100" s="1112"/>
      <c r="B100" s="1112"/>
      <c r="C100" s="1112"/>
      <c r="D100" s="1112"/>
      <c r="E100" s="1112"/>
      <c r="F100" s="1112"/>
      <c r="G100" s="1112"/>
      <c r="H100" s="1112"/>
      <c r="I100" s="1112"/>
      <c r="J100" s="1114"/>
      <c r="K100" s="1112"/>
      <c r="L100" s="1112"/>
      <c r="M100" s="1112"/>
      <c r="N100" s="1112"/>
      <c r="O100" s="1112"/>
      <c r="P100" s="1112" t="s">
        <v>96</v>
      </c>
      <c r="Q100" s="1112"/>
    </row>
    <row r="101">
      <c r="A101" s="1112"/>
      <c r="B101" s="1112"/>
      <c r="C101" s="1112"/>
      <c r="D101" s="1112"/>
      <c r="E101" s="1112"/>
      <c r="F101" s="1112"/>
      <c r="G101" s="1112"/>
      <c r="H101" s="1112"/>
      <c r="I101" s="1112"/>
      <c r="J101" s="1114"/>
      <c r="K101" s="1112"/>
      <c r="L101" s="1112"/>
      <c r="M101" s="1112"/>
      <c r="N101" s="1112"/>
      <c r="O101" s="1112"/>
      <c r="P101" s="1112" t="s">
        <v>96</v>
      </c>
      <c r="Q101" s="1112"/>
    </row>
    <row r="102">
      <c r="A102" s="1112"/>
      <c r="B102" s="1112"/>
      <c r="C102" s="1112"/>
      <c r="D102" s="1112"/>
      <c r="E102" s="1112"/>
      <c r="F102" s="1112"/>
      <c r="G102" s="1112"/>
      <c r="H102" s="1112"/>
      <c r="I102" s="1112"/>
      <c r="J102" s="1114"/>
      <c r="K102" s="1112"/>
      <c r="L102" s="1112"/>
      <c r="M102" s="1112"/>
      <c r="N102" s="1112"/>
      <c r="O102" s="1112"/>
      <c r="P102" s="1112" t="s">
        <v>96</v>
      </c>
      <c r="Q102" s="1112"/>
    </row>
    <row r="103">
      <c r="A103" s="1112"/>
      <c r="B103" s="1112"/>
      <c r="C103" s="1112"/>
      <c r="D103" s="1112"/>
      <c r="E103" s="1112"/>
      <c r="F103" s="1112"/>
      <c r="G103" s="1112"/>
      <c r="H103" s="1112"/>
      <c r="I103" s="1112"/>
      <c r="J103" s="1114"/>
      <c r="K103" s="1112"/>
      <c r="L103" s="1112"/>
      <c r="M103" s="1112"/>
      <c r="N103" s="1112"/>
      <c r="O103" s="1112"/>
      <c r="P103" s="1112" t="s">
        <v>96</v>
      </c>
      <c r="Q103" s="1112"/>
    </row>
    <row r="104">
      <c r="A104" s="1112"/>
      <c r="B104" s="1112"/>
      <c r="C104" s="1112"/>
      <c r="D104" s="1112"/>
      <c r="E104" s="1112"/>
      <c r="F104" s="1112"/>
      <c r="G104" s="1112"/>
      <c r="H104" s="1112"/>
      <c r="I104" s="1112"/>
      <c r="J104" s="1114"/>
      <c r="K104" s="1112"/>
      <c r="L104" s="1112"/>
      <c r="M104" s="1112"/>
      <c r="N104" s="1112"/>
      <c r="O104" s="1112"/>
      <c r="P104" s="1112" t="s">
        <v>96</v>
      </c>
      <c r="Q104" s="1112"/>
    </row>
    <row r="105">
      <c r="A105" s="1112"/>
      <c r="B105" s="1112"/>
      <c r="C105" s="1112"/>
      <c r="D105" s="1112"/>
      <c r="E105" s="1112"/>
      <c r="F105" s="1112"/>
      <c r="G105" s="1112"/>
      <c r="H105" s="1112"/>
      <c r="I105" s="1112"/>
      <c r="J105" s="1114"/>
      <c r="K105" s="1112"/>
      <c r="L105" s="1112"/>
      <c r="M105" s="1112"/>
      <c r="N105" s="1112"/>
      <c r="O105" s="1112"/>
      <c r="P105" s="1112" t="s">
        <v>96</v>
      </c>
      <c r="Q105" s="1112"/>
    </row>
    <row r="106">
      <c r="A106" s="1112"/>
      <c r="B106" s="1112"/>
      <c r="C106" s="1112"/>
      <c r="D106" s="1112"/>
      <c r="E106" s="1112"/>
      <c r="F106" s="1112"/>
      <c r="G106" s="1112"/>
      <c r="H106" s="1112"/>
      <c r="I106" s="1112"/>
      <c r="J106" s="1114"/>
      <c r="K106" s="1112"/>
      <c r="L106" s="1112"/>
      <c r="M106" s="1112"/>
      <c r="N106" s="1112"/>
      <c r="O106" s="1112"/>
      <c r="P106" s="1112" t="s">
        <v>96</v>
      </c>
      <c r="Q106" s="1112"/>
    </row>
    <row r="107">
      <c r="A107" s="1112"/>
      <c r="B107" s="1112"/>
      <c r="C107" s="1112"/>
      <c r="D107" s="1112"/>
      <c r="E107" s="1112"/>
      <c r="F107" s="1112"/>
      <c r="G107" s="1112"/>
      <c r="H107" s="1112"/>
      <c r="I107" s="1112"/>
      <c r="J107" s="1114"/>
      <c r="K107" s="1112"/>
      <c r="L107" s="1112"/>
      <c r="M107" s="1112"/>
      <c r="N107" s="1112"/>
      <c r="O107" s="1112"/>
      <c r="P107" s="1112" t="s">
        <v>96</v>
      </c>
      <c r="Q107" s="1112"/>
    </row>
    <row r="108">
      <c r="A108" s="1112"/>
      <c r="B108" s="1112"/>
      <c r="C108" s="1112"/>
      <c r="D108" s="1112"/>
      <c r="E108" s="1112"/>
      <c r="F108" s="1112"/>
      <c r="G108" s="1112"/>
      <c r="H108" s="1112"/>
      <c r="I108" s="1112"/>
      <c r="J108" s="1114"/>
      <c r="K108" s="1112"/>
      <c r="L108" s="1112"/>
      <c r="M108" s="1112"/>
      <c r="N108" s="1112"/>
      <c r="O108" s="1112"/>
      <c r="P108" s="1112" t="s">
        <v>96</v>
      </c>
      <c r="Q108" s="1112"/>
    </row>
    <row r="109">
      <c r="A109" s="1112"/>
      <c r="B109" s="1112"/>
      <c r="C109" s="1112"/>
      <c r="D109" s="1112"/>
      <c r="E109" s="1112"/>
      <c r="F109" s="1112"/>
      <c r="G109" s="1112"/>
      <c r="H109" s="1112"/>
      <c r="I109" s="1112"/>
      <c r="J109" s="1114"/>
      <c r="K109" s="1112"/>
      <c r="L109" s="1112"/>
      <c r="M109" s="1112"/>
      <c r="N109" s="1112"/>
      <c r="O109" s="1112"/>
      <c r="P109" s="1112" t="s">
        <v>96</v>
      </c>
      <c r="Q109" s="1112"/>
    </row>
    <row r="110">
      <c r="A110" s="1112"/>
      <c r="B110" s="1112"/>
      <c r="C110" s="1112"/>
      <c r="D110" s="1112"/>
      <c r="E110" s="1112"/>
      <c r="F110" s="1112"/>
      <c r="G110" s="1112"/>
      <c r="H110" s="1112"/>
      <c r="I110" s="1112"/>
      <c r="J110" s="1114"/>
      <c r="K110" s="1112"/>
      <c r="L110" s="1112"/>
      <c r="M110" s="1112"/>
      <c r="N110" s="1112"/>
      <c r="O110" s="1112"/>
      <c r="P110" s="1112" t="s">
        <v>96</v>
      </c>
      <c r="Q110" s="1112"/>
    </row>
    <row r="111">
      <c r="A111" s="1112"/>
      <c r="B111" s="1112"/>
      <c r="C111" s="1112"/>
      <c r="D111" s="1112"/>
      <c r="E111" s="1112"/>
      <c r="F111" s="1112"/>
      <c r="G111" s="1112"/>
      <c r="H111" s="1112"/>
      <c r="I111" s="1112"/>
      <c r="J111" s="1114"/>
      <c r="K111" s="1112"/>
      <c r="L111" s="1112"/>
      <c r="M111" s="1112"/>
      <c r="N111" s="1112"/>
      <c r="O111" s="1112"/>
      <c r="P111" s="1112" t="s">
        <v>96</v>
      </c>
      <c r="Q111" s="1112"/>
    </row>
    <row r="112">
      <c r="A112" s="1112"/>
      <c r="B112" s="1112"/>
      <c r="C112" s="1112"/>
      <c r="D112" s="1112"/>
      <c r="E112" s="1112"/>
      <c r="F112" s="1112"/>
      <c r="G112" s="1112"/>
      <c r="H112" s="1112"/>
      <c r="I112" s="1112"/>
      <c r="J112" s="1114"/>
      <c r="K112" s="1112"/>
      <c r="L112" s="1112"/>
      <c r="M112" s="1112"/>
      <c r="N112" s="1112"/>
      <c r="O112" s="1112"/>
      <c r="P112" s="1112" t="s">
        <v>96</v>
      </c>
      <c r="Q112" s="1112"/>
    </row>
    <row r="113">
      <c r="A113" s="1112"/>
      <c r="B113" s="1112"/>
      <c r="C113" s="1112"/>
      <c r="D113" s="1112"/>
      <c r="E113" s="1112"/>
      <c r="F113" s="1112"/>
      <c r="G113" s="1112"/>
      <c r="H113" s="1112"/>
      <c r="I113" s="1112"/>
      <c r="J113" s="1114"/>
      <c r="K113" s="1112"/>
      <c r="L113" s="1112"/>
      <c r="M113" s="1112"/>
      <c r="N113" s="1112"/>
      <c r="O113" s="1112"/>
      <c r="P113" s="1112" t="s">
        <v>96</v>
      </c>
      <c r="Q113" s="1112"/>
    </row>
    <row r="114">
      <c r="A114" s="1112"/>
      <c r="B114" s="1112"/>
      <c r="C114" s="1112"/>
      <c r="D114" s="1112"/>
      <c r="E114" s="1112"/>
      <c r="F114" s="1112"/>
      <c r="G114" s="1112"/>
      <c r="H114" s="1112"/>
      <c r="I114" s="1112"/>
      <c r="J114" s="1114"/>
      <c r="K114" s="1112"/>
      <c r="L114" s="1112"/>
      <c r="M114" s="1112"/>
      <c r="N114" s="1112"/>
      <c r="O114" s="1112"/>
      <c r="P114" s="1112" t="s">
        <v>96</v>
      </c>
      <c r="Q114" s="1112"/>
    </row>
    <row r="115">
      <c r="A115" s="1112"/>
      <c r="B115" s="1112"/>
      <c r="C115" s="1112"/>
      <c r="D115" s="1112"/>
      <c r="E115" s="1112"/>
      <c r="F115" s="1112"/>
      <c r="G115" s="1112"/>
      <c r="H115" s="1112"/>
      <c r="I115" s="1112"/>
      <c r="J115" s="1114"/>
      <c r="K115" s="1112"/>
      <c r="L115" s="1112"/>
      <c r="M115" s="1112"/>
      <c r="N115" s="1112"/>
      <c r="O115" s="1112"/>
      <c r="P115" s="1112" t="s">
        <v>96</v>
      </c>
      <c r="Q115" s="1112"/>
    </row>
    <row r="116">
      <c r="A116" s="1112"/>
      <c r="B116" s="1112"/>
      <c r="C116" s="1112"/>
      <c r="D116" s="1112"/>
      <c r="E116" s="1112"/>
      <c r="F116" s="1112"/>
      <c r="G116" s="1112"/>
      <c r="H116" s="1112"/>
      <c r="I116" s="1112"/>
      <c r="J116" s="1114"/>
      <c r="K116" s="1112"/>
      <c r="L116" s="1112"/>
      <c r="M116" s="1112"/>
      <c r="N116" s="1112"/>
      <c r="O116" s="1112"/>
      <c r="P116" s="1112" t="s">
        <v>96</v>
      </c>
      <c r="Q116" s="1112"/>
    </row>
    <row r="117">
      <c r="A117" s="1112"/>
      <c r="B117" s="1112"/>
      <c r="C117" s="1112"/>
      <c r="D117" s="1112"/>
      <c r="E117" s="1112"/>
      <c r="F117" s="1112"/>
      <c r="G117" s="1112"/>
      <c r="H117" s="1112"/>
      <c r="I117" s="1112"/>
      <c r="J117" s="1114"/>
      <c r="K117" s="1112"/>
      <c r="L117" s="1112"/>
      <c r="M117" s="1112"/>
      <c r="N117" s="1112"/>
      <c r="O117" s="1112"/>
      <c r="P117" s="1112" t="s">
        <v>96</v>
      </c>
      <c r="Q117" s="1112"/>
    </row>
    <row r="118">
      <c r="A118" s="1112"/>
      <c r="B118" s="1112"/>
      <c r="C118" s="1112"/>
      <c r="D118" s="1112"/>
      <c r="E118" s="1112"/>
      <c r="F118" s="1112"/>
      <c r="G118" s="1112"/>
      <c r="H118" s="1112"/>
      <c r="I118" s="1112"/>
      <c r="J118" s="1114"/>
      <c r="K118" s="1112"/>
      <c r="L118" s="1112"/>
      <c r="M118" s="1112"/>
      <c r="N118" s="1112"/>
      <c r="O118" s="1112"/>
      <c r="P118" s="1112" t="s">
        <v>96</v>
      </c>
      <c r="Q118" s="1112"/>
    </row>
    <row r="119">
      <c r="A119" s="1112"/>
      <c r="B119" s="1112"/>
      <c r="C119" s="1112"/>
      <c r="D119" s="1112"/>
      <c r="E119" s="1112"/>
      <c r="F119" s="1112"/>
      <c r="G119" s="1112"/>
      <c r="H119" s="1112"/>
      <c r="I119" s="1112"/>
      <c r="J119" s="1114"/>
      <c r="K119" s="1112"/>
      <c r="L119" s="1112"/>
      <c r="M119" s="1112"/>
      <c r="N119" s="1112"/>
      <c r="O119" s="1112"/>
      <c r="P119" s="1112" t="s">
        <v>96</v>
      </c>
      <c r="Q119" s="1112"/>
    </row>
    <row r="120">
      <c r="A120" s="1112"/>
      <c r="B120" s="1112"/>
      <c r="C120" s="1112"/>
      <c r="D120" s="1112"/>
      <c r="E120" s="1112"/>
      <c r="F120" s="1112"/>
      <c r="G120" s="1112"/>
      <c r="H120" s="1112"/>
      <c r="I120" s="1112"/>
      <c r="J120" s="1114"/>
      <c r="K120" s="1112"/>
      <c r="L120" s="1112"/>
      <c r="M120" s="1112"/>
      <c r="N120" s="1112"/>
      <c r="O120" s="1112"/>
      <c r="P120" s="1112" t="s">
        <v>96</v>
      </c>
      <c r="Q120" s="1112"/>
    </row>
    <row r="121">
      <c r="A121" s="1112"/>
      <c r="B121" s="1112"/>
      <c r="C121" s="1112"/>
      <c r="D121" s="1112"/>
      <c r="E121" s="1112"/>
      <c r="F121" s="1112"/>
      <c r="G121" s="1112"/>
      <c r="H121" s="1112"/>
      <c r="I121" s="1112"/>
      <c r="J121" s="1114"/>
      <c r="K121" s="1112"/>
      <c r="L121" s="1112"/>
      <c r="M121" s="1112"/>
      <c r="N121" s="1112"/>
      <c r="O121" s="1112"/>
      <c r="P121" s="1112" t="s">
        <v>96</v>
      </c>
      <c r="Q121" s="1112"/>
    </row>
    <row r="122">
      <c r="A122" s="1112"/>
      <c r="B122" s="1112"/>
      <c r="C122" s="1112"/>
      <c r="D122" s="1112"/>
      <c r="E122" s="1112"/>
      <c r="F122" s="1112"/>
      <c r="G122" s="1112"/>
      <c r="H122" s="1112"/>
      <c r="I122" s="1112"/>
      <c r="J122" s="1114"/>
      <c r="K122" s="1112"/>
      <c r="L122" s="1112"/>
      <c r="M122" s="1112"/>
      <c r="N122" s="1112"/>
      <c r="O122" s="1112"/>
      <c r="P122" s="1112" t="s">
        <v>96</v>
      </c>
      <c r="Q122" s="1112"/>
    </row>
    <row r="123">
      <c r="A123" s="1112"/>
      <c r="B123" s="1112"/>
      <c r="C123" s="1112"/>
      <c r="D123" s="1112"/>
      <c r="E123" s="1112"/>
      <c r="F123" s="1112"/>
      <c r="G123" s="1112"/>
      <c r="H123" s="1112"/>
      <c r="I123" s="1112"/>
      <c r="J123" s="1114"/>
      <c r="K123" s="1112"/>
      <c r="L123" s="1112"/>
      <c r="M123" s="1112"/>
      <c r="N123" s="1112"/>
      <c r="O123" s="1112"/>
      <c r="P123" s="1112" t="s">
        <v>96</v>
      </c>
      <c r="Q123" s="1112"/>
    </row>
    <row r="124">
      <c r="A124" s="1112"/>
      <c r="B124" s="1112"/>
      <c r="C124" s="1112"/>
      <c r="D124" s="1112"/>
      <c r="E124" s="1112"/>
      <c r="F124" s="1112"/>
      <c r="G124" s="1112"/>
      <c r="H124" s="1112"/>
      <c r="I124" s="1112"/>
      <c r="J124" s="1114"/>
      <c r="K124" s="1112"/>
      <c r="L124" s="1112"/>
      <c r="M124" s="1112"/>
      <c r="N124" s="1112"/>
      <c r="O124" s="1112"/>
      <c r="P124" s="1112" t="s">
        <v>96</v>
      </c>
      <c r="Q124" s="1112"/>
    </row>
    <row r="125">
      <c r="A125" s="1112"/>
      <c r="B125" s="1112"/>
      <c r="C125" s="1112"/>
      <c r="D125" s="1112"/>
      <c r="E125" s="1112"/>
      <c r="F125" s="1112"/>
      <c r="G125" s="1112"/>
      <c r="H125" s="1112"/>
      <c r="I125" s="1112"/>
      <c r="J125" s="1114"/>
      <c r="K125" s="1112"/>
      <c r="L125" s="1112"/>
      <c r="M125" s="1112"/>
      <c r="N125" s="1112"/>
      <c r="O125" s="1112"/>
      <c r="P125" s="1112" t="s">
        <v>96</v>
      </c>
      <c r="Q125" s="1112"/>
    </row>
    <row r="126">
      <c r="A126" s="1112"/>
      <c r="B126" s="1112"/>
      <c r="C126" s="1112"/>
      <c r="D126" s="1112"/>
      <c r="E126" s="1112"/>
      <c r="F126" s="1112"/>
      <c r="G126" s="1112"/>
      <c r="H126" s="1112"/>
      <c r="I126" s="1112"/>
      <c r="J126" s="1114"/>
      <c r="K126" s="1112"/>
      <c r="L126" s="1112"/>
      <c r="M126" s="1112"/>
      <c r="N126" s="1112"/>
      <c r="O126" s="1112"/>
      <c r="P126" s="1112" t="s">
        <v>96</v>
      </c>
      <c r="Q126" s="1112"/>
    </row>
    <row r="127">
      <c r="A127" s="1112"/>
      <c r="B127" s="1112"/>
      <c r="C127" s="1112"/>
      <c r="D127" s="1112"/>
      <c r="E127" s="1112"/>
      <c r="F127" s="1112"/>
      <c r="G127" s="1112"/>
      <c r="H127" s="1112"/>
      <c r="I127" s="1112"/>
      <c r="J127" s="1114"/>
      <c r="K127" s="1112"/>
      <c r="L127" s="1112"/>
      <c r="M127" s="1112"/>
      <c r="N127" s="1112"/>
      <c r="O127" s="1112"/>
      <c r="P127" s="1112" t="s">
        <v>96</v>
      </c>
      <c r="Q127" s="1112"/>
    </row>
    <row r="128">
      <c r="A128" s="1112"/>
      <c r="B128" s="1112"/>
      <c r="C128" s="1112"/>
      <c r="D128" s="1112"/>
      <c r="E128" s="1112"/>
      <c r="F128" s="1112"/>
      <c r="G128" s="1112"/>
      <c r="H128" s="1112"/>
      <c r="I128" s="1112"/>
      <c r="J128" s="1114"/>
      <c r="K128" s="1112"/>
      <c r="L128" s="1112"/>
      <c r="M128" s="1112"/>
      <c r="N128" s="1112"/>
      <c r="O128" s="1112"/>
      <c r="P128" s="1112" t="s">
        <v>96</v>
      </c>
      <c r="Q128" s="1112"/>
    </row>
    <row r="129">
      <c r="A129" s="1112"/>
      <c r="B129" s="1112"/>
      <c r="C129" s="1112"/>
      <c r="D129" s="1112"/>
      <c r="E129" s="1112"/>
      <c r="F129" s="1112"/>
      <c r="G129" s="1112"/>
      <c r="H129" s="1112"/>
      <c r="I129" s="1112"/>
      <c r="J129" s="1114"/>
      <c r="K129" s="1112"/>
      <c r="L129" s="1112"/>
      <c r="M129" s="1112"/>
      <c r="N129" s="1112"/>
      <c r="O129" s="1112"/>
      <c r="P129" s="1112" t="s">
        <v>96</v>
      </c>
      <c r="Q129" s="1112"/>
    </row>
    <row r="130">
      <c r="A130" s="1112"/>
      <c r="B130" s="1112"/>
      <c r="C130" s="1112"/>
      <c r="D130" s="1112"/>
      <c r="E130" s="1112"/>
      <c r="F130" s="1112"/>
      <c r="G130" s="1112"/>
      <c r="H130" s="1112"/>
      <c r="I130" s="1112"/>
      <c r="J130" s="1114"/>
      <c r="K130" s="1112"/>
      <c r="L130" s="1112"/>
      <c r="M130" s="1112"/>
      <c r="N130" s="1112"/>
      <c r="O130" s="1112"/>
      <c r="P130" s="1112" t="s">
        <v>96</v>
      </c>
      <c r="Q130" s="1112"/>
    </row>
    <row r="131">
      <c r="A131" s="1112"/>
      <c r="B131" s="1112"/>
      <c r="C131" s="1112"/>
      <c r="D131" s="1112"/>
      <c r="E131" s="1112"/>
      <c r="F131" s="1112"/>
      <c r="G131" s="1112"/>
      <c r="H131" s="1112"/>
      <c r="I131" s="1112"/>
      <c r="J131" s="1114"/>
      <c r="K131" s="1112"/>
      <c r="L131" s="1112"/>
      <c r="M131" s="1112"/>
      <c r="N131" s="1112"/>
      <c r="O131" s="1112"/>
      <c r="P131" s="1112" t="s">
        <v>96</v>
      </c>
      <c r="Q131" s="1112"/>
    </row>
    <row r="132">
      <c r="A132" s="1112"/>
      <c r="B132" s="1112"/>
      <c r="C132" s="1112"/>
      <c r="D132" s="1112"/>
      <c r="E132" s="1112"/>
      <c r="F132" s="1112"/>
      <c r="G132" s="1112"/>
      <c r="H132" s="1112"/>
      <c r="I132" s="1112"/>
      <c r="J132" s="1114"/>
      <c r="K132" s="1112"/>
      <c r="L132" s="1112"/>
      <c r="M132" s="1112"/>
      <c r="N132" s="1112"/>
      <c r="O132" s="1112"/>
      <c r="P132" s="1112" t="s">
        <v>96</v>
      </c>
      <c r="Q132" s="1112"/>
    </row>
    <row r="133">
      <c r="A133" s="1112"/>
      <c r="B133" s="1112"/>
      <c r="C133" s="1112"/>
      <c r="D133" s="1112"/>
      <c r="E133" s="1112"/>
      <c r="F133" s="1112"/>
      <c r="G133" s="1112"/>
      <c r="H133" s="1112"/>
      <c r="I133" s="1112"/>
      <c r="J133" s="1114"/>
      <c r="K133" s="1112"/>
      <c r="L133" s="1112"/>
      <c r="M133" s="1112"/>
      <c r="N133" s="1112"/>
      <c r="O133" s="1112"/>
      <c r="P133" s="1112" t="s">
        <v>96</v>
      </c>
      <c r="Q133" s="1112"/>
    </row>
    <row r="134">
      <c r="A134" s="1112"/>
      <c r="B134" s="1112"/>
      <c r="C134" s="1112"/>
      <c r="D134" s="1112"/>
      <c r="E134" s="1112"/>
      <c r="F134" s="1112"/>
      <c r="G134" s="1112"/>
      <c r="H134" s="1112"/>
      <c r="I134" s="1112"/>
      <c r="J134" s="1114"/>
      <c r="K134" s="1112"/>
      <c r="L134" s="1112"/>
      <c r="M134" s="1112"/>
      <c r="N134" s="1112"/>
      <c r="O134" s="1112"/>
      <c r="P134" s="1112" t="s">
        <v>96</v>
      </c>
      <c r="Q134" s="1112"/>
    </row>
    <row r="135">
      <c r="A135" s="1112"/>
      <c r="B135" s="1112"/>
      <c r="C135" s="1112"/>
      <c r="D135" s="1112"/>
      <c r="E135" s="1112"/>
      <c r="F135" s="1112"/>
      <c r="G135" s="1112"/>
      <c r="H135" s="1112"/>
      <c r="I135" s="1112"/>
      <c r="J135" s="1114"/>
      <c r="K135" s="1112"/>
      <c r="L135" s="1112"/>
      <c r="M135" s="1112"/>
      <c r="N135" s="1112"/>
      <c r="O135" s="1112"/>
      <c r="P135" s="1112" t="s">
        <v>96</v>
      </c>
      <c r="Q135" s="1112"/>
    </row>
    <row r="136">
      <c r="A136" s="1112"/>
      <c r="B136" s="1112"/>
      <c r="C136" s="1112"/>
      <c r="D136" s="1112"/>
      <c r="E136" s="1112"/>
      <c r="F136" s="1112"/>
      <c r="G136" s="1112"/>
      <c r="H136" s="1112"/>
      <c r="I136" s="1112"/>
      <c r="J136" s="1114"/>
      <c r="K136" s="1112"/>
      <c r="L136" s="1112"/>
      <c r="M136" s="1112"/>
      <c r="N136" s="1112"/>
      <c r="O136" s="1112"/>
      <c r="P136" s="1112" t="s">
        <v>96</v>
      </c>
      <c r="Q136" s="1112"/>
    </row>
    <row r="137">
      <c r="A137" s="1112"/>
      <c r="B137" s="1112"/>
      <c r="C137" s="1112"/>
      <c r="D137" s="1112"/>
      <c r="E137" s="1112"/>
      <c r="F137" s="1112"/>
      <c r="G137" s="1112"/>
      <c r="H137" s="1112"/>
      <c r="I137" s="1112"/>
      <c r="J137" s="1114"/>
      <c r="K137" s="1112"/>
      <c r="L137" s="1112"/>
      <c r="M137" s="1112"/>
      <c r="N137" s="1112"/>
      <c r="O137" s="1112"/>
      <c r="P137" s="1112" t="s">
        <v>96</v>
      </c>
      <c r="Q137" s="1112"/>
    </row>
    <row r="138">
      <c r="A138" s="1112"/>
      <c r="B138" s="1112"/>
      <c r="C138" s="1112"/>
      <c r="D138" s="1112"/>
      <c r="E138" s="1112"/>
      <c r="F138" s="1112"/>
      <c r="G138" s="1112"/>
      <c r="H138" s="1112"/>
      <c r="I138" s="1112"/>
      <c r="J138" s="1114"/>
      <c r="K138" s="1112"/>
      <c r="L138" s="1112"/>
      <c r="M138" s="1112"/>
      <c r="N138" s="1112"/>
      <c r="O138" s="1112"/>
      <c r="P138" s="1112" t="s">
        <v>96</v>
      </c>
      <c r="Q138" s="1112"/>
    </row>
    <row r="139">
      <c r="A139" s="1112"/>
      <c r="B139" s="1112"/>
      <c r="C139" s="1112"/>
      <c r="D139" s="1112"/>
      <c r="E139" s="1112"/>
      <c r="F139" s="1112"/>
      <c r="G139" s="1112"/>
      <c r="H139" s="1112"/>
      <c r="I139" s="1112"/>
      <c r="J139" s="1114"/>
      <c r="K139" s="1112"/>
      <c r="L139" s="1112"/>
      <c r="M139" s="1112"/>
      <c r="N139" s="1112"/>
      <c r="O139" s="1112"/>
      <c r="P139" s="1112" t="s">
        <v>96</v>
      </c>
      <c r="Q139" s="1112"/>
    </row>
    <row r="140">
      <c r="A140" s="1112"/>
      <c r="B140" s="1112"/>
      <c r="C140" s="1112"/>
      <c r="D140" s="1112"/>
      <c r="E140" s="1112"/>
      <c r="F140" s="1112"/>
      <c r="G140" s="1112"/>
      <c r="H140" s="1112"/>
      <c r="I140" s="1112"/>
      <c r="J140" s="1114"/>
      <c r="K140" s="1112"/>
      <c r="L140" s="1112"/>
      <c r="M140" s="1112"/>
      <c r="N140" s="1112"/>
      <c r="O140" s="1112"/>
      <c r="P140" s="1112" t="s">
        <v>96</v>
      </c>
      <c r="Q140" s="1112"/>
    </row>
    <row r="141">
      <c r="A141" s="1112"/>
      <c r="B141" s="1112"/>
      <c r="C141" s="1112"/>
      <c r="D141" s="1112"/>
      <c r="E141" s="1112"/>
      <c r="F141" s="1112"/>
      <c r="G141" s="1112"/>
      <c r="H141" s="1112"/>
      <c r="I141" s="1112"/>
      <c r="J141" s="1114"/>
      <c r="K141" s="1112"/>
      <c r="L141" s="1112"/>
      <c r="M141" s="1112"/>
      <c r="N141" s="1112"/>
      <c r="O141" s="1112"/>
      <c r="P141" s="1112" t="s">
        <v>96</v>
      </c>
      <c r="Q141" s="1112"/>
    </row>
    <row r="142">
      <c r="A142" s="1112"/>
      <c r="B142" s="1112"/>
      <c r="C142" s="1112"/>
      <c r="D142" s="1112"/>
      <c r="E142" s="1112"/>
      <c r="F142" s="1112"/>
      <c r="G142" s="1112"/>
      <c r="H142" s="1112"/>
      <c r="I142" s="1112"/>
      <c r="J142" s="1114"/>
      <c r="K142" s="1112"/>
      <c r="L142" s="1112"/>
      <c r="M142" s="1112"/>
      <c r="N142" s="1112"/>
      <c r="O142" s="1112"/>
      <c r="P142" s="1112" t="s">
        <v>96</v>
      </c>
      <c r="Q142" s="1112"/>
    </row>
    <row r="143">
      <c r="A143" s="1112"/>
      <c r="B143" s="1112"/>
      <c r="C143" s="1112"/>
      <c r="D143" s="1112"/>
      <c r="E143" s="1112"/>
      <c r="F143" s="1112"/>
      <c r="G143" s="1112"/>
      <c r="H143" s="1112"/>
      <c r="I143" s="1112"/>
      <c r="J143" s="1114"/>
      <c r="K143" s="1112"/>
      <c r="L143" s="1112"/>
      <c r="M143" s="1112"/>
      <c r="N143" s="1112"/>
      <c r="O143" s="1112"/>
      <c r="P143" s="1112" t="s">
        <v>96</v>
      </c>
      <c r="Q143" s="1112"/>
    </row>
    <row r="144">
      <c r="A144" s="1112"/>
      <c r="B144" s="1112"/>
      <c r="C144" s="1112"/>
      <c r="D144" s="1112"/>
      <c r="E144" s="1112"/>
      <c r="F144" s="1112"/>
      <c r="G144" s="1112"/>
      <c r="H144" s="1112"/>
      <c r="I144" s="1112"/>
      <c r="J144" s="1114"/>
      <c r="K144" s="1112"/>
      <c r="L144" s="1112"/>
      <c r="M144" s="1112"/>
      <c r="N144" s="1112"/>
      <c r="O144" s="1112"/>
      <c r="P144" s="1112" t="s">
        <v>96</v>
      </c>
      <c r="Q144" s="1112"/>
    </row>
    <row r="145">
      <c r="A145" s="1112"/>
      <c r="B145" s="1112"/>
      <c r="C145" s="1112"/>
      <c r="D145" s="1112"/>
      <c r="E145" s="1112"/>
      <c r="F145" s="1112"/>
      <c r="G145" s="1112"/>
      <c r="H145" s="1112"/>
      <c r="I145" s="1112"/>
      <c r="J145" s="1114"/>
      <c r="K145" s="1112"/>
      <c r="L145" s="1112"/>
      <c r="M145" s="1112"/>
      <c r="N145" s="1112"/>
      <c r="O145" s="1112"/>
      <c r="P145" s="1112" t="s">
        <v>96</v>
      </c>
      <c r="Q145" s="1112"/>
    </row>
    <row r="146">
      <c r="A146" s="1112"/>
      <c r="B146" s="1112"/>
      <c r="C146" s="1112"/>
      <c r="D146" s="1112"/>
      <c r="E146" s="1112"/>
      <c r="F146" s="1112"/>
      <c r="G146" s="1112"/>
      <c r="H146" s="1112"/>
      <c r="I146" s="1112"/>
      <c r="J146" s="1114"/>
      <c r="K146" s="1112"/>
      <c r="L146" s="1112"/>
      <c r="M146" s="1112"/>
      <c r="N146" s="1112"/>
      <c r="O146" s="1112"/>
      <c r="P146" s="1112" t="s">
        <v>96</v>
      </c>
      <c r="Q146" s="1112"/>
    </row>
    <row r="147">
      <c r="A147" s="1112"/>
      <c r="B147" s="1112"/>
      <c r="C147" s="1112"/>
      <c r="D147" s="1112"/>
      <c r="E147" s="1112"/>
      <c r="F147" s="1112"/>
      <c r="G147" s="1112"/>
      <c r="H147" s="1112"/>
      <c r="I147" s="1112"/>
      <c r="J147" s="1114"/>
      <c r="K147" s="1112"/>
      <c r="L147" s="1112"/>
      <c r="M147" s="1112"/>
      <c r="N147" s="1112"/>
      <c r="O147" s="1112"/>
      <c r="P147" s="1112" t="s">
        <v>96</v>
      </c>
      <c r="Q147" s="1112"/>
    </row>
    <row r="148">
      <c r="A148" s="1112"/>
      <c r="B148" s="1112"/>
      <c r="C148" s="1112"/>
      <c r="D148" s="1112"/>
      <c r="E148" s="1112"/>
      <c r="F148" s="1112"/>
      <c r="G148" s="1112"/>
      <c r="H148" s="1112"/>
      <c r="I148" s="1112"/>
      <c r="J148" s="1114"/>
      <c r="K148" s="1112"/>
      <c r="L148" s="1112"/>
      <c r="M148" s="1112"/>
      <c r="N148" s="1112"/>
      <c r="O148" s="1112"/>
      <c r="P148" s="1112" t="s">
        <v>96</v>
      </c>
      <c r="Q148" s="1112"/>
    </row>
    <row r="149">
      <c r="A149" s="1112"/>
      <c r="B149" s="1112"/>
      <c r="C149" s="1112"/>
      <c r="D149" s="1112"/>
      <c r="E149" s="1112"/>
      <c r="F149" s="1112"/>
      <c r="G149" s="1112"/>
      <c r="H149" s="1112"/>
      <c r="I149" s="1112"/>
      <c r="J149" s="1114"/>
      <c r="K149" s="1112"/>
      <c r="L149" s="1112"/>
      <c r="M149" s="1112"/>
      <c r="N149" s="1112"/>
      <c r="O149" s="1112"/>
      <c r="P149" s="1112" t="s">
        <v>96</v>
      </c>
      <c r="Q149" s="1112"/>
    </row>
    <row r="150">
      <c r="A150" s="1112"/>
      <c r="B150" s="1112"/>
      <c r="C150" s="1112"/>
      <c r="D150" s="1112"/>
      <c r="E150" s="1112"/>
      <c r="F150" s="1112"/>
      <c r="G150" s="1112"/>
      <c r="H150" s="1112"/>
      <c r="I150" s="1112"/>
      <c r="J150" s="1114"/>
      <c r="K150" s="1112"/>
      <c r="L150" s="1112"/>
      <c r="M150" s="1112"/>
      <c r="N150" s="1112"/>
      <c r="O150" s="1112"/>
      <c r="P150" s="1112" t="s">
        <v>96</v>
      </c>
      <c r="Q150" s="1112"/>
    </row>
    <row r="151">
      <c r="A151" s="1112"/>
      <c r="B151" s="1112"/>
      <c r="C151" s="1112"/>
      <c r="D151" s="1112"/>
      <c r="E151" s="1112"/>
      <c r="F151" s="1112"/>
      <c r="G151" s="1112"/>
      <c r="H151" s="1112"/>
      <c r="I151" s="1112"/>
      <c r="J151" s="1114"/>
      <c r="K151" s="1112"/>
      <c r="L151" s="1112"/>
      <c r="M151" s="1112"/>
      <c r="N151" s="1112"/>
      <c r="O151" s="1112"/>
      <c r="P151" s="1112" t="s">
        <v>96</v>
      </c>
      <c r="Q151" s="1112"/>
    </row>
    <row r="152">
      <c r="A152" s="1112"/>
      <c r="B152" s="1112"/>
      <c r="C152" s="1112"/>
      <c r="D152" s="1112"/>
      <c r="E152" s="1112"/>
      <c r="F152" s="1112"/>
      <c r="G152" s="1112"/>
      <c r="H152" s="1112"/>
      <c r="I152" s="1112"/>
      <c r="J152" s="1114"/>
      <c r="K152" s="1112"/>
      <c r="L152" s="1112"/>
      <c r="M152" s="1112"/>
      <c r="N152" s="1112"/>
      <c r="O152" s="1112"/>
      <c r="P152" s="1112" t="s">
        <v>96</v>
      </c>
      <c r="Q152" s="1112"/>
    </row>
    <row r="153">
      <c r="A153" s="1112"/>
      <c r="B153" s="1112"/>
      <c r="C153" s="1112"/>
      <c r="D153" s="1112"/>
      <c r="E153" s="1112"/>
      <c r="F153" s="1112"/>
      <c r="G153" s="1112"/>
      <c r="H153" s="1112"/>
      <c r="I153" s="1112"/>
      <c r="J153" s="1114"/>
      <c r="K153" s="1112"/>
      <c r="L153" s="1112"/>
      <c r="M153" s="1112"/>
      <c r="N153" s="1112"/>
      <c r="O153" s="1112"/>
      <c r="P153" s="1112" t="s">
        <v>96</v>
      </c>
      <c r="Q153" s="1112"/>
    </row>
    <row r="154">
      <c r="A154" s="1112"/>
      <c r="B154" s="1112"/>
      <c r="C154" s="1112"/>
      <c r="D154" s="1112"/>
      <c r="E154" s="1112"/>
      <c r="F154" s="1112"/>
      <c r="G154" s="1112"/>
      <c r="H154" s="1112"/>
      <c r="I154" s="1112"/>
      <c r="J154" s="1114"/>
      <c r="K154" s="1112"/>
      <c r="L154" s="1112"/>
      <c r="M154" s="1112"/>
      <c r="N154" s="1112"/>
      <c r="O154" s="1112"/>
      <c r="P154" s="1112" t="s">
        <v>96</v>
      </c>
      <c r="Q154" s="1112"/>
    </row>
    <row r="155">
      <c r="A155" s="1112"/>
      <c r="B155" s="1112"/>
      <c r="C155" s="1112"/>
      <c r="D155" s="1112"/>
      <c r="E155" s="1112"/>
      <c r="F155" s="1112"/>
      <c r="G155" s="1112"/>
      <c r="H155" s="1112"/>
      <c r="I155" s="1112"/>
      <c r="J155" s="1114"/>
      <c r="K155" s="1112"/>
      <c r="L155" s="1112"/>
      <c r="M155" s="1112"/>
      <c r="N155" s="1112"/>
      <c r="O155" s="1112"/>
      <c r="P155" s="1112" t="s">
        <v>96</v>
      </c>
      <c r="Q155" s="1112"/>
    </row>
    <row r="156">
      <c r="A156" s="1112"/>
      <c r="B156" s="1112"/>
      <c r="C156" s="1112"/>
      <c r="D156" s="1112"/>
      <c r="E156" s="1112"/>
      <c r="F156" s="1112"/>
      <c r="G156" s="1112"/>
      <c r="H156" s="1112"/>
      <c r="I156" s="1112"/>
      <c r="J156" s="1114"/>
      <c r="K156" s="1112"/>
      <c r="L156" s="1112"/>
      <c r="M156" s="1112"/>
      <c r="N156" s="1112"/>
      <c r="O156" s="1112"/>
      <c r="P156" s="1112" t="s">
        <v>96</v>
      </c>
      <c r="Q156" s="1112"/>
    </row>
    <row r="157">
      <c r="A157" s="1112"/>
      <c r="B157" s="1112"/>
      <c r="C157" s="1112"/>
      <c r="D157" s="1112"/>
      <c r="E157" s="1112"/>
      <c r="F157" s="1112"/>
      <c r="G157" s="1112"/>
      <c r="H157" s="1112"/>
      <c r="I157" s="1112"/>
      <c r="J157" s="1114"/>
      <c r="K157" s="1112"/>
      <c r="L157" s="1112"/>
      <c r="M157" s="1112"/>
      <c r="N157" s="1112"/>
      <c r="O157" s="1112"/>
      <c r="P157" s="1112" t="s">
        <v>96</v>
      </c>
      <c r="Q157" s="1112"/>
    </row>
    <row r="158">
      <c r="A158" s="1112"/>
      <c r="B158" s="1112"/>
      <c r="C158" s="1112"/>
      <c r="D158" s="1112"/>
      <c r="E158" s="1112"/>
      <c r="F158" s="1112"/>
      <c r="G158" s="1112"/>
      <c r="H158" s="1112"/>
      <c r="I158" s="1112"/>
      <c r="J158" s="1114"/>
      <c r="K158" s="1112"/>
      <c r="L158" s="1112"/>
      <c r="M158" s="1112"/>
      <c r="N158" s="1112"/>
      <c r="O158" s="1112"/>
      <c r="P158" s="1112" t="s">
        <v>96</v>
      </c>
      <c r="Q158" s="1112"/>
    </row>
    <row r="159">
      <c r="A159" s="1112"/>
      <c r="B159" s="1112"/>
      <c r="C159" s="1112"/>
      <c r="D159" s="1112"/>
      <c r="E159" s="1112"/>
      <c r="F159" s="1112"/>
      <c r="G159" s="1112"/>
      <c r="H159" s="1112"/>
      <c r="I159" s="1112"/>
      <c r="J159" s="1114"/>
      <c r="K159" s="1112"/>
      <c r="L159" s="1112"/>
      <c r="M159" s="1112"/>
      <c r="N159" s="1112"/>
      <c r="O159" s="1112"/>
      <c r="P159" s="1112" t="s">
        <v>96</v>
      </c>
      <c r="Q159" s="1112"/>
    </row>
    <row r="160">
      <c r="A160" s="1112"/>
      <c r="B160" s="1112"/>
      <c r="C160" s="1112"/>
      <c r="D160" s="1112"/>
      <c r="E160" s="1112"/>
      <c r="F160" s="1112"/>
      <c r="G160" s="1112"/>
      <c r="H160" s="1112"/>
      <c r="I160" s="1112"/>
      <c r="J160" s="1114"/>
      <c r="K160" s="1112"/>
      <c r="L160" s="1112"/>
      <c r="M160" s="1112"/>
      <c r="N160" s="1112"/>
      <c r="O160" s="1112"/>
      <c r="P160" s="1112" t="s">
        <v>96</v>
      </c>
      <c r="Q160" s="1112"/>
    </row>
    <row r="161">
      <c r="A161" s="1112"/>
      <c r="B161" s="1112"/>
      <c r="C161" s="1112"/>
      <c r="D161" s="1112"/>
      <c r="E161" s="1112"/>
      <c r="F161" s="1112"/>
      <c r="G161" s="1112"/>
      <c r="H161" s="1112"/>
      <c r="I161" s="1112"/>
      <c r="J161" s="1114"/>
      <c r="K161" s="1112"/>
      <c r="L161" s="1112"/>
      <c r="M161" s="1112"/>
      <c r="N161" s="1112"/>
      <c r="O161" s="1112"/>
      <c r="P161" s="1112" t="s">
        <v>96</v>
      </c>
      <c r="Q161" s="1112"/>
    </row>
    <row r="162">
      <c r="A162" s="1112"/>
      <c r="B162" s="1112"/>
      <c r="C162" s="1112"/>
      <c r="D162" s="1112"/>
      <c r="E162" s="1112"/>
      <c r="F162" s="1112"/>
      <c r="G162" s="1112"/>
      <c r="H162" s="1112"/>
      <c r="I162" s="1112"/>
      <c r="J162" s="1114"/>
      <c r="K162" s="1112"/>
      <c r="L162" s="1112"/>
      <c r="M162" s="1112"/>
      <c r="N162" s="1112"/>
      <c r="O162" s="1112"/>
      <c r="P162" s="1112" t="s">
        <v>96</v>
      </c>
      <c r="Q162" s="1112"/>
    </row>
    <row r="163">
      <c r="A163" s="1112"/>
      <c r="B163" s="1112"/>
      <c r="C163" s="1112"/>
      <c r="D163" s="1112"/>
      <c r="E163" s="1112"/>
      <c r="F163" s="1112"/>
      <c r="G163" s="1112"/>
      <c r="H163" s="1112"/>
      <c r="I163" s="1112"/>
      <c r="J163" s="1114"/>
      <c r="K163" s="1112"/>
      <c r="L163" s="1112"/>
      <c r="M163" s="1112"/>
      <c r="N163" s="1112"/>
      <c r="O163" s="1112"/>
      <c r="P163" s="1112" t="s">
        <v>96</v>
      </c>
      <c r="Q163" s="1112"/>
    </row>
    <row r="164">
      <c r="A164" s="1112"/>
      <c r="B164" s="1112"/>
      <c r="C164" s="1112"/>
      <c r="D164" s="1112"/>
      <c r="E164" s="1112"/>
      <c r="F164" s="1112"/>
      <c r="G164" s="1112"/>
      <c r="H164" s="1112"/>
      <c r="I164" s="1112"/>
      <c r="J164" s="1114"/>
      <c r="K164" s="1112"/>
      <c r="L164" s="1112"/>
      <c r="M164" s="1112"/>
      <c r="N164" s="1112"/>
      <c r="O164" s="1112"/>
      <c r="P164" s="1112" t="s">
        <v>96</v>
      </c>
      <c r="Q164" s="1112"/>
    </row>
    <row r="165">
      <c r="A165" s="1112"/>
      <c r="B165" s="1112"/>
      <c r="C165" s="1112"/>
      <c r="D165" s="1112"/>
      <c r="E165" s="1112"/>
      <c r="F165" s="1112"/>
      <c r="G165" s="1112"/>
      <c r="H165" s="1112"/>
      <c r="I165" s="1112"/>
      <c r="J165" s="1114"/>
      <c r="K165" s="1112"/>
      <c r="L165" s="1112"/>
      <c r="M165" s="1112"/>
      <c r="N165" s="1112"/>
      <c r="O165" s="1112"/>
      <c r="P165" s="1112" t="s">
        <v>96</v>
      </c>
      <c r="Q165" s="1112"/>
    </row>
    <row r="166">
      <c r="A166" s="1112"/>
      <c r="B166" s="1112"/>
      <c r="C166" s="1112"/>
      <c r="D166" s="1112"/>
      <c r="E166" s="1112"/>
      <c r="F166" s="1112"/>
      <c r="G166" s="1112"/>
      <c r="H166" s="1112"/>
      <c r="I166" s="1112"/>
      <c r="J166" s="1114"/>
      <c r="K166" s="1112"/>
      <c r="L166" s="1112"/>
      <c r="M166" s="1112"/>
      <c r="N166" s="1112"/>
      <c r="O166" s="1112"/>
      <c r="P166" s="1112" t="s">
        <v>96</v>
      </c>
      <c r="Q166" s="1112"/>
    </row>
    <row r="167">
      <c r="A167" s="1112"/>
      <c r="B167" s="1112"/>
      <c r="C167" s="1112"/>
      <c r="D167" s="1112"/>
      <c r="E167" s="1112"/>
      <c r="F167" s="1112"/>
      <c r="G167" s="1112"/>
      <c r="H167" s="1112"/>
      <c r="I167" s="1112"/>
      <c r="J167" s="1114"/>
      <c r="K167" s="1112"/>
      <c r="L167" s="1112"/>
      <c r="M167" s="1112"/>
      <c r="N167" s="1112"/>
      <c r="O167" s="1112"/>
      <c r="P167" s="1112" t="s">
        <v>96</v>
      </c>
      <c r="Q167" s="1112"/>
    </row>
    <row r="168">
      <c r="A168" s="1112"/>
      <c r="B168" s="1112"/>
      <c r="C168" s="1112"/>
      <c r="D168" s="1112"/>
      <c r="E168" s="1112"/>
      <c r="F168" s="1112"/>
      <c r="G168" s="1112"/>
      <c r="H168" s="1112"/>
      <c r="I168" s="1112"/>
      <c r="J168" s="1114"/>
      <c r="K168" s="1112"/>
      <c r="L168" s="1112"/>
      <c r="M168" s="1112"/>
      <c r="N168" s="1112"/>
      <c r="O168" s="1112"/>
      <c r="P168" s="1112" t="s">
        <v>96</v>
      </c>
      <c r="Q168" s="1112"/>
    </row>
    <row r="169">
      <c r="A169" s="1112"/>
      <c r="B169" s="1112"/>
      <c r="C169" s="1112"/>
      <c r="D169" s="1112"/>
      <c r="E169" s="1112"/>
      <c r="F169" s="1112"/>
      <c r="G169" s="1112"/>
      <c r="H169" s="1112"/>
      <c r="I169" s="1112"/>
      <c r="J169" s="1114"/>
      <c r="K169" s="1112"/>
      <c r="L169" s="1112"/>
      <c r="M169" s="1112"/>
      <c r="N169" s="1112"/>
      <c r="O169" s="1112"/>
      <c r="P169" s="1112" t="s">
        <v>96</v>
      </c>
      <c r="Q169" s="1112"/>
    </row>
    <row r="170">
      <c r="A170" s="1112"/>
      <c r="B170" s="1112"/>
      <c r="C170" s="1112"/>
      <c r="D170" s="1112"/>
      <c r="E170" s="1112"/>
      <c r="F170" s="1112"/>
      <c r="G170" s="1112"/>
      <c r="H170" s="1112"/>
      <c r="I170" s="1112"/>
      <c r="J170" s="1114"/>
      <c r="K170" s="1112"/>
      <c r="L170" s="1112"/>
      <c r="M170" s="1112"/>
      <c r="N170" s="1112"/>
      <c r="O170" s="1112"/>
      <c r="P170" s="1112" t="s">
        <v>96</v>
      </c>
      <c r="Q170" s="1112"/>
    </row>
    <row r="171">
      <c r="A171" s="1112"/>
      <c r="B171" s="1112"/>
      <c r="C171" s="1112"/>
      <c r="D171" s="1112"/>
      <c r="E171" s="1112"/>
      <c r="F171" s="1112"/>
      <c r="G171" s="1112"/>
      <c r="H171" s="1112"/>
      <c r="I171" s="1112"/>
      <c r="J171" s="1114"/>
      <c r="K171" s="1112"/>
      <c r="L171" s="1112"/>
      <c r="M171" s="1112"/>
      <c r="N171" s="1112"/>
      <c r="O171" s="1112"/>
      <c r="P171" s="1112" t="s">
        <v>96</v>
      </c>
      <c r="Q171" s="1112"/>
    </row>
    <row r="172">
      <c r="A172" s="1112"/>
      <c r="B172" s="1112"/>
      <c r="C172" s="1112"/>
      <c r="D172" s="1112"/>
      <c r="E172" s="1112"/>
      <c r="F172" s="1112"/>
      <c r="G172" s="1112"/>
      <c r="H172" s="1112"/>
      <c r="I172" s="1112"/>
      <c r="J172" s="1114"/>
      <c r="K172" s="1112"/>
      <c r="L172" s="1112"/>
      <c r="M172" s="1112"/>
      <c r="N172" s="1112"/>
      <c r="O172" s="1112"/>
      <c r="P172" s="1112" t="s">
        <v>96</v>
      </c>
      <c r="Q172" s="1112"/>
    </row>
    <row r="173">
      <c r="A173" s="1112"/>
      <c r="B173" s="1112"/>
      <c r="C173" s="1112"/>
      <c r="D173" s="1112"/>
      <c r="E173" s="1112"/>
      <c r="F173" s="1112"/>
      <c r="G173" s="1112"/>
      <c r="H173" s="1112"/>
      <c r="I173" s="1112"/>
      <c r="J173" s="1114"/>
      <c r="K173" s="1112"/>
      <c r="L173" s="1112"/>
      <c r="M173" s="1112"/>
      <c r="N173" s="1112"/>
      <c r="O173" s="1112"/>
      <c r="P173" s="1112" t="s">
        <v>96</v>
      </c>
      <c r="Q173" s="1112"/>
    </row>
    <row r="174">
      <c r="A174" s="1112"/>
      <c r="B174" s="1112"/>
      <c r="C174" s="1112"/>
      <c r="D174" s="1112"/>
      <c r="E174" s="1112"/>
      <c r="F174" s="1112"/>
      <c r="G174" s="1112"/>
      <c r="H174" s="1112"/>
      <c r="I174" s="1112"/>
      <c r="J174" s="1114"/>
      <c r="K174" s="1112"/>
      <c r="L174" s="1112"/>
      <c r="M174" s="1112"/>
      <c r="N174" s="1112"/>
      <c r="O174" s="1112"/>
      <c r="P174" s="1112" t="s">
        <v>96</v>
      </c>
      <c r="Q174" s="1112"/>
    </row>
    <row r="175">
      <c r="A175" s="1112"/>
      <c r="B175" s="1112"/>
      <c r="C175" s="1112"/>
      <c r="D175" s="1112"/>
      <c r="E175" s="1112"/>
      <c r="F175" s="1112"/>
      <c r="G175" s="1112"/>
      <c r="H175" s="1112"/>
      <c r="I175" s="1112"/>
      <c r="J175" s="1114"/>
      <c r="K175" s="1112"/>
      <c r="L175" s="1112"/>
      <c r="M175" s="1112"/>
      <c r="N175" s="1112"/>
      <c r="O175" s="1112"/>
      <c r="P175" s="1112" t="s">
        <v>96</v>
      </c>
      <c r="Q175" s="1112"/>
    </row>
    <row r="176">
      <c r="A176" s="1112"/>
      <c r="B176" s="1112"/>
      <c r="C176" s="1112"/>
      <c r="D176" s="1112"/>
      <c r="E176" s="1112"/>
      <c r="F176" s="1112"/>
      <c r="G176" s="1112"/>
      <c r="H176" s="1112"/>
      <c r="I176" s="1112"/>
      <c r="J176" s="1114"/>
      <c r="K176" s="1112"/>
      <c r="L176" s="1112"/>
      <c r="M176" s="1112"/>
      <c r="N176" s="1112"/>
      <c r="O176" s="1112"/>
      <c r="P176" s="1112" t="s">
        <v>96</v>
      </c>
      <c r="Q176" s="1112"/>
    </row>
    <row r="177">
      <c r="A177" s="1112"/>
      <c r="B177" s="1112"/>
      <c r="C177" s="1112"/>
      <c r="D177" s="1112"/>
      <c r="E177" s="1112"/>
      <c r="F177" s="1112"/>
      <c r="G177" s="1112"/>
      <c r="H177" s="1112"/>
      <c r="I177" s="1112"/>
      <c r="J177" s="1114"/>
      <c r="K177" s="1112"/>
      <c r="L177" s="1112"/>
      <c r="M177" s="1112"/>
      <c r="N177" s="1112"/>
      <c r="O177" s="1112"/>
      <c r="P177" s="1112" t="s">
        <v>96</v>
      </c>
      <c r="Q177" s="1112"/>
    </row>
    <row r="178">
      <c r="A178" s="1112"/>
      <c r="B178" s="1112"/>
      <c r="C178" s="1112"/>
      <c r="D178" s="1112"/>
      <c r="E178" s="1112"/>
      <c r="F178" s="1112"/>
      <c r="G178" s="1112"/>
      <c r="H178" s="1112"/>
      <c r="I178" s="1112"/>
      <c r="J178" s="1114"/>
      <c r="K178" s="1112"/>
      <c r="L178" s="1112"/>
      <c r="M178" s="1112"/>
      <c r="N178" s="1112"/>
      <c r="O178" s="1112"/>
      <c r="P178" s="1112" t="s">
        <v>96</v>
      </c>
      <c r="Q178" s="1112"/>
    </row>
    <row r="179">
      <c r="A179" s="1112"/>
      <c r="B179" s="1112"/>
      <c r="C179" s="1112"/>
      <c r="D179" s="1112"/>
      <c r="E179" s="1112"/>
      <c r="F179" s="1112"/>
      <c r="G179" s="1112"/>
      <c r="H179" s="1112"/>
      <c r="I179" s="1112"/>
      <c r="J179" s="1114"/>
      <c r="K179" s="1112"/>
      <c r="L179" s="1112"/>
      <c r="M179" s="1112"/>
      <c r="N179" s="1112"/>
      <c r="O179" s="1112"/>
      <c r="P179" s="1112" t="s">
        <v>96</v>
      </c>
      <c r="Q179" s="1112"/>
    </row>
    <row r="180">
      <c r="A180" s="1112"/>
      <c r="B180" s="1112"/>
      <c r="C180" s="1112"/>
      <c r="D180" s="1112"/>
      <c r="E180" s="1112"/>
      <c r="F180" s="1112"/>
      <c r="G180" s="1112"/>
      <c r="H180" s="1112"/>
      <c r="I180" s="1112"/>
      <c r="J180" s="1114"/>
      <c r="K180" s="1112"/>
      <c r="L180" s="1112"/>
      <c r="M180" s="1112"/>
      <c r="N180" s="1112"/>
      <c r="O180" s="1112"/>
      <c r="P180" s="1112" t="s">
        <v>96</v>
      </c>
      <c r="Q180" s="1112"/>
    </row>
    <row r="181">
      <c r="A181" s="1112"/>
      <c r="B181" s="1112"/>
      <c r="C181" s="1112"/>
      <c r="D181" s="1112"/>
      <c r="E181" s="1112"/>
      <c r="F181" s="1112"/>
      <c r="G181" s="1112"/>
      <c r="H181" s="1112"/>
      <c r="I181" s="1112"/>
      <c r="J181" s="1114"/>
      <c r="K181" s="1112"/>
      <c r="L181" s="1112"/>
      <c r="M181" s="1112"/>
      <c r="N181" s="1112"/>
      <c r="O181" s="1112"/>
      <c r="P181" s="1112" t="s">
        <v>96</v>
      </c>
      <c r="Q181" s="1112"/>
    </row>
    <row r="182">
      <c r="A182" s="1112"/>
      <c r="B182" s="1112"/>
      <c r="C182" s="1112"/>
      <c r="D182" s="1112"/>
      <c r="E182" s="1112"/>
      <c r="F182" s="1112"/>
      <c r="G182" s="1112"/>
      <c r="H182" s="1112"/>
      <c r="I182" s="1112"/>
      <c r="J182" s="1114"/>
      <c r="K182" s="1112"/>
      <c r="L182" s="1112"/>
      <c r="M182" s="1112"/>
      <c r="N182" s="1112"/>
      <c r="O182" s="1112"/>
      <c r="P182" s="1112" t="s">
        <v>96</v>
      </c>
      <c r="Q182" s="1112"/>
    </row>
    <row r="183">
      <c r="A183" s="1112"/>
      <c r="B183" s="1112"/>
      <c r="C183" s="1112"/>
      <c r="D183" s="1112"/>
      <c r="E183" s="1112"/>
      <c r="F183" s="1112"/>
      <c r="G183" s="1112"/>
      <c r="H183" s="1112"/>
      <c r="I183" s="1112"/>
      <c r="J183" s="1114"/>
      <c r="K183" s="1112"/>
      <c r="L183" s="1112"/>
      <c r="M183" s="1112"/>
      <c r="N183" s="1112"/>
      <c r="O183" s="1112"/>
      <c r="P183" s="1112" t="s">
        <v>96</v>
      </c>
      <c r="Q183" s="1112"/>
    </row>
    <row r="184">
      <c r="A184" s="1112"/>
      <c r="B184" s="1112"/>
      <c r="C184" s="1112"/>
      <c r="D184" s="1112"/>
      <c r="E184" s="1112"/>
      <c r="F184" s="1112"/>
      <c r="G184" s="1112"/>
      <c r="H184" s="1112"/>
      <c r="I184" s="1112"/>
      <c r="J184" s="1114"/>
      <c r="K184" s="1112"/>
      <c r="L184" s="1112"/>
      <c r="M184" s="1112"/>
      <c r="N184" s="1112"/>
      <c r="O184" s="1112"/>
      <c r="P184" s="1112" t="s">
        <v>96</v>
      </c>
      <c r="Q184" s="1112"/>
    </row>
    <row r="185">
      <c r="A185" s="1112"/>
      <c r="B185" s="1112"/>
      <c r="C185" s="1112"/>
      <c r="D185" s="1112"/>
      <c r="E185" s="1112"/>
      <c r="F185" s="1112"/>
      <c r="G185" s="1112"/>
      <c r="H185" s="1112"/>
      <c r="I185" s="1112"/>
      <c r="J185" s="1114"/>
      <c r="K185" s="1112"/>
      <c r="L185" s="1112"/>
      <c r="M185" s="1112"/>
      <c r="N185" s="1112"/>
      <c r="O185" s="1112"/>
      <c r="P185" s="1112" t="s">
        <v>96</v>
      </c>
      <c r="Q185" s="1112"/>
    </row>
    <row r="186">
      <c r="A186" s="1112"/>
      <c r="B186" s="1112"/>
      <c r="C186" s="1112"/>
      <c r="D186" s="1112"/>
      <c r="E186" s="1112"/>
      <c r="F186" s="1112"/>
      <c r="G186" s="1112"/>
      <c r="H186" s="1112"/>
      <c r="I186" s="1112"/>
      <c r="J186" s="1114"/>
      <c r="K186" s="1112"/>
      <c r="L186" s="1112"/>
      <c r="M186" s="1112"/>
      <c r="N186" s="1112"/>
      <c r="O186" s="1112"/>
      <c r="P186" s="1112" t="s">
        <v>96</v>
      </c>
      <c r="Q186" s="1112"/>
    </row>
    <row r="187">
      <c r="A187" s="1112"/>
      <c r="B187" s="1112"/>
      <c r="C187" s="1112"/>
      <c r="D187" s="1112"/>
      <c r="E187" s="1112"/>
      <c r="F187" s="1112"/>
      <c r="G187" s="1112"/>
      <c r="H187" s="1112"/>
      <c r="I187" s="1112"/>
      <c r="J187" s="1114"/>
      <c r="K187" s="1112"/>
      <c r="L187" s="1112"/>
      <c r="M187" s="1112"/>
      <c r="N187" s="1112"/>
      <c r="O187" s="1112"/>
      <c r="P187" s="1112" t="s">
        <v>96</v>
      </c>
      <c r="Q187" s="1112"/>
    </row>
    <row r="188">
      <c r="A188" s="1112"/>
      <c r="B188" s="1112"/>
      <c r="C188" s="1112"/>
      <c r="D188" s="1112"/>
      <c r="E188" s="1112"/>
      <c r="F188" s="1112"/>
      <c r="G188" s="1112"/>
      <c r="H188" s="1112"/>
      <c r="I188" s="1112"/>
      <c r="J188" s="1114"/>
      <c r="K188" s="1112"/>
      <c r="L188" s="1112"/>
      <c r="M188" s="1112"/>
      <c r="N188" s="1112"/>
      <c r="O188" s="1112"/>
      <c r="P188" s="1112" t="s">
        <v>96</v>
      </c>
      <c r="Q188" s="1112"/>
    </row>
    <row r="189">
      <c r="A189" s="1112"/>
      <c r="B189" s="1112"/>
      <c r="C189" s="1112"/>
      <c r="D189" s="1112"/>
      <c r="E189" s="1112"/>
      <c r="F189" s="1112"/>
      <c r="G189" s="1112"/>
      <c r="H189" s="1112"/>
      <c r="I189" s="1112"/>
      <c r="J189" s="1114"/>
      <c r="K189" s="1112"/>
      <c r="L189" s="1112"/>
      <c r="M189" s="1112"/>
      <c r="N189" s="1112"/>
      <c r="O189" s="1112"/>
      <c r="P189" s="1112" t="s">
        <v>96</v>
      </c>
      <c r="Q189" s="1112"/>
    </row>
    <row r="190">
      <c r="A190" s="1112"/>
      <c r="B190" s="1112"/>
      <c r="C190" s="1112"/>
      <c r="D190" s="1112"/>
      <c r="E190" s="1112"/>
      <c r="F190" s="1112"/>
      <c r="G190" s="1112"/>
      <c r="H190" s="1112"/>
      <c r="I190" s="1112"/>
      <c r="J190" s="1114"/>
      <c r="K190" s="1112"/>
      <c r="L190" s="1112"/>
      <c r="M190" s="1112"/>
      <c r="N190" s="1112"/>
      <c r="O190" s="1112"/>
      <c r="P190" s="1112" t="s">
        <v>96</v>
      </c>
      <c r="Q190" s="1112"/>
    </row>
    <row r="191">
      <c r="A191" s="1112"/>
      <c r="B191" s="1112"/>
      <c r="C191" s="1112"/>
      <c r="D191" s="1112"/>
      <c r="E191" s="1112"/>
      <c r="F191" s="1112"/>
      <c r="G191" s="1112"/>
      <c r="H191" s="1112"/>
      <c r="I191" s="1112"/>
      <c r="J191" s="1114"/>
      <c r="K191" s="1112"/>
      <c r="L191" s="1112"/>
      <c r="M191" s="1112"/>
      <c r="N191" s="1112"/>
      <c r="O191" s="1112"/>
      <c r="P191" s="1112" t="s">
        <v>96</v>
      </c>
      <c r="Q191" s="1112"/>
    </row>
    <row r="192">
      <c r="A192" s="1112"/>
      <c r="B192" s="1112"/>
      <c r="C192" s="1112"/>
      <c r="D192" s="1112"/>
      <c r="E192" s="1112"/>
      <c r="F192" s="1112"/>
      <c r="G192" s="1112"/>
      <c r="H192" s="1112"/>
      <c r="I192" s="1112"/>
      <c r="J192" s="1114"/>
      <c r="K192" s="1112"/>
      <c r="L192" s="1112"/>
      <c r="M192" s="1112"/>
      <c r="N192" s="1112"/>
      <c r="O192" s="1112"/>
      <c r="P192" s="1112" t="s">
        <v>96</v>
      </c>
      <c r="Q192" s="1112"/>
    </row>
    <row r="193">
      <c r="A193" s="1112"/>
      <c r="B193" s="1112"/>
      <c r="C193" s="1112"/>
      <c r="D193" s="1112"/>
      <c r="E193" s="1112"/>
      <c r="F193" s="1112"/>
      <c r="G193" s="1112"/>
      <c r="H193" s="1112"/>
      <c r="I193" s="1112"/>
      <c r="J193" s="1114"/>
      <c r="K193" s="1112"/>
      <c r="L193" s="1112"/>
      <c r="M193" s="1112"/>
      <c r="N193" s="1112"/>
      <c r="O193" s="1112"/>
      <c r="P193" s="1112" t="s">
        <v>96</v>
      </c>
      <c r="Q193" s="1112"/>
    </row>
    <row r="194">
      <c r="A194" s="1112"/>
      <c r="B194" s="1112"/>
      <c r="C194" s="1112"/>
      <c r="D194" s="1112"/>
      <c r="E194" s="1112"/>
      <c r="F194" s="1112"/>
      <c r="G194" s="1112"/>
      <c r="H194" s="1112"/>
      <c r="I194" s="1112"/>
      <c r="J194" s="1114"/>
      <c r="K194" s="1112"/>
      <c r="L194" s="1112"/>
      <c r="M194" s="1112"/>
      <c r="N194" s="1112"/>
      <c r="O194" s="1112"/>
      <c r="P194" s="1112" t="s">
        <v>96</v>
      </c>
      <c r="Q194" s="1112"/>
    </row>
    <row r="195">
      <c r="A195" s="1112"/>
      <c r="B195" s="1112"/>
      <c r="C195" s="1112"/>
      <c r="D195" s="1112"/>
      <c r="E195" s="1112"/>
      <c r="F195" s="1112"/>
      <c r="G195" s="1112"/>
      <c r="H195" s="1112"/>
      <c r="I195" s="1112"/>
      <c r="J195" s="1114"/>
      <c r="K195" s="1112"/>
      <c r="L195" s="1112"/>
      <c r="M195" s="1112"/>
      <c r="N195" s="1112"/>
      <c r="O195" s="1112"/>
      <c r="P195" s="1112" t="s">
        <v>96</v>
      </c>
      <c r="Q195" s="1112"/>
    </row>
    <row r="196">
      <c r="A196" s="1112"/>
      <c r="B196" s="1112"/>
      <c r="C196" s="1112"/>
      <c r="D196" s="1112"/>
      <c r="E196" s="1112"/>
      <c r="F196" s="1112"/>
      <c r="G196" s="1112"/>
      <c r="H196" s="1112"/>
      <c r="I196" s="1112"/>
      <c r="J196" s="1114"/>
      <c r="K196" s="1112"/>
      <c r="L196" s="1112"/>
      <c r="M196" s="1112"/>
      <c r="N196" s="1112"/>
      <c r="O196" s="1112"/>
      <c r="P196" s="1112" t="s">
        <v>96</v>
      </c>
      <c r="Q196" s="1112"/>
    </row>
    <row r="197">
      <c r="A197" s="1112"/>
      <c r="B197" s="1112"/>
      <c r="C197" s="1112"/>
      <c r="D197" s="1112"/>
      <c r="E197" s="1112"/>
      <c r="F197" s="1112"/>
      <c r="G197" s="1112"/>
      <c r="H197" s="1112"/>
      <c r="I197" s="1112"/>
      <c r="J197" s="1114"/>
      <c r="K197" s="1112"/>
      <c r="L197" s="1112"/>
      <c r="M197" s="1112"/>
      <c r="N197" s="1112"/>
      <c r="O197" s="1112"/>
      <c r="P197" s="1112" t="s">
        <v>96</v>
      </c>
      <c r="Q197" s="1112"/>
    </row>
    <row r="198">
      <c r="A198" s="1112"/>
      <c r="B198" s="1112"/>
      <c r="C198" s="1112"/>
      <c r="D198" s="1112"/>
      <c r="E198" s="1112"/>
      <c r="F198" s="1112"/>
      <c r="G198" s="1112"/>
      <c r="H198" s="1112"/>
      <c r="I198" s="1112"/>
      <c r="J198" s="1114"/>
      <c r="K198" s="1112"/>
      <c r="L198" s="1112"/>
      <c r="M198" s="1112"/>
      <c r="N198" s="1112"/>
      <c r="O198" s="1112"/>
      <c r="P198" s="1112" t="s">
        <v>96</v>
      </c>
      <c r="Q198" s="1112"/>
    </row>
    <row r="199">
      <c r="A199" s="1112"/>
      <c r="B199" s="1112"/>
      <c r="C199" s="1112"/>
      <c r="D199" s="1112"/>
      <c r="E199" s="1112"/>
      <c r="F199" s="1112"/>
      <c r="G199" s="1112"/>
      <c r="H199" s="1112"/>
      <c r="I199" s="1112"/>
      <c r="J199" s="1114"/>
      <c r="K199" s="1112"/>
      <c r="L199" s="1112"/>
      <c r="M199" s="1112"/>
      <c r="N199" s="1112"/>
      <c r="O199" s="1112"/>
      <c r="P199" s="1112" t="s">
        <v>96</v>
      </c>
      <c r="Q199" s="1112"/>
    </row>
    <row r="200">
      <c r="A200" s="1112"/>
      <c r="B200" s="1112"/>
      <c r="C200" s="1112"/>
      <c r="D200" s="1112"/>
      <c r="E200" s="1112"/>
      <c r="F200" s="1112"/>
      <c r="G200" s="1112"/>
      <c r="H200" s="1112"/>
      <c r="I200" s="1112"/>
      <c r="J200" s="1114"/>
      <c r="K200" s="1112"/>
      <c r="L200" s="1112"/>
      <c r="M200" s="1112"/>
      <c r="N200" s="1112"/>
      <c r="O200" s="1112"/>
      <c r="P200" s="1112" t="s">
        <v>96</v>
      </c>
      <c r="Q200" s="1112"/>
    </row>
    <row r="201">
      <c r="A201" s="1112"/>
      <c r="B201" s="1112"/>
      <c r="C201" s="1112"/>
      <c r="D201" s="1112"/>
      <c r="E201" s="1112"/>
      <c r="F201" s="1112"/>
      <c r="G201" s="1112"/>
      <c r="H201" s="1112"/>
      <c r="I201" s="1112"/>
      <c r="J201" s="1114"/>
      <c r="K201" s="1112"/>
      <c r="L201" s="1112"/>
      <c r="M201" s="1112"/>
      <c r="N201" s="1112"/>
      <c r="O201" s="1112"/>
      <c r="P201" s="1112" t="s">
        <v>96</v>
      </c>
      <c r="Q201" s="1112"/>
    </row>
    <row r="202">
      <c r="A202" s="1112"/>
      <c r="B202" s="1112"/>
      <c r="C202" s="1112"/>
      <c r="D202" s="1112"/>
      <c r="E202" s="1112"/>
      <c r="F202" s="1112"/>
      <c r="G202" s="1112"/>
      <c r="H202" s="1112"/>
      <c r="I202" s="1112"/>
      <c r="J202" s="1114"/>
      <c r="K202" s="1112"/>
      <c r="L202" s="1112"/>
      <c r="M202" s="1112"/>
      <c r="N202" s="1112"/>
      <c r="O202" s="1112"/>
      <c r="P202" s="1112" t="s">
        <v>96</v>
      </c>
      <c r="Q202" s="1112"/>
    </row>
    <row r="203">
      <c r="A203" s="1112"/>
      <c r="B203" s="1112"/>
      <c r="C203" s="1112"/>
      <c r="D203" s="1112"/>
      <c r="E203" s="1112"/>
      <c r="F203" s="1112"/>
      <c r="G203" s="1112"/>
      <c r="H203" s="1112"/>
      <c r="I203" s="1112"/>
      <c r="J203" s="1114"/>
      <c r="K203" s="1112"/>
      <c r="L203" s="1112"/>
      <c r="M203" s="1112"/>
      <c r="N203" s="1112"/>
      <c r="O203" s="1112"/>
      <c r="P203" s="1112" t="s">
        <v>96</v>
      </c>
      <c r="Q203" s="1112"/>
    </row>
    <row r="204">
      <c r="A204" s="1112"/>
      <c r="B204" s="1112"/>
      <c r="C204" s="1112"/>
      <c r="D204" s="1112"/>
      <c r="E204" s="1112"/>
      <c r="F204" s="1112"/>
      <c r="G204" s="1112"/>
      <c r="H204" s="1112"/>
      <c r="I204" s="1112"/>
      <c r="J204" s="1114"/>
      <c r="K204" s="1112"/>
      <c r="L204" s="1112"/>
      <c r="M204" s="1112"/>
      <c r="N204" s="1112"/>
      <c r="O204" s="1112"/>
      <c r="P204" s="1112" t="s">
        <v>96</v>
      </c>
      <c r="Q204" s="1112"/>
    </row>
    <row r="205">
      <c r="A205" s="1112"/>
      <c r="B205" s="1112"/>
      <c r="C205" s="1112"/>
      <c r="D205" s="1112"/>
      <c r="E205" s="1112"/>
      <c r="F205" s="1112"/>
      <c r="G205" s="1112"/>
      <c r="H205" s="1112"/>
      <c r="I205" s="1112"/>
      <c r="J205" s="1114"/>
      <c r="K205" s="1112"/>
      <c r="L205" s="1112"/>
      <c r="M205" s="1112"/>
      <c r="N205" s="1112"/>
      <c r="O205" s="1112"/>
      <c r="P205" s="1112" t="s">
        <v>96</v>
      </c>
      <c r="Q205" s="1112"/>
    </row>
    <row r="206">
      <c r="A206" s="1112"/>
      <c r="B206" s="1112"/>
      <c r="C206" s="1112"/>
      <c r="D206" s="1112"/>
      <c r="E206" s="1112"/>
      <c r="F206" s="1112"/>
      <c r="G206" s="1112"/>
      <c r="H206" s="1112"/>
      <c r="I206" s="1112"/>
      <c r="J206" s="1114"/>
      <c r="K206" s="1112"/>
      <c r="L206" s="1112"/>
      <c r="M206" s="1112"/>
      <c r="N206" s="1112"/>
      <c r="O206" s="1112"/>
      <c r="P206" s="1112" t="s">
        <v>96</v>
      </c>
      <c r="Q206" s="1112"/>
    </row>
    <row r="207">
      <c r="A207" s="1112"/>
      <c r="B207" s="1112"/>
      <c r="C207" s="1112"/>
      <c r="D207" s="1112"/>
      <c r="E207" s="1112"/>
      <c r="F207" s="1112"/>
      <c r="G207" s="1112"/>
      <c r="H207" s="1112"/>
      <c r="I207" s="1112"/>
      <c r="J207" s="1114"/>
      <c r="K207" s="1112"/>
      <c r="L207" s="1112"/>
      <c r="M207" s="1112"/>
      <c r="N207" s="1112"/>
      <c r="O207" s="1112"/>
      <c r="P207" s="1112" t="s">
        <v>96</v>
      </c>
      <c r="Q207" s="1112"/>
    </row>
    <row r="208">
      <c r="A208" s="1112"/>
      <c r="B208" s="1112"/>
      <c r="C208" s="1112"/>
      <c r="D208" s="1112"/>
      <c r="E208" s="1112"/>
      <c r="F208" s="1112"/>
      <c r="G208" s="1112"/>
      <c r="H208" s="1112"/>
      <c r="I208" s="1112"/>
      <c r="J208" s="1114"/>
      <c r="K208" s="1112"/>
      <c r="L208" s="1112"/>
      <c r="M208" s="1112"/>
      <c r="N208" s="1112"/>
      <c r="O208" s="1112"/>
      <c r="P208" s="1112" t="s">
        <v>96</v>
      </c>
      <c r="Q208" s="1112"/>
    </row>
    <row r="209">
      <c r="A209" s="1112"/>
      <c r="B209" s="1112"/>
      <c r="C209" s="1112"/>
      <c r="D209" s="1112"/>
      <c r="E209" s="1112"/>
      <c r="F209" s="1112"/>
      <c r="G209" s="1112"/>
      <c r="H209" s="1112"/>
      <c r="I209" s="1112"/>
      <c r="J209" s="1114"/>
      <c r="K209" s="1112"/>
      <c r="L209" s="1112"/>
      <c r="M209" s="1112"/>
      <c r="N209" s="1112"/>
      <c r="O209" s="1112"/>
      <c r="P209" s="1112" t="s">
        <v>96</v>
      </c>
      <c r="Q209" s="1112"/>
    </row>
    <row r="210">
      <c r="A210" s="1112"/>
      <c r="B210" s="1112"/>
      <c r="C210" s="1112"/>
      <c r="D210" s="1112"/>
      <c r="E210" s="1112"/>
      <c r="F210" s="1112"/>
      <c r="G210" s="1112"/>
      <c r="H210" s="1112"/>
      <c r="I210" s="1112"/>
      <c r="J210" s="1114"/>
      <c r="K210" s="1112"/>
      <c r="L210" s="1112"/>
      <c r="M210" s="1112"/>
      <c r="N210" s="1112"/>
      <c r="O210" s="1112"/>
      <c r="P210" s="1112" t="s">
        <v>96</v>
      </c>
      <c r="Q210" s="1112"/>
    </row>
    <row r="211">
      <c r="A211" s="1112"/>
      <c r="B211" s="1112"/>
      <c r="C211" s="1112"/>
      <c r="D211" s="1112"/>
      <c r="E211" s="1112"/>
      <c r="F211" s="1112"/>
      <c r="G211" s="1112"/>
      <c r="H211" s="1112"/>
      <c r="I211" s="1112"/>
      <c r="J211" s="1114"/>
      <c r="K211" s="1112"/>
      <c r="L211" s="1112"/>
      <c r="M211" s="1112"/>
      <c r="N211" s="1112"/>
      <c r="O211" s="1112"/>
      <c r="P211" s="1112" t="s">
        <v>96</v>
      </c>
      <c r="Q211" s="1112"/>
    </row>
    <row r="212">
      <c r="A212" s="1112"/>
      <c r="B212" s="1112"/>
      <c r="C212" s="1112"/>
      <c r="D212" s="1112"/>
      <c r="E212" s="1112"/>
      <c r="F212" s="1112"/>
      <c r="G212" s="1112"/>
      <c r="H212" s="1112"/>
      <c r="I212" s="1112"/>
      <c r="J212" s="1114"/>
      <c r="K212" s="1112"/>
      <c r="L212" s="1112"/>
      <c r="M212" s="1112"/>
      <c r="N212" s="1112"/>
      <c r="O212" s="1112"/>
      <c r="P212" s="1112" t="s">
        <v>96</v>
      </c>
      <c r="Q212" s="1112"/>
    </row>
    <row r="213">
      <c r="A213" s="1112"/>
      <c r="B213" s="1112"/>
      <c r="C213" s="1112"/>
      <c r="D213" s="1112"/>
      <c r="E213" s="1112"/>
      <c r="F213" s="1112"/>
      <c r="G213" s="1112"/>
      <c r="H213" s="1112"/>
      <c r="I213" s="1112"/>
      <c r="J213" s="1114"/>
      <c r="K213" s="1112"/>
      <c r="L213" s="1112"/>
      <c r="M213" s="1112"/>
      <c r="N213" s="1112"/>
      <c r="O213" s="1112"/>
      <c r="P213" s="1112" t="s">
        <v>96</v>
      </c>
      <c r="Q213" s="1112"/>
    </row>
    <row r="214">
      <c r="A214" s="1112"/>
      <c r="B214" s="1112"/>
      <c r="C214" s="1112"/>
      <c r="D214" s="1112"/>
      <c r="E214" s="1112"/>
      <c r="F214" s="1112"/>
      <c r="G214" s="1112"/>
      <c r="H214" s="1112"/>
      <c r="I214" s="1112"/>
      <c r="J214" s="1114"/>
      <c r="K214" s="1112"/>
      <c r="L214" s="1112"/>
      <c r="M214" s="1112"/>
      <c r="N214" s="1112"/>
      <c r="O214" s="1112"/>
      <c r="P214" s="1112" t="s">
        <v>96</v>
      </c>
      <c r="Q214" s="1112"/>
    </row>
    <row r="215">
      <c r="A215" s="1112"/>
      <c r="B215" s="1112"/>
      <c r="C215" s="1112"/>
      <c r="D215" s="1112"/>
      <c r="E215" s="1112"/>
      <c r="F215" s="1112"/>
      <c r="G215" s="1112"/>
      <c r="H215" s="1112"/>
      <c r="I215" s="1112"/>
      <c r="J215" s="1114"/>
      <c r="K215" s="1112"/>
      <c r="L215" s="1112"/>
      <c r="M215" s="1112"/>
      <c r="N215" s="1112"/>
      <c r="O215" s="1112"/>
      <c r="P215" s="1112" t="s">
        <v>96</v>
      </c>
      <c r="Q215" s="1112"/>
    </row>
    <row r="216">
      <c r="A216" s="1112"/>
      <c r="B216" s="1112"/>
      <c r="C216" s="1112"/>
      <c r="D216" s="1112"/>
      <c r="E216" s="1112"/>
      <c r="F216" s="1112"/>
      <c r="G216" s="1112"/>
      <c r="H216" s="1112"/>
      <c r="I216" s="1112"/>
      <c r="J216" s="1114"/>
      <c r="K216" s="1112"/>
      <c r="L216" s="1112"/>
      <c r="M216" s="1112"/>
      <c r="N216" s="1112"/>
      <c r="O216" s="1112"/>
      <c r="P216" s="1112" t="s">
        <v>96</v>
      </c>
      <c r="Q216" s="1112"/>
    </row>
    <row r="217">
      <c r="A217" s="1112"/>
      <c r="B217" s="1112"/>
      <c r="C217" s="1112"/>
      <c r="D217" s="1112"/>
      <c r="E217" s="1112"/>
      <c r="F217" s="1112"/>
      <c r="G217" s="1112"/>
      <c r="H217" s="1112"/>
      <c r="I217" s="1112"/>
      <c r="J217" s="1114"/>
      <c r="K217" s="1112"/>
      <c r="L217" s="1112"/>
      <c r="M217" s="1112"/>
      <c r="N217" s="1112"/>
      <c r="O217" s="1112"/>
      <c r="P217" s="1112" t="s">
        <v>96</v>
      </c>
      <c r="Q217" s="1112"/>
    </row>
    <row r="218">
      <c r="A218" s="1112"/>
      <c r="B218" s="1112"/>
      <c r="C218" s="1112"/>
      <c r="D218" s="1112"/>
      <c r="E218" s="1112"/>
      <c r="F218" s="1112"/>
      <c r="G218" s="1112"/>
      <c r="H218" s="1112"/>
      <c r="I218" s="1112"/>
      <c r="J218" s="1114"/>
      <c r="K218" s="1112"/>
      <c r="L218" s="1112"/>
      <c r="M218" s="1112"/>
      <c r="N218" s="1112"/>
      <c r="O218" s="1112"/>
      <c r="P218" s="1112" t="s">
        <v>96</v>
      </c>
      <c r="Q218" s="1112"/>
    </row>
    <row r="219">
      <c r="A219" s="1112"/>
      <c r="B219" s="1112"/>
      <c r="C219" s="1112"/>
      <c r="D219" s="1112"/>
      <c r="E219" s="1112"/>
      <c r="F219" s="1112"/>
      <c r="G219" s="1112"/>
      <c r="H219" s="1112"/>
      <c r="I219" s="1112"/>
      <c r="J219" s="1114"/>
      <c r="K219" s="1112"/>
      <c r="L219" s="1112"/>
      <c r="M219" s="1112"/>
      <c r="N219" s="1112"/>
      <c r="O219" s="1112"/>
      <c r="P219" s="1112" t="s">
        <v>96</v>
      </c>
      <c r="Q219" s="1112"/>
    </row>
    <row r="220">
      <c r="A220" s="1112"/>
      <c r="B220" s="1112"/>
      <c r="C220" s="1112"/>
      <c r="D220" s="1112"/>
      <c r="E220" s="1112"/>
      <c r="F220" s="1112"/>
      <c r="G220" s="1112"/>
      <c r="H220" s="1112"/>
      <c r="I220" s="1112"/>
      <c r="J220" s="1114"/>
      <c r="K220" s="1112"/>
      <c r="L220" s="1112"/>
      <c r="M220" s="1112"/>
      <c r="N220" s="1112"/>
      <c r="O220" s="1112"/>
      <c r="P220" s="1112" t="s">
        <v>96</v>
      </c>
      <c r="Q220" s="1112"/>
    </row>
    <row r="221">
      <c r="A221" s="1112"/>
      <c r="B221" s="1112"/>
      <c r="C221" s="1112"/>
      <c r="D221" s="1112"/>
      <c r="E221" s="1112"/>
      <c r="F221" s="1112"/>
      <c r="G221" s="1112"/>
      <c r="H221" s="1112"/>
      <c r="I221" s="1112"/>
      <c r="J221" s="1114"/>
      <c r="K221" s="1112"/>
      <c r="L221" s="1112"/>
      <c r="M221" s="1112"/>
      <c r="N221" s="1112"/>
      <c r="O221" s="1112"/>
      <c r="P221" s="1112" t="s">
        <v>96</v>
      </c>
      <c r="Q221" s="1112"/>
    </row>
    <row r="222">
      <c r="A222" s="1112"/>
      <c r="B222" s="1112"/>
      <c r="C222" s="1112"/>
      <c r="D222" s="1112"/>
      <c r="E222" s="1112"/>
      <c r="F222" s="1112"/>
      <c r="G222" s="1112"/>
      <c r="H222" s="1112"/>
      <c r="I222" s="1112"/>
      <c r="J222" s="1114"/>
      <c r="K222" s="1112"/>
      <c r="L222" s="1112"/>
      <c r="M222" s="1112"/>
      <c r="N222" s="1112"/>
      <c r="O222" s="1112"/>
      <c r="P222" s="1112" t="s">
        <v>96</v>
      </c>
      <c r="Q222" s="1112"/>
    </row>
    <row r="223">
      <c r="A223" s="1112"/>
      <c r="B223" s="1112"/>
      <c r="C223" s="1112"/>
      <c r="D223" s="1112"/>
      <c r="E223" s="1112"/>
      <c r="F223" s="1112"/>
      <c r="G223" s="1112"/>
      <c r="H223" s="1112"/>
      <c r="I223" s="1112"/>
      <c r="J223" s="1114"/>
      <c r="K223" s="1112"/>
      <c r="L223" s="1112"/>
      <c r="M223" s="1112"/>
      <c r="N223" s="1112"/>
      <c r="O223" s="1112"/>
      <c r="P223" s="1112" t="s">
        <v>96</v>
      </c>
      <c r="Q223" s="1112"/>
    </row>
    <row r="224">
      <c r="A224" s="1112"/>
      <c r="B224" s="1112"/>
      <c r="C224" s="1112"/>
      <c r="D224" s="1112"/>
      <c r="E224" s="1112"/>
      <c r="F224" s="1112"/>
      <c r="G224" s="1112"/>
      <c r="H224" s="1112"/>
      <c r="I224" s="1112"/>
      <c r="J224" s="1114"/>
      <c r="K224" s="1112"/>
      <c r="L224" s="1112"/>
      <c r="M224" s="1112"/>
      <c r="N224" s="1112"/>
      <c r="O224" s="1112"/>
      <c r="P224" s="1112" t="s">
        <v>96</v>
      </c>
      <c r="Q224" s="1112"/>
    </row>
    <row r="225">
      <c r="A225" s="1112"/>
      <c r="B225" s="1112"/>
      <c r="C225" s="1112"/>
      <c r="D225" s="1112"/>
      <c r="E225" s="1112"/>
      <c r="F225" s="1112"/>
      <c r="G225" s="1112"/>
      <c r="H225" s="1112"/>
      <c r="I225" s="1112"/>
      <c r="J225" s="1114"/>
      <c r="K225" s="1112"/>
      <c r="L225" s="1112"/>
      <c r="M225" s="1112"/>
      <c r="N225" s="1112"/>
      <c r="O225" s="1112"/>
      <c r="P225" s="1112" t="s">
        <v>96</v>
      </c>
      <c r="Q225" s="1112"/>
    </row>
    <row r="226">
      <c r="A226" s="1112"/>
      <c r="B226" s="1112"/>
      <c r="C226" s="1112"/>
      <c r="D226" s="1112"/>
      <c r="E226" s="1112"/>
      <c r="F226" s="1112"/>
      <c r="G226" s="1112"/>
      <c r="H226" s="1112"/>
      <c r="I226" s="1112"/>
      <c r="J226" s="1114"/>
      <c r="K226" s="1112"/>
      <c r="L226" s="1112"/>
      <c r="M226" s="1112"/>
      <c r="N226" s="1112"/>
      <c r="O226" s="1112"/>
      <c r="P226" s="1112" t="s">
        <v>96</v>
      </c>
      <c r="Q226" s="1112"/>
    </row>
    <row r="227">
      <c r="A227" s="1112"/>
      <c r="B227" s="1112"/>
      <c r="C227" s="1112"/>
      <c r="D227" s="1112"/>
      <c r="E227" s="1112"/>
      <c r="F227" s="1112"/>
      <c r="G227" s="1112"/>
      <c r="H227" s="1112"/>
      <c r="I227" s="1112"/>
      <c r="J227" s="1114"/>
      <c r="K227" s="1112"/>
      <c r="L227" s="1112"/>
      <c r="M227" s="1112"/>
      <c r="N227" s="1112"/>
      <c r="O227" s="1112"/>
      <c r="P227" s="1112" t="s">
        <v>96</v>
      </c>
      <c r="Q227" s="1112"/>
    </row>
    <row r="228">
      <c r="A228" s="1112"/>
      <c r="B228" s="1112"/>
      <c r="C228" s="1112"/>
      <c r="D228" s="1112"/>
      <c r="E228" s="1112"/>
      <c r="F228" s="1112"/>
      <c r="G228" s="1112"/>
      <c r="H228" s="1112"/>
      <c r="I228" s="1112"/>
      <c r="J228" s="1114"/>
      <c r="K228" s="1112"/>
      <c r="L228" s="1112"/>
      <c r="M228" s="1112"/>
      <c r="N228" s="1112"/>
      <c r="O228" s="1112"/>
      <c r="P228" s="1112" t="s">
        <v>96</v>
      </c>
      <c r="Q228" s="1112"/>
    </row>
    <row r="229">
      <c r="A229" s="1112"/>
      <c r="B229" s="1112"/>
      <c r="C229" s="1112"/>
      <c r="D229" s="1112"/>
      <c r="E229" s="1112"/>
      <c r="F229" s="1112"/>
      <c r="G229" s="1112"/>
      <c r="H229" s="1112"/>
      <c r="I229" s="1112"/>
      <c r="J229" s="1114"/>
      <c r="K229" s="1112"/>
      <c r="L229" s="1112"/>
      <c r="M229" s="1112"/>
      <c r="N229" s="1112"/>
      <c r="O229" s="1112"/>
      <c r="P229" s="1112" t="s">
        <v>96</v>
      </c>
      <c r="Q229" s="1112"/>
    </row>
    <row r="230">
      <c r="A230" s="1112"/>
      <c r="B230" s="1112"/>
      <c r="C230" s="1112"/>
      <c r="D230" s="1112"/>
      <c r="E230" s="1112"/>
      <c r="F230" s="1112"/>
      <c r="G230" s="1112"/>
      <c r="H230" s="1112"/>
      <c r="I230" s="1112"/>
      <c r="J230" s="1114"/>
      <c r="K230" s="1112"/>
      <c r="L230" s="1112"/>
      <c r="M230" s="1112"/>
      <c r="N230" s="1112"/>
      <c r="O230" s="1112"/>
      <c r="P230" s="1112" t="s">
        <v>96</v>
      </c>
      <c r="Q230" s="1112"/>
    </row>
    <row r="231">
      <c r="A231" s="1112"/>
      <c r="B231" s="1112"/>
      <c r="C231" s="1112"/>
      <c r="D231" s="1112"/>
      <c r="E231" s="1112"/>
      <c r="F231" s="1112"/>
      <c r="G231" s="1112"/>
      <c r="H231" s="1112"/>
      <c r="I231" s="1112"/>
      <c r="J231" s="1114"/>
      <c r="K231" s="1112"/>
      <c r="L231" s="1112"/>
      <c r="M231" s="1112"/>
      <c r="N231" s="1112"/>
      <c r="O231" s="1112"/>
      <c r="P231" s="1112" t="s">
        <v>96</v>
      </c>
      <c r="Q231" s="1112"/>
    </row>
    <row r="232">
      <c r="A232" s="1112"/>
      <c r="B232" s="1112"/>
      <c r="C232" s="1112"/>
      <c r="D232" s="1112"/>
      <c r="E232" s="1112"/>
      <c r="F232" s="1112"/>
      <c r="G232" s="1112"/>
      <c r="H232" s="1112"/>
      <c r="I232" s="1112"/>
      <c r="J232" s="1114"/>
      <c r="K232" s="1112"/>
      <c r="L232" s="1112"/>
      <c r="M232" s="1112"/>
      <c r="N232" s="1112"/>
      <c r="O232" s="1112"/>
      <c r="P232" s="1112" t="s">
        <v>96</v>
      </c>
      <c r="Q232" s="1112"/>
    </row>
    <row r="233">
      <c r="A233" s="1112"/>
      <c r="B233" s="1112"/>
      <c r="C233" s="1112"/>
      <c r="D233" s="1112"/>
      <c r="E233" s="1112"/>
      <c r="F233" s="1112"/>
      <c r="G233" s="1112"/>
      <c r="H233" s="1112"/>
      <c r="I233" s="1112"/>
      <c r="J233" s="1114"/>
      <c r="K233" s="1112"/>
      <c r="L233" s="1112"/>
      <c r="M233" s="1112"/>
      <c r="N233" s="1112"/>
      <c r="O233" s="1112"/>
      <c r="P233" s="1112" t="s">
        <v>96</v>
      </c>
      <c r="Q233" s="1112"/>
    </row>
    <row r="234">
      <c r="A234" s="1112"/>
      <c r="B234" s="1112"/>
      <c r="C234" s="1112"/>
      <c r="D234" s="1112"/>
      <c r="E234" s="1112"/>
      <c r="F234" s="1112"/>
      <c r="G234" s="1112"/>
      <c r="H234" s="1112"/>
      <c r="I234" s="1112"/>
      <c r="J234" s="1114"/>
      <c r="K234" s="1112"/>
      <c r="L234" s="1112"/>
      <c r="M234" s="1112"/>
      <c r="N234" s="1112"/>
      <c r="O234" s="1112"/>
      <c r="P234" s="1112" t="s">
        <v>96</v>
      </c>
      <c r="Q234" s="1112"/>
    </row>
    <row r="235">
      <c r="A235" s="1112"/>
      <c r="B235" s="1112"/>
      <c r="C235" s="1112"/>
      <c r="D235" s="1112"/>
      <c r="E235" s="1112"/>
      <c r="F235" s="1112"/>
      <c r="G235" s="1112"/>
      <c r="H235" s="1112"/>
      <c r="I235" s="1112"/>
      <c r="J235" s="1114"/>
      <c r="K235" s="1112"/>
      <c r="L235" s="1112"/>
      <c r="M235" s="1112"/>
      <c r="N235" s="1112"/>
      <c r="O235" s="1112"/>
      <c r="P235" s="1112" t="s">
        <v>96</v>
      </c>
      <c r="Q235" s="1112"/>
    </row>
    <row r="236">
      <c r="A236" s="1112"/>
      <c r="B236" s="1112"/>
      <c r="C236" s="1112"/>
      <c r="D236" s="1112"/>
      <c r="E236" s="1112"/>
      <c r="F236" s="1112"/>
      <c r="G236" s="1112"/>
      <c r="H236" s="1112"/>
      <c r="I236" s="1112"/>
      <c r="J236" s="1114"/>
      <c r="K236" s="1112"/>
      <c r="L236" s="1112"/>
      <c r="M236" s="1112"/>
      <c r="N236" s="1112"/>
      <c r="O236" s="1112"/>
      <c r="P236" s="1112" t="s">
        <v>96</v>
      </c>
      <c r="Q236" s="1112"/>
    </row>
    <row r="237">
      <c r="A237" s="1112"/>
      <c r="B237" s="1112"/>
      <c r="C237" s="1112"/>
      <c r="D237" s="1112"/>
      <c r="E237" s="1112"/>
      <c r="F237" s="1112"/>
      <c r="G237" s="1112"/>
      <c r="H237" s="1112"/>
      <c r="I237" s="1112"/>
      <c r="J237" s="1114"/>
      <c r="K237" s="1112"/>
      <c r="L237" s="1112"/>
      <c r="M237" s="1112"/>
      <c r="N237" s="1112"/>
      <c r="O237" s="1112"/>
      <c r="P237" s="1112" t="s">
        <v>96</v>
      </c>
      <c r="Q237" s="1112"/>
    </row>
    <row r="238">
      <c r="A238" s="1112"/>
      <c r="B238" s="1112"/>
      <c r="C238" s="1112"/>
      <c r="D238" s="1112"/>
      <c r="E238" s="1112"/>
      <c r="F238" s="1112"/>
      <c r="G238" s="1112"/>
      <c r="H238" s="1112"/>
      <c r="I238" s="1112"/>
      <c r="J238" s="1114"/>
      <c r="K238" s="1112"/>
      <c r="L238" s="1112"/>
      <c r="M238" s="1112"/>
      <c r="N238" s="1112"/>
      <c r="O238" s="1112"/>
      <c r="P238" s="1112" t="s">
        <v>96</v>
      </c>
      <c r="Q238" s="1112"/>
    </row>
    <row r="239">
      <c r="A239" s="1112"/>
      <c r="B239" s="1112"/>
      <c r="C239" s="1112"/>
      <c r="D239" s="1112"/>
      <c r="E239" s="1112"/>
      <c r="F239" s="1112"/>
      <c r="G239" s="1112"/>
      <c r="H239" s="1112"/>
      <c r="I239" s="1112"/>
      <c r="J239" s="1114"/>
      <c r="K239" s="1112"/>
      <c r="L239" s="1112"/>
      <c r="M239" s="1112"/>
      <c r="N239" s="1112"/>
      <c r="O239" s="1112"/>
      <c r="P239" s="1112" t="s">
        <v>96</v>
      </c>
      <c r="Q239" s="1112"/>
    </row>
    <row r="240">
      <c r="A240" s="1112"/>
      <c r="B240" s="1112"/>
      <c r="C240" s="1112"/>
      <c r="D240" s="1112"/>
      <c r="E240" s="1112"/>
      <c r="F240" s="1112"/>
      <c r="G240" s="1112"/>
      <c r="H240" s="1112"/>
      <c r="I240" s="1112"/>
      <c r="J240" s="1114"/>
      <c r="K240" s="1112"/>
      <c r="L240" s="1112"/>
      <c r="M240" s="1112"/>
      <c r="N240" s="1112"/>
      <c r="O240" s="1112"/>
      <c r="P240" s="1112" t="s">
        <v>96</v>
      </c>
      <c r="Q240" s="1112"/>
    </row>
    <row r="241">
      <c r="A241" s="1112"/>
      <c r="B241" s="1112"/>
      <c r="C241" s="1112"/>
      <c r="D241" s="1112"/>
      <c r="E241" s="1112"/>
      <c r="F241" s="1112"/>
      <c r="G241" s="1112"/>
      <c r="H241" s="1112"/>
      <c r="I241" s="1112"/>
      <c r="J241" s="1114"/>
      <c r="K241" s="1112"/>
      <c r="L241" s="1112"/>
      <c r="M241" s="1112"/>
      <c r="N241" s="1112"/>
      <c r="O241" s="1112"/>
      <c r="P241" s="1112" t="s">
        <v>96</v>
      </c>
      <c r="Q241" s="1112"/>
    </row>
    <row r="242">
      <c r="A242" s="1112"/>
      <c r="B242" s="1112"/>
      <c r="C242" s="1112"/>
      <c r="D242" s="1112"/>
      <c r="E242" s="1112"/>
      <c r="F242" s="1112"/>
      <c r="G242" s="1112"/>
      <c r="H242" s="1112"/>
      <c r="I242" s="1112"/>
      <c r="J242" s="1114"/>
      <c r="K242" s="1112"/>
      <c r="L242" s="1112"/>
      <c r="M242" s="1112"/>
      <c r="N242" s="1112"/>
      <c r="O242" s="1112"/>
      <c r="P242" s="1112" t="s">
        <v>96</v>
      </c>
      <c r="Q242" s="1112"/>
    </row>
    <row r="243">
      <c r="A243" s="1112"/>
      <c r="B243" s="1112"/>
      <c r="C243" s="1112"/>
      <c r="D243" s="1112"/>
      <c r="E243" s="1112"/>
      <c r="F243" s="1112"/>
      <c r="G243" s="1112"/>
      <c r="H243" s="1112"/>
      <c r="I243" s="1112"/>
      <c r="J243" s="1114"/>
      <c r="K243" s="1112"/>
      <c r="L243" s="1112"/>
      <c r="M243" s="1112"/>
      <c r="N243" s="1112"/>
      <c r="O243" s="1112"/>
      <c r="P243" s="1112" t="s">
        <v>96</v>
      </c>
      <c r="Q243" s="1112"/>
    </row>
    <row r="244">
      <c r="A244" s="1112"/>
      <c r="B244" s="1112"/>
      <c r="C244" s="1112"/>
      <c r="D244" s="1112"/>
      <c r="E244" s="1112"/>
      <c r="F244" s="1112"/>
      <c r="G244" s="1112"/>
      <c r="H244" s="1112"/>
      <c r="I244" s="1112"/>
      <c r="J244" s="1114"/>
      <c r="K244" s="1112"/>
      <c r="L244" s="1112"/>
      <c r="M244" s="1112"/>
      <c r="N244" s="1112"/>
      <c r="O244" s="1112"/>
      <c r="P244" s="1112" t="s">
        <v>96</v>
      </c>
      <c r="Q244" s="1112"/>
    </row>
    <row r="245">
      <c r="A245" s="1112"/>
      <c r="B245" s="1112"/>
      <c r="C245" s="1112"/>
      <c r="D245" s="1112"/>
      <c r="E245" s="1112"/>
      <c r="F245" s="1112"/>
      <c r="G245" s="1112"/>
      <c r="H245" s="1112"/>
      <c r="I245" s="1112"/>
      <c r="J245" s="1114"/>
      <c r="K245" s="1112"/>
      <c r="L245" s="1112"/>
      <c r="M245" s="1112"/>
      <c r="N245" s="1112"/>
      <c r="O245" s="1112"/>
      <c r="P245" s="1112" t="s">
        <v>96</v>
      </c>
      <c r="Q245" s="1112"/>
    </row>
    <row r="246">
      <c r="A246" s="1112"/>
      <c r="B246" s="1112"/>
      <c r="C246" s="1112"/>
      <c r="D246" s="1112"/>
      <c r="E246" s="1112"/>
      <c r="F246" s="1112"/>
      <c r="G246" s="1112"/>
      <c r="H246" s="1112"/>
      <c r="I246" s="1112"/>
      <c r="J246" s="1114"/>
      <c r="K246" s="1112"/>
      <c r="L246" s="1112"/>
      <c r="M246" s="1112"/>
      <c r="N246" s="1112"/>
      <c r="O246" s="1112"/>
      <c r="P246" s="1112" t="s">
        <v>96</v>
      </c>
      <c r="Q246" s="1112"/>
    </row>
    <row r="247">
      <c r="A247" s="1112"/>
      <c r="B247" s="1112"/>
      <c r="C247" s="1112"/>
      <c r="D247" s="1112"/>
      <c r="E247" s="1112"/>
      <c r="F247" s="1112"/>
      <c r="G247" s="1112"/>
      <c r="H247" s="1112"/>
      <c r="I247" s="1112"/>
      <c r="J247" s="1114"/>
      <c r="K247" s="1112"/>
      <c r="L247" s="1112"/>
      <c r="M247" s="1112"/>
      <c r="N247" s="1112"/>
      <c r="O247" s="1112"/>
      <c r="P247" s="1112" t="s">
        <v>96</v>
      </c>
      <c r="Q247" s="1112"/>
    </row>
    <row r="248">
      <c r="A248" s="1112"/>
      <c r="B248" s="1112"/>
      <c r="C248" s="1112"/>
      <c r="D248" s="1112"/>
      <c r="E248" s="1112"/>
      <c r="F248" s="1112"/>
      <c r="G248" s="1112"/>
      <c r="H248" s="1112"/>
      <c r="I248" s="1112"/>
      <c r="J248" s="1114"/>
      <c r="K248" s="1112"/>
      <c r="L248" s="1112"/>
      <c r="M248" s="1112"/>
      <c r="N248" s="1112"/>
      <c r="O248" s="1112"/>
      <c r="P248" s="1112" t="s">
        <v>96</v>
      </c>
      <c r="Q248" s="1112"/>
    </row>
    <row r="249">
      <c r="A249" s="1112"/>
      <c r="B249" s="1112"/>
      <c r="C249" s="1112"/>
      <c r="D249" s="1112"/>
      <c r="E249" s="1112"/>
      <c r="F249" s="1112"/>
      <c r="G249" s="1112"/>
      <c r="H249" s="1112"/>
      <c r="I249" s="1112"/>
      <c r="J249" s="1114"/>
      <c r="K249" s="1112"/>
      <c r="L249" s="1112"/>
      <c r="M249" s="1112"/>
      <c r="N249" s="1112"/>
      <c r="O249" s="1112"/>
      <c r="P249" s="1112" t="s">
        <v>96</v>
      </c>
      <c r="Q249" s="1112"/>
    </row>
    <row r="250">
      <c r="A250" s="1112"/>
      <c r="B250" s="1112"/>
      <c r="C250" s="1112"/>
      <c r="D250" s="1112"/>
      <c r="E250" s="1112"/>
      <c r="F250" s="1112"/>
      <c r="G250" s="1112"/>
      <c r="H250" s="1112"/>
      <c r="I250" s="1112"/>
      <c r="J250" s="1114"/>
      <c r="K250" s="1112"/>
      <c r="L250" s="1112"/>
      <c r="M250" s="1112"/>
      <c r="N250" s="1112"/>
      <c r="O250" s="1112"/>
      <c r="P250" s="1112" t="s">
        <v>96</v>
      </c>
      <c r="Q250" s="1112"/>
    </row>
    <row r="251">
      <c r="A251" s="1112"/>
      <c r="B251" s="1112"/>
      <c r="C251" s="1112"/>
      <c r="D251" s="1112"/>
      <c r="E251" s="1112"/>
      <c r="F251" s="1112"/>
      <c r="G251" s="1112"/>
      <c r="H251" s="1112"/>
      <c r="I251" s="1112"/>
      <c r="J251" s="1114"/>
      <c r="K251" s="1112"/>
      <c r="L251" s="1112"/>
      <c r="M251" s="1112"/>
      <c r="N251" s="1112"/>
      <c r="O251" s="1112"/>
      <c r="P251" s="1112" t="s">
        <v>96</v>
      </c>
      <c r="Q251" s="1112"/>
    </row>
    <row r="252">
      <c r="A252" s="1112"/>
      <c r="B252" s="1112"/>
      <c r="C252" s="1112"/>
      <c r="D252" s="1112"/>
      <c r="E252" s="1112"/>
      <c r="F252" s="1112"/>
      <c r="G252" s="1112"/>
      <c r="H252" s="1112"/>
      <c r="I252" s="1112"/>
      <c r="J252" s="1114"/>
      <c r="K252" s="1112"/>
      <c r="L252" s="1112"/>
      <c r="M252" s="1112"/>
      <c r="N252" s="1112"/>
      <c r="O252" s="1112"/>
      <c r="P252" s="1112" t="s">
        <v>96</v>
      </c>
      <c r="Q252" s="1112"/>
    </row>
    <row r="253">
      <c r="A253" s="1112"/>
      <c r="B253" s="1112"/>
      <c r="C253" s="1112"/>
      <c r="D253" s="1112"/>
      <c r="E253" s="1112"/>
      <c r="F253" s="1112"/>
      <c r="G253" s="1112"/>
      <c r="H253" s="1112"/>
      <c r="I253" s="1112"/>
      <c r="J253" s="1114"/>
      <c r="K253" s="1112"/>
      <c r="L253" s="1112"/>
      <c r="M253" s="1112"/>
      <c r="N253" s="1112"/>
      <c r="O253" s="1112"/>
      <c r="P253" s="1112" t="s">
        <v>96</v>
      </c>
      <c r="Q253" s="1112"/>
    </row>
    <row r="254">
      <c r="A254" s="1112"/>
      <c r="B254" s="1112"/>
      <c r="C254" s="1112"/>
      <c r="D254" s="1112"/>
      <c r="E254" s="1112"/>
      <c r="F254" s="1112"/>
      <c r="G254" s="1112"/>
      <c r="H254" s="1112"/>
      <c r="I254" s="1112"/>
      <c r="J254" s="1114"/>
      <c r="K254" s="1112"/>
      <c r="L254" s="1112"/>
      <c r="M254" s="1112"/>
      <c r="N254" s="1112"/>
      <c r="O254" s="1112"/>
      <c r="P254" s="1112" t="s">
        <v>96</v>
      </c>
      <c r="Q254" s="1112"/>
    </row>
    <row r="255">
      <c r="A255" s="1112"/>
      <c r="B255" s="1112"/>
      <c r="C255" s="1112"/>
      <c r="D255" s="1112"/>
      <c r="E255" s="1112"/>
      <c r="F255" s="1112"/>
      <c r="G255" s="1112"/>
      <c r="H255" s="1112"/>
      <c r="I255" s="1112"/>
      <c r="J255" s="1114"/>
      <c r="K255" s="1112"/>
      <c r="L255" s="1112"/>
      <c r="M255" s="1112"/>
      <c r="N255" s="1112"/>
      <c r="O255" s="1112"/>
      <c r="P255" s="1112" t="s">
        <v>96</v>
      </c>
      <c r="Q255" s="1112"/>
    </row>
    <row r="256">
      <c r="A256" s="1112"/>
      <c r="B256" s="1112"/>
      <c r="C256" s="1112"/>
      <c r="D256" s="1112"/>
      <c r="E256" s="1112"/>
      <c r="F256" s="1112"/>
      <c r="G256" s="1112"/>
      <c r="H256" s="1112"/>
      <c r="I256" s="1112"/>
      <c r="J256" s="1114"/>
      <c r="K256" s="1112"/>
      <c r="L256" s="1112"/>
      <c r="M256" s="1112"/>
      <c r="N256" s="1112"/>
      <c r="O256" s="1112"/>
      <c r="P256" s="1112" t="s">
        <v>96</v>
      </c>
      <c r="Q256" s="1112"/>
    </row>
    <row r="257">
      <c r="A257" s="1112"/>
      <c r="B257" s="1112"/>
      <c r="C257" s="1112"/>
      <c r="D257" s="1112"/>
      <c r="E257" s="1112"/>
      <c r="F257" s="1112"/>
      <c r="G257" s="1112"/>
      <c r="H257" s="1112"/>
      <c r="I257" s="1112"/>
      <c r="J257" s="1114"/>
      <c r="K257" s="1112"/>
      <c r="L257" s="1112"/>
      <c r="M257" s="1112"/>
      <c r="N257" s="1112"/>
      <c r="O257" s="1112"/>
      <c r="P257" s="1112" t="s">
        <v>96</v>
      </c>
      <c r="Q257" s="1112"/>
    </row>
    <row r="258">
      <c r="A258" s="1112"/>
      <c r="B258" s="1112"/>
      <c r="C258" s="1112"/>
      <c r="D258" s="1112"/>
      <c r="E258" s="1112"/>
      <c r="F258" s="1112"/>
      <c r="G258" s="1112"/>
      <c r="H258" s="1112"/>
      <c r="I258" s="1112"/>
      <c r="J258" s="1114"/>
      <c r="K258" s="1112"/>
      <c r="L258" s="1112"/>
      <c r="M258" s="1112"/>
      <c r="N258" s="1112"/>
      <c r="O258" s="1112"/>
      <c r="P258" s="1112" t="s">
        <v>96</v>
      </c>
      <c r="Q258" s="1112"/>
    </row>
    <row r="259">
      <c r="A259" s="1112"/>
      <c r="B259" s="1112"/>
      <c r="C259" s="1112"/>
      <c r="D259" s="1112"/>
      <c r="E259" s="1112"/>
      <c r="F259" s="1112"/>
      <c r="G259" s="1112"/>
      <c r="H259" s="1112"/>
      <c r="I259" s="1112"/>
      <c r="J259" s="1114"/>
      <c r="K259" s="1112"/>
      <c r="L259" s="1112"/>
      <c r="M259" s="1112"/>
      <c r="N259" s="1112"/>
      <c r="O259" s="1112"/>
      <c r="P259" s="1112" t="s">
        <v>96</v>
      </c>
      <c r="Q259" s="1112"/>
    </row>
    <row r="260">
      <c r="A260" s="1112"/>
      <c r="B260" s="1112"/>
      <c r="C260" s="1112"/>
      <c r="D260" s="1112"/>
      <c r="E260" s="1112"/>
      <c r="F260" s="1112"/>
      <c r="G260" s="1112"/>
      <c r="H260" s="1112"/>
      <c r="I260" s="1112"/>
      <c r="J260" s="1114"/>
      <c r="K260" s="1112"/>
      <c r="L260" s="1112"/>
      <c r="M260" s="1112"/>
      <c r="N260" s="1112"/>
      <c r="O260" s="1112"/>
      <c r="P260" s="1112" t="s">
        <v>96</v>
      </c>
      <c r="Q260" s="1112"/>
    </row>
    <row r="261">
      <c r="A261" s="1112"/>
      <c r="B261" s="1112"/>
      <c r="C261" s="1112"/>
      <c r="D261" s="1112"/>
      <c r="E261" s="1112"/>
      <c r="F261" s="1112"/>
      <c r="G261" s="1112"/>
      <c r="H261" s="1112"/>
      <c r="I261" s="1112"/>
      <c r="J261" s="1114"/>
      <c r="K261" s="1112"/>
      <c r="L261" s="1112"/>
      <c r="M261" s="1112"/>
      <c r="N261" s="1112"/>
      <c r="O261" s="1112"/>
      <c r="P261" s="1112" t="s">
        <v>96</v>
      </c>
      <c r="Q261" s="1112"/>
    </row>
    <row r="262">
      <c r="A262" s="1112"/>
      <c r="B262" s="1112"/>
      <c r="C262" s="1112"/>
      <c r="D262" s="1112"/>
      <c r="E262" s="1112"/>
      <c r="F262" s="1112"/>
      <c r="G262" s="1112"/>
      <c r="H262" s="1112"/>
      <c r="I262" s="1112"/>
      <c r="J262" s="1114"/>
      <c r="K262" s="1112"/>
      <c r="L262" s="1112"/>
      <c r="M262" s="1112"/>
      <c r="N262" s="1112"/>
      <c r="O262" s="1112"/>
      <c r="P262" s="1112" t="s">
        <v>96</v>
      </c>
      <c r="Q262" s="1112"/>
    </row>
    <row r="263">
      <c r="A263" s="1112"/>
      <c r="B263" s="1112"/>
      <c r="C263" s="1112"/>
      <c r="D263" s="1112"/>
      <c r="E263" s="1112"/>
      <c r="F263" s="1112"/>
      <c r="G263" s="1112"/>
      <c r="H263" s="1112"/>
      <c r="I263" s="1112"/>
      <c r="J263" s="1114"/>
      <c r="K263" s="1112"/>
      <c r="L263" s="1112"/>
      <c r="M263" s="1112"/>
      <c r="N263" s="1112"/>
      <c r="O263" s="1112"/>
      <c r="P263" s="1112" t="s">
        <v>96</v>
      </c>
      <c r="Q263" s="1112"/>
    </row>
    <row r="264">
      <c r="A264" s="1112"/>
      <c r="B264" s="1112"/>
      <c r="C264" s="1112"/>
      <c r="D264" s="1112"/>
      <c r="E264" s="1112"/>
      <c r="F264" s="1112"/>
      <c r="G264" s="1112"/>
      <c r="H264" s="1112"/>
      <c r="I264" s="1112"/>
      <c r="J264" s="1114"/>
      <c r="K264" s="1112"/>
      <c r="L264" s="1112"/>
      <c r="M264" s="1112"/>
      <c r="N264" s="1112"/>
      <c r="O264" s="1112"/>
      <c r="P264" s="1112" t="s">
        <v>96</v>
      </c>
      <c r="Q264" s="1112"/>
    </row>
    <row r="265">
      <c r="A265" s="1112"/>
      <c r="B265" s="1112"/>
      <c r="C265" s="1112"/>
      <c r="D265" s="1112"/>
      <c r="E265" s="1112"/>
      <c r="F265" s="1112"/>
      <c r="G265" s="1112"/>
      <c r="H265" s="1112"/>
      <c r="I265" s="1112"/>
      <c r="J265" s="1114"/>
      <c r="K265" s="1112"/>
      <c r="L265" s="1112"/>
      <c r="M265" s="1112"/>
      <c r="N265" s="1112"/>
      <c r="O265" s="1112"/>
      <c r="P265" s="1112" t="s">
        <v>96</v>
      </c>
      <c r="Q265" s="1112"/>
    </row>
    <row r="266">
      <c r="A266" s="1112"/>
      <c r="B266" s="1112"/>
      <c r="C266" s="1112"/>
      <c r="D266" s="1112"/>
      <c r="E266" s="1112"/>
      <c r="F266" s="1112"/>
      <c r="G266" s="1112"/>
      <c r="H266" s="1112"/>
      <c r="I266" s="1112"/>
      <c r="J266" s="1114"/>
      <c r="K266" s="1112"/>
      <c r="L266" s="1112"/>
      <c r="M266" s="1112"/>
      <c r="N266" s="1112"/>
      <c r="O266" s="1112"/>
      <c r="P266" s="1112" t="s">
        <v>96</v>
      </c>
      <c r="Q266" s="1112"/>
    </row>
    <row r="267">
      <c r="A267" s="1112"/>
      <c r="B267" s="1112"/>
      <c r="C267" s="1112"/>
      <c r="D267" s="1112"/>
      <c r="E267" s="1112"/>
      <c r="F267" s="1112"/>
      <c r="G267" s="1112"/>
      <c r="H267" s="1112"/>
      <c r="I267" s="1112"/>
      <c r="J267" s="1114"/>
      <c r="K267" s="1112"/>
      <c r="L267" s="1112"/>
      <c r="M267" s="1112"/>
      <c r="N267" s="1112"/>
      <c r="O267" s="1112"/>
      <c r="P267" s="1112" t="s">
        <v>96</v>
      </c>
      <c r="Q267" s="1112"/>
    </row>
    <row r="268">
      <c r="A268" s="1112"/>
      <c r="B268" s="1112"/>
      <c r="C268" s="1112"/>
      <c r="D268" s="1112"/>
      <c r="E268" s="1112"/>
      <c r="F268" s="1112"/>
      <c r="G268" s="1112"/>
      <c r="H268" s="1112"/>
      <c r="I268" s="1112"/>
      <c r="J268" s="1114"/>
      <c r="K268" s="1112"/>
      <c r="L268" s="1112"/>
      <c r="M268" s="1112"/>
      <c r="N268" s="1112"/>
      <c r="O268" s="1112"/>
      <c r="P268" s="1112" t="s">
        <v>96</v>
      </c>
      <c r="Q268" s="1112"/>
    </row>
    <row r="269">
      <c r="A269" s="1112"/>
      <c r="B269" s="1112"/>
      <c r="C269" s="1112"/>
      <c r="D269" s="1112"/>
      <c r="E269" s="1112"/>
      <c r="F269" s="1112"/>
      <c r="G269" s="1112"/>
      <c r="H269" s="1112"/>
      <c r="I269" s="1112"/>
      <c r="J269" s="1114"/>
      <c r="K269" s="1112"/>
      <c r="L269" s="1112"/>
      <c r="M269" s="1112"/>
      <c r="N269" s="1112"/>
      <c r="O269" s="1112"/>
      <c r="P269" s="1112" t="s">
        <v>96</v>
      </c>
      <c r="Q269" s="1112"/>
    </row>
    <row r="270">
      <c r="A270" s="1112"/>
      <c r="B270" s="1112"/>
      <c r="C270" s="1112"/>
      <c r="D270" s="1112"/>
      <c r="E270" s="1112"/>
      <c r="F270" s="1112"/>
      <c r="G270" s="1112"/>
      <c r="H270" s="1112"/>
      <c r="I270" s="1112"/>
      <c r="J270" s="1114"/>
      <c r="K270" s="1112"/>
      <c r="L270" s="1112"/>
      <c r="M270" s="1112"/>
      <c r="N270" s="1112"/>
      <c r="O270" s="1112"/>
      <c r="P270" s="1112" t="s">
        <v>96</v>
      </c>
      <c r="Q270" s="1112"/>
    </row>
    <row r="271">
      <c r="A271" s="1112"/>
      <c r="B271" s="1112"/>
      <c r="C271" s="1112"/>
      <c r="D271" s="1112"/>
      <c r="E271" s="1112"/>
      <c r="F271" s="1112"/>
      <c r="G271" s="1112"/>
      <c r="H271" s="1112"/>
      <c r="I271" s="1112"/>
      <c r="J271" s="1114"/>
      <c r="K271" s="1112"/>
      <c r="L271" s="1112"/>
      <c r="M271" s="1112"/>
      <c r="N271" s="1112"/>
      <c r="O271" s="1112"/>
      <c r="P271" s="1112" t="s">
        <v>96</v>
      </c>
      <c r="Q271" s="1112"/>
    </row>
    <row r="272">
      <c r="A272" s="1112"/>
      <c r="B272" s="1112"/>
      <c r="C272" s="1112"/>
      <c r="D272" s="1112"/>
      <c r="E272" s="1112"/>
      <c r="F272" s="1112"/>
      <c r="G272" s="1112"/>
      <c r="H272" s="1112"/>
      <c r="I272" s="1112"/>
      <c r="J272" s="1114"/>
      <c r="K272" s="1112"/>
      <c r="L272" s="1112"/>
      <c r="M272" s="1112"/>
      <c r="N272" s="1112"/>
      <c r="O272" s="1112"/>
      <c r="P272" s="1112" t="s">
        <v>96</v>
      </c>
      <c r="Q272" s="1112"/>
    </row>
    <row r="273">
      <c r="A273" s="1112"/>
      <c r="B273" s="1112"/>
      <c r="C273" s="1112"/>
      <c r="D273" s="1112"/>
      <c r="E273" s="1112"/>
      <c r="F273" s="1112"/>
      <c r="G273" s="1112"/>
      <c r="H273" s="1112"/>
      <c r="I273" s="1112"/>
      <c r="J273" s="1114"/>
      <c r="K273" s="1112"/>
      <c r="L273" s="1112"/>
      <c r="M273" s="1112"/>
      <c r="N273" s="1112"/>
      <c r="O273" s="1112"/>
      <c r="P273" s="1112" t="s">
        <v>96</v>
      </c>
      <c r="Q273" s="1112"/>
    </row>
    <row r="274">
      <c r="A274" s="1112"/>
      <c r="B274" s="1112"/>
      <c r="C274" s="1112"/>
      <c r="D274" s="1112"/>
      <c r="E274" s="1112"/>
      <c r="F274" s="1112"/>
      <c r="G274" s="1112"/>
      <c r="H274" s="1112"/>
      <c r="I274" s="1112"/>
      <c r="J274" s="1114"/>
      <c r="K274" s="1112"/>
      <c r="L274" s="1112"/>
      <c r="M274" s="1112"/>
      <c r="N274" s="1112"/>
      <c r="O274" s="1112"/>
      <c r="P274" s="1112" t="s">
        <v>96</v>
      </c>
      <c r="Q274" s="1112"/>
    </row>
    <row r="275">
      <c r="A275" s="1112"/>
      <c r="B275" s="1112"/>
      <c r="C275" s="1112"/>
      <c r="D275" s="1112"/>
      <c r="E275" s="1112"/>
      <c r="F275" s="1112"/>
      <c r="G275" s="1112"/>
      <c r="H275" s="1112"/>
      <c r="I275" s="1112"/>
      <c r="J275" s="1114"/>
      <c r="K275" s="1112"/>
      <c r="L275" s="1112"/>
      <c r="M275" s="1112"/>
      <c r="N275" s="1112"/>
      <c r="O275" s="1112"/>
      <c r="P275" s="1112" t="s">
        <v>96</v>
      </c>
      <c r="Q275" s="1112"/>
    </row>
    <row r="276">
      <c r="A276" s="1112"/>
      <c r="B276" s="1112"/>
      <c r="C276" s="1112"/>
      <c r="D276" s="1112"/>
      <c r="E276" s="1112"/>
      <c r="F276" s="1112"/>
      <c r="G276" s="1112"/>
      <c r="H276" s="1112"/>
      <c r="I276" s="1112"/>
      <c r="J276" s="1114"/>
      <c r="K276" s="1112"/>
      <c r="L276" s="1112"/>
      <c r="M276" s="1112"/>
      <c r="N276" s="1112"/>
      <c r="O276" s="1112"/>
      <c r="P276" s="1112" t="s">
        <v>96</v>
      </c>
      <c r="Q276" s="1112"/>
    </row>
    <row r="277">
      <c r="A277" s="1112"/>
      <c r="B277" s="1112"/>
      <c r="C277" s="1112"/>
      <c r="D277" s="1112"/>
      <c r="E277" s="1112"/>
      <c r="F277" s="1112"/>
      <c r="G277" s="1112"/>
      <c r="H277" s="1112"/>
      <c r="I277" s="1112"/>
      <c r="J277" s="1114"/>
      <c r="K277" s="1112"/>
      <c r="L277" s="1112"/>
      <c r="M277" s="1112"/>
      <c r="N277" s="1112"/>
      <c r="O277" s="1112"/>
      <c r="P277" s="1112" t="s">
        <v>96</v>
      </c>
      <c r="Q277" s="1112"/>
    </row>
    <row r="278">
      <c r="A278" s="1112"/>
      <c r="B278" s="1112"/>
      <c r="C278" s="1112"/>
      <c r="D278" s="1112"/>
      <c r="E278" s="1112"/>
      <c r="F278" s="1112"/>
      <c r="G278" s="1112"/>
      <c r="H278" s="1112"/>
      <c r="I278" s="1112"/>
      <c r="J278" s="1114"/>
      <c r="K278" s="1112"/>
      <c r="L278" s="1112"/>
      <c r="M278" s="1112"/>
      <c r="N278" s="1112"/>
      <c r="O278" s="1112"/>
      <c r="P278" s="1112" t="s">
        <v>96</v>
      </c>
      <c r="Q278" s="1112"/>
    </row>
    <row r="279">
      <c r="A279" s="1112"/>
      <c r="B279" s="1112"/>
      <c r="C279" s="1112"/>
      <c r="D279" s="1112"/>
      <c r="E279" s="1112"/>
      <c r="F279" s="1112"/>
      <c r="G279" s="1112"/>
      <c r="H279" s="1112"/>
      <c r="I279" s="1112"/>
      <c r="J279" s="1114"/>
      <c r="K279" s="1112"/>
      <c r="L279" s="1112"/>
      <c r="M279" s="1112"/>
      <c r="N279" s="1112"/>
      <c r="O279" s="1112"/>
      <c r="P279" s="1112" t="s">
        <v>96</v>
      </c>
      <c r="Q279" s="1112"/>
    </row>
    <row r="280">
      <c r="A280" s="1112"/>
      <c r="B280" s="1112"/>
      <c r="C280" s="1112"/>
      <c r="D280" s="1112"/>
      <c r="E280" s="1112"/>
      <c r="F280" s="1112"/>
      <c r="G280" s="1112"/>
      <c r="H280" s="1112"/>
      <c r="I280" s="1112"/>
      <c r="J280" s="1114"/>
      <c r="K280" s="1112"/>
      <c r="L280" s="1112"/>
      <c r="M280" s="1112"/>
      <c r="N280" s="1112"/>
      <c r="O280" s="1112"/>
      <c r="P280" s="1112" t="s">
        <v>96</v>
      </c>
      <c r="Q280" s="1112"/>
    </row>
    <row r="281">
      <c r="A281" s="1112"/>
      <c r="B281" s="1112"/>
      <c r="C281" s="1112"/>
      <c r="D281" s="1112"/>
      <c r="E281" s="1112"/>
      <c r="F281" s="1112"/>
      <c r="G281" s="1112"/>
      <c r="H281" s="1112"/>
      <c r="I281" s="1112"/>
      <c r="J281" s="1114"/>
      <c r="K281" s="1112"/>
      <c r="L281" s="1112"/>
      <c r="M281" s="1112"/>
      <c r="N281" s="1112"/>
      <c r="O281" s="1112"/>
      <c r="P281" s="1112" t="s">
        <v>96</v>
      </c>
      <c r="Q281" s="1112"/>
    </row>
    <row r="282">
      <c r="A282" s="1112"/>
      <c r="B282" s="1112"/>
      <c r="C282" s="1112"/>
      <c r="D282" s="1112"/>
      <c r="E282" s="1112"/>
      <c r="F282" s="1112"/>
      <c r="G282" s="1112"/>
      <c r="H282" s="1112"/>
      <c r="I282" s="1112"/>
      <c r="J282" s="1114"/>
      <c r="K282" s="1112"/>
      <c r="L282" s="1112"/>
      <c r="M282" s="1112"/>
      <c r="N282" s="1112"/>
      <c r="O282" s="1112"/>
      <c r="P282" s="1112" t="s">
        <v>96</v>
      </c>
      <c r="Q282" s="1112"/>
    </row>
    <row r="283">
      <c r="A283" s="1112"/>
      <c r="B283" s="1112"/>
      <c r="C283" s="1112"/>
      <c r="D283" s="1112"/>
      <c r="E283" s="1112"/>
      <c r="F283" s="1112"/>
      <c r="G283" s="1112"/>
      <c r="H283" s="1112"/>
      <c r="I283" s="1112"/>
      <c r="J283" s="1114"/>
      <c r="K283" s="1112"/>
      <c r="L283" s="1112"/>
      <c r="M283" s="1112"/>
      <c r="N283" s="1112"/>
      <c r="O283" s="1112"/>
      <c r="P283" s="1112" t="s">
        <v>96</v>
      </c>
      <c r="Q283" s="1112"/>
    </row>
    <row r="284">
      <c r="A284" s="1112"/>
      <c r="B284" s="1112"/>
      <c r="C284" s="1112"/>
      <c r="D284" s="1112"/>
      <c r="E284" s="1112"/>
      <c r="F284" s="1112"/>
      <c r="G284" s="1112"/>
      <c r="H284" s="1112"/>
      <c r="I284" s="1112"/>
      <c r="J284" s="1114"/>
      <c r="K284" s="1112"/>
      <c r="L284" s="1112"/>
      <c r="M284" s="1112"/>
      <c r="N284" s="1112"/>
      <c r="O284" s="1112"/>
      <c r="P284" s="1112" t="s">
        <v>96</v>
      </c>
      <c r="Q284" s="1112"/>
    </row>
    <row r="285">
      <c r="A285" s="1112"/>
      <c r="B285" s="1112"/>
      <c r="C285" s="1112"/>
      <c r="D285" s="1112"/>
      <c r="E285" s="1112"/>
      <c r="F285" s="1112"/>
      <c r="G285" s="1112"/>
      <c r="H285" s="1112"/>
      <c r="I285" s="1112"/>
      <c r="J285" s="1114"/>
      <c r="K285" s="1112"/>
      <c r="L285" s="1112"/>
      <c r="M285" s="1112"/>
      <c r="N285" s="1112"/>
      <c r="O285" s="1112"/>
      <c r="P285" s="1112" t="s">
        <v>96</v>
      </c>
      <c r="Q285" s="1112"/>
    </row>
    <row r="286">
      <c r="A286" s="1112"/>
      <c r="B286" s="1112"/>
      <c r="C286" s="1112"/>
      <c r="D286" s="1112"/>
      <c r="E286" s="1112"/>
      <c r="F286" s="1112"/>
      <c r="G286" s="1112"/>
      <c r="H286" s="1112"/>
      <c r="I286" s="1112"/>
      <c r="J286" s="1114"/>
      <c r="K286" s="1112"/>
      <c r="L286" s="1112"/>
      <c r="M286" s="1112"/>
      <c r="N286" s="1112"/>
      <c r="O286" s="1112"/>
      <c r="P286" s="1112" t="s">
        <v>96</v>
      </c>
      <c r="Q286" s="1112"/>
    </row>
    <row r="287">
      <c r="A287" s="1112"/>
      <c r="B287" s="1112"/>
      <c r="C287" s="1112"/>
      <c r="D287" s="1112"/>
      <c r="E287" s="1112"/>
      <c r="F287" s="1112"/>
      <c r="G287" s="1112"/>
      <c r="H287" s="1112"/>
      <c r="I287" s="1112"/>
      <c r="J287" s="1114"/>
      <c r="K287" s="1112"/>
      <c r="L287" s="1112"/>
      <c r="M287" s="1112"/>
      <c r="N287" s="1112"/>
      <c r="O287" s="1112"/>
      <c r="P287" s="1112" t="s">
        <v>96</v>
      </c>
      <c r="Q287" s="1112"/>
    </row>
    <row r="288">
      <c r="A288" s="1112"/>
      <c r="B288" s="1112"/>
      <c r="C288" s="1112"/>
      <c r="D288" s="1112"/>
      <c r="E288" s="1112"/>
      <c r="F288" s="1112"/>
      <c r="G288" s="1112"/>
      <c r="H288" s="1112"/>
      <c r="I288" s="1112"/>
      <c r="J288" s="1114"/>
      <c r="K288" s="1112"/>
      <c r="L288" s="1112"/>
      <c r="M288" s="1112"/>
      <c r="N288" s="1112"/>
      <c r="O288" s="1112"/>
      <c r="P288" s="1112" t="s">
        <v>96</v>
      </c>
      <c r="Q288" s="1112"/>
    </row>
    <row r="289">
      <c r="A289" s="1112"/>
      <c r="B289" s="1112"/>
      <c r="C289" s="1112"/>
      <c r="D289" s="1112"/>
      <c r="E289" s="1112"/>
      <c r="F289" s="1112"/>
      <c r="G289" s="1112"/>
      <c r="H289" s="1112"/>
      <c r="I289" s="1112"/>
      <c r="J289" s="1114"/>
      <c r="K289" s="1112"/>
      <c r="L289" s="1112"/>
      <c r="M289" s="1112"/>
      <c r="N289" s="1112"/>
      <c r="O289" s="1112"/>
      <c r="P289" s="1112" t="s">
        <v>96</v>
      </c>
      <c r="Q289" s="1112"/>
    </row>
    <row r="290">
      <c r="A290" s="1112"/>
      <c r="B290" s="1112"/>
      <c r="C290" s="1112"/>
      <c r="D290" s="1112"/>
      <c r="E290" s="1112"/>
      <c r="F290" s="1112"/>
      <c r="G290" s="1112"/>
      <c r="H290" s="1112"/>
      <c r="I290" s="1112"/>
      <c r="J290" s="1114"/>
      <c r="K290" s="1112"/>
      <c r="L290" s="1112"/>
      <c r="M290" s="1112"/>
      <c r="N290" s="1112"/>
      <c r="O290" s="1112"/>
      <c r="P290" s="1112" t="s">
        <v>96</v>
      </c>
      <c r="Q290" s="1112"/>
    </row>
    <row r="291">
      <c r="A291" s="1112"/>
      <c r="B291" s="1112"/>
      <c r="C291" s="1112"/>
      <c r="D291" s="1112"/>
      <c r="E291" s="1112"/>
      <c r="F291" s="1112"/>
      <c r="G291" s="1112"/>
      <c r="H291" s="1112"/>
      <c r="I291" s="1112"/>
      <c r="J291" s="1114"/>
      <c r="K291" s="1112"/>
      <c r="L291" s="1112"/>
      <c r="M291" s="1112"/>
      <c r="N291" s="1112"/>
      <c r="O291" s="1112"/>
      <c r="P291" s="1112" t="s">
        <v>96</v>
      </c>
      <c r="Q291" s="1112"/>
    </row>
    <row r="292">
      <c r="A292" s="1112"/>
      <c r="B292" s="1112"/>
      <c r="C292" s="1112"/>
      <c r="D292" s="1112"/>
      <c r="E292" s="1112"/>
      <c r="F292" s="1112"/>
      <c r="G292" s="1112"/>
      <c r="H292" s="1112"/>
      <c r="I292" s="1112"/>
      <c r="J292" s="1114"/>
      <c r="K292" s="1112"/>
      <c r="L292" s="1112"/>
      <c r="M292" s="1112"/>
      <c r="N292" s="1112"/>
      <c r="O292" s="1112"/>
      <c r="P292" s="1112" t="s">
        <v>96</v>
      </c>
      <c r="Q292" s="1112"/>
    </row>
    <row r="293">
      <c r="A293" s="1112"/>
      <c r="B293" s="1112"/>
      <c r="C293" s="1112"/>
      <c r="D293" s="1112"/>
      <c r="E293" s="1112"/>
      <c r="F293" s="1112"/>
      <c r="G293" s="1112"/>
      <c r="H293" s="1112"/>
      <c r="I293" s="1112"/>
      <c r="J293" s="1114"/>
      <c r="K293" s="1112"/>
      <c r="L293" s="1112"/>
      <c r="M293" s="1112"/>
      <c r="N293" s="1112"/>
      <c r="O293" s="1112"/>
      <c r="P293" s="1112" t="s">
        <v>96</v>
      </c>
      <c r="Q293" s="1112"/>
    </row>
    <row r="294">
      <c r="A294" s="1112"/>
      <c r="B294" s="1112"/>
      <c r="C294" s="1112"/>
      <c r="D294" s="1112"/>
      <c r="E294" s="1112"/>
      <c r="F294" s="1112"/>
      <c r="G294" s="1112"/>
      <c r="H294" s="1112"/>
      <c r="I294" s="1112"/>
      <c r="J294" s="1114"/>
      <c r="K294" s="1112"/>
      <c r="L294" s="1112"/>
      <c r="M294" s="1112"/>
      <c r="N294" s="1112"/>
      <c r="O294" s="1112"/>
      <c r="P294" s="1112" t="s">
        <v>96</v>
      </c>
      <c r="Q294" s="1112"/>
    </row>
    <row r="295">
      <c r="A295" s="1112"/>
      <c r="B295" s="1112"/>
      <c r="C295" s="1112"/>
      <c r="D295" s="1112"/>
      <c r="E295" s="1112"/>
      <c r="F295" s="1112"/>
      <c r="G295" s="1112"/>
      <c r="H295" s="1112"/>
      <c r="I295" s="1112"/>
      <c r="J295" s="1114"/>
      <c r="K295" s="1112"/>
      <c r="L295" s="1112"/>
      <c r="M295" s="1112"/>
      <c r="N295" s="1112"/>
      <c r="O295" s="1112"/>
      <c r="P295" s="1112" t="s">
        <v>96</v>
      </c>
      <c r="Q295" s="1112"/>
    </row>
    <row r="296">
      <c r="A296" s="1112"/>
      <c r="B296" s="1112"/>
      <c r="C296" s="1112"/>
      <c r="D296" s="1112"/>
      <c r="E296" s="1112"/>
      <c r="F296" s="1112"/>
      <c r="G296" s="1112"/>
      <c r="H296" s="1112"/>
      <c r="I296" s="1112"/>
      <c r="J296" s="1114"/>
      <c r="K296" s="1112"/>
      <c r="L296" s="1112"/>
      <c r="M296" s="1112"/>
      <c r="N296" s="1112"/>
      <c r="O296" s="1112"/>
      <c r="P296" s="1112" t="s">
        <v>96</v>
      </c>
      <c r="Q296" s="1112"/>
    </row>
    <row r="297">
      <c r="A297" s="1112"/>
      <c r="B297" s="1112"/>
      <c r="C297" s="1112"/>
      <c r="D297" s="1112"/>
      <c r="E297" s="1112"/>
      <c r="F297" s="1112"/>
      <c r="G297" s="1112"/>
      <c r="H297" s="1112"/>
      <c r="I297" s="1112"/>
      <c r="J297" s="1114"/>
      <c r="K297" s="1112"/>
      <c r="L297" s="1112"/>
      <c r="M297" s="1112"/>
      <c r="N297" s="1112"/>
      <c r="O297" s="1112"/>
      <c r="P297" s="1112" t="s">
        <v>96</v>
      </c>
      <c r="Q297" s="1112"/>
    </row>
    <row r="298">
      <c r="A298" s="1112"/>
      <c r="B298" s="1112"/>
      <c r="C298" s="1112"/>
      <c r="D298" s="1112"/>
      <c r="E298" s="1112"/>
      <c r="F298" s="1112"/>
      <c r="G298" s="1112"/>
      <c r="H298" s="1112"/>
      <c r="I298" s="1112"/>
      <c r="J298" s="1114"/>
      <c r="K298" s="1112"/>
      <c r="L298" s="1112"/>
      <c r="M298" s="1112"/>
      <c r="N298" s="1112"/>
      <c r="O298" s="1112"/>
      <c r="P298" s="1112" t="s">
        <v>96</v>
      </c>
      <c r="Q298" s="1112"/>
    </row>
    <row r="299">
      <c r="A299" s="1112"/>
      <c r="B299" s="1112"/>
      <c r="C299" s="1112"/>
      <c r="D299" s="1112"/>
      <c r="E299" s="1112"/>
      <c r="F299" s="1112"/>
      <c r="G299" s="1112"/>
      <c r="H299" s="1112"/>
      <c r="I299" s="1112"/>
      <c r="J299" s="1114"/>
      <c r="K299" s="1112"/>
      <c r="L299" s="1112"/>
      <c r="M299" s="1112"/>
      <c r="N299" s="1112"/>
      <c r="O299" s="1112"/>
      <c r="P299" s="1112" t="s">
        <v>96</v>
      </c>
      <c r="Q299" s="1112"/>
    </row>
    <row r="300">
      <c r="A300" s="1112"/>
      <c r="B300" s="1112"/>
      <c r="C300" s="1112"/>
      <c r="D300" s="1112"/>
      <c r="E300" s="1112"/>
      <c r="F300" s="1112"/>
      <c r="G300" s="1112"/>
      <c r="H300" s="1112"/>
      <c r="I300" s="1112"/>
      <c r="J300" s="1114"/>
      <c r="K300" s="1112"/>
      <c r="L300" s="1112"/>
      <c r="M300" s="1112"/>
      <c r="N300" s="1112"/>
      <c r="O300" s="1112"/>
      <c r="P300" s="1112" t="s">
        <v>96</v>
      </c>
      <c r="Q300" s="1112"/>
    </row>
    <row r="301">
      <c r="A301" s="1112"/>
      <c r="B301" s="1112"/>
      <c r="C301" s="1112"/>
      <c r="D301" s="1112"/>
      <c r="E301" s="1112"/>
      <c r="F301" s="1112"/>
      <c r="G301" s="1112"/>
      <c r="H301" s="1112"/>
      <c r="I301" s="1112"/>
      <c r="J301" s="1114"/>
      <c r="K301" s="1112"/>
      <c r="L301" s="1112"/>
      <c r="M301" s="1112"/>
      <c r="N301" s="1112"/>
      <c r="O301" s="1112"/>
      <c r="P301" s="1112" t="s">
        <v>96</v>
      </c>
      <c r="Q301" s="1112"/>
    </row>
    <row r="302">
      <c r="A302" s="1112"/>
      <c r="B302" s="1112"/>
      <c r="C302" s="1112"/>
      <c r="D302" s="1112"/>
      <c r="E302" s="1112"/>
      <c r="F302" s="1112"/>
      <c r="G302" s="1112"/>
      <c r="H302" s="1112"/>
      <c r="I302" s="1112"/>
      <c r="J302" s="1114"/>
      <c r="K302" s="1112"/>
      <c r="L302" s="1112"/>
      <c r="M302" s="1112"/>
      <c r="N302" s="1112"/>
      <c r="O302" s="1112"/>
      <c r="P302" s="1112" t="s">
        <v>96</v>
      </c>
      <c r="Q302" s="1112"/>
    </row>
    <row r="303">
      <c r="A303" s="1112"/>
      <c r="B303" s="1112"/>
      <c r="C303" s="1112"/>
      <c r="D303" s="1112"/>
      <c r="E303" s="1112"/>
      <c r="F303" s="1112"/>
      <c r="G303" s="1112"/>
      <c r="H303" s="1112"/>
      <c r="I303" s="1112"/>
      <c r="J303" s="1114"/>
      <c r="K303" s="1112"/>
      <c r="L303" s="1112"/>
      <c r="M303" s="1112"/>
      <c r="N303" s="1112"/>
      <c r="O303" s="1112"/>
      <c r="P303" s="1112" t="s">
        <v>96</v>
      </c>
      <c r="Q303" s="1112"/>
    </row>
    <row r="304">
      <c r="A304" s="1112"/>
      <c r="B304" s="1112"/>
      <c r="C304" s="1112"/>
      <c r="D304" s="1112"/>
      <c r="E304" s="1112"/>
      <c r="F304" s="1112"/>
      <c r="G304" s="1112"/>
      <c r="H304" s="1112"/>
      <c r="I304" s="1112"/>
      <c r="J304" s="1114"/>
      <c r="K304" s="1112"/>
      <c r="L304" s="1112"/>
      <c r="M304" s="1112"/>
      <c r="N304" s="1112"/>
      <c r="O304" s="1112"/>
      <c r="P304" s="1112" t="s">
        <v>96</v>
      </c>
      <c r="Q304" s="1112"/>
    </row>
    <row r="305">
      <c r="A305" s="1112"/>
      <c r="B305" s="1112"/>
      <c r="C305" s="1112"/>
      <c r="D305" s="1112"/>
      <c r="E305" s="1112"/>
      <c r="F305" s="1112"/>
      <c r="G305" s="1112"/>
      <c r="H305" s="1112"/>
      <c r="I305" s="1112"/>
      <c r="J305" s="1114"/>
      <c r="K305" s="1112"/>
      <c r="L305" s="1112"/>
      <c r="M305" s="1112"/>
      <c r="N305" s="1112"/>
      <c r="O305" s="1112"/>
      <c r="P305" s="1112" t="s">
        <v>96</v>
      </c>
      <c r="Q305" s="1112"/>
    </row>
    <row r="306">
      <c r="A306" s="1112"/>
      <c r="B306" s="1112"/>
      <c r="C306" s="1112"/>
      <c r="D306" s="1112"/>
      <c r="E306" s="1112"/>
      <c r="F306" s="1112"/>
      <c r="G306" s="1112"/>
      <c r="H306" s="1112"/>
      <c r="I306" s="1112"/>
      <c r="J306" s="1114"/>
      <c r="K306" s="1112"/>
      <c r="L306" s="1112"/>
      <c r="M306" s="1112"/>
      <c r="N306" s="1112"/>
      <c r="O306" s="1112"/>
      <c r="P306" s="1112" t="s">
        <v>96</v>
      </c>
      <c r="Q306" s="1112"/>
    </row>
    <row r="307">
      <c r="A307" s="1112"/>
      <c r="B307" s="1112"/>
      <c r="C307" s="1112"/>
      <c r="D307" s="1112"/>
      <c r="E307" s="1112"/>
      <c r="F307" s="1112"/>
      <c r="G307" s="1112"/>
      <c r="H307" s="1112"/>
      <c r="I307" s="1112"/>
      <c r="J307" s="1114"/>
      <c r="K307" s="1112"/>
      <c r="L307" s="1112"/>
      <c r="M307" s="1112"/>
      <c r="N307" s="1112"/>
      <c r="O307" s="1112"/>
      <c r="P307" s="1112" t="s">
        <v>96</v>
      </c>
      <c r="Q307" s="1112"/>
    </row>
    <row r="308">
      <c r="A308" s="1112"/>
      <c r="B308" s="1112"/>
      <c r="C308" s="1112"/>
      <c r="D308" s="1112"/>
      <c r="E308" s="1112"/>
      <c r="F308" s="1112"/>
      <c r="G308" s="1112"/>
      <c r="H308" s="1112"/>
      <c r="I308" s="1112"/>
      <c r="J308" s="1114"/>
      <c r="K308" s="1112"/>
      <c r="L308" s="1112"/>
      <c r="M308" s="1112"/>
      <c r="N308" s="1112"/>
      <c r="O308" s="1112"/>
      <c r="P308" s="1112" t="s">
        <v>96</v>
      </c>
      <c r="Q308" s="1112"/>
    </row>
    <row r="309">
      <c r="A309" s="1112"/>
      <c r="B309" s="1112"/>
      <c r="C309" s="1112"/>
      <c r="D309" s="1112"/>
      <c r="E309" s="1112"/>
      <c r="F309" s="1112"/>
      <c r="G309" s="1112"/>
      <c r="H309" s="1112"/>
      <c r="I309" s="1112"/>
      <c r="J309" s="1114"/>
      <c r="K309" s="1112"/>
      <c r="L309" s="1112"/>
      <c r="M309" s="1112"/>
      <c r="N309" s="1112"/>
      <c r="O309" s="1112"/>
      <c r="P309" s="1112" t="s">
        <v>96</v>
      </c>
      <c r="Q309" s="1112"/>
    </row>
    <row r="310">
      <c r="A310" s="1112"/>
      <c r="B310" s="1112"/>
      <c r="C310" s="1112"/>
      <c r="D310" s="1112"/>
      <c r="E310" s="1112"/>
      <c r="F310" s="1112"/>
      <c r="G310" s="1112"/>
      <c r="H310" s="1112"/>
      <c r="I310" s="1112"/>
      <c r="J310" s="1114"/>
      <c r="K310" s="1112"/>
      <c r="L310" s="1112"/>
      <c r="M310" s="1112"/>
      <c r="N310" s="1112"/>
      <c r="O310" s="1112"/>
      <c r="P310" s="1112" t="s">
        <v>96</v>
      </c>
      <c r="Q310" s="1112"/>
    </row>
    <row r="311">
      <c r="A311" s="1112"/>
      <c r="B311" s="1112"/>
      <c r="C311" s="1112"/>
      <c r="D311" s="1112"/>
      <c r="E311" s="1112"/>
      <c r="F311" s="1112"/>
      <c r="G311" s="1112"/>
      <c r="H311" s="1112"/>
      <c r="I311" s="1112"/>
      <c r="J311" s="1114"/>
      <c r="K311" s="1112"/>
      <c r="L311" s="1112"/>
      <c r="M311" s="1112"/>
      <c r="N311" s="1112"/>
      <c r="O311" s="1112"/>
      <c r="P311" s="1112" t="s">
        <v>96</v>
      </c>
      <c r="Q311" s="1112"/>
    </row>
    <row r="312">
      <c r="A312" s="1112"/>
      <c r="B312" s="1112"/>
      <c r="C312" s="1112"/>
      <c r="D312" s="1112"/>
      <c r="E312" s="1112"/>
      <c r="F312" s="1112"/>
      <c r="G312" s="1112"/>
      <c r="H312" s="1112"/>
      <c r="I312" s="1112"/>
      <c r="J312" s="1114"/>
      <c r="K312" s="1112"/>
      <c r="L312" s="1112"/>
      <c r="M312" s="1112"/>
      <c r="N312" s="1112"/>
      <c r="O312" s="1112"/>
      <c r="P312" s="1112" t="s">
        <v>96</v>
      </c>
      <c r="Q312" s="1112"/>
    </row>
    <row r="313">
      <c r="A313" s="1112"/>
      <c r="B313" s="1112"/>
      <c r="C313" s="1112"/>
      <c r="D313" s="1112"/>
      <c r="E313" s="1112"/>
      <c r="F313" s="1112"/>
      <c r="G313" s="1112"/>
      <c r="H313" s="1112"/>
      <c r="I313" s="1112"/>
      <c r="J313" s="1114"/>
      <c r="K313" s="1112"/>
      <c r="L313" s="1112"/>
      <c r="M313" s="1112"/>
      <c r="N313" s="1112"/>
      <c r="O313" s="1112"/>
      <c r="P313" s="1112" t="s">
        <v>96</v>
      </c>
      <c r="Q313" s="1112"/>
    </row>
    <row r="314">
      <c r="A314" s="1112"/>
      <c r="B314" s="1112"/>
      <c r="C314" s="1112"/>
      <c r="D314" s="1112"/>
      <c r="E314" s="1112"/>
      <c r="F314" s="1112"/>
      <c r="G314" s="1112"/>
      <c r="H314" s="1112"/>
      <c r="I314" s="1112"/>
      <c r="J314" s="1114"/>
      <c r="K314" s="1112"/>
      <c r="L314" s="1112"/>
      <c r="M314" s="1112"/>
      <c r="N314" s="1112"/>
      <c r="O314" s="1112"/>
      <c r="P314" s="1112" t="s">
        <v>96</v>
      </c>
      <c r="Q314" s="1112"/>
    </row>
    <row r="315">
      <c r="A315" s="1112"/>
      <c r="B315" s="1112"/>
      <c r="C315" s="1112"/>
      <c r="D315" s="1112"/>
      <c r="E315" s="1112"/>
      <c r="F315" s="1112"/>
      <c r="G315" s="1112"/>
      <c r="H315" s="1112"/>
      <c r="I315" s="1112"/>
      <c r="J315" s="1114"/>
      <c r="K315" s="1112"/>
      <c r="L315" s="1112"/>
      <c r="M315" s="1112"/>
      <c r="N315" s="1112"/>
      <c r="O315" s="1112"/>
      <c r="P315" s="1112" t="s">
        <v>96</v>
      </c>
      <c r="Q315" s="1112"/>
    </row>
    <row r="316">
      <c r="A316" s="1112"/>
      <c r="B316" s="1112"/>
      <c r="C316" s="1112"/>
      <c r="D316" s="1112"/>
      <c r="E316" s="1112"/>
      <c r="F316" s="1112"/>
      <c r="G316" s="1112"/>
      <c r="H316" s="1112"/>
      <c r="I316" s="1112"/>
      <c r="J316" s="1114"/>
      <c r="K316" s="1112"/>
      <c r="L316" s="1112"/>
      <c r="M316" s="1112"/>
      <c r="N316" s="1112"/>
      <c r="O316" s="1112"/>
      <c r="P316" s="1112" t="s">
        <v>96</v>
      </c>
      <c r="Q316" s="1112"/>
    </row>
    <row r="317">
      <c r="A317" s="1112"/>
      <c r="B317" s="1112"/>
      <c r="C317" s="1112"/>
      <c r="D317" s="1112"/>
      <c r="E317" s="1112"/>
      <c r="F317" s="1112"/>
      <c r="G317" s="1112"/>
      <c r="H317" s="1112"/>
      <c r="I317" s="1112"/>
      <c r="J317" s="1114"/>
      <c r="K317" s="1112"/>
      <c r="L317" s="1112"/>
      <c r="M317" s="1112"/>
      <c r="N317" s="1112"/>
      <c r="O317" s="1112"/>
      <c r="P317" s="1112" t="s">
        <v>96</v>
      </c>
      <c r="Q317" s="1112"/>
    </row>
    <row r="318">
      <c r="A318" s="1112"/>
      <c r="B318" s="1112"/>
      <c r="C318" s="1112"/>
      <c r="D318" s="1112"/>
      <c r="E318" s="1112"/>
      <c r="F318" s="1112"/>
      <c r="G318" s="1112"/>
      <c r="H318" s="1112"/>
      <c r="I318" s="1112"/>
      <c r="J318" s="1114"/>
      <c r="K318" s="1112"/>
      <c r="L318" s="1112"/>
      <c r="M318" s="1112"/>
      <c r="N318" s="1112"/>
      <c r="O318" s="1112"/>
      <c r="P318" s="1112" t="s">
        <v>96</v>
      </c>
      <c r="Q318" s="1112"/>
    </row>
    <row r="319">
      <c r="A319" s="1112"/>
      <c r="B319" s="1112"/>
      <c r="C319" s="1112"/>
      <c r="D319" s="1112"/>
      <c r="E319" s="1112"/>
      <c r="F319" s="1112"/>
      <c r="G319" s="1112"/>
      <c r="H319" s="1112"/>
      <c r="I319" s="1112"/>
      <c r="J319" s="1114"/>
      <c r="K319" s="1112"/>
      <c r="L319" s="1112"/>
      <c r="M319" s="1112"/>
      <c r="N319" s="1112"/>
      <c r="O319" s="1112"/>
      <c r="P319" s="1112" t="s">
        <v>96</v>
      </c>
      <c r="Q319" s="1112"/>
    </row>
    <row r="320">
      <c r="A320" s="1112"/>
      <c r="B320" s="1112"/>
      <c r="C320" s="1112"/>
      <c r="D320" s="1112"/>
      <c r="E320" s="1112"/>
      <c r="F320" s="1112"/>
      <c r="G320" s="1112"/>
      <c r="H320" s="1112"/>
      <c r="I320" s="1112"/>
      <c r="J320" s="1114"/>
      <c r="K320" s="1112"/>
      <c r="L320" s="1112"/>
      <c r="M320" s="1112"/>
      <c r="N320" s="1112"/>
      <c r="O320" s="1112"/>
      <c r="P320" s="1112" t="s">
        <v>96</v>
      </c>
      <c r="Q320" s="1112"/>
    </row>
    <row r="321">
      <c r="A321" s="1112"/>
      <c r="B321" s="1112"/>
      <c r="C321" s="1112"/>
      <c r="D321" s="1112"/>
      <c r="E321" s="1112"/>
      <c r="F321" s="1112"/>
      <c r="G321" s="1112"/>
      <c r="H321" s="1112"/>
      <c r="I321" s="1112"/>
      <c r="J321" s="1114"/>
      <c r="K321" s="1112"/>
      <c r="L321" s="1112"/>
      <c r="M321" s="1112"/>
      <c r="N321" s="1112"/>
      <c r="O321" s="1112"/>
      <c r="P321" s="1112" t="s">
        <v>96</v>
      </c>
      <c r="Q321" s="1112"/>
    </row>
    <row r="322">
      <c r="A322" s="1112"/>
      <c r="B322" s="1112"/>
      <c r="C322" s="1112"/>
      <c r="D322" s="1112"/>
      <c r="E322" s="1112"/>
      <c r="F322" s="1112"/>
      <c r="G322" s="1112"/>
      <c r="H322" s="1112"/>
      <c r="I322" s="1112"/>
      <c r="J322" s="1114"/>
      <c r="K322" s="1112"/>
      <c r="L322" s="1112"/>
      <c r="M322" s="1112"/>
      <c r="N322" s="1112"/>
      <c r="O322" s="1112"/>
      <c r="P322" s="1112" t="s">
        <v>96</v>
      </c>
      <c r="Q322" s="1112"/>
    </row>
    <row r="323">
      <c r="A323" s="1112"/>
      <c r="B323" s="1112"/>
      <c r="C323" s="1112"/>
      <c r="D323" s="1112"/>
      <c r="E323" s="1112"/>
      <c r="F323" s="1112"/>
      <c r="G323" s="1112"/>
      <c r="H323" s="1112"/>
      <c r="I323" s="1112"/>
      <c r="J323" s="1114"/>
      <c r="K323" s="1112"/>
      <c r="L323" s="1112"/>
      <c r="M323" s="1112"/>
      <c r="N323" s="1112"/>
      <c r="O323" s="1112"/>
      <c r="P323" s="1112" t="s">
        <v>96</v>
      </c>
      <c r="Q323" s="1112"/>
    </row>
    <row r="324">
      <c r="A324" s="1112"/>
      <c r="B324" s="1112"/>
      <c r="C324" s="1112"/>
      <c r="D324" s="1112"/>
      <c r="E324" s="1112"/>
      <c r="F324" s="1112"/>
      <c r="G324" s="1112"/>
      <c r="H324" s="1112"/>
      <c r="I324" s="1112"/>
      <c r="J324" s="1114"/>
      <c r="K324" s="1112"/>
      <c r="L324" s="1112"/>
      <c r="M324" s="1112"/>
      <c r="N324" s="1112"/>
      <c r="O324" s="1112"/>
      <c r="P324" s="1112" t="s">
        <v>96</v>
      </c>
      <c r="Q324" s="1112"/>
    </row>
    <row r="325">
      <c r="A325" s="1112"/>
      <c r="B325" s="1112"/>
      <c r="C325" s="1112"/>
      <c r="D325" s="1112"/>
      <c r="E325" s="1112"/>
      <c r="F325" s="1112"/>
      <c r="G325" s="1112"/>
      <c r="H325" s="1112"/>
      <c r="I325" s="1112"/>
      <c r="J325" s="1114"/>
      <c r="K325" s="1112"/>
      <c r="L325" s="1112"/>
      <c r="M325" s="1112"/>
      <c r="N325" s="1112"/>
      <c r="O325" s="1112"/>
      <c r="P325" s="1112" t="s">
        <v>96</v>
      </c>
      <c r="Q325" s="1112"/>
    </row>
    <row r="326">
      <c r="A326" s="1112"/>
      <c r="B326" s="1112"/>
      <c r="C326" s="1112"/>
      <c r="D326" s="1112"/>
      <c r="E326" s="1112"/>
      <c r="F326" s="1112"/>
      <c r="G326" s="1112"/>
      <c r="H326" s="1112"/>
      <c r="I326" s="1112"/>
      <c r="J326" s="1114"/>
      <c r="K326" s="1112"/>
      <c r="L326" s="1112"/>
      <c r="M326" s="1112"/>
      <c r="N326" s="1112"/>
      <c r="O326" s="1112"/>
      <c r="P326" s="1112" t="s">
        <v>96</v>
      </c>
      <c r="Q326" s="1112"/>
    </row>
    <row r="327">
      <c r="A327" s="1112"/>
      <c r="B327" s="1112"/>
      <c r="C327" s="1112"/>
      <c r="D327" s="1112"/>
      <c r="E327" s="1112"/>
      <c r="F327" s="1112"/>
      <c r="G327" s="1112"/>
      <c r="H327" s="1112"/>
      <c r="I327" s="1112"/>
      <c r="J327" s="1114"/>
      <c r="K327" s="1112"/>
      <c r="L327" s="1112"/>
      <c r="M327" s="1112"/>
      <c r="N327" s="1112"/>
      <c r="O327" s="1112"/>
      <c r="P327" s="1112" t="s">
        <v>96</v>
      </c>
      <c r="Q327" s="1112"/>
    </row>
    <row r="328">
      <c r="A328" s="1112"/>
      <c r="B328" s="1112"/>
      <c r="C328" s="1112"/>
      <c r="D328" s="1112"/>
      <c r="E328" s="1112"/>
      <c r="F328" s="1112"/>
      <c r="G328" s="1112"/>
      <c r="H328" s="1112"/>
      <c r="I328" s="1112"/>
      <c r="J328" s="1114"/>
      <c r="K328" s="1112"/>
      <c r="L328" s="1112"/>
      <c r="M328" s="1112"/>
      <c r="N328" s="1112"/>
      <c r="O328" s="1112"/>
      <c r="P328" s="1112" t="s">
        <v>96</v>
      </c>
      <c r="Q328" s="1112"/>
    </row>
    <row r="329">
      <c r="A329" s="1112"/>
      <c r="B329" s="1112"/>
      <c r="C329" s="1112"/>
      <c r="D329" s="1112"/>
      <c r="E329" s="1112"/>
      <c r="F329" s="1112"/>
      <c r="G329" s="1112"/>
      <c r="H329" s="1112"/>
      <c r="I329" s="1112"/>
      <c r="J329" s="1114"/>
      <c r="K329" s="1112"/>
      <c r="L329" s="1112"/>
      <c r="M329" s="1112"/>
      <c r="N329" s="1112"/>
      <c r="O329" s="1112"/>
      <c r="P329" s="1112" t="s">
        <v>96</v>
      </c>
      <c r="Q329" s="1112"/>
    </row>
    <row r="330">
      <c r="A330" s="1112"/>
      <c r="B330" s="1112"/>
      <c r="C330" s="1112"/>
      <c r="D330" s="1112"/>
      <c r="E330" s="1112"/>
      <c r="F330" s="1112"/>
      <c r="G330" s="1112"/>
      <c r="H330" s="1112"/>
      <c r="I330" s="1112"/>
      <c r="J330" s="1114"/>
      <c r="K330" s="1112"/>
      <c r="L330" s="1112"/>
      <c r="M330" s="1112"/>
      <c r="N330" s="1112"/>
      <c r="O330" s="1112"/>
      <c r="P330" s="1112" t="s">
        <v>96</v>
      </c>
      <c r="Q330" s="1112"/>
    </row>
    <row r="331">
      <c r="A331" s="1112"/>
      <c r="B331" s="1112"/>
      <c r="C331" s="1112"/>
      <c r="D331" s="1112"/>
      <c r="E331" s="1112"/>
      <c r="F331" s="1112"/>
      <c r="G331" s="1112"/>
      <c r="H331" s="1112"/>
      <c r="I331" s="1112"/>
      <c r="J331" s="1114"/>
      <c r="K331" s="1112"/>
      <c r="L331" s="1112"/>
      <c r="M331" s="1112"/>
      <c r="N331" s="1112"/>
      <c r="O331" s="1112"/>
      <c r="P331" s="1112" t="s">
        <v>96</v>
      </c>
      <c r="Q331" s="1112"/>
    </row>
    <row r="332">
      <c r="A332" s="1112"/>
      <c r="B332" s="1112"/>
      <c r="C332" s="1112"/>
      <c r="D332" s="1112"/>
      <c r="E332" s="1112"/>
      <c r="F332" s="1112"/>
      <c r="G332" s="1112"/>
      <c r="H332" s="1112"/>
      <c r="I332" s="1112"/>
      <c r="J332" s="1114"/>
      <c r="K332" s="1112"/>
      <c r="L332" s="1112"/>
      <c r="M332" s="1112"/>
      <c r="N332" s="1112"/>
      <c r="O332" s="1112"/>
      <c r="P332" s="1112" t="s">
        <v>96</v>
      </c>
      <c r="Q332" s="1112"/>
    </row>
    <row r="333">
      <c r="A333" s="1112"/>
      <c r="B333" s="1112"/>
      <c r="C333" s="1112"/>
      <c r="D333" s="1112"/>
      <c r="E333" s="1112"/>
      <c r="F333" s="1112"/>
      <c r="G333" s="1112"/>
      <c r="H333" s="1112"/>
      <c r="I333" s="1112"/>
      <c r="J333" s="1114"/>
      <c r="K333" s="1112"/>
      <c r="L333" s="1112"/>
      <c r="M333" s="1112"/>
      <c r="N333" s="1112"/>
      <c r="O333" s="1112"/>
      <c r="P333" s="1112" t="s">
        <v>96</v>
      </c>
      <c r="Q333" s="1112"/>
    </row>
    <row r="334">
      <c r="A334" s="1112"/>
      <c r="B334" s="1112"/>
      <c r="C334" s="1112"/>
      <c r="D334" s="1112"/>
      <c r="E334" s="1112"/>
      <c r="F334" s="1112"/>
      <c r="G334" s="1112"/>
      <c r="H334" s="1112"/>
      <c r="I334" s="1112"/>
      <c r="J334" s="1114"/>
      <c r="K334" s="1112"/>
      <c r="L334" s="1112"/>
      <c r="M334" s="1112"/>
      <c r="N334" s="1112"/>
      <c r="O334" s="1112"/>
      <c r="P334" s="1112" t="s">
        <v>96</v>
      </c>
      <c r="Q334" s="1112"/>
    </row>
    <row r="335">
      <c r="A335" s="1112"/>
      <c r="B335" s="1112"/>
      <c r="C335" s="1112"/>
      <c r="D335" s="1112"/>
      <c r="E335" s="1112"/>
      <c r="F335" s="1112"/>
      <c r="G335" s="1112"/>
      <c r="H335" s="1112"/>
      <c r="I335" s="1112"/>
      <c r="J335" s="1114"/>
      <c r="K335" s="1112"/>
      <c r="L335" s="1112"/>
      <c r="M335" s="1112"/>
      <c r="N335" s="1112"/>
      <c r="O335" s="1112"/>
      <c r="P335" s="1112" t="s">
        <v>96</v>
      </c>
      <c r="Q335" s="1112"/>
    </row>
    <row r="336">
      <c r="A336" s="1112"/>
      <c r="B336" s="1112"/>
      <c r="C336" s="1112"/>
      <c r="D336" s="1112"/>
      <c r="E336" s="1112"/>
      <c r="F336" s="1112"/>
      <c r="G336" s="1112"/>
      <c r="H336" s="1112"/>
      <c r="I336" s="1112"/>
      <c r="J336" s="1114"/>
      <c r="K336" s="1112"/>
      <c r="L336" s="1112"/>
      <c r="M336" s="1112"/>
      <c r="N336" s="1112"/>
      <c r="O336" s="1112"/>
      <c r="P336" s="1112" t="s">
        <v>96</v>
      </c>
      <c r="Q336" s="1112"/>
    </row>
    <row r="337">
      <c r="A337" s="1112"/>
      <c r="B337" s="1112"/>
      <c r="C337" s="1112"/>
      <c r="D337" s="1112"/>
      <c r="E337" s="1112"/>
      <c r="F337" s="1112"/>
      <c r="G337" s="1112"/>
      <c r="H337" s="1112"/>
      <c r="I337" s="1112"/>
      <c r="J337" s="1114"/>
      <c r="K337" s="1112"/>
      <c r="L337" s="1112"/>
      <c r="M337" s="1112"/>
      <c r="N337" s="1112"/>
      <c r="O337" s="1112"/>
      <c r="P337" s="1112" t="s">
        <v>96</v>
      </c>
      <c r="Q337" s="1112"/>
    </row>
    <row r="338">
      <c r="A338" s="1112"/>
      <c r="B338" s="1112"/>
      <c r="C338" s="1112"/>
      <c r="D338" s="1112"/>
      <c r="E338" s="1112"/>
      <c r="F338" s="1112"/>
      <c r="G338" s="1112"/>
      <c r="H338" s="1112"/>
      <c r="I338" s="1112"/>
      <c r="J338" s="1114"/>
      <c r="K338" s="1112"/>
      <c r="L338" s="1112"/>
      <c r="M338" s="1112"/>
      <c r="N338" s="1112"/>
      <c r="O338" s="1112"/>
      <c r="P338" s="1112" t="s">
        <v>96</v>
      </c>
      <c r="Q338" s="1112"/>
    </row>
    <row r="339">
      <c r="A339" s="1112"/>
      <c r="B339" s="1112"/>
      <c r="C339" s="1112"/>
      <c r="D339" s="1112"/>
      <c r="E339" s="1112"/>
      <c r="F339" s="1112"/>
      <c r="G339" s="1112"/>
      <c r="H339" s="1112"/>
      <c r="I339" s="1112"/>
      <c r="J339" s="1114"/>
      <c r="K339" s="1112"/>
      <c r="L339" s="1112"/>
      <c r="M339" s="1112"/>
      <c r="N339" s="1112"/>
      <c r="O339" s="1112"/>
      <c r="P339" s="1112" t="s">
        <v>96</v>
      </c>
      <c r="Q339" s="1112"/>
    </row>
    <row r="340">
      <c r="A340" s="1112"/>
      <c r="B340" s="1112"/>
      <c r="C340" s="1112"/>
      <c r="D340" s="1112"/>
      <c r="E340" s="1112"/>
      <c r="F340" s="1112"/>
      <c r="G340" s="1112"/>
      <c r="H340" s="1112"/>
      <c r="I340" s="1112"/>
      <c r="J340" s="1114"/>
      <c r="K340" s="1112"/>
      <c r="L340" s="1112"/>
      <c r="M340" s="1112"/>
      <c r="N340" s="1112"/>
      <c r="O340" s="1112"/>
      <c r="P340" s="1112" t="s">
        <v>96</v>
      </c>
      <c r="Q340" s="1112"/>
    </row>
    <row r="341">
      <c r="A341" s="1112"/>
      <c r="B341" s="1112"/>
      <c r="C341" s="1112"/>
      <c r="D341" s="1112"/>
      <c r="E341" s="1112"/>
      <c r="F341" s="1112"/>
      <c r="G341" s="1112"/>
      <c r="H341" s="1112"/>
      <c r="I341" s="1112"/>
      <c r="J341" s="1114"/>
      <c r="K341" s="1112"/>
      <c r="L341" s="1112"/>
      <c r="M341" s="1112"/>
      <c r="N341" s="1112"/>
      <c r="O341" s="1112"/>
      <c r="P341" s="1112" t="s">
        <v>96</v>
      </c>
      <c r="Q341" s="1112"/>
    </row>
    <row r="342">
      <c r="A342" s="1112"/>
      <c r="B342" s="1112"/>
      <c r="C342" s="1112"/>
      <c r="D342" s="1112"/>
      <c r="E342" s="1112"/>
      <c r="F342" s="1112"/>
      <c r="G342" s="1112"/>
      <c r="H342" s="1112"/>
      <c r="I342" s="1112"/>
      <c r="J342" s="1114"/>
      <c r="K342" s="1112"/>
      <c r="L342" s="1112"/>
      <c r="M342" s="1112"/>
      <c r="N342" s="1112"/>
      <c r="O342" s="1112"/>
      <c r="P342" s="1112" t="s">
        <v>96</v>
      </c>
      <c r="Q342" s="1112"/>
    </row>
    <row r="343">
      <c r="A343" s="1112"/>
      <c r="B343" s="1112"/>
      <c r="C343" s="1112"/>
      <c r="D343" s="1112"/>
      <c r="E343" s="1112"/>
      <c r="F343" s="1112"/>
      <c r="G343" s="1112"/>
      <c r="H343" s="1112"/>
      <c r="I343" s="1112"/>
      <c r="J343" s="1114"/>
      <c r="K343" s="1112"/>
      <c r="L343" s="1112"/>
      <c r="M343" s="1112"/>
      <c r="N343" s="1112"/>
      <c r="O343" s="1112"/>
      <c r="P343" s="1112" t="s">
        <v>96</v>
      </c>
      <c r="Q343" s="1112"/>
    </row>
    <row r="344">
      <c r="A344" s="1112"/>
      <c r="B344" s="1112"/>
      <c r="C344" s="1112"/>
      <c r="D344" s="1112"/>
      <c r="E344" s="1112"/>
      <c r="F344" s="1112"/>
      <c r="G344" s="1112"/>
      <c r="H344" s="1112"/>
      <c r="I344" s="1112"/>
      <c r="J344" s="1114"/>
      <c r="K344" s="1112"/>
      <c r="L344" s="1112"/>
      <c r="M344" s="1112"/>
      <c r="N344" s="1112"/>
      <c r="O344" s="1112"/>
      <c r="P344" s="1112" t="s">
        <v>96</v>
      </c>
      <c r="Q344" s="1112"/>
    </row>
    <row r="345">
      <c r="A345" s="1112"/>
      <c r="B345" s="1112"/>
      <c r="C345" s="1112"/>
      <c r="D345" s="1112"/>
      <c r="E345" s="1112"/>
      <c r="F345" s="1112"/>
      <c r="G345" s="1112"/>
      <c r="H345" s="1112"/>
      <c r="I345" s="1112"/>
      <c r="J345" s="1114"/>
      <c r="K345" s="1112"/>
      <c r="L345" s="1112"/>
      <c r="M345" s="1112"/>
      <c r="N345" s="1112"/>
      <c r="O345" s="1112"/>
      <c r="P345" s="1112" t="s">
        <v>96</v>
      </c>
      <c r="Q345" s="1112"/>
    </row>
    <row r="346">
      <c r="A346" s="1112"/>
      <c r="B346" s="1112"/>
      <c r="C346" s="1112"/>
      <c r="D346" s="1112"/>
      <c r="E346" s="1112"/>
      <c r="F346" s="1112"/>
      <c r="G346" s="1112"/>
      <c r="H346" s="1112"/>
      <c r="I346" s="1112"/>
      <c r="J346" s="1114"/>
      <c r="K346" s="1112"/>
      <c r="L346" s="1112"/>
      <c r="M346" s="1112"/>
      <c r="N346" s="1112"/>
      <c r="O346" s="1112"/>
      <c r="P346" s="1112" t="s">
        <v>96</v>
      </c>
      <c r="Q346" s="1112"/>
    </row>
    <row r="347">
      <c r="A347" s="1112"/>
      <c r="B347" s="1112"/>
      <c r="C347" s="1112"/>
      <c r="D347" s="1112"/>
      <c r="E347" s="1112"/>
      <c r="F347" s="1112"/>
      <c r="G347" s="1112"/>
      <c r="H347" s="1112"/>
      <c r="I347" s="1112"/>
      <c r="J347" s="1114"/>
      <c r="K347" s="1112"/>
      <c r="L347" s="1112"/>
      <c r="M347" s="1112"/>
      <c r="N347" s="1112"/>
      <c r="O347" s="1112"/>
      <c r="P347" s="1112" t="s">
        <v>96</v>
      </c>
      <c r="Q347" s="1112"/>
    </row>
    <row r="348">
      <c r="A348" s="1112"/>
      <c r="B348" s="1112"/>
      <c r="C348" s="1112"/>
      <c r="D348" s="1112"/>
      <c r="E348" s="1112"/>
      <c r="F348" s="1112"/>
      <c r="G348" s="1112"/>
      <c r="H348" s="1112"/>
      <c r="I348" s="1112"/>
      <c r="J348" s="1114"/>
      <c r="K348" s="1112"/>
      <c r="L348" s="1112"/>
      <c r="M348" s="1112"/>
      <c r="N348" s="1112"/>
      <c r="O348" s="1112"/>
      <c r="P348" s="1112" t="s">
        <v>96</v>
      </c>
      <c r="Q348" s="1112"/>
    </row>
    <row r="349">
      <c r="A349" s="1112"/>
      <c r="B349" s="1112"/>
      <c r="C349" s="1112"/>
      <c r="D349" s="1112"/>
      <c r="E349" s="1112"/>
      <c r="F349" s="1112"/>
      <c r="G349" s="1112"/>
      <c r="H349" s="1112"/>
      <c r="I349" s="1112"/>
      <c r="J349" s="1114"/>
      <c r="K349" s="1112"/>
      <c r="L349" s="1112"/>
      <c r="M349" s="1112"/>
      <c r="N349" s="1112"/>
      <c r="O349" s="1112"/>
      <c r="P349" s="1112" t="s">
        <v>96</v>
      </c>
      <c r="Q349" s="1112"/>
    </row>
    <row r="350">
      <c r="A350" s="1112"/>
      <c r="B350" s="1112"/>
      <c r="C350" s="1112"/>
      <c r="D350" s="1112"/>
      <c r="E350" s="1112"/>
      <c r="F350" s="1112"/>
      <c r="G350" s="1112"/>
      <c r="H350" s="1112"/>
      <c r="I350" s="1112"/>
      <c r="J350" s="1114"/>
      <c r="K350" s="1112"/>
      <c r="L350" s="1112"/>
      <c r="M350" s="1112"/>
      <c r="N350" s="1112"/>
      <c r="O350" s="1112"/>
      <c r="P350" s="1112" t="s">
        <v>96</v>
      </c>
      <c r="Q350" s="1112"/>
    </row>
    <row r="351">
      <c r="A351" s="1112"/>
      <c r="B351" s="1112"/>
      <c r="C351" s="1112"/>
      <c r="D351" s="1112"/>
      <c r="E351" s="1112"/>
      <c r="F351" s="1112"/>
      <c r="G351" s="1112"/>
      <c r="H351" s="1112"/>
      <c r="I351" s="1112"/>
      <c r="J351" s="1114"/>
      <c r="K351" s="1112"/>
      <c r="L351" s="1112"/>
      <c r="M351" s="1112"/>
      <c r="N351" s="1112"/>
      <c r="O351" s="1112"/>
      <c r="P351" s="1112" t="s">
        <v>96</v>
      </c>
      <c r="Q351" s="1112"/>
    </row>
    <row r="352">
      <c r="A352" s="1112"/>
      <c r="B352" s="1112"/>
      <c r="C352" s="1112"/>
      <c r="D352" s="1112"/>
      <c r="E352" s="1112"/>
      <c r="F352" s="1112"/>
      <c r="G352" s="1112"/>
      <c r="H352" s="1112"/>
      <c r="I352" s="1112"/>
      <c r="J352" s="1114"/>
      <c r="K352" s="1112"/>
      <c r="L352" s="1112"/>
      <c r="M352" s="1112"/>
      <c r="N352" s="1112"/>
      <c r="O352" s="1112"/>
      <c r="P352" s="1112" t="s">
        <v>96</v>
      </c>
      <c r="Q352" s="1112"/>
    </row>
    <row r="353">
      <c r="A353" s="1112"/>
      <c r="B353" s="1112"/>
      <c r="C353" s="1112"/>
      <c r="D353" s="1112"/>
      <c r="E353" s="1112"/>
      <c r="F353" s="1112"/>
      <c r="G353" s="1112"/>
      <c r="H353" s="1112"/>
      <c r="I353" s="1112"/>
      <c r="J353" s="1114"/>
      <c r="K353" s="1112"/>
      <c r="L353" s="1112"/>
      <c r="M353" s="1112"/>
      <c r="N353" s="1112"/>
      <c r="O353" s="1112"/>
      <c r="P353" s="1112" t="s">
        <v>96</v>
      </c>
      <c r="Q353" s="1112"/>
    </row>
    <row r="354">
      <c r="A354" s="1112"/>
      <c r="B354" s="1112"/>
      <c r="C354" s="1112"/>
      <c r="D354" s="1112"/>
      <c r="E354" s="1112"/>
      <c r="F354" s="1112"/>
      <c r="G354" s="1112"/>
      <c r="H354" s="1112"/>
      <c r="I354" s="1112"/>
      <c r="J354" s="1114"/>
      <c r="K354" s="1112"/>
      <c r="L354" s="1112"/>
      <c r="M354" s="1112"/>
      <c r="N354" s="1112"/>
      <c r="O354" s="1112"/>
      <c r="P354" s="1112" t="s">
        <v>96</v>
      </c>
      <c r="Q354" s="1112"/>
    </row>
    <row r="355">
      <c r="A355" s="1112"/>
      <c r="B355" s="1112"/>
      <c r="C355" s="1112"/>
      <c r="D355" s="1112"/>
      <c r="E355" s="1112"/>
      <c r="F355" s="1112"/>
      <c r="G355" s="1112"/>
      <c r="H355" s="1112"/>
      <c r="I355" s="1112"/>
      <c r="J355" s="1114"/>
      <c r="K355" s="1112"/>
      <c r="L355" s="1112"/>
      <c r="M355" s="1112"/>
      <c r="N355" s="1112"/>
      <c r="O355" s="1112"/>
      <c r="P355" s="1112" t="s">
        <v>96</v>
      </c>
      <c r="Q355" s="1112"/>
    </row>
    <row r="356">
      <c r="A356" s="1112"/>
      <c r="B356" s="1112"/>
      <c r="C356" s="1112"/>
      <c r="D356" s="1112"/>
      <c r="E356" s="1112"/>
      <c r="F356" s="1112"/>
      <c r="G356" s="1112"/>
      <c r="H356" s="1112"/>
      <c r="I356" s="1112"/>
      <c r="J356" s="1114"/>
      <c r="K356" s="1112"/>
      <c r="L356" s="1112"/>
      <c r="M356" s="1112"/>
      <c r="N356" s="1112"/>
      <c r="O356" s="1112"/>
      <c r="P356" s="1112" t="s">
        <v>96</v>
      </c>
      <c r="Q356" s="1112"/>
    </row>
    <row r="357">
      <c r="A357" s="1112"/>
      <c r="B357" s="1112"/>
      <c r="C357" s="1112"/>
      <c r="D357" s="1112"/>
      <c r="E357" s="1112"/>
      <c r="F357" s="1112"/>
      <c r="G357" s="1112"/>
      <c r="H357" s="1112"/>
      <c r="I357" s="1112"/>
      <c r="J357" s="1114"/>
      <c r="K357" s="1112"/>
      <c r="L357" s="1112"/>
      <c r="M357" s="1112"/>
      <c r="N357" s="1112"/>
      <c r="O357" s="1112"/>
      <c r="P357" s="1112" t="s">
        <v>96</v>
      </c>
      <c r="Q357" s="1112"/>
    </row>
    <row r="358">
      <c r="A358" s="1112"/>
      <c r="B358" s="1112"/>
      <c r="C358" s="1112"/>
      <c r="D358" s="1112"/>
      <c r="E358" s="1112"/>
      <c r="F358" s="1112"/>
      <c r="G358" s="1112"/>
      <c r="H358" s="1112"/>
      <c r="I358" s="1112"/>
      <c r="J358" s="1114"/>
      <c r="K358" s="1112"/>
      <c r="L358" s="1112"/>
      <c r="M358" s="1112"/>
      <c r="N358" s="1112"/>
      <c r="O358" s="1112"/>
      <c r="P358" s="1112" t="s">
        <v>96</v>
      </c>
      <c r="Q358" s="1112"/>
    </row>
    <row r="359">
      <c r="A359" s="1112"/>
      <c r="B359" s="1112"/>
      <c r="C359" s="1112"/>
      <c r="D359" s="1112"/>
      <c r="E359" s="1112"/>
      <c r="F359" s="1112"/>
      <c r="G359" s="1112"/>
      <c r="H359" s="1112"/>
      <c r="I359" s="1112"/>
      <c r="J359" s="1114"/>
      <c r="K359" s="1112"/>
      <c r="L359" s="1112"/>
      <c r="M359" s="1112"/>
      <c r="N359" s="1112"/>
      <c r="O359" s="1112"/>
      <c r="P359" s="1112" t="s">
        <v>96</v>
      </c>
      <c r="Q359" s="1112"/>
    </row>
    <row r="360">
      <c r="A360" s="1112"/>
      <c r="B360" s="1112"/>
      <c r="C360" s="1112"/>
      <c r="D360" s="1112"/>
      <c r="E360" s="1112"/>
      <c r="F360" s="1112"/>
      <c r="G360" s="1112"/>
      <c r="H360" s="1112"/>
      <c r="I360" s="1112"/>
      <c r="J360" s="1114"/>
      <c r="K360" s="1112"/>
      <c r="L360" s="1112"/>
      <c r="M360" s="1112"/>
      <c r="N360" s="1112"/>
      <c r="O360" s="1112"/>
      <c r="P360" s="1112" t="s">
        <v>96</v>
      </c>
      <c r="Q360" s="1112"/>
    </row>
    <row r="361">
      <c r="A361" s="1112"/>
      <c r="B361" s="1112"/>
      <c r="C361" s="1112"/>
      <c r="D361" s="1112"/>
      <c r="E361" s="1112"/>
      <c r="F361" s="1112"/>
      <c r="G361" s="1112"/>
      <c r="H361" s="1112"/>
      <c r="I361" s="1112"/>
      <c r="J361" s="1114"/>
      <c r="K361" s="1112"/>
      <c r="L361" s="1112"/>
      <c r="M361" s="1112"/>
      <c r="N361" s="1112"/>
      <c r="O361" s="1112"/>
      <c r="P361" s="1112" t="s">
        <v>96</v>
      </c>
      <c r="Q361" s="1112"/>
    </row>
    <row r="362">
      <c r="A362" s="1112"/>
      <c r="B362" s="1112"/>
      <c r="C362" s="1112"/>
      <c r="D362" s="1112"/>
      <c r="E362" s="1112"/>
      <c r="F362" s="1112"/>
      <c r="G362" s="1112"/>
      <c r="H362" s="1112"/>
      <c r="I362" s="1112"/>
      <c r="J362" s="1114"/>
      <c r="K362" s="1112"/>
      <c r="L362" s="1112"/>
      <c r="M362" s="1112"/>
      <c r="N362" s="1112"/>
      <c r="O362" s="1112"/>
      <c r="P362" s="1112" t="s">
        <v>96</v>
      </c>
      <c r="Q362" s="1112"/>
    </row>
    <row r="363">
      <c r="A363" s="1112"/>
      <c r="B363" s="1112"/>
      <c r="C363" s="1112"/>
      <c r="D363" s="1112"/>
      <c r="E363" s="1112"/>
      <c r="F363" s="1112"/>
      <c r="G363" s="1112"/>
      <c r="H363" s="1112"/>
      <c r="I363" s="1112"/>
      <c r="J363" s="1114"/>
      <c r="K363" s="1112"/>
      <c r="L363" s="1112"/>
      <c r="M363" s="1112"/>
      <c r="N363" s="1112"/>
      <c r="O363" s="1112"/>
      <c r="P363" s="1112" t="s">
        <v>96</v>
      </c>
      <c r="Q363" s="1112"/>
    </row>
    <row r="364">
      <c r="A364" s="1112"/>
      <c r="B364" s="1112"/>
      <c r="C364" s="1112"/>
      <c r="D364" s="1112"/>
      <c r="E364" s="1112"/>
      <c r="F364" s="1112"/>
      <c r="G364" s="1112"/>
      <c r="H364" s="1112"/>
      <c r="I364" s="1112"/>
      <c r="J364" s="1114"/>
      <c r="K364" s="1112"/>
      <c r="L364" s="1112"/>
      <c r="M364" s="1112"/>
      <c r="N364" s="1112"/>
      <c r="O364" s="1112"/>
      <c r="P364" s="1112" t="s">
        <v>96</v>
      </c>
      <c r="Q364" s="1112"/>
    </row>
    <row r="365">
      <c r="A365" s="1112"/>
      <c r="B365" s="1112"/>
      <c r="C365" s="1112"/>
      <c r="D365" s="1112"/>
      <c r="E365" s="1112"/>
      <c r="F365" s="1112"/>
      <c r="G365" s="1112"/>
      <c r="H365" s="1112"/>
      <c r="I365" s="1112"/>
      <c r="J365" s="1114"/>
      <c r="K365" s="1112"/>
      <c r="L365" s="1112"/>
      <c r="M365" s="1112"/>
      <c r="N365" s="1112"/>
      <c r="O365" s="1112"/>
      <c r="P365" s="1112" t="s">
        <v>96</v>
      </c>
      <c r="Q365" s="1112"/>
    </row>
    <row r="366">
      <c r="A366" s="1112"/>
      <c r="B366" s="1112"/>
      <c r="C366" s="1112"/>
      <c r="D366" s="1112"/>
      <c r="E366" s="1112"/>
      <c r="F366" s="1112"/>
      <c r="G366" s="1112"/>
      <c r="H366" s="1112"/>
      <c r="I366" s="1112"/>
      <c r="J366" s="1114"/>
      <c r="K366" s="1112"/>
      <c r="L366" s="1112"/>
      <c r="M366" s="1112"/>
      <c r="N366" s="1112"/>
      <c r="O366" s="1112"/>
      <c r="P366" s="1112" t="s">
        <v>96</v>
      </c>
      <c r="Q366" s="1112"/>
    </row>
    <row r="367">
      <c r="A367" s="1112"/>
      <c r="B367" s="1112"/>
      <c r="C367" s="1112"/>
      <c r="D367" s="1112"/>
      <c r="E367" s="1112"/>
      <c r="F367" s="1112"/>
      <c r="G367" s="1112"/>
      <c r="H367" s="1112"/>
      <c r="I367" s="1112"/>
      <c r="J367" s="1114"/>
      <c r="K367" s="1112"/>
      <c r="L367" s="1112"/>
      <c r="M367" s="1112"/>
      <c r="N367" s="1112"/>
      <c r="O367" s="1112"/>
      <c r="P367" s="1112" t="s">
        <v>96</v>
      </c>
      <c r="Q367" s="1112"/>
    </row>
    <row r="368">
      <c r="A368" s="1112"/>
      <c r="B368" s="1112"/>
      <c r="C368" s="1112"/>
      <c r="D368" s="1112"/>
      <c r="E368" s="1112"/>
      <c r="F368" s="1112"/>
      <c r="G368" s="1112"/>
      <c r="H368" s="1112"/>
      <c r="I368" s="1112"/>
      <c r="J368" s="1114"/>
      <c r="K368" s="1112"/>
      <c r="L368" s="1112"/>
      <c r="M368" s="1112"/>
      <c r="N368" s="1112"/>
      <c r="O368" s="1112"/>
      <c r="P368" s="1112" t="s">
        <v>96</v>
      </c>
      <c r="Q368" s="1112"/>
    </row>
    <row r="369">
      <c r="A369" s="1112"/>
      <c r="B369" s="1112"/>
      <c r="C369" s="1112"/>
      <c r="D369" s="1112"/>
      <c r="E369" s="1112"/>
      <c r="F369" s="1112"/>
      <c r="G369" s="1112"/>
      <c r="H369" s="1112"/>
      <c r="I369" s="1112"/>
      <c r="J369" s="1114"/>
      <c r="K369" s="1112"/>
      <c r="L369" s="1112"/>
      <c r="M369" s="1112"/>
      <c r="N369" s="1112"/>
      <c r="O369" s="1112"/>
      <c r="P369" s="1112" t="s">
        <v>96</v>
      </c>
      <c r="Q369" s="1112"/>
    </row>
    <row r="370">
      <c r="A370" s="1112"/>
      <c r="B370" s="1112"/>
      <c r="C370" s="1112"/>
      <c r="D370" s="1112"/>
      <c r="E370" s="1112"/>
      <c r="F370" s="1112"/>
      <c r="G370" s="1112"/>
      <c r="H370" s="1112"/>
      <c r="I370" s="1112"/>
      <c r="J370" s="1114"/>
      <c r="K370" s="1112"/>
      <c r="L370" s="1112"/>
      <c r="M370" s="1112"/>
      <c r="N370" s="1112"/>
      <c r="O370" s="1112"/>
      <c r="P370" s="1112" t="s">
        <v>96</v>
      </c>
      <c r="Q370" s="1112"/>
    </row>
    <row r="371">
      <c r="A371" s="1112"/>
      <c r="B371" s="1112"/>
      <c r="C371" s="1112"/>
      <c r="D371" s="1112"/>
      <c r="E371" s="1112"/>
      <c r="F371" s="1112"/>
      <c r="G371" s="1112"/>
      <c r="H371" s="1112"/>
      <c r="I371" s="1112"/>
      <c r="J371" s="1114"/>
      <c r="K371" s="1112"/>
      <c r="L371" s="1112"/>
      <c r="M371" s="1112"/>
      <c r="N371" s="1112"/>
      <c r="O371" s="1112"/>
      <c r="P371" s="1112" t="s">
        <v>96</v>
      </c>
      <c r="Q371" s="1112"/>
    </row>
    <row r="372">
      <c r="A372" s="1112"/>
      <c r="B372" s="1112"/>
      <c r="C372" s="1112"/>
      <c r="D372" s="1112"/>
      <c r="E372" s="1112"/>
      <c r="F372" s="1112"/>
      <c r="G372" s="1112"/>
      <c r="H372" s="1112"/>
      <c r="I372" s="1112"/>
      <c r="J372" s="1114"/>
      <c r="K372" s="1112"/>
      <c r="L372" s="1112"/>
      <c r="M372" s="1112"/>
      <c r="N372" s="1112"/>
      <c r="O372" s="1112"/>
      <c r="P372" s="1112" t="s">
        <v>96</v>
      </c>
      <c r="Q372" s="1112"/>
    </row>
    <row r="373">
      <c r="A373" s="1112"/>
      <c r="B373" s="1112"/>
      <c r="C373" s="1112"/>
      <c r="D373" s="1112"/>
      <c r="E373" s="1112"/>
      <c r="F373" s="1112"/>
      <c r="G373" s="1112"/>
      <c r="H373" s="1112"/>
      <c r="I373" s="1112"/>
      <c r="J373" s="1114"/>
      <c r="K373" s="1112"/>
      <c r="L373" s="1112"/>
      <c r="M373" s="1112"/>
      <c r="N373" s="1112"/>
      <c r="O373" s="1112"/>
      <c r="P373" s="1112" t="s">
        <v>96</v>
      </c>
      <c r="Q373" s="1112"/>
    </row>
    <row r="374">
      <c r="A374" s="1112"/>
      <c r="B374" s="1112"/>
      <c r="C374" s="1112"/>
      <c r="D374" s="1112"/>
      <c r="E374" s="1112"/>
      <c r="F374" s="1112"/>
      <c r="G374" s="1112"/>
      <c r="H374" s="1112"/>
      <c r="I374" s="1112"/>
      <c r="J374" s="1114"/>
      <c r="K374" s="1112"/>
      <c r="L374" s="1112"/>
      <c r="M374" s="1112"/>
      <c r="N374" s="1112"/>
      <c r="O374" s="1112"/>
      <c r="P374" s="1112" t="s">
        <v>96</v>
      </c>
      <c r="Q374" s="1112"/>
    </row>
    <row r="375">
      <c r="A375" s="1112"/>
      <c r="B375" s="1112"/>
      <c r="C375" s="1112"/>
      <c r="D375" s="1112"/>
      <c r="E375" s="1112"/>
      <c r="F375" s="1112"/>
      <c r="G375" s="1112"/>
      <c r="H375" s="1112"/>
      <c r="I375" s="1112"/>
      <c r="J375" s="1114"/>
      <c r="K375" s="1112"/>
      <c r="L375" s="1112"/>
      <c r="M375" s="1112"/>
      <c r="N375" s="1112"/>
      <c r="O375" s="1112"/>
      <c r="P375" s="1112" t="s">
        <v>96</v>
      </c>
      <c r="Q375" s="1112"/>
    </row>
    <row r="376">
      <c r="A376" s="1112"/>
      <c r="B376" s="1112"/>
      <c r="C376" s="1112"/>
      <c r="D376" s="1112"/>
      <c r="E376" s="1112"/>
      <c r="F376" s="1112"/>
      <c r="G376" s="1112"/>
      <c r="H376" s="1112"/>
      <c r="I376" s="1112"/>
      <c r="J376" s="1114"/>
      <c r="K376" s="1112"/>
      <c r="L376" s="1112"/>
      <c r="M376" s="1112"/>
      <c r="N376" s="1112"/>
      <c r="O376" s="1112"/>
      <c r="P376" s="1112" t="s">
        <v>96</v>
      </c>
      <c r="Q376" s="1112"/>
    </row>
    <row r="377">
      <c r="A377" s="1112"/>
      <c r="B377" s="1112"/>
      <c r="C377" s="1112"/>
      <c r="D377" s="1112"/>
      <c r="E377" s="1112"/>
      <c r="F377" s="1112"/>
      <c r="G377" s="1112"/>
      <c r="H377" s="1112"/>
      <c r="I377" s="1112"/>
      <c r="J377" s="1114"/>
      <c r="K377" s="1112"/>
      <c r="L377" s="1112"/>
      <c r="M377" s="1112"/>
      <c r="N377" s="1112"/>
      <c r="O377" s="1112"/>
      <c r="P377" s="1112" t="s">
        <v>96</v>
      </c>
      <c r="Q377" s="1112"/>
    </row>
    <row r="378">
      <c r="A378" s="1112"/>
      <c r="B378" s="1112"/>
      <c r="C378" s="1112"/>
      <c r="D378" s="1112"/>
      <c r="E378" s="1112"/>
      <c r="F378" s="1112"/>
      <c r="G378" s="1112"/>
      <c r="H378" s="1112"/>
      <c r="I378" s="1112"/>
      <c r="J378" s="1114"/>
      <c r="K378" s="1112"/>
      <c r="L378" s="1112"/>
      <c r="M378" s="1112"/>
      <c r="N378" s="1112"/>
      <c r="O378" s="1112"/>
      <c r="P378" s="1112" t="s">
        <v>96</v>
      </c>
      <c r="Q378" s="1112"/>
    </row>
    <row r="379">
      <c r="A379" s="1112"/>
      <c r="B379" s="1112"/>
      <c r="C379" s="1112"/>
      <c r="D379" s="1112"/>
      <c r="E379" s="1112"/>
      <c r="F379" s="1112"/>
      <c r="G379" s="1112"/>
      <c r="H379" s="1112"/>
      <c r="I379" s="1112"/>
      <c r="J379" s="1114"/>
      <c r="K379" s="1112"/>
      <c r="L379" s="1112"/>
      <c r="M379" s="1112"/>
      <c r="N379" s="1112"/>
      <c r="O379" s="1112"/>
      <c r="P379" s="1112" t="s">
        <v>96</v>
      </c>
      <c r="Q379" s="1112"/>
    </row>
    <row r="380">
      <c r="A380" s="1112"/>
      <c r="B380" s="1112"/>
      <c r="C380" s="1112"/>
      <c r="D380" s="1112"/>
      <c r="E380" s="1112"/>
      <c r="F380" s="1112"/>
      <c r="G380" s="1112"/>
      <c r="H380" s="1112"/>
      <c r="I380" s="1112"/>
      <c r="J380" s="1114"/>
      <c r="K380" s="1112"/>
      <c r="L380" s="1112"/>
      <c r="M380" s="1112"/>
      <c r="N380" s="1112"/>
      <c r="O380" s="1112"/>
      <c r="P380" s="1112" t="s">
        <v>96</v>
      </c>
      <c r="Q380" s="1112"/>
    </row>
    <row r="381">
      <c r="A381" s="1112"/>
      <c r="B381" s="1112"/>
      <c r="C381" s="1112"/>
      <c r="D381" s="1112"/>
      <c r="E381" s="1112"/>
      <c r="F381" s="1112"/>
      <c r="G381" s="1112"/>
      <c r="H381" s="1112"/>
      <c r="I381" s="1112"/>
      <c r="J381" s="1114"/>
      <c r="K381" s="1112"/>
      <c r="L381" s="1112"/>
      <c r="M381" s="1112"/>
      <c r="N381" s="1112"/>
      <c r="O381" s="1112"/>
      <c r="P381" s="1112" t="s">
        <v>96</v>
      </c>
      <c r="Q381" s="1112"/>
    </row>
    <row r="382">
      <c r="A382" s="1112"/>
      <c r="B382" s="1112"/>
      <c r="C382" s="1112"/>
      <c r="D382" s="1112"/>
      <c r="E382" s="1112"/>
      <c r="F382" s="1112"/>
      <c r="G382" s="1112"/>
      <c r="H382" s="1112"/>
      <c r="I382" s="1112"/>
      <c r="J382" s="1114"/>
      <c r="K382" s="1112"/>
      <c r="L382" s="1112"/>
      <c r="M382" s="1112"/>
      <c r="N382" s="1112"/>
      <c r="O382" s="1112"/>
      <c r="P382" s="1112" t="s">
        <v>96</v>
      </c>
      <c r="Q382" s="1112"/>
    </row>
    <row r="383">
      <c r="A383" s="1112"/>
      <c r="B383" s="1112"/>
      <c r="C383" s="1112"/>
      <c r="D383" s="1112"/>
      <c r="E383" s="1112"/>
      <c r="F383" s="1112"/>
      <c r="G383" s="1112"/>
      <c r="H383" s="1112"/>
      <c r="I383" s="1112"/>
      <c r="J383" s="1114"/>
      <c r="K383" s="1112"/>
      <c r="L383" s="1112"/>
      <c r="M383" s="1112"/>
      <c r="N383" s="1112"/>
      <c r="O383" s="1112"/>
      <c r="P383" s="1112" t="s">
        <v>96</v>
      </c>
      <c r="Q383" s="1112"/>
    </row>
    <row r="384">
      <c r="A384" s="1112"/>
      <c r="B384" s="1112"/>
      <c r="C384" s="1112"/>
      <c r="D384" s="1112"/>
      <c r="E384" s="1112"/>
      <c r="F384" s="1112"/>
      <c r="G384" s="1112"/>
      <c r="H384" s="1112"/>
      <c r="I384" s="1112"/>
      <c r="J384" s="1114"/>
      <c r="K384" s="1112"/>
      <c r="L384" s="1112"/>
      <c r="M384" s="1112"/>
      <c r="N384" s="1112"/>
      <c r="O384" s="1112"/>
      <c r="P384" s="1112" t="s">
        <v>96</v>
      </c>
      <c r="Q384" s="1112"/>
    </row>
    <row r="385">
      <c r="A385" s="1112"/>
      <c r="B385" s="1112"/>
      <c r="C385" s="1112"/>
      <c r="D385" s="1112"/>
      <c r="E385" s="1112"/>
      <c r="F385" s="1112"/>
      <c r="G385" s="1112"/>
      <c r="H385" s="1112"/>
      <c r="I385" s="1112"/>
      <c r="J385" s="1114"/>
      <c r="K385" s="1112"/>
      <c r="L385" s="1112"/>
      <c r="M385" s="1112"/>
      <c r="N385" s="1112"/>
      <c r="O385" s="1112"/>
      <c r="P385" s="1112" t="s">
        <v>96</v>
      </c>
      <c r="Q385" s="1112"/>
    </row>
    <row r="386">
      <c r="A386" s="1112"/>
      <c r="B386" s="1112"/>
      <c r="C386" s="1112"/>
      <c r="D386" s="1112"/>
      <c r="E386" s="1112"/>
      <c r="F386" s="1112"/>
      <c r="G386" s="1112"/>
      <c r="H386" s="1112"/>
      <c r="I386" s="1112"/>
      <c r="J386" s="1114"/>
      <c r="K386" s="1112"/>
      <c r="L386" s="1112"/>
      <c r="M386" s="1112"/>
      <c r="N386" s="1112"/>
      <c r="O386" s="1112"/>
      <c r="P386" s="1112" t="s">
        <v>96</v>
      </c>
      <c r="Q386" s="1112"/>
    </row>
    <row r="387">
      <c r="A387" s="1112"/>
      <c r="B387" s="1112"/>
      <c r="C387" s="1112"/>
      <c r="D387" s="1112"/>
      <c r="E387" s="1112"/>
      <c r="F387" s="1112"/>
      <c r="G387" s="1112"/>
      <c r="H387" s="1112"/>
      <c r="I387" s="1112"/>
      <c r="J387" s="1114"/>
      <c r="K387" s="1112"/>
      <c r="L387" s="1112"/>
      <c r="M387" s="1112"/>
      <c r="N387" s="1112"/>
      <c r="O387" s="1112"/>
      <c r="P387" s="1112" t="s">
        <v>96</v>
      </c>
      <c r="Q387" s="1112"/>
    </row>
    <row r="388">
      <c r="A388" s="1112"/>
      <c r="B388" s="1112"/>
      <c r="C388" s="1112"/>
      <c r="D388" s="1112"/>
      <c r="E388" s="1112"/>
      <c r="F388" s="1112"/>
      <c r="G388" s="1112"/>
      <c r="H388" s="1112"/>
      <c r="I388" s="1112"/>
      <c r="J388" s="1114"/>
      <c r="K388" s="1112"/>
      <c r="L388" s="1112"/>
      <c r="M388" s="1112"/>
      <c r="N388" s="1112"/>
      <c r="O388" s="1112"/>
      <c r="P388" s="1112" t="s">
        <v>96</v>
      </c>
      <c r="Q388" s="1112"/>
    </row>
    <row r="389">
      <c r="A389" s="1112"/>
      <c r="B389" s="1112"/>
      <c r="C389" s="1112"/>
      <c r="D389" s="1112"/>
      <c r="E389" s="1112"/>
      <c r="F389" s="1112"/>
      <c r="G389" s="1112"/>
      <c r="H389" s="1112"/>
      <c r="I389" s="1112"/>
      <c r="J389" s="1114"/>
      <c r="K389" s="1112"/>
      <c r="L389" s="1112"/>
      <c r="M389" s="1112"/>
      <c r="N389" s="1112"/>
      <c r="O389" s="1112"/>
      <c r="P389" s="1112" t="s">
        <v>96</v>
      </c>
      <c r="Q389" s="1112"/>
    </row>
    <row r="390">
      <c r="A390" s="1112"/>
      <c r="B390" s="1112"/>
      <c r="C390" s="1112"/>
      <c r="D390" s="1112"/>
      <c r="E390" s="1112"/>
      <c r="F390" s="1112"/>
      <c r="G390" s="1112"/>
      <c r="H390" s="1112"/>
      <c r="I390" s="1112"/>
      <c r="J390" s="1114"/>
      <c r="K390" s="1112"/>
      <c r="L390" s="1112"/>
      <c r="M390" s="1112"/>
      <c r="N390" s="1112"/>
      <c r="O390" s="1112"/>
      <c r="P390" s="1112" t="s">
        <v>96</v>
      </c>
      <c r="Q390" s="1112"/>
    </row>
    <row r="391">
      <c r="A391" s="1112"/>
      <c r="B391" s="1112"/>
      <c r="C391" s="1112"/>
      <c r="D391" s="1112"/>
      <c r="E391" s="1112"/>
      <c r="F391" s="1112"/>
      <c r="G391" s="1112"/>
      <c r="H391" s="1112"/>
      <c r="I391" s="1112"/>
      <c r="J391" s="1114"/>
      <c r="K391" s="1112"/>
      <c r="L391" s="1112"/>
      <c r="M391" s="1112"/>
      <c r="N391" s="1112"/>
      <c r="O391" s="1112"/>
      <c r="P391" s="1112" t="s">
        <v>96</v>
      </c>
      <c r="Q391" s="1112"/>
    </row>
    <row r="392">
      <c r="A392" s="1112"/>
      <c r="B392" s="1112"/>
      <c r="C392" s="1112"/>
      <c r="D392" s="1112"/>
      <c r="E392" s="1112"/>
      <c r="F392" s="1112"/>
      <c r="G392" s="1112"/>
      <c r="H392" s="1112"/>
      <c r="I392" s="1112"/>
      <c r="J392" s="1114"/>
      <c r="K392" s="1112"/>
      <c r="L392" s="1112"/>
      <c r="M392" s="1112"/>
      <c r="N392" s="1112"/>
      <c r="O392" s="1112"/>
      <c r="P392" s="1112" t="s">
        <v>96</v>
      </c>
      <c r="Q392" s="1112"/>
    </row>
    <row r="393">
      <c r="A393" s="1112"/>
      <c r="B393" s="1112"/>
      <c r="C393" s="1112"/>
      <c r="D393" s="1112"/>
      <c r="E393" s="1112"/>
      <c r="F393" s="1112"/>
      <c r="G393" s="1112"/>
      <c r="H393" s="1112"/>
      <c r="I393" s="1112"/>
      <c r="J393" s="1114"/>
      <c r="K393" s="1112"/>
      <c r="L393" s="1112"/>
      <c r="M393" s="1112"/>
      <c r="N393" s="1112"/>
      <c r="O393" s="1112"/>
      <c r="P393" s="1112" t="s">
        <v>96</v>
      </c>
      <c r="Q393" s="1112"/>
    </row>
    <row r="394">
      <c r="A394" s="1112"/>
      <c r="B394" s="1112"/>
      <c r="C394" s="1112"/>
      <c r="D394" s="1112"/>
      <c r="E394" s="1112"/>
      <c r="F394" s="1112"/>
      <c r="G394" s="1112"/>
      <c r="H394" s="1112"/>
      <c r="I394" s="1112"/>
      <c r="J394" s="1114"/>
      <c r="K394" s="1112"/>
      <c r="L394" s="1112"/>
      <c r="M394" s="1112"/>
      <c r="N394" s="1112"/>
      <c r="O394" s="1112"/>
      <c r="P394" s="1112" t="s">
        <v>96</v>
      </c>
      <c r="Q394" s="1112"/>
    </row>
    <row r="395">
      <c r="A395" s="1112"/>
      <c r="B395" s="1112"/>
      <c r="C395" s="1112"/>
      <c r="D395" s="1112"/>
      <c r="E395" s="1112"/>
      <c r="F395" s="1112"/>
      <c r="G395" s="1112"/>
      <c r="H395" s="1112"/>
      <c r="I395" s="1112"/>
      <c r="J395" s="1114"/>
      <c r="K395" s="1112"/>
      <c r="L395" s="1112"/>
      <c r="M395" s="1112"/>
      <c r="N395" s="1112"/>
      <c r="O395" s="1112"/>
      <c r="P395" s="1112" t="s">
        <v>96</v>
      </c>
      <c r="Q395" s="1112"/>
    </row>
    <row r="396">
      <c r="A396" s="1112"/>
      <c r="B396" s="1112"/>
      <c r="C396" s="1112"/>
      <c r="D396" s="1112"/>
      <c r="E396" s="1112"/>
      <c r="F396" s="1112"/>
      <c r="G396" s="1112"/>
      <c r="H396" s="1112"/>
      <c r="I396" s="1112"/>
      <c r="J396" s="1114"/>
      <c r="K396" s="1112"/>
      <c r="L396" s="1112"/>
      <c r="M396" s="1112"/>
      <c r="N396" s="1112"/>
      <c r="O396" s="1112"/>
      <c r="P396" s="1112" t="s">
        <v>96</v>
      </c>
      <c r="Q396" s="1112"/>
    </row>
    <row r="397">
      <c r="A397" s="1112"/>
      <c r="B397" s="1112"/>
      <c r="C397" s="1112"/>
      <c r="D397" s="1112"/>
      <c r="E397" s="1112"/>
      <c r="F397" s="1112"/>
      <c r="G397" s="1112"/>
      <c r="H397" s="1112"/>
      <c r="I397" s="1112"/>
      <c r="J397" s="1114"/>
      <c r="K397" s="1112"/>
      <c r="L397" s="1112"/>
      <c r="M397" s="1112"/>
      <c r="N397" s="1112"/>
      <c r="O397" s="1112"/>
      <c r="P397" s="1112" t="s">
        <v>96</v>
      </c>
      <c r="Q397" s="1112"/>
    </row>
    <row r="398">
      <c r="A398" s="1112"/>
      <c r="B398" s="1112"/>
      <c r="C398" s="1112"/>
      <c r="D398" s="1112"/>
      <c r="E398" s="1112"/>
      <c r="F398" s="1112"/>
      <c r="G398" s="1112"/>
      <c r="H398" s="1112"/>
      <c r="I398" s="1112"/>
      <c r="J398" s="1114"/>
      <c r="K398" s="1112"/>
      <c r="L398" s="1112"/>
      <c r="M398" s="1112"/>
      <c r="N398" s="1112"/>
      <c r="O398" s="1112"/>
      <c r="P398" s="1112" t="s">
        <v>96</v>
      </c>
      <c r="Q398" s="1112"/>
    </row>
    <row r="399">
      <c r="A399" s="1112"/>
      <c r="B399" s="1112"/>
      <c r="C399" s="1112"/>
      <c r="D399" s="1112"/>
      <c r="E399" s="1112"/>
      <c r="F399" s="1112"/>
      <c r="G399" s="1112"/>
      <c r="H399" s="1112"/>
      <c r="I399" s="1112"/>
      <c r="J399" s="1114"/>
      <c r="K399" s="1112"/>
      <c r="L399" s="1112"/>
      <c r="M399" s="1112"/>
      <c r="N399" s="1112"/>
      <c r="O399" s="1112"/>
      <c r="P399" s="1112" t="s">
        <v>96</v>
      </c>
      <c r="Q399" s="1112"/>
    </row>
    <row r="400">
      <c r="A400" s="1112"/>
      <c r="B400" s="1112"/>
      <c r="C400" s="1112"/>
      <c r="D400" s="1112"/>
      <c r="E400" s="1112"/>
      <c r="F400" s="1112"/>
      <c r="G400" s="1112"/>
      <c r="H400" s="1112"/>
      <c r="I400" s="1112"/>
      <c r="J400" s="1114"/>
      <c r="K400" s="1112"/>
      <c r="L400" s="1112"/>
      <c r="M400" s="1112"/>
      <c r="N400" s="1112"/>
      <c r="O400" s="1112"/>
      <c r="P400" s="1112" t="s">
        <v>96</v>
      </c>
      <c r="Q400" s="1112"/>
    </row>
    <row r="401">
      <c r="A401" s="1112"/>
      <c r="B401" s="1112"/>
      <c r="C401" s="1112"/>
      <c r="D401" s="1112"/>
      <c r="E401" s="1112"/>
      <c r="F401" s="1112"/>
      <c r="G401" s="1112"/>
      <c r="H401" s="1112"/>
      <c r="I401" s="1112"/>
      <c r="J401" s="1114"/>
      <c r="K401" s="1112"/>
      <c r="L401" s="1112"/>
      <c r="M401" s="1112"/>
      <c r="N401" s="1112"/>
      <c r="O401" s="1112"/>
      <c r="P401" s="1112" t="s">
        <v>96</v>
      </c>
      <c r="Q401" s="1112"/>
    </row>
    <row r="402">
      <c r="A402" s="1112"/>
      <c r="B402" s="1112"/>
      <c r="C402" s="1112"/>
      <c r="D402" s="1112"/>
      <c r="E402" s="1112"/>
      <c r="F402" s="1112"/>
      <c r="G402" s="1112"/>
      <c r="H402" s="1112"/>
      <c r="I402" s="1112"/>
      <c r="J402" s="1114"/>
      <c r="K402" s="1112"/>
      <c r="L402" s="1112"/>
      <c r="M402" s="1112"/>
      <c r="N402" s="1112"/>
      <c r="O402" s="1112"/>
      <c r="P402" s="1112" t="s">
        <v>96</v>
      </c>
      <c r="Q402" s="1112"/>
    </row>
    <row r="403">
      <c r="A403" s="1112"/>
      <c r="B403" s="1112"/>
      <c r="C403" s="1112"/>
      <c r="D403" s="1112"/>
      <c r="E403" s="1112"/>
      <c r="F403" s="1112"/>
      <c r="G403" s="1112"/>
      <c r="H403" s="1112"/>
      <c r="I403" s="1112"/>
      <c r="J403" s="1114"/>
      <c r="K403" s="1112"/>
      <c r="L403" s="1112"/>
      <c r="M403" s="1112"/>
      <c r="N403" s="1112"/>
      <c r="O403" s="1112"/>
      <c r="P403" s="1112" t="s">
        <v>96</v>
      </c>
      <c r="Q403" s="1112"/>
    </row>
    <row r="404">
      <c r="A404" s="1112"/>
      <c r="B404" s="1112"/>
      <c r="C404" s="1112"/>
      <c r="D404" s="1112"/>
      <c r="E404" s="1112"/>
      <c r="F404" s="1112"/>
      <c r="G404" s="1112"/>
      <c r="H404" s="1112"/>
      <c r="I404" s="1112"/>
      <c r="J404" s="1114"/>
      <c r="K404" s="1112"/>
      <c r="L404" s="1112"/>
      <c r="M404" s="1112"/>
      <c r="N404" s="1112"/>
      <c r="O404" s="1112"/>
      <c r="P404" s="1112" t="s">
        <v>96</v>
      </c>
      <c r="Q404" s="1112"/>
    </row>
    <row r="405">
      <c r="A405" s="1112"/>
      <c r="B405" s="1112"/>
      <c r="C405" s="1112"/>
      <c r="D405" s="1112"/>
      <c r="E405" s="1112"/>
      <c r="F405" s="1112"/>
      <c r="G405" s="1112"/>
      <c r="H405" s="1112"/>
      <c r="I405" s="1112"/>
      <c r="J405" s="1114"/>
      <c r="K405" s="1112"/>
      <c r="L405" s="1112"/>
      <c r="M405" s="1112"/>
      <c r="N405" s="1112"/>
      <c r="O405" s="1112"/>
      <c r="P405" s="1112" t="s">
        <v>96</v>
      </c>
      <c r="Q405" s="1112"/>
    </row>
    <row r="406">
      <c r="A406" s="1112"/>
      <c r="B406" s="1112"/>
      <c r="C406" s="1112"/>
      <c r="D406" s="1112"/>
      <c r="E406" s="1112"/>
      <c r="F406" s="1112"/>
      <c r="G406" s="1112"/>
      <c r="H406" s="1112"/>
      <c r="I406" s="1112"/>
      <c r="J406" s="1114"/>
      <c r="K406" s="1112"/>
      <c r="L406" s="1112"/>
      <c r="M406" s="1112"/>
      <c r="N406" s="1112"/>
      <c r="O406" s="1112"/>
      <c r="P406" s="1112" t="s">
        <v>96</v>
      </c>
      <c r="Q406" s="1112"/>
    </row>
    <row r="407">
      <c r="A407" s="1112"/>
      <c r="B407" s="1112"/>
      <c r="C407" s="1112"/>
      <c r="D407" s="1112"/>
      <c r="E407" s="1112"/>
      <c r="F407" s="1112"/>
      <c r="G407" s="1112"/>
      <c r="H407" s="1112"/>
      <c r="I407" s="1112"/>
      <c r="J407" s="1114"/>
      <c r="K407" s="1112"/>
      <c r="L407" s="1112"/>
      <c r="M407" s="1112"/>
      <c r="N407" s="1112"/>
      <c r="O407" s="1112"/>
      <c r="P407" s="1112" t="s">
        <v>96</v>
      </c>
      <c r="Q407" s="1112"/>
    </row>
    <row r="408">
      <c r="A408" s="1112"/>
      <c r="B408" s="1112"/>
      <c r="C408" s="1112"/>
      <c r="D408" s="1112"/>
      <c r="E408" s="1112"/>
      <c r="F408" s="1112"/>
      <c r="G408" s="1112"/>
      <c r="H408" s="1112"/>
      <c r="I408" s="1112"/>
      <c r="J408" s="1114"/>
      <c r="K408" s="1112"/>
      <c r="L408" s="1112"/>
      <c r="M408" s="1112"/>
      <c r="N408" s="1112"/>
      <c r="O408" s="1112"/>
      <c r="P408" s="1112" t="s">
        <v>96</v>
      </c>
      <c r="Q408" s="1112"/>
    </row>
    <row r="409">
      <c r="A409" s="1112"/>
      <c r="B409" s="1112"/>
      <c r="C409" s="1112"/>
      <c r="D409" s="1112"/>
      <c r="E409" s="1112"/>
      <c r="F409" s="1112"/>
      <c r="G409" s="1112"/>
      <c r="H409" s="1112"/>
      <c r="I409" s="1112"/>
      <c r="J409" s="1114"/>
      <c r="K409" s="1112"/>
      <c r="L409" s="1112"/>
      <c r="M409" s="1112"/>
      <c r="N409" s="1112"/>
      <c r="O409" s="1112"/>
      <c r="P409" s="1112" t="s">
        <v>96</v>
      </c>
      <c r="Q409" s="1112"/>
    </row>
    <row r="410">
      <c r="A410" s="1112"/>
      <c r="B410" s="1112"/>
      <c r="C410" s="1112"/>
      <c r="D410" s="1112"/>
      <c r="E410" s="1112"/>
      <c r="F410" s="1112"/>
      <c r="G410" s="1112"/>
      <c r="H410" s="1112"/>
      <c r="I410" s="1112"/>
      <c r="J410" s="1114"/>
      <c r="K410" s="1112"/>
      <c r="L410" s="1112"/>
      <c r="M410" s="1112"/>
      <c r="N410" s="1112"/>
      <c r="O410" s="1112"/>
      <c r="P410" s="1112" t="s">
        <v>96</v>
      </c>
      <c r="Q410" s="1112"/>
    </row>
    <row r="411">
      <c r="A411" s="1112"/>
      <c r="B411" s="1112"/>
      <c r="C411" s="1112"/>
      <c r="D411" s="1112"/>
      <c r="E411" s="1112"/>
      <c r="F411" s="1112"/>
      <c r="G411" s="1112"/>
      <c r="H411" s="1112"/>
      <c r="I411" s="1112"/>
      <c r="J411" s="1114"/>
      <c r="K411" s="1112"/>
      <c r="L411" s="1112"/>
      <c r="M411" s="1112"/>
      <c r="N411" s="1112"/>
      <c r="O411" s="1112"/>
      <c r="P411" s="1112" t="s">
        <v>96</v>
      </c>
      <c r="Q411" s="1112"/>
    </row>
    <row r="412">
      <c r="A412" s="1112"/>
      <c r="B412" s="1112"/>
      <c r="C412" s="1112"/>
      <c r="D412" s="1112"/>
      <c r="E412" s="1112"/>
      <c r="F412" s="1112"/>
      <c r="G412" s="1112"/>
      <c r="H412" s="1112"/>
      <c r="I412" s="1112"/>
      <c r="J412" s="1114"/>
      <c r="K412" s="1112"/>
      <c r="L412" s="1112"/>
      <c r="M412" s="1112"/>
      <c r="N412" s="1112"/>
      <c r="O412" s="1112"/>
      <c r="P412" s="1112" t="s">
        <v>96</v>
      </c>
      <c r="Q412" s="1112"/>
    </row>
    <row r="413">
      <c r="A413" s="1112"/>
      <c r="B413" s="1112"/>
      <c r="C413" s="1112"/>
      <c r="D413" s="1112"/>
      <c r="E413" s="1112"/>
      <c r="F413" s="1112"/>
      <c r="G413" s="1112"/>
      <c r="H413" s="1112"/>
      <c r="I413" s="1112"/>
      <c r="J413" s="1114"/>
      <c r="K413" s="1112"/>
      <c r="L413" s="1112"/>
      <c r="M413" s="1112"/>
      <c r="N413" s="1112"/>
      <c r="O413" s="1112"/>
      <c r="P413" s="1112" t="s">
        <v>96</v>
      </c>
      <c r="Q413" s="1112"/>
    </row>
    <row r="414">
      <c r="A414" s="1112"/>
      <c r="B414" s="1112"/>
      <c r="C414" s="1112"/>
      <c r="D414" s="1112"/>
      <c r="E414" s="1112"/>
      <c r="F414" s="1112"/>
      <c r="G414" s="1112"/>
      <c r="H414" s="1112"/>
      <c r="I414" s="1112"/>
      <c r="J414" s="1114"/>
      <c r="K414" s="1112"/>
      <c r="L414" s="1112"/>
      <c r="M414" s="1112"/>
      <c r="N414" s="1112"/>
      <c r="O414" s="1112"/>
      <c r="P414" s="1112" t="s">
        <v>96</v>
      </c>
      <c r="Q414" s="1112"/>
    </row>
    <row r="415">
      <c r="A415" s="1112"/>
      <c r="B415" s="1112"/>
      <c r="C415" s="1112"/>
      <c r="D415" s="1112"/>
      <c r="E415" s="1112"/>
      <c r="F415" s="1112"/>
      <c r="G415" s="1112"/>
      <c r="H415" s="1112"/>
      <c r="I415" s="1112"/>
      <c r="J415" s="1114"/>
      <c r="K415" s="1112"/>
      <c r="L415" s="1112"/>
      <c r="M415" s="1112"/>
      <c r="N415" s="1112"/>
      <c r="O415" s="1112"/>
      <c r="P415" s="1112" t="s">
        <v>96</v>
      </c>
      <c r="Q415" s="1112"/>
    </row>
    <row r="416">
      <c r="A416" s="1112"/>
      <c r="B416" s="1112"/>
      <c r="C416" s="1112"/>
      <c r="D416" s="1112"/>
      <c r="E416" s="1112"/>
      <c r="F416" s="1112"/>
      <c r="G416" s="1112"/>
      <c r="H416" s="1112"/>
      <c r="I416" s="1112"/>
      <c r="J416" s="1114"/>
      <c r="K416" s="1112"/>
      <c r="L416" s="1112"/>
      <c r="M416" s="1112"/>
      <c r="N416" s="1112"/>
      <c r="O416" s="1112"/>
      <c r="P416" s="1112" t="s">
        <v>96</v>
      </c>
      <c r="Q416" s="1112"/>
    </row>
    <row r="417">
      <c r="A417" s="1112"/>
      <c r="B417" s="1112"/>
      <c r="C417" s="1112"/>
      <c r="D417" s="1112"/>
      <c r="E417" s="1112"/>
      <c r="F417" s="1112"/>
      <c r="G417" s="1112"/>
      <c r="H417" s="1112"/>
      <c r="I417" s="1112"/>
      <c r="J417" s="1114"/>
      <c r="K417" s="1112"/>
      <c r="L417" s="1112"/>
      <c r="M417" s="1112"/>
      <c r="N417" s="1112"/>
      <c r="O417" s="1112"/>
      <c r="P417" s="1112" t="s">
        <v>96</v>
      </c>
      <c r="Q417" s="1112"/>
    </row>
    <row r="418">
      <c r="A418" s="1112"/>
      <c r="B418" s="1112"/>
      <c r="C418" s="1112"/>
      <c r="D418" s="1112"/>
      <c r="E418" s="1112"/>
      <c r="F418" s="1112"/>
      <c r="G418" s="1112"/>
      <c r="H418" s="1112"/>
      <c r="I418" s="1112"/>
      <c r="J418" s="1114"/>
      <c r="K418" s="1112"/>
      <c r="L418" s="1112"/>
      <c r="M418" s="1112"/>
      <c r="N418" s="1112"/>
      <c r="O418" s="1112"/>
      <c r="P418" s="1112" t="s">
        <v>96</v>
      </c>
      <c r="Q418" s="1112"/>
    </row>
    <row r="419">
      <c r="A419" s="1112"/>
      <c r="B419" s="1112"/>
      <c r="C419" s="1112"/>
      <c r="D419" s="1112"/>
      <c r="E419" s="1112"/>
      <c r="F419" s="1112"/>
      <c r="G419" s="1112"/>
      <c r="H419" s="1112"/>
      <c r="I419" s="1112"/>
      <c r="J419" s="1114"/>
      <c r="K419" s="1112"/>
      <c r="L419" s="1112"/>
      <c r="M419" s="1112"/>
      <c r="N419" s="1112"/>
      <c r="O419" s="1112"/>
      <c r="P419" s="1112" t="s">
        <v>96</v>
      </c>
      <c r="Q419" s="1112"/>
    </row>
    <row r="420">
      <c r="A420" s="1112"/>
      <c r="B420" s="1112"/>
      <c r="C420" s="1112"/>
      <c r="D420" s="1112"/>
      <c r="E420" s="1112"/>
      <c r="F420" s="1112"/>
      <c r="G420" s="1112"/>
      <c r="H420" s="1112"/>
      <c r="I420" s="1112"/>
      <c r="J420" s="1114"/>
      <c r="K420" s="1112"/>
      <c r="L420" s="1112"/>
      <c r="M420" s="1112"/>
      <c r="N420" s="1112"/>
      <c r="O420" s="1112"/>
      <c r="P420" s="1112" t="s">
        <v>96</v>
      </c>
      <c r="Q420" s="1112"/>
    </row>
    <row r="421">
      <c r="A421" s="1112"/>
      <c r="B421" s="1112"/>
      <c r="C421" s="1112"/>
      <c r="D421" s="1112"/>
      <c r="E421" s="1112"/>
      <c r="F421" s="1112"/>
      <c r="G421" s="1112"/>
      <c r="H421" s="1112"/>
      <c r="I421" s="1112"/>
      <c r="J421" s="1114"/>
      <c r="K421" s="1112"/>
      <c r="L421" s="1112"/>
      <c r="M421" s="1112"/>
      <c r="N421" s="1112"/>
      <c r="O421" s="1112"/>
      <c r="P421" s="1112" t="s">
        <v>96</v>
      </c>
      <c r="Q421" s="1112"/>
    </row>
    <row r="422">
      <c r="A422" s="1112"/>
      <c r="B422" s="1112"/>
      <c r="C422" s="1112"/>
      <c r="D422" s="1112"/>
      <c r="E422" s="1112"/>
      <c r="F422" s="1112"/>
      <c r="G422" s="1112"/>
      <c r="H422" s="1112"/>
      <c r="I422" s="1112"/>
      <c r="J422" s="1114"/>
      <c r="K422" s="1112"/>
      <c r="L422" s="1112"/>
      <c r="M422" s="1112"/>
      <c r="N422" s="1112"/>
      <c r="O422" s="1112"/>
      <c r="P422" s="1112" t="s">
        <v>96</v>
      </c>
      <c r="Q422" s="1112"/>
    </row>
    <row r="423">
      <c r="A423" s="1112"/>
      <c r="B423" s="1112"/>
      <c r="C423" s="1112"/>
      <c r="D423" s="1112"/>
      <c r="E423" s="1112"/>
      <c r="F423" s="1112"/>
      <c r="G423" s="1112"/>
      <c r="H423" s="1112"/>
      <c r="I423" s="1112"/>
      <c r="J423" s="1114"/>
      <c r="K423" s="1112"/>
      <c r="L423" s="1112"/>
      <c r="M423" s="1112"/>
      <c r="N423" s="1112"/>
      <c r="O423" s="1112"/>
      <c r="P423" s="1112" t="s">
        <v>96</v>
      </c>
      <c r="Q423" s="1112"/>
    </row>
    <row r="424">
      <c r="A424" s="1112"/>
      <c r="B424" s="1112"/>
      <c r="C424" s="1112"/>
      <c r="D424" s="1112"/>
      <c r="E424" s="1112"/>
      <c r="F424" s="1112"/>
      <c r="G424" s="1112"/>
      <c r="H424" s="1112"/>
      <c r="I424" s="1112"/>
      <c r="J424" s="1114"/>
      <c r="K424" s="1112"/>
      <c r="L424" s="1112"/>
      <c r="M424" s="1112"/>
      <c r="N424" s="1112"/>
      <c r="O424" s="1112"/>
      <c r="P424" s="1112" t="s">
        <v>96</v>
      </c>
      <c r="Q424" s="1112"/>
    </row>
    <row r="425">
      <c r="A425" s="1112"/>
      <c r="B425" s="1112"/>
      <c r="C425" s="1112"/>
      <c r="D425" s="1112"/>
      <c r="E425" s="1112"/>
      <c r="F425" s="1112"/>
      <c r="G425" s="1112"/>
      <c r="H425" s="1112"/>
      <c r="I425" s="1112"/>
      <c r="J425" s="1114"/>
      <c r="K425" s="1112"/>
      <c r="L425" s="1112"/>
      <c r="M425" s="1112"/>
      <c r="N425" s="1112"/>
      <c r="O425" s="1112"/>
      <c r="P425" s="1112" t="s">
        <v>96</v>
      </c>
      <c r="Q425" s="1112"/>
    </row>
    <row r="426">
      <c r="A426" s="1112"/>
      <c r="B426" s="1112"/>
      <c r="C426" s="1112"/>
      <c r="D426" s="1112"/>
      <c r="E426" s="1112"/>
      <c r="F426" s="1112"/>
      <c r="G426" s="1112"/>
      <c r="H426" s="1112"/>
      <c r="I426" s="1112"/>
      <c r="J426" s="1114"/>
      <c r="K426" s="1112"/>
      <c r="L426" s="1112"/>
      <c r="M426" s="1112"/>
      <c r="N426" s="1112"/>
      <c r="O426" s="1112"/>
      <c r="P426" s="1112" t="s">
        <v>96</v>
      </c>
      <c r="Q426" s="1112"/>
    </row>
    <row r="427">
      <c r="A427" s="1112"/>
      <c r="B427" s="1112"/>
      <c r="C427" s="1112"/>
      <c r="D427" s="1112"/>
      <c r="E427" s="1112"/>
      <c r="F427" s="1112"/>
      <c r="G427" s="1112"/>
      <c r="H427" s="1112"/>
      <c r="I427" s="1112"/>
      <c r="J427" s="1114"/>
      <c r="K427" s="1112"/>
      <c r="L427" s="1112"/>
      <c r="M427" s="1112"/>
      <c r="N427" s="1112"/>
      <c r="O427" s="1112"/>
      <c r="P427" s="1112" t="s">
        <v>96</v>
      </c>
      <c r="Q427" s="1112"/>
    </row>
    <row r="428">
      <c r="A428" s="1112"/>
      <c r="B428" s="1112"/>
      <c r="C428" s="1112"/>
      <c r="D428" s="1112"/>
      <c r="E428" s="1112"/>
      <c r="F428" s="1112"/>
      <c r="G428" s="1112"/>
      <c r="H428" s="1112"/>
      <c r="I428" s="1112"/>
      <c r="J428" s="1114"/>
      <c r="K428" s="1112"/>
      <c r="L428" s="1112"/>
      <c r="M428" s="1112"/>
      <c r="N428" s="1112"/>
      <c r="O428" s="1112"/>
      <c r="P428" s="1112" t="s">
        <v>96</v>
      </c>
      <c r="Q428" s="1112"/>
    </row>
    <row r="429">
      <c r="A429" s="1112"/>
      <c r="B429" s="1112"/>
      <c r="C429" s="1112"/>
      <c r="D429" s="1112"/>
      <c r="E429" s="1112"/>
      <c r="F429" s="1112"/>
      <c r="G429" s="1112"/>
      <c r="H429" s="1112"/>
      <c r="I429" s="1112"/>
      <c r="J429" s="1114"/>
      <c r="K429" s="1112"/>
      <c r="L429" s="1112"/>
      <c r="M429" s="1112"/>
      <c r="N429" s="1112"/>
      <c r="O429" s="1112"/>
      <c r="P429" s="1112" t="s">
        <v>96</v>
      </c>
      <c r="Q429" s="1112"/>
    </row>
    <row r="430">
      <c r="A430" s="1112"/>
      <c r="B430" s="1112"/>
      <c r="C430" s="1112"/>
      <c r="D430" s="1112"/>
      <c r="E430" s="1112"/>
      <c r="F430" s="1112"/>
      <c r="G430" s="1112"/>
      <c r="H430" s="1112"/>
      <c r="I430" s="1112"/>
      <c r="J430" s="1114"/>
      <c r="K430" s="1112"/>
      <c r="L430" s="1112"/>
      <c r="M430" s="1112"/>
      <c r="N430" s="1112"/>
      <c r="O430" s="1112"/>
      <c r="P430" s="1112" t="s">
        <v>96</v>
      </c>
      <c r="Q430" s="1112"/>
    </row>
    <row r="431">
      <c r="A431" s="1112"/>
      <c r="B431" s="1112"/>
      <c r="C431" s="1112"/>
      <c r="D431" s="1112"/>
      <c r="E431" s="1112"/>
      <c r="F431" s="1112"/>
      <c r="G431" s="1112"/>
      <c r="H431" s="1112"/>
      <c r="I431" s="1112"/>
      <c r="J431" s="1114"/>
      <c r="K431" s="1112"/>
      <c r="L431" s="1112"/>
      <c r="M431" s="1112"/>
      <c r="N431" s="1112"/>
      <c r="O431" s="1112"/>
      <c r="P431" s="1112" t="s">
        <v>96</v>
      </c>
      <c r="Q431" s="1112"/>
    </row>
    <row r="432">
      <c r="A432" s="1112"/>
      <c r="B432" s="1112"/>
      <c r="C432" s="1112"/>
      <c r="D432" s="1112"/>
      <c r="E432" s="1112"/>
      <c r="F432" s="1112"/>
      <c r="G432" s="1112"/>
      <c r="H432" s="1112"/>
      <c r="I432" s="1112"/>
      <c r="J432" s="1114"/>
      <c r="K432" s="1112"/>
      <c r="L432" s="1112"/>
      <c r="M432" s="1112"/>
      <c r="N432" s="1112"/>
      <c r="O432" s="1112"/>
      <c r="P432" s="1112" t="s">
        <v>96</v>
      </c>
      <c r="Q432" s="1112"/>
    </row>
    <row r="433">
      <c r="A433" s="1112"/>
      <c r="B433" s="1112"/>
      <c r="C433" s="1112"/>
      <c r="D433" s="1112"/>
      <c r="E433" s="1112"/>
      <c r="F433" s="1112"/>
      <c r="G433" s="1112"/>
      <c r="H433" s="1112"/>
      <c r="I433" s="1112"/>
      <c r="J433" s="1114"/>
      <c r="K433" s="1112"/>
      <c r="L433" s="1112"/>
      <c r="M433" s="1112"/>
      <c r="N433" s="1112"/>
      <c r="O433" s="1112"/>
      <c r="P433" s="1112" t="s">
        <v>96</v>
      </c>
      <c r="Q433" s="1112"/>
    </row>
    <row r="434">
      <c r="A434" s="1112"/>
      <c r="B434" s="1112"/>
      <c r="C434" s="1112"/>
      <c r="D434" s="1112"/>
      <c r="E434" s="1112"/>
      <c r="F434" s="1112"/>
      <c r="G434" s="1112"/>
      <c r="H434" s="1112"/>
      <c r="I434" s="1112"/>
      <c r="J434" s="1114"/>
      <c r="K434" s="1112"/>
      <c r="L434" s="1112"/>
      <c r="M434" s="1112"/>
      <c r="N434" s="1112"/>
      <c r="O434" s="1112"/>
      <c r="P434" s="1112" t="s">
        <v>96</v>
      </c>
      <c r="Q434" s="1112"/>
    </row>
    <row r="435">
      <c r="A435" s="1112"/>
      <c r="B435" s="1112"/>
      <c r="C435" s="1112"/>
      <c r="D435" s="1112"/>
      <c r="E435" s="1112"/>
      <c r="F435" s="1112"/>
      <c r="G435" s="1112"/>
      <c r="H435" s="1112"/>
      <c r="I435" s="1112"/>
      <c r="J435" s="1114"/>
      <c r="K435" s="1112"/>
      <c r="L435" s="1112"/>
      <c r="M435" s="1112"/>
      <c r="N435" s="1112"/>
      <c r="O435" s="1112"/>
      <c r="P435" s="1112" t="s">
        <v>96</v>
      </c>
      <c r="Q435" s="1112"/>
    </row>
    <row r="436">
      <c r="A436" s="1112"/>
      <c r="B436" s="1112"/>
      <c r="C436" s="1112"/>
      <c r="D436" s="1112"/>
      <c r="E436" s="1112"/>
      <c r="F436" s="1112"/>
      <c r="G436" s="1112"/>
      <c r="H436" s="1112"/>
      <c r="I436" s="1112"/>
      <c r="J436" s="1114"/>
      <c r="K436" s="1112"/>
      <c r="L436" s="1112"/>
      <c r="M436" s="1112"/>
      <c r="N436" s="1112"/>
      <c r="O436" s="1112"/>
      <c r="P436" s="1112" t="s">
        <v>96</v>
      </c>
      <c r="Q436" s="1112"/>
    </row>
    <row r="437">
      <c r="A437" s="1112"/>
      <c r="B437" s="1112"/>
      <c r="C437" s="1112"/>
      <c r="D437" s="1112"/>
      <c r="E437" s="1112"/>
      <c r="F437" s="1112"/>
      <c r="G437" s="1112"/>
      <c r="H437" s="1112"/>
      <c r="I437" s="1112"/>
      <c r="J437" s="1114"/>
      <c r="K437" s="1112"/>
      <c r="L437" s="1112"/>
      <c r="M437" s="1112"/>
      <c r="N437" s="1112"/>
      <c r="O437" s="1112"/>
      <c r="P437" s="1112" t="s">
        <v>96</v>
      </c>
      <c r="Q437" s="1112"/>
    </row>
    <row r="438">
      <c r="A438" s="1112"/>
      <c r="B438" s="1112"/>
      <c r="C438" s="1112"/>
      <c r="D438" s="1112"/>
      <c r="E438" s="1112"/>
      <c r="F438" s="1112"/>
      <c r="G438" s="1112"/>
      <c r="H438" s="1112"/>
      <c r="I438" s="1112"/>
      <c r="J438" s="1114"/>
      <c r="K438" s="1112"/>
      <c r="L438" s="1112"/>
      <c r="M438" s="1112"/>
      <c r="N438" s="1112"/>
      <c r="O438" s="1112"/>
      <c r="P438" s="1112" t="s">
        <v>96</v>
      </c>
      <c r="Q438" s="1112"/>
    </row>
    <row r="439">
      <c r="A439" s="1112"/>
      <c r="B439" s="1112"/>
      <c r="C439" s="1112"/>
      <c r="D439" s="1112"/>
      <c r="E439" s="1112"/>
      <c r="F439" s="1112"/>
      <c r="G439" s="1112"/>
      <c r="H439" s="1112"/>
      <c r="I439" s="1112"/>
      <c r="J439" s="1114"/>
      <c r="K439" s="1112"/>
      <c r="L439" s="1112"/>
      <c r="M439" s="1112"/>
      <c r="N439" s="1112"/>
      <c r="O439" s="1112"/>
      <c r="P439" s="1112" t="s">
        <v>96</v>
      </c>
      <c r="Q439" s="1112"/>
    </row>
    <row r="440">
      <c r="A440" s="1112"/>
      <c r="B440" s="1112"/>
      <c r="C440" s="1112"/>
      <c r="D440" s="1112"/>
      <c r="E440" s="1112"/>
      <c r="F440" s="1112"/>
      <c r="G440" s="1112"/>
      <c r="H440" s="1112"/>
      <c r="I440" s="1112"/>
      <c r="J440" s="1114"/>
      <c r="K440" s="1112"/>
      <c r="L440" s="1112"/>
      <c r="M440" s="1112"/>
      <c r="N440" s="1112"/>
      <c r="O440" s="1112"/>
      <c r="P440" s="1112" t="s">
        <v>96</v>
      </c>
      <c r="Q440" s="1112"/>
    </row>
    <row r="441">
      <c r="A441" s="1112"/>
      <c r="B441" s="1112"/>
      <c r="C441" s="1112"/>
      <c r="D441" s="1112"/>
      <c r="E441" s="1112"/>
      <c r="F441" s="1112"/>
      <c r="G441" s="1112"/>
      <c r="H441" s="1112"/>
      <c r="I441" s="1112"/>
      <c r="J441" s="1114"/>
      <c r="K441" s="1112"/>
      <c r="L441" s="1112"/>
      <c r="M441" s="1112"/>
      <c r="N441" s="1112"/>
      <c r="O441" s="1112"/>
      <c r="P441" s="1112" t="s">
        <v>96</v>
      </c>
      <c r="Q441" s="1112"/>
    </row>
    <row r="442">
      <c r="A442" s="1112"/>
      <c r="B442" s="1112"/>
      <c r="C442" s="1112"/>
      <c r="D442" s="1112"/>
      <c r="E442" s="1112"/>
      <c r="F442" s="1112"/>
      <c r="G442" s="1112"/>
      <c r="H442" s="1112"/>
      <c r="I442" s="1112"/>
      <c r="J442" s="1114"/>
      <c r="K442" s="1112"/>
      <c r="L442" s="1112"/>
      <c r="M442" s="1112"/>
      <c r="N442" s="1112"/>
      <c r="O442" s="1112"/>
      <c r="P442" s="1112" t="s">
        <v>96</v>
      </c>
      <c r="Q442" s="1112"/>
    </row>
    <row r="443">
      <c r="A443" s="1112"/>
      <c r="B443" s="1112"/>
      <c r="C443" s="1112"/>
      <c r="D443" s="1112"/>
      <c r="E443" s="1112"/>
      <c r="F443" s="1112"/>
      <c r="G443" s="1112"/>
      <c r="H443" s="1112"/>
      <c r="I443" s="1112"/>
      <c r="J443" s="1114"/>
      <c r="K443" s="1112"/>
      <c r="L443" s="1112"/>
      <c r="M443" s="1112"/>
      <c r="N443" s="1112"/>
      <c r="O443" s="1112"/>
      <c r="P443" s="1112" t="s">
        <v>96</v>
      </c>
      <c r="Q443" s="1112"/>
    </row>
    <row r="444">
      <c r="A444" s="1112"/>
      <c r="B444" s="1112"/>
      <c r="C444" s="1112"/>
      <c r="D444" s="1112"/>
      <c r="E444" s="1112"/>
      <c r="F444" s="1112"/>
      <c r="G444" s="1112"/>
      <c r="H444" s="1112"/>
      <c r="I444" s="1112"/>
      <c r="J444" s="1114"/>
      <c r="K444" s="1112"/>
      <c r="L444" s="1112"/>
      <c r="M444" s="1112"/>
      <c r="N444" s="1112"/>
      <c r="O444" s="1112"/>
      <c r="P444" s="1112" t="s">
        <v>96</v>
      </c>
      <c r="Q444" s="1112"/>
    </row>
    <row r="445">
      <c r="A445" s="1112"/>
      <c r="B445" s="1112"/>
      <c r="C445" s="1112"/>
      <c r="D445" s="1112"/>
      <c r="E445" s="1112"/>
      <c r="F445" s="1112"/>
      <c r="G445" s="1112"/>
      <c r="H445" s="1112"/>
      <c r="I445" s="1112"/>
      <c r="J445" s="1114"/>
      <c r="K445" s="1112"/>
      <c r="L445" s="1112"/>
      <c r="M445" s="1112"/>
      <c r="N445" s="1112"/>
      <c r="O445" s="1112"/>
      <c r="P445" s="1112" t="s">
        <v>96</v>
      </c>
      <c r="Q445" s="1112"/>
    </row>
    <row r="446">
      <c r="A446" s="1112"/>
      <c r="B446" s="1112"/>
      <c r="C446" s="1112"/>
      <c r="D446" s="1112"/>
      <c r="E446" s="1112"/>
      <c r="F446" s="1112"/>
      <c r="G446" s="1112"/>
      <c r="H446" s="1112"/>
      <c r="I446" s="1112"/>
      <c r="J446" s="1114"/>
      <c r="K446" s="1112"/>
      <c r="L446" s="1112"/>
      <c r="M446" s="1112"/>
      <c r="N446" s="1112"/>
      <c r="O446" s="1112"/>
      <c r="P446" s="1112" t="s">
        <v>96</v>
      </c>
      <c r="Q446" s="1112"/>
    </row>
    <row r="447">
      <c r="A447" s="1112"/>
      <c r="B447" s="1112"/>
      <c r="C447" s="1112"/>
      <c r="D447" s="1112"/>
      <c r="E447" s="1112"/>
      <c r="F447" s="1112"/>
      <c r="G447" s="1112"/>
      <c r="H447" s="1112"/>
      <c r="I447" s="1112"/>
      <c r="J447" s="1114"/>
      <c r="K447" s="1112"/>
      <c r="L447" s="1112"/>
      <c r="M447" s="1112"/>
      <c r="N447" s="1112"/>
      <c r="O447" s="1112"/>
      <c r="P447" s="1112" t="s">
        <v>96</v>
      </c>
      <c r="Q447" s="1112"/>
    </row>
    <row r="448">
      <c r="A448" s="1112"/>
      <c r="B448" s="1112"/>
      <c r="C448" s="1112"/>
      <c r="D448" s="1112"/>
      <c r="E448" s="1112"/>
      <c r="F448" s="1112"/>
      <c r="G448" s="1112"/>
      <c r="H448" s="1112"/>
      <c r="I448" s="1112"/>
      <c r="J448" s="1114"/>
      <c r="K448" s="1112"/>
      <c r="L448" s="1112"/>
      <c r="M448" s="1112"/>
      <c r="N448" s="1112"/>
      <c r="O448" s="1112"/>
      <c r="P448" s="1112" t="s">
        <v>96</v>
      </c>
      <c r="Q448" s="1112"/>
    </row>
    <row r="449">
      <c r="A449" s="1112"/>
      <c r="B449" s="1112"/>
      <c r="C449" s="1112"/>
      <c r="D449" s="1112"/>
      <c r="E449" s="1112"/>
      <c r="F449" s="1112"/>
      <c r="G449" s="1112"/>
      <c r="H449" s="1112"/>
      <c r="I449" s="1112"/>
      <c r="J449" s="1114"/>
      <c r="K449" s="1112"/>
      <c r="L449" s="1112"/>
      <c r="M449" s="1112"/>
      <c r="N449" s="1112"/>
      <c r="O449" s="1112"/>
      <c r="P449" s="1112" t="s">
        <v>96</v>
      </c>
      <c r="Q449" s="1112"/>
    </row>
    <row r="450">
      <c r="A450" s="1112"/>
      <c r="B450" s="1112"/>
      <c r="C450" s="1112"/>
      <c r="D450" s="1112"/>
      <c r="E450" s="1112"/>
      <c r="F450" s="1112"/>
      <c r="G450" s="1112"/>
      <c r="H450" s="1112"/>
      <c r="I450" s="1112"/>
      <c r="J450" s="1114"/>
      <c r="K450" s="1112"/>
      <c r="L450" s="1112"/>
      <c r="M450" s="1112"/>
      <c r="N450" s="1112"/>
      <c r="O450" s="1112"/>
      <c r="P450" s="1112" t="s">
        <v>96</v>
      </c>
      <c r="Q450" s="1112"/>
    </row>
    <row r="451">
      <c r="A451" s="1112"/>
      <c r="B451" s="1112"/>
      <c r="C451" s="1112"/>
      <c r="D451" s="1112"/>
      <c r="E451" s="1112"/>
      <c r="F451" s="1112"/>
      <c r="G451" s="1112"/>
      <c r="H451" s="1112"/>
      <c r="I451" s="1112"/>
      <c r="J451" s="1114"/>
      <c r="K451" s="1112"/>
      <c r="L451" s="1112"/>
      <c r="M451" s="1112"/>
      <c r="N451" s="1112"/>
      <c r="O451" s="1112"/>
      <c r="P451" s="1112" t="s">
        <v>96</v>
      </c>
      <c r="Q451" s="1112"/>
    </row>
    <row r="452">
      <c r="A452" s="1112"/>
      <c r="B452" s="1112"/>
      <c r="C452" s="1112"/>
      <c r="D452" s="1112"/>
      <c r="E452" s="1112"/>
      <c r="F452" s="1112"/>
      <c r="G452" s="1112"/>
      <c r="H452" s="1112"/>
      <c r="I452" s="1112"/>
      <c r="J452" s="1114"/>
      <c r="K452" s="1112"/>
      <c r="L452" s="1112"/>
      <c r="M452" s="1112"/>
      <c r="N452" s="1112"/>
      <c r="O452" s="1112"/>
      <c r="P452" s="1112" t="s">
        <v>96</v>
      </c>
      <c r="Q452" s="1112"/>
    </row>
    <row r="453">
      <c r="A453" s="1112"/>
      <c r="B453" s="1112"/>
      <c r="C453" s="1112"/>
      <c r="D453" s="1112"/>
      <c r="E453" s="1112"/>
      <c r="F453" s="1112"/>
      <c r="G453" s="1112"/>
      <c r="H453" s="1112"/>
      <c r="I453" s="1112"/>
      <c r="J453" s="1114"/>
      <c r="K453" s="1112"/>
      <c r="L453" s="1112"/>
      <c r="M453" s="1112"/>
      <c r="N453" s="1112"/>
      <c r="O453" s="1112"/>
      <c r="P453" s="1112" t="s">
        <v>96</v>
      </c>
      <c r="Q453" s="1112"/>
    </row>
    <row r="454">
      <c r="A454" s="1112"/>
      <c r="B454" s="1112"/>
      <c r="C454" s="1112"/>
      <c r="D454" s="1112"/>
      <c r="E454" s="1112"/>
      <c r="F454" s="1112"/>
      <c r="G454" s="1112"/>
      <c r="H454" s="1112"/>
      <c r="I454" s="1112"/>
      <c r="J454" s="1114"/>
      <c r="K454" s="1112"/>
      <c r="L454" s="1112"/>
      <c r="M454" s="1112"/>
      <c r="N454" s="1112"/>
      <c r="O454" s="1112"/>
      <c r="P454" s="1112" t="s">
        <v>96</v>
      </c>
      <c r="Q454" s="1112"/>
    </row>
    <row r="455">
      <c r="A455" s="1112"/>
      <c r="B455" s="1112"/>
      <c r="C455" s="1112"/>
      <c r="D455" s="1112"/>
      <c r="E455" s="1112"/>
      <c r="F455" s="1112"/>
      <c r="G455" s="1112"/>
      <c r="H455" s="1112"/>
      <c r="I455" s="1112"/>
      <c r="J455" s="1114"/>
      <c r="K455" s="1112"/>
      <c r="L455" s="1112"/>
      <c r="M455" s="1112"/>
      <c r="N455" s="1112"/>
      <c r="O455" s="1112"/>
      <c r="P455" s="1112" t="s">
        <v>96</v>
      </c>
      <c r="Q455" s="1112"/>
    </row>
    <row r="456">
      <c r="A456" s="1112"/>
      <c r="B456" s="1112"/>
      <c r="C456" s="1112"/>
      <c r="D456" s="1112"/>
      <c r="E456" s="1112"/>
      <c r="F456" s="1112"/>
      <c r="G456" s="1112"/>
      <c r="H456" s="1112"/>
      <c r="I456" s="1112"/>
      <c r="J456" s="1114"/>
      <c r="K456" s="1112"/>
      <c r="L456" s="1112"/>
      <c r="M456" s="1112"/>
      <c r="N456" s="1112"/>
      <c r="O456" s="1112"/>
      <c r="P456" s="1112" t="s">
        <v>96</v>
      </c>
      <c r="Q456" s="1112"/>
    </row>
    <row r="457">
      <c r="A457" s="1112"/>
      <c r="B457" s="1112"/>
      <c r="C457" s="1112"/>
      <c r="D457" s="1112"/>
      <c r="E457" s="1112"/>
      <c r="F457" s="1112"/>
      <c r="G457" s="1112"/>
      <c r="H457" s="1112"/>
      <c r="I457" s="1112"/>
      <c r="J457" s="1114"/>
      <c r="K457" s="1112"/>
      <c r="L457" s="1112"/>
      <c r="M457" s="1112"/>
      <c r="N457" s="1112"/>
      <c r="O457" s="1112"/>
      <c r="P457" s="1112" t="s">
        <v>96</v>
      </c>
      <c r="Q457" s="1112"/>
    </row>
    <row r="458">
      <c r="A458" s="1112"/>
      <c r="B458" s="1112"/>
      <c r="C458" s="1112"/>
      <c r="D458" s="1112"/>
      <c r="E458" s="1112"/>
      <c r="F458" s="1112"/>
      <c r="G458" s="1112"/>
      <c r="H458" s="1112"/>
      <c r="I458" s="1112"/>
      <c r="J458" s="1114"/>
      <c r="K458" s="1112"/>
      <c r="L458" s="1112"/>
      <c r="M458" s="1112"/>
      <c r="N458" s="1112"/>
      <c r="O458" s="1112"/>
      <c r="P458" s="1112" t="s">
        <v>96</v>
      </c>
      <c r="Q458" s="1112"/>
    </row>
    <row r="459">
      <c r="A459" s="1112"/>
      <c r="B459" s="1112"/>
      <c r="C459" s="1112"/>
      <c r="D459" s="1112"/>
      <c r="E459" s="1112"/>
      <c r="F459" s="1112"/>
      <c r="G459" s="1112"/>
      <c r="H459" s="1112"/>
      <c r="I459" s="1112"/>
      <c r="J459" s="1114"/>
      <c r="K459" s="1112"/>
      <c r="L459" s="1112"/>
      <c r="M459" s="1112"/>
      <c r="N459" s="1112"/>
      <c r="O459" s="1112"/>
      <c r="P459" s="1112" t="s">
        <v>96</v>
      </c>
      <c r="Q459" s="1112"/>
    </row>
    <row r="460">
      <c r="A460" s="1112"/>
      <c r="B460" s="1112"/>
      <c r="C460" s="1112"/>
      <c r="D460" s="1112"/>
      <c r="E460" s="1112"/>
      <c r="F460" s="1112"/>
      <c r="G460" s="1112"/>
      <c r="H460" s="1112"/>
      <c r="I460" s="1112"/>
      <c r="J460" s="1114"/>
      <c r="K460" s="1112"/>
      <c r="L460" s="1112"/>
      <c r="M460" s="1112"/>
      <c r="N460" s="1112"/>
      <c r="O460" s="1112"/>
      <c r="P460" s="1112" t="s">
        <v>96</v>
      </c>
      <c r="Q460" s="1112"/>
    </row>
    <row r="461">
      <c r="A461" s="1112"/>
      <c r="B461" s="1112"/>
      <c r="C461" s="1112"/>
      <c r="D461" s="1112"/>
      <c r="E461" s="1112"/>
      <c r="F461" s="1112"/>
      <c r="G461" s="1112"/>
      <c r="H461" s="1112"/>
      <c r="I461" s="1112"/>
      <c r="J461" s="1114"/>
      <c r="K461" s="1112"/>
      <c r="L461" s="1112"/>
      <c r="M461" s="1112"/>
      <c r="N461" s="1112"/>
      <c r="O461" s="1112"/>
      <c r="P461" s="1112" t="s">
        <v>96</v>
      </c>
      <c r="Q461" s="1112"/>
    </row>
    <row r="462">
      <c r="A462" s="1112"/>
      <c r="B462" s="1112"/>
      <c r="C462" s="1112"/>
      <c r="D462" s="1112"/>
      <c r="E462" s="1112"/>
      <c r="F462" s="1112"/>
      <c r="G462" s="1112"/>
      <c r="H462" s="1112"/>
      <c r="I462" s="1112"/>
      <c r="J462" s="1114"/>
      <c r="K462" s="1112"/>
      <c r="L462" s="1112"/>
      <c r="M462" s="1112"/>
      <c r="N462" s="1112"/>
      <c r="O462" s="1112"/>
      <c r="P462" s="1112" t="s">
        <v>96</v>
      </c>
      <c r="Q462" s="1112"/>
    </row>
    <row r="463">
      <c r="A463" s="1112"/>
      <c r="B463" s="1112"/>
      <c r="C463" s="1112"/>
      <c r="D463" s="1112"/>
      <c r="E463" s="1112"/>
      <c r="F463" s="1112"/>
      <c r="G463" s="1112"/>
      <c r="H463" s="1112"/>
      <c r="I463" s="1112"/>
      <c r="J463" s="1114"/>
      <c r="K463" s="1112"/>
      <c r="L463" s="1112"/>
      <c r="M463" s="1112"/>
      <c r="N463" s="1112"/>
      <c r="O463" s="1112"/>
      <c r="P463" s="1112" t="s">
        <v>96</v>
      </c>
      <c r="Q463" s="1112"/>
    </row>
    <row r="464">
      <c r="A464" s="1112"/>
      <c r="B464" s="1112"/>
      <c r="C464" s="1112"/>
      <c r="D464" s="1112"/>
      <c r="E464" s="1112"/>
      <c r="F464" s="1112"/>
      <c r="G464" s="1112"/>
      <c r="H464" s="1112"/>
      <c r="I464" s="1112"/>
      <c r="J464" s="1114"/>
      <c r="K464" s="1112"/>
      <c r="L464" s="1112"/>
      <c r="M464" s="1112"/>
      <c r="N464" s="1112"/>
      <c r="O464" s="1112"/>
      <c r="P464" s="1112" t="s">
        <v>96</v>
      </c>
      <c r="Q464" s="1112"/>
    </row>
    <row r="465">
      <c r="A465" s="1112"/>
      <c r="B465" s="1112"/>
      <c r="C465" s="1112"/>
      <c r="D465" s="1112"/>
      <c r="E465" s="1112"/>
      <c r="F465" s="1112"/>
      <c r="G465" s="1112"/>
      <c r="H465" s="1112"/>
      <c r="I465" s="1112"/>
      <c r="J465" s="1114"/>
      <c r="K465" s="1112"/>
      <c r="L465" s="1112"/>
      <c r="M465" s="1112"/>
      <c r="N465" s="1112"/>
      <c r="O465" s="1112"/>
      <c r="P465" s="1112" t="s">
        <v>96</v>
      </c>
      <c r="Q465" s="1112"/>
    </row>
    <row r="466">
      <c r="A466" s="1112"/>
      <c r="B466" s="1112"/>
      <c r="C466" s="1112"/>
      <c r="D466" s="1112"/>
      <c r="E466" s="1112"/>
      <c r="F466" s="1112"/>
      <c r="G466" s="1112"/>
      <c r="H466" s="1112"/>
      <c r="I466" s="1112"/>
      <c r="J466" s="1114"/>
      <c r="K466" s="1112"/>
      <c r="L466" s="1112"/>
      <c r="M466" s="1112"/>
      <c r="N466" s="1112"/>
      <c r="O466" s="1112"/>
      <c r="P466" s="1112" t="s">
        <v>96</v>
      </c>
      <c r="Q466" s="1112"/>
    </row>
    <row r="467">
      <c r="A467" s="1112"/>
      <c r="B467" s="1112"/>
      <c r="C467" s="1112"/>
      <c r="D467" s="1112"/>
      <c r="E467" s="1112"/>
      <c r="F467" s="1112"/>
      <c r="G467" s="1112"/>
      <c r="H467" s="1112"/>
      <c r="I467" s="1112"/>
      <c r="J467" s="1114"/>
      <c r="K467" s="1112"/>
      <c r="L467" s="1112"/>
      <c r="M467" s="1112"/>
      <c r="N467" s="1112"/>
      <c r="O467" s="1112"/>
      <c r="P467" s="1112" t="s">
        <v>96</v>
      </c>
      <c r="Q467" s="1112"/>
    </row>
    <row r="468">
      <c r="A468" s="1112"/>
      <c r="B468" s="1112"/>
      <c r="C468" s="1112"/>
      <c r="D468" s="1112"/>
      <c r="E468" s="1112"/>
      <c r="F468" s="1112"/>
      <c r="G468" s="1112"/>
      <c r="H468" s="1112"/>
      <c r="I468" s="1112"/>
      <c r="J468" s="1114"/>
      <c r="K468" s="1112"/>
      <c r="L468" s="1112"/>
      <c r="M468" s="1112"/>
      <c r="N468" s="1112"/>
      <c r="O468" s="1112"/>
      <c r="P468" s="1112" t="s">
        <v>96</v>
      </c>
      <c r="Q468" s="1112"/>
    </row>
    <row r="469">
      <c r="A469" s="1112"/>
      <c r="B469" s="1112"/>
      <c r="C469" s="1112"/>
      <c r="D469" s="1112"/>
      <c r="E469" s="1112"/>
      <c r="F469" s="1112"/>
      <c r="G469" s="1112"/>
      <c r="H469" s="1112"/>
      <c r="I469" s="1112"/>
      <c r="J469" s="1114"/>
      <c r="K469" s="1112"/>
      <c r="L469" s="1112"/>
      <c r="M469" s="1112"/>
      <c r="N469" s="1112"/>
      <c r="O469" s="1112"/>
      <c r="P469" s="1112" t="s">
        <v>96</v>
      </c>
      <c r="Q469" s="1112"/>
    </row>
    <row r="470">
      <c r="A470" s="1112"/>
      <c r="B470" s="1112"/>
      <c r="C470" s="1112"/>
      <c r="D470" s="1112"/>
      <c r="E470" s="1112"/>
      <c r="F470" s="1112"/>
      <c r="G470" s="1112"/>
      <c r="H470" s="1112"/>
      <c r="I470" s="1112"/>
      <c r="J470" s="1114"/>
      <c r="K470" s="1112"/>
      <c r="L470" s="1112"/>
      <c r="M470" s="1112"/>
      <c r="N470" s="1112"/>
      <c r="O470" s="1112"/>
      <c r="P470" s="1112" t="s">
        <v>96</v>
      </c>
      <c r="Q470" s="1112"/>
    </row>
    <row r="471">
      <c r="A471" s="1112"/>
      <c r="B471" s="1112"/>
      <c r="C471" s="1112"/>
      <c r="D471" s="1112"/>
      <c r="E471" s="1112"/>
      <c r="F471" s="1112"/>
      <c r="G471" s="1112"/>
      <c r="H471" s="1112"/>
      <c r="I471" s="1112"/>
      <c r="J471" s="1114"/>
      <c r="K471" s="1112"/>
      <c r="L471" s="1112"/>
      <c r="M471" s="1112"/>
      <c r="N471" s="1112"/>
      <c r="O471" s="1112"/>
      <c r="P471" s="1112" t="s">
        <v>96</v>
      </c>
      <c r="Q471" s="1112"/>
    </row>
    <row r="472">
      <c r="A472" s="1112"/>
      <c r="B472" s="1112"/>
      <c r="C472" s="1112"/>
      <c r="D472" s="1112"/>
      <c r="E472" s="1112"/>
      <c r="F472" s="1112"/>
      <c r="G472" s="1112"/>
      <c r="H472" s="1112"/>
      <c r="I472" s="1112"/>
      <c r="J472" s="1114"/>
      <c r="K472" s="1112"/>
      <c r="L472" s="1112"/>
      <c r="M472" s="1112"/>
      <c r="N472" s="1112"/>
      <c r="O472" s="1112"/>
      <c r="P472" s="1112" t="s">
        <v>96</v>
      </c>
      <c r="Q472" s="1112"/>
    </row>
    <row r="473">
      <c r="A473" s="1112"/>
      <c r="B473" s="1112"/>
      <c r="C473" s="1112"/>
      <c r="D473" s="1112"/>
      <c r="E473" s="1112"/>
      <c r="F473" s="1112"/>
      <c r="G473" s="1112"/>
      <c r="H473" s="1112"/>
      <c r="I473" s="1112"/>
      <c r="J473" s="1114"/>
      <c r="K473" s="1112"/>
      <c r="L473" s="1112"/>
      <c r="M473" s="1112"/>
      <c r="N473" s="1112"/>
      <c r="O473" s="1112"/>
      <c r="P473" s="1112" t="s">
        <v>96</v>
      </c>
      <c r="Q473" s="1112"/>
    </row>
    <row r="474">
      <c r="A474" s="1112"/>
      <c r="B474" s="1112"/>
      <c r="C474" s="1112"/>
      <c r="D474" s="1112"/>
      <c r="E474" s="1112"/>
      <c r="F474" s="1112"/>
      <c r="G474" s="1112"/>
      <c r="H474" s="1112"/>
      <c r="I474" s="1112"/>
      <c r="J474" s="1114"/>
      <c r="K474" s="1112"/>
      <c r="L474" s="1112"/>
      <c r="M474" s="1112"/>
      <c r="N474" s="1112"/>
      <c r="O474" s="1112"/>
      <c r="P474" s="1112" t="s">
        <v>96</v>
      </c>
      <c r="Q474" s="1112"/>
    </row>
    <row r="475">
      <c r="A475" s="1112"/>
      <c r="B475" s="1112"/>
      <c r="C475" s="1112"/>
      <c r="D475" s="1112"/>
      <c r="E475" s="1112"/>
      <c r="F475" s="1112"/>
      <c r="G475" s="1112"/>
      <c r="H475" s="1112"/>
      <c r="I475" s="1112"/>
      <c r="J475" s="1114"/>
      <c r="K475" s="1112"/>
      <c r="L475" s="1112"/>
      <c r="M475" s="1112"/>
      <c r="N475" s="1112"/>
      <c r="O475" s="1112"/>
      <c r="P475" s="1112" t="s">
        <v>96</v>
      </c>
      <c r="Q475" s="1112"/>
    </row>
    <row r="476">
      <c r="A476" s="1112"/>
      <c r="B476" s="1112"/>
      <c r="C476" s="1112"/>
      <c r="D476" s="1112"/>
      <c r="E476" s="1112"/>
      <c r="F476" s="1112"/>
      <c r="G476" s="1112"/>
      <c r="H476" s="1112"/>
      <c r="I476" s="1112"/>
      <c r="J476" s="1114"/>
      <c r="K476" s="1112"/>
      <c r="L476" s="1112"/>
      <c r="M476" s="1112"/>
      <c r="N476" s="1112"/>
      <c r="O476" s="1112"/>
      <c r="P476" s="1112" t="s">
        <v>96</v>
      </c>
      <c r="Q476" s="1112"/>
    </row>
    <row r="477">
      <c r="A477" s="1112"/>
      <c r="B477" s="1112"/>
      <c r="C477" s="1112"/>
      <c r="D477" s="1112"/>
      <c r="E477" s="1112"/>
      <c r="F477" s="1112"/>
      <c r="G477" s="1112"/>
      <c r="H477" s="1112"/>
      <c r="I477" s="1112"/>
      <c r="J477" s="1114"/>
      <c r="K477" s="1112"/>
      <c r="L477" s="1112"/>
      <c r="M477" s="1112"/>
      <c r="N477" s="1112"/>
      <c r="O477" s="1112"/>
      <c r="P477" s="1112" t="s">
        <v>96</v>
      </c>
      <c r="Q477" s="1112"/>
    </row>
    <row r="478">
      <c r="A478" s="1112"/>
      <c r="B478" s="1112"/>
      <c r="C478" s="1112"/>
      <c r="D478" s="1112"/>
      <c r="E478" s="1112"/>
      <c r="F478" s="1112"/>
      <c r="G478" s="1112"/>
      <c r="H478" s="1112"/>
      <c r="I478" s="1112"/>
      <c r="J478" s="1114"/>
      <c r="K478" s="1112"/>
      <c r="L478" s="1112"/>
      <c r="M478" s="1112"/>
      <c r="N478" s="1112"/>
      <c r="O478" s="1112"/>
      <c r="P478" s="1112" t="s">
        <v>96</v>
      </c>
      <c r="Q478" s="1112"/>
    </row>
    <row r="479">
      <c r="A479" s="1112"/>
      <c r="B479" s="1112"/>
      <c r="C479" s="1112"/>
      <c r="D479" s="1112"/>
      <c r="E479" s="1112"/>
      <c r="F479" s="1112"/>
      <c r="G479" s="1112"/>
      <c r="H479" s="1112"/>
      <c r="I479" s="1112"/>
      <c r="J479" s="1114"/>
      <c r="K479" s="1112"/>
      <c r="L479" s="1112"/>
      <c r="M479" s="1112"/>
      <c r="N479" s="1112"/>
      <c r="O479" s="1112"/>
      <c r="P479" s="1112" t="s">
        <v>96</v>
      </c>
      <c r="Q479" s="1112"/>
    </row>
    <row r="480">
      <c r="A480" s="1112"/>
      <c r="B480" s="1112"/>
      <c r="C480" s="1112"/>
      <c r="D480" s="1112"/>
      <c r="E480" s="1112"/>
      <c r="F480" s="1112"/>
      <c r="G480" s="1112"/>
      <c r="H480" s="1112"/>
      <c r="I480" s="1112"/>
      <c r="J480" s="1114"/>
      <c r="K480" s="1112"/>
      <c r="L480" s="1112"/>
      <c r="M480" s="1112"/>
      <c r="N480" s="1112"/>
      <c r="O480" s="1112"/>
      <c r="P480" s="1112" t="s">
        <v>96</v>
      </c>
      <c r="Q480" s="1112"/>
    </row>
    <row r="481">
      <c r="A481" s="1112"/>
      <c r="B481" s="1112"/>
      <c r="C481" s="1112"/>
      <c r="D481" s="1112"/>
      <c r="E481" s="1112"/>
      <c r="F481" s="1112"/>
      <c r="G481" s="1112"/>
      <c r="H481" s="1112"/>
      <c r="I481" s="1112"/>
      <c r="J481" s="1114"/>
      <c r="K481" s="1112"/>
      <c r="L481" s="1112"/>
      <c r="M481" s="1112"/>
      <c r="N481" s="1112"/>
      <c r="O481" s="1112"/>
      <c r="P481" s="1112" t="s">
        <v>96</v>
      </c>
      <c r="Q481" s="1112"/>
    </row>
    <row r="482">
      <c r="A482" s="1112"/>
      <c r="B482" s="1112"/>
      <c r="C482" s="1112"/>
      <c r="D482" s="1112"/>
      <c r="E482" s="1112"/>
      <c r="F482" s="1112"/>
      <c r="G482" s="1112"/>
      <c r="H482" s="1112"/>
      <c r="I482" s="1112"/>
      <c r="J482" s="1114"/>
      <c r="K482" s="1112"/>
      <c r="L482" s="1112"/>
      <c r="M482" s="1112"/>
      <c r="N482" s="1112"/>
      <c r="O482" s="1112"/>
      <c r="P482" s="1112" t="s">
        <v>96</v>
      </c>
      <c r="Q482" s="1112"/>
    </row>
    <row r="483">
      <c r="A483" s="1112"/>
      <c r="B483" s="1112"/>
      <c r="C483" s="1112"/>
      <c r="D483" s="1112"/>
      <c r="E483" s="1112"/>
      <c r="F483" s="1112"/>
      <c r="G483" s="1112"/>
      <c r="H483" s="1112"/>
      <c r="I483" s="1112"/>
      <c r="J483" s="1114"/>
      <c r="K483" s="1112"/>
      <c r="L483" s="1112"/>
      <c r="M483" s="1112"/>
      <c r="N483" s="1112"/>
      <c r="O483" s="1112"/>
      <c r="P483" s="1112" t="s">
        <v>96</v>
      </c>
      <c r="Q483" s="1112"/>
    </row>
    <row r="484">
      <c r="A484" s="1112"/>
      <c r="B484" s="1112"/>
      <c r="C484" s="1112"/>
      <c r="D484" s="1112"/>
      <c r="E484" s="1112"/>
      <c r="F484" s="1112"/>
      <c r="G484" s="1112"/>
      <c r="H484" s="1112"/>
      <c r="I484" s="1112"/>
      <c r="J484" s="1114"/>
      <c r="K484" s="1112"/>
      <c r="L484" s="1112"/>
      <c r="M484" s="1112"/>
      <c r="N484" s="1112"/>
      <c r="O484" s="1112"/>
      <c r="P484" s="1112" t="s">
        <v>96</v>
      </c>
      <c r="Q484" s="1112"/>
    </row>
    <row r="485">
      <c r="A485" s="1112"/>
      <c r="B485" s="1112"/>
      <c r="C485" s="1112"/>
      <c r="D485" s="1112"/>
      <c r="E485" s="1112"/>
      <c r="F485" s="1112"/>
      <c r="G485" s="1112"/>
      <c r="H485" s="1112"/>
      <c r="I485" s="1112"/>
      <c r="J485" s="1114"/>
      <c r="K485" s="1112"/>
      <c r="L485" s="1112"/>
      <c r="M485" s="1112"/>
      <c r="N485" s="1112"/>
      <c r="O485" s="1112"/>
      <c r="P485" s="1112" t="s">
        <v>96</v>
      </c>
      <c r="Q485" s="1112"/>
    </row>
    <row r="486">
      <c r="A486" s="1112"/>
      <c r="B486" s="1112"/>
      <c r="C486" s="1112"/>
      <c r="D486" s="1112"/>
      <c r="E486" s="1112"/>
      <c r="F486" s="1112"/>
      <c r="G486" s="1112"/>
      <c r="H486" s="1112"/>
      <c r="I486" s="1112"/>
      <c r="J486" s="1114"/>
      <c r="K486" s="1112"/>
      <c r="L486" s="1112"/>
      <c r="M486" s="1112"/>
      <c r="N486" s="1112"/>
      <c r="O486" s="1112"/>
      <c r="P486" s="1112" t="s">
        <v>96</v>
      </c>
      <c r="Q486" s="1112"/>
    </row>
    <row r="487">
      <c r="A487" s="1112"/>
      <c r="B487" s="1112"/>
      <c r="C487" s="1112"/>
      <c r="D487" s="1112"/>
      <c r="E487" s="1112"/>
      <c r="F487" s="1112"/>
      <c r="G487" s="1112"/>
      <c r="H487" s="1112"/>
      <c r="I487" s="1112"/>
      <c r="J487" s="1114"/>
      <c r="K487" s="1112"/>
      <c r="L487" s="1112"/>
      <c r="M487" s="1112"/>
      <c r="N487" s="1112"/>
      <c r="O487" s="1112"/>
      <c r="P487" s="1112" t="s">
        <v>96</v>
      </c>
      <c r="Q487" s="1112"/>
    </row>
    <row r="488">
      <c r="A488" s="1112"/>
      <c r="B488" s="1112"/>
      <c r="C488" s="1112"/>
      <c r="D488" s="1112"/>
      <c r="E488" s="1112"/>
      <c r="F488" s="1112"/>
      <c r="G488" s="1112"/>
      <c r="H488" s="1112"/>
      <c r="I488" s="1112"/>
      <c r="J488" s="1114"/>
      <c r="K488" s="1112"/>
      <c r="L488" s="1112"/>
      <c r="M488" s="1112"/>
      <c r="N488" s="1112"/>
      <c r="O488" s="1112"/>
      <c r="P488" s="1112" t="s">
        <v>96</v>
      </c>
      <c r="Q488" s="1112"/>
    </row>
    <row r="489">
      <c r="A489" s="1112"/>
      <c r="B489" s="1112"/>
      <c r="C489" s="1112"/>
      <c r="D489" s="1112"/>
      <c r="E489" s="1112"/>
      <c r="F489" s="1112"/>
      <c r="G489" s="1112"/>
      <c r="H489" s="1112"/>
      <c r="I489" s="1112"/>
      <c r="J489" s="1114"/>
      <c r="K489" s="1112"/>
      <c r="L489" s="1112"/>
      <c r="M489" s="1112"/>
      <c r="N489" s="1112"/>
      <c r="O489" s="1112"/>
      <c r="P489" s="1112" t="s">
        <v>96</v>
      </c>
      <c r="Q489" s="1112"/>
    </row>
    <row r="490">
      <c r="A490" s="1112"/>
      <c r="B490" s="1112"/>
      <c r="C490" s="1112"/>
      <c r="D490" s="1112"/>
      <c r="E490" s="1112"/>
      <c r="F490" s="1112"/>
      <c r="G490" s="1112"/>
      <c r="H490" s="1112"/>
      <c r="I490" s="1112"/>
      <c r="J490" s="1114"/>
      <c r="K490" s="1112"/>
      <c r="L490" s="1112"/>
      <c r="M490" s="1112"/>
      <c r="N490" s="1112"/>
      <c r="O490" s="1112"/>
      <c r="P490" s="1112" t="s">
        <v>96</v>
      </c>
      <c r="Q490" s="1112"/>
    </row>
    <row r="491">
      <c r="A491" s="1112"/>
      <c r="B491" s="1112"/>
      <c r="C491" s="1112"/>
      <c r="D491" s="1112"/>
      <c r="E491" s="1112"/>
      <c r="F491" s="1112"/>
      <c r="G491" s="1112"/>
      <c r="H491" s="1112"/>
      <c r="I491" s="1112"/>
      <c r="J491" s="1114"/>
      <c r="K491" s="1112"/>
      <c r="L491" s="1112"/>
      <c r="M491" s="1112"/>
      <c r="N491" s="1112"/>
      <c r="O491" s="1112"/>
      <c r="P491" s="1112" t="s">
        <v>96</v>
      </c>
      <c r="Q491" s="1112"/>
    </row>
    <row r="492">
      <c r="A492" s="1112"/>
      <c r="B492" s="1112"/>
      <c r="C492" s="1112"/>
      <c r="D492" s="1112"/>
      <c r="E492" s="1112"/>
      <c r="F492" s="1112"/>
      <c r="G492" s="1112"/>
      <c r="H492" s="1112"/>
      <c r="I492" s="1112"/>
      <c r="J492" s="1114"/>
      <c r="K492" s="1112"/>
      <c r="L492" s="1112"/>
      <c r="M492" s="1112"/>
      <c r="N492" s="1112"/>
      <c r="O492" s="1112"/>
      <c r="P492" s="1112" t="s">
        <v>96</v>
      </c>
      <c r="Q492" s="1112"/>
    </row>
    <row r="493">
      <c r="A493" s="1112"/>
      <c r="B493" s="1112"/>
      <c r="C493" s="1112"/>
      <c r="D493" s="1112"/>
      <c r="E493" s="1112"/>
      <c r="F493" s="1112"/>
      <c r="G493" s="1112"/>
      <c r="H493" s="1112"/>
      <c r="I493" s="1112"/>
      <c r="J493" s="1114"/>
      <c r="K493" s="1112"/>
      <c r="L493" s="1112"/>
      <c r="M493" s="1112"/>
      <c r="N493" s="1112"/>
      <c r="O493" s="1112"/>
      <c r="P493" s="1112" t="s">
        <v>96</v>
      </c>
      <c r="Q493" s="1112"/>
    </row>
    <row r="494">
      <c r="A494" s="1112"/>
      <c r="B494" s="1112"/>
      <c r="C494" s="1112"/>
      <c r="D494" s="1112"/>
      <c r="E494" s="1112"/>
      <c r="F494" s="1112"/>
      <c r="G494" s="1112"/>
      <c r="H494" s="1112"/>
      <c r="I494" s="1112"/>
      <c r="J494" s="1114"/>
      <c r="K494" s="1112"/>
      <c r="L494" s="1112"/>
      <c r="M494" s="1112"/>
      <c r="N494" s="1112"/>
      <c r="O494" s="1112"/>
      <c r="P494" s="1112" t="s">
        <v>96</v>
      </c>
      <c r="Q494" s="1112"/>
    </row>
    <row r="495">
      <c r="A495" s="1112"/>
      <c r="B495" s="1112"/>
      <c r="C495" s="1112"/>
      <c r="D495" s="1112"/>
      <c r="E495" s="1112"/>
      <c r="F495" s="1112"/>
      <c r="G495" s="1112"/>
      <c r="H495" s="1112"/>
      <c r="I495" s="1112"/>
      <c r="J495" s="1114"/>
      <c r="K495" s="1112"/>
      <c r="L495" s="1112"/>
      <c r="M495" s="1112"/>
      <c r="N495" s="1112"/>
      <c r="O495" s="1112"/>
      <c r="P495" s="1112" t="s">
        <v>96</v>
      </c>
      <c r="Q495" s="1112"/>
    </row>
    <row r="496">
      <c r="A496" s="1112"/>
      <c r="B496" s="1112"/>
      <c r="C496" s="1112"/>
      <c r="D496" s="1112"/>
      <c r="E496" s="1112"/>
      <c r="F496" s="1112"/>
      <c r="G496" s="1112"/>
      <c r="H496" s="1112"/>
      <c r="I496" s="1112"/>
      <c r="J496" s="1114"/>
      <c r="K496" s="1112"/>
      <c r="L496" s="1112"/>
      <c r="M496" s="1112"/>
      <c r="N496" s="1112"/>
      <c r="O496" s="1112"/>
      <c r="P496" s="1112" t="s">
        <v>96</v>
      </c>
      <c r="Q496" s="1112"/>
    </row>
    <row r="497">
      <c r="A497" s="1112"/>
      <c r="B497" s="1112"/>
      <c r="C497" s="1112"/>
      <c r="D497" s="1112"/>
      <c r="E497" s="1112"/>
      <c r="F497" s="1112"/>
      <c r="G497" s="1112"/>
      <c r="H497" s="1112"/>
      <c r="I497" s="1112"/>
      <c r="J497" s="1114"/>
      <c r="K497" s="1112"/>
      <c r="L497" s="1112"/>
      <c r="M497" s="1112"/>
      <c r="N497" s="1112"/>
      <c r="O497" s="1112"/>
      <c r="P497" s="1112" t="s">
        <v>96</v>
      </c>
      <c r="Q497" s="1112"/>
    </row>
    <row r="498">
      <c r="A498" s="1112"/>
      <c r="B498" s="1112"/>
      <c r="C498" s="1112"/>
      <c r="D498" s="1112"/>
      <c r="E498" s="1112"/>
      <c r="F498" s="1112"/>
      <c r="G498" s="1112"/>
      <c r="H498" s="1112"/>
      <c r="I498" s="1112"/>
      <c r="J498" s="1114"/>
      <c r="K498" s="1112"/>
      <c r="L498" s="1112"/>
      <c r="M498" s="1112"/>
      <c r="N498" s="1112"/>
      <c r="O498" s="1112"/>
      <c r="P498" s="1112" t="s">
        <v>96</v>
      </c>
      <c r="Q498" s="1112"/>
    </row>
    <row r="499">
      <c r="A499" s="1112"/>
      <c r="B499" s="1112"/>
      <c r="C499" s="1112"/>
      <c r="D499" s="1112"/>
      <c r="E499" s="1112"/>
      <c r="F499" s="1112"/>
      <c r="G499" s="1112"/>
      <c r="H499" s="1112"/>
      <c r="I499" s="1112"/>
      <c r="J499" s="1114"/>
      <c r="K499" s="1112"/>
      <c r="L499" s="1112"/>
      <c r="M499" s="1112"/>
      <c r="N499" s="1112"/>
      <c r="O499" s="1112"/>
      <c r="P499" s="1112" t="s">
        <v>96</v>
      </c>
      <c r="Q499" s="1112"/>
    </row>
    <row r="500">
      <c r="A500" s="1112"/>
      <c r="B500" s="1112"/>
      <c r="C500" s="1112"/>
      <c r="D500" s="1112"/>
      <c r="E500" s="1112"/>
      <c r="F500" s="1112"/>
      <c r="G500" s="1112"/>
      <c r="H500" s="1112"/>
      <c r="I500" s="1112"/>
      <c r="J500" s="1114"/>
      <c r="K500" s="1112"/>
      <c r="L500" s="1112"/>
      <c r="M500" s="1112"/>
      <c r="N500" s="1112"/>
      <c r="O500" s="1112"/>
      <c r="P500" s="1112" t="s">
        <v>96</v>
      </c>
      <c r="Q500" s="1112"/>
    </row>
    <row r="501">
      <c r="A501" s="1112"/>
      <c r="B501" s="1112"/>
      <c r="C501" s="1112"/>
      <c r="D501" s="1112"/>
      <c r="E501" s="1112"/>
      <c r="F501" s="1112"/>
      <c r="G501" s="1112"/>
      <c r="H501" s="1112"/>
      <c r="I501" s="1112"/>
      <c r="J501" s="1114"/>
      <c r="K501" s="1112"/>
      <c r="L501" s="1112"/>
      <c r="M501" s="1112"/>
      <c r="N501" s="1112"/>
      <c r="O501" s="1112"/>
      <c r="P501" s="1112" t="s">
        <v>96</v>
      </c>
      <c r="Q501" s="1112"/>
    </row>
    <row r="502">
      <c r="A502" s="1112"/>
      <c r="B502" s="1112"/>
      <c r="C502" s="1112"/>
      <c r="D502" s="1112"/>
      <c r="E502" s="1112"/>
      <c r="F502" s="1112"/>
      <c r="G502" s="1112"/>
      <c r="H502" s="1112"/>
      <c r="I502" s="1112"/>
      <c r="J502" s="1114"/>
      <c r="K502" s="1112"/>
      <c r="L502" s="1112"/>
      <c r="M502" s="1112"/>
      <c r="N502" s="1112"/>
      <c r="O502" s="1112"/>
      <c r="P502" s="1112" t="s">
        <v>96</v>
      </c>
      <c r="Q502" s="1112"/>
    </row>
    <row r="503">
      <c r="A503" s="1112"/>
      <c r="B503" s="1112"/>
      <c r="C503" s="1112"/>
      <c r="D503" s="1112"/>
      <c r="E503" s="1112"/>
      <c r="F503" s="1112"/>
      <c r="G503" s="1112"/>
      <c r="H503" s="1112"/>
      <c r="I503" s="1112"/>
      <c r="J503" s="1114"/>
      <c r="K503" s="1112"/>
      <c r="L503" s="1112"/>
      <c r="M503" s="1112"/>
      <c r="N503" s="1112"/>
      <c r="O503" s="1112"/>
      <c r="P503" s="1112" t="s">
        <v>96</v>
      </c>
      <c r="Q503" s="1112"/>
    </row>
    <row r="504">
      <c r="A504" s="1112"/>
      <c r="B504" s="1112"/>
      <c r="C504" s="1112"/>
      <c r="D504" s="1112"/>
      <c r="E504" s="1112"/>
      <c r="F504" s="1112"/>
      <c r="G504" s="1112"/>
      <c r="H504" s="1112"/>
      <c r="I504" s="1112"/>
      <c r="J504" s="1114"/>
      <c r="K504" s="1112"/>
      <c r="L504" s="1112"/>
      <c r="M504" s="1112"/>
      <c r="N504" s="1112"/>
      <c r="O504" s="1112"/>
      <c r="P504" s="1112" t="s">
        <v>96</v>
      </c>
      <c r="Q504" s="1112"/>
    </row>
    <row r="505">
      <c r="A505" s="1112"/>
      <c r="B505" s="1112"/>
      <c r="C505" s="1112"/>
      <c r="D505" s="1112"/>
      <c r="E505" s="1112"/>
      <c r="F505" s="1112"/>
      <c r="G505" s="1112"/>
      <c r="H505" s="1112"/>
      <c r="I505" s="1112"/>
      <c r="J505" s="1114"/>
      <c r="K505" s="1112"/>
      <c r="L505" s="1112"/>
      <c r="M505" s="1112"/>
      <c r="N505" s="1112"/>
      <c r="O505" s="1112"/>
      <c r="P505" s="1112" t="s">
        <v>96</v>
      </c>
      <c r="Q505" s="1112"/>
    </row>
    <row r="506">
      <c r="A506" s="1112"/>
      <c r="B506" s="1112"/>
      <c r="C506" s="1112"/>
      <c r="D506" s="1112"/>
      <c r="E506" s="1112"/>
      <c r="F506" s="1112"/>
      <c r="G506" s="1112"/>
      <c r="H506" s="1112"/>
      <c r="I506" s="1112"/>
      <c r="J506" s="1114"/>
      <c r="K506" s="1112"/>
      <c r="L506" s="1112"/>
      <c r="M506" s="1112"/>
      <c r="N506" s="1112"/>
      <c r="O506" s="1112"/>
      <c r="P506" s="1112" t="s">
        <v>96</v>
      </c>
      <c r="Q506" s="1112"/>
    </row>
    <row r="507">
      <c r="A507" s="1112"/>
      <c r="B507" s="1112"/>
      <c r="C507" s="1112"/>
      <c r="D507" s="1112"/>
      <c r="E507" s="1112"/>
      <c r="F507" s="1112"/>
      <c r="G507" s="1112"/>
      <c r="H507" s="1112"/>
      <c r="I507" s="1112"/>
      <c r="J507" s="1114"/>
      <c r="K507" s="1112"/>
      <c r="L507" s="1112"/>
      <c r="M507" s="1112"/>
      <c r="N507" s="1112"/>
      <c r="O507" s="1112"/>
      <c r="P507" s="1112" t="s">
        <v>96</v>
      </c>
      <c r="Q507" s="1112"/>
    </row>
    <row r="508">
      <c r="A508" s="1112"/>
      <c r="B508" s="1112"/>
      <c r="C508" s="1112"/>
      <c r="D508" s="1112"/>
      <c r="E508" s="1112"/>
      <c r="F508" s="1112"/>
      <c r="G508" s="1112"/>
      <c r="H508" s="1112"/>
      <c r="I508" s="1112"/>
      <c r="J508" s="1114"/>
      <c r="K508" s="1112"/>
      <c r="L508" s="1112"/>
      <c r="M508" s="1112"/>
      <c r="N508" s="1112"/>
      <c r="O508" s="1112"/>
      <c r="P508" s="1112" t="s">
        <v>96</v>
      </c>
      <c r="Q508" s="1112"/>
    </row>
    <row r="509">
      <c r="A509" s="1112"/>
      <c r="B509" s="1112"/>
      <c r="C509" s="1112"/>
      <c r="D509" s="1112"/>
      <c r="E509" s="1112"/>
      <c r="F509" s="1112"/>
      <c r="G509" s="1112"/>
      <c r="H509" s="1112"/>
      <c r="I509" s="1112"/>
      <c r="J509" s="1114"/>
      <c r="K509" s="1112"/>
      <c r="L509" s="1112"/>
      <c r="M509" s="1112"/>
      <c r="N509" s="1112"/>
      <c r="O509" s="1112"/>
      <c r="P509" s="1112" t="s">
        <v>96</v>
      </c>
      <c r="Q509" s="1112"/>
    </row>
    <row r="510">
      <c r="A510" s="1112"/>
      <c r="B510" s="1112"/>
      <c r="C510" s="1112"/>
      <c r="D510" s="1112"/>
      <c r="E510" s="1112"/>
      <c r="F510" s="1112"/>
      <c r="G510" s="1112"/>
      <c r="H510" s="1112"/>
      <c r="I510" s="1112"/>
      <c r="J510" s="1114"/>
      <c r="K510" s="1112"/>
      <c r="L510" s="1112"/>
      <c r="M510" s="1112"/>
      <c r="N510" s="1112"/>
      <c r="O510" s="1112"/>
      <c r="P510" s="1112" t="s">
        <v>96</v>
      </c>
      <c r="Q510" s="1112"/>
    </row>
    <row r="511">
      <c r="A511" s="1112"/>
      <c r="B511" s="1112"/>
      <c r="C511" s="1112"/>
      <c r="D511" s="1112"/>
      <c r="E511" s="1112"/>
      <c r="F511" s="1112"/>
      <c r="G511" s="1112"/>
      <c r="H511" s="1112"/>
      <c r="I511" s="1112"/>
      <c r="J511" s="1114"/>
      <c r="K511" s="1112"/>
      <c r="L511" s="1112"/>
      <c r="M511" s="1112"/>
      <c r="N511" s="1112"/>
      <c r="O511" s="1112"/>
      <c r="P511" s="1112" t="s">
        <v>96</v>
      </c>
      <c r="Q511" s="1112"/>
    </row>
    <row r="512">
      <c r="A512" s="1112"/>
      <c r="B512" s="1112"/>
      <c r="C512" s="1112"/>
      <c r="D512" s="1112"/>
      <c r="E512" s="1112"/>
      <c r="F512" s="1112"/>
      <c r="G512" s="1112"/>
      <c r="H512" s="1112"/>
      <c r="I512" s="1112"/>
      <c r="J512" s="1114"/>
      <c r="K512" s="1112"/>
      <c r="L512" s="1112"/>
      <c r="M512" s="1112"/>
      <c r="N512" s="1112"/>
      <c r="O512" s="1112"/>
      <c r="P512" s="1112" t="s">
        <v>96</v>
      </c>
      <c r="Q512" s="1112"/>
    </row>
    <row r="513">
      <c r="A513" s="1112"/>
      <c r="B513" s="1112"/>
      <c r="C513" s="1112"/>
      <c r="D513" s="1112"/>
      <c r="E513" s="1112"/>
      <c r="F513" s="1112"/>
      <c r="G513" s="1112"/>
      <c r="H513" s="1112"/>
      <c r="I513" s="1112"/>
      <c r="J513" s="1114"/>
      <c r="K513" s="1112"/>
      <c r="L513" s="1112"/>
      <c r="M513" s="1112"/>
      <c r="N513" s="1112"/>
      <c r="O513" s="1112"/>
      <c r="P513" s="1112" t="s">
        <v>96</v>
      </c>
      <c r="Q513" s="1112"/>
    </row>
    <row r="514">
      <c r="A514" s="1112"/>
      <c r="B514" s="1112"/>
      <c r="C514" s="1112"/>
      <c r="D514" s="1112"/>
      <c r="E514" s="1112"/>
      <c r="F514" s="1112"/>
      <c r="G514" s="1112"/>
      <c r="H514" s="1112"/>
      <c r="I514" s="1112"/>
      <c r="J514" s="1114"/>
      <c r="K514" s="1112"/>
      <c r="L514" s="1112"/>
      <c r="M514" s="1112"/>
      <c r="N514" s="1112"/>
      <c r="O514" s="1112"/>
      <c r="P514" s="1112" t="s">
        <v>96</v>
      </c>
      <c r="Q514" s="1112"/>
    </row>
    <row r="515">
      <c r="A515" s="1112"/>
      <c r="B515" s="1112"/>
      <c r="C515" s="1112"/>
      <c r="D515" s="1112"/>
      <c r="E515" s="1112"/>
      <c r="F515" s="1112"/>
      <c r="G515" s="1112"/>
      <c r="H515" s="1112"/>
      <c r="I515" s="1112"/>
      <c r="J515" s="1114"/>
      <c r="K515" s="1112"/>
      <c r="L515" s="1112"/>
      <c r="M515" s="1112"/>
      <c r="N515" s="1112"/>
      <c r="O515" s="1112"/>
      <c r="P515" s="1112" t="s">
        <v>96</v>
      </c>
      <c r="Q515" s="1112"/>
    </row>
    <row r="516">
      <c r="A516" s="1112"/>
      <c r="B516" s="1112"/>
      <c r="C516" s="1112"/>
      <c r="D516" s="1112"/>
      <c r="E516" s="1112"/>
      <c r="F516" s="1112"/>
      <c r="G516" s="1112"/>
      <c r="H516" s="1112"/>
      <c r="I516" s="1112"/>
      <c r="J516" s="1114"/>
      <c r="K516" s="1112"/>
      <c r="L516" s="1112"/>
      <c r="M516" s="1112"/>
      <c r="N516" s="1112"/>
      <c r="O516" s="1112"/>
      <c r="P516" s="1112" t="s">
        <v>96</v>
      </c>
      <c r="Q516" s="1112"/>
    </row>
    <row r="517">
      <c r="A517" s="1112"/>
      <c r="B517" s="1112"/>
      <c r="C517" s="1112"/>
      <c r="D517" s="1112"/>
      <c r="E517" s="1112"/>
      <c r="F517" s="1112"/>
      <c r="G517" s="1112"/>
      <c r="H517" s="1112"/>
      <c r="I517" s="1112"/>
      <c r="J517" s="1114"/>
      <c r="K517" s="1112"/>
      <c r="L517" s="1112"/>
      <c r="M517" s="1112"/>
      <c r="N517" s="1112"/>
      <c r="O517" s="1112"/>
      <c r="P517" s="1112" t="s">
        <v>96</v>
      </c>
      <c r="Q517" s="1112"/>
    </row>
    <row r="518">
      <c r="A518" s="1112"/>
      <c r="B518" s="1112"/>
      <c r="C518" s="1112"/>
      <c r="D518" s="1112"/>
      <c r="E518" s="1112"/>
      <c r="F518" s="1112"/>
      <c r="G518" s="1112"/>
      <c r="H518" s="1112"/>
      <c r="I518" s="1112"/>
      <c r="J518" s="1114"/>
      <c r="K518" s="1112"/>
      <c r="L518" s="1112"/>
      <c r="M518" s="1112"/>
      <c r="N518" s="1112"/>
      <c r="O518" s="1112"/>
      <c r="P518" s="1112" t="s">
        <v>96</v>
      </c>
      <c r="Q518" s="1112"/>
    </row>
    <row r="519">
      <c r="A519" s="1112"/>
      <c r="B519" s="1112"/>
      <c r="C519" s="1112"/>
      <c r="D519" s="1112"/>
      <c r="E519" s="1112"/>
      <c r="F519" s="1112"/>
      <c r="G519" s="1112"/>
      <c r="H519" s="1112"/>
      <c r="I519" s="1112"/>
      <c r="J519" s="1114"/>
      <c r="K519" s="1112"/>
      <c r="L519" s="1112"/>
      <c r="M519" s="1112"/>
      <c r="N519" s="1112"/>
      <c r="O519" s="1112"/>
      <c r="P519" s="1112" t="s">
        <v>96</v>
      </c>
      <c r="Q519" s="1112"/>
    </row>
    <row r="520">
      <c r="A520" s="1112"/>
      <c r="B520" s="1112"/>
      <c r="C520" s="1112"/>
      <c r="D520" s="1112"/>
      <c r="E520" s="1112"/>
      <c r="F520" s="1112"/>
      <c r="G520" s="1112"/>
      <c r="H520" s="1112"/>
      <c r="I520" s="1112"/>
      <c r="J520" s="1114"/>
      <c r="K520" s="1112"/>
      <c r="L520" s="1112"/>
      <c r="M520" s="1112"/>
      <c r="N520" s="1112"/>
      <c r="O520" s="1112"/>
      <c r="P520" s="1112" t="s">
        <v>96</v>
      </c>
      <c r="Q520" s="1112"/>
    </row>
    <row r="521">
      <c r="A521" s="1112"/>
      <c r="B521" s="1112"/>
      <c r="C521" s="1112"/>
      <c r="D521" s="1112"/>
      <c r="E521" s="1112"/>
      <c r="F521" s="1112"/>
      <c r="G521" s="1112"/>
      <c r="H521" s="1112"/>
      <c r="I521" s="1112"/>
      <c r="J521" s="1114"/>
      <c r="K521" s="1112"/>
      <c r="L521" s="1112"/>
      <c r="M521" s="1112"/>
      <c r="N521" s="1112"/>
      <c r="O521" s="1112"/>
      <c r="P521" s="1112" t="s">
        <v>96</v>
      </c>
      <c r="Q521" s="1112"/>
    </row>
    <row r="522">
      <c r="A522" s="1112"/>
      <c r="B522" s="1112"/>
      <c r="C522" s="1112"/>
      <c r="D522" s="1112"/>
      <c r="E522" s="1112"/>
      <c r="F522" s="1112"/>
      <c r="G522" s="1112"/>
      <c r="H522" s="1112"/>
      <c r="I522" s="1112"/>
      <c r="J522" s="1114"/>
      <c r="K522" s="1112"/>
      <c r="L522" s="1112"/>
      <c r="M522" s="1112"/>
      <c r="N522" s="1112"/>
      <c r="O522" s="1112"/>
      <c r="P522" s="1112" t="s">
        <v>96</v>
      </c>
      <c r="Q522" s="1112"/>
    </row>
    <row r="523">
      <c r="A523" s="1112"/>
      <c r="B523" s="1112"/>
      <c r="C523" s="1112"/>
      <c r="D523" s="1112"/>
      <c r="E523" s="1112"/>
      <c r="F523" s="1112"/>
      <c r="G523" s="1112"/>
      <c r="H523" s="1112"/>
      <c r="I523" s="1112"/>
      <c r="J523" s="1114"/>
      <c r="K523" s="1112"/>
      <c r="L523" s="1112"/>
      <c r="M523" s="1112"/>
      <c r="N523" s="1112"/>
      <c r="O523" s="1112"/>
      <c r="P523" s="1112" t="s">
        <v>96</v>
      </c>
      <c r="Q523" s="1112"/>
    </row>
    <row r="524">
      <c r="A524" s="1112"/>
      <c r="B524" s="1112"/>
      <c r="C524" s="1112"/>
      <c r="D524" s="1112"/>
      <c r="E524" s="1112"/>
      <c r="F524" s="1112"/>
      <c r="G524" s="1112"/>
      <c r="H524" s="1112"/>
      <c r="I524" s="1112"/>
      <c r="J524" s="1114"/>
      <c r="K524" s="1112"/>
      <c r="L524" s="1112"/>
      <c r="M524" s="1112"/>
      <c r="N524" s="1112"/>
      <c r="O524" s="1112"/>
      <c r="P524" s="1112" t="s">
        <v>96</v>
      </c>
      <c r="Q524" s="1112"/>
    </row>
    <row r="525">
      <c r="A525" s="1112"/>
      <c r="B525" s="1112"/>
      <c r="C525" s="1112"/>
      <c r="D525" s="1112"/>
      <c r="E525" s="1112"/>
      <c r="F525" s="1112"/>
      <c r="G525" s="1112"/>
      <c r="H525" s="1112"/>
      <c r="I525" s="1112"/>
      <c r="J525" s="1114"/>
      <c r="K525" s="1112"/>
      <c r="L525" s="1112"/>
      <c r="M525" s="1112"/>
      <c r="N525" s="1112"/>
      <c r="O525" s="1112"/>
      <c r="P525" s="1112" t="s">
        <v>96</v>
      </c>
      <c r="Q525" s="1112"/>
    </row>
    <row r="526">
      <c r="A526" s="1112"/>
      <c r="B526" s="1112"/>
      <c r="C526" s="1112"/>
      <c r="D526" s="1112"/>
      <c r="E526" s="1112"/>
      <c r="F526" s="1112"/>
      <c r="G526" s="1112"/>
      <c r="H526" s="1112"/>
      <c r="I526" s="1112"/>
      <c r="J526" s="1114"/>
      <c r="K526" s="1112"/>
      <c r="L526" s="1112"/>
      <c r="M526" s="1112"/>
      <c r="N526" s="1112"/>
      <c r="O526" s="1112"/>
      <c r="P526" s="1112" t="s">
        <v>96</v>
      </c>
      <c r="Q526" s="1112"/>
    </row>
    <row r="527">
      <c r="A527" s="1112"/>
      <c r="B527" s="1112"/>
      <c r="C527" s="1112"/>
      <c r="D527" s="1112"/>
      <c r="E527" s="1112"/>
      <c r="F527" s="1112"/>
      <c r="G527" s="1112"/>
      <c r="H527" s="1112"/>
      <c r="I527" s="1112"/>
      <c r="J527" s="1114"/>
      <c r="K527" s="1112"/>
      <c r="L527" s="1112"/>
      <c r="M527" s="1112"/>
      <c r="N527" s="1112"/>
      <c r="O527" s="1112"/>
      <c r="P527" s="1112" t="s">
        <v>96</v>
      </c>
      <c r="Q527" s="1112"/>
    </row>
    <row r="528">
      <c r="A528" s="1112"/>
      <c r="B528" s="1112"/>
      <c r="C528" s="1112"/>
      <c r="D528" s="1112"/>
      <c r="E528" s="1112"/>
      <c r="F528" s="1112"/>
      <c r="G528" s="1112"/>
      <c r="H528" s="1112"/>
      <c r="I528" s="1112"/>
      <c r="J528" s="1114"/>
      <c r="K528" s="1112"/>
      <c r="L528" s="1112"/>
      <c r="M528" s="1112"/>
      <c r="N528" s="1112"/>
      <c r="O528" s="1112"/>
      <c r="P528" s="1112" t="s">
        <v>96</v>
      </c>
      <c r="Q528" s="1112"/>
    </row>
    <row r="529">
      <c r="A529" s="1112"/>
      <c r="B529" s="1112"/>
      <c r="C529" s="1112"/>
      <c r="D529" s="1112"/>
      <c r="E529" s="1112"/>
      <c r="F529" s="1112"/>
      <c r="G529" s="1112"/>
      <c r="H529" s="1112"/>
      <c r="I529" s="1112"/>
      <c r="J529" s="1114"/>
      <c r="K529" s="1112"/>
      <c r="L529" s="1112"/>
      <c r="M529" s="1112"/>
      <c r="N529" s="1112"/>
      <c r="O529" s="1112"/>
      <c r="P529" s="1112" t="s">
        <v>96</v>
      </c>
      <c r="Q529" s="1112"/>
    </row>
    <row r="530">
      <c r="A530" s="1112"/>
      <c r="B530" s="1112"/>
      <c r="C530" s="1112"/>
      <c r="D530" s="1112"/>
      <c r="E530" s="1112"/>
      <c r="F530" s="1112"/>
      <c r="G530" s="1112"/>
      <c r="H530" s="1112"/>
      <c r="I530" s="1112"/>
      <c r="J530" s="1114"/>
      <c r="K530" s="1112"/>
      <c r="L530" s="1112"/>
      <c r="M530" s="1112"/>
      <c r="N530" s="1112"/>
      <c r="O530" s="1112"/>
      <c r="P530" s="1112" t="s">
        <v>96</v>
      </c>
      <c r="Q530" s="1112"/>
    </row>
    <row r="531">
      <c r="A531" s="1112"/>
      <c r="B531" s="1112"/>
      <c r="C531" s="1112"/>
      <c r="D531" s="1112"/>
      <c r="E531" s="1112"/>
      <c r="F531" s="1112"/>
      <c r="G531" s="1112"/>
      <c r="H531" s="1112"/>
      <c r="I531" s="1112"/>
      <c r="J531" s="1114"/>
      <c r="K531" s="1112"/>
      <c r="L531" s="1112"/>
      <c r="M531" s="1112"/>
      <c r="N531" s="1112"/>
      <c r="O531" s="1112"/>
      <c r="P531" s="1112" t="s">
        <v>96</v>
      </c>
      <c r="Q531" s="1112"/>
    </row>
    <row r="532">
      <c r="A532" s="1112"/>
      <c r="B532" s="1112"/>
      <c r="C532" s="1112"/>
      <c r="D532" s="1112"/>
      <c r="E532" s="1112"/>
      <c r="F532" s="1112"/>
      <c r="G532" s="1112"/>
      <c r="H532" s="1112"/>
      <c r="I532" s="1112"/>
      <c r="J532" s="1114"/>
      <c r="K532" s="1112"/>
      <c r="L532" s="1112"/>
      <c r="M532" s="1112"/>
      <c r="N532" s="1112"/>
      <c r="O532" s="1112"/>
      <c r="P532" s="1112" t="s">
        <v>96</v>
      </c>
      <c r="Q532" s="1112"/>
    </row>
    <row r="533">
      <c r="A533" s="1112"/>
      <c r="B533" s="1112"/>
      <c r="C533" s="1112"/>
      <c r="D533" s="1112"/>
      <c r="E533" s="1112"/>
      <c r="F533" s="1112"/>
      <c r="G533" s="1112"/>
      <c r="H533" s="1112"/>
      <c r="I533" s="1112"/>
      <c r="J533" s="1114"/>
      <c r="K533" s="1112"/>
      <c r="L533" s="1112"/>
      <c r="M533" s="1112"/>
      <c r="N533" s="1112"/>
      <c r="O533" s="1112"/>
      <c r="P533" s="1112" t="s">
        <v>96</v>
      </c>
      <c r="Q533" s="1112"/>
    </row>
    <row r="534">
      <c r="A534" s="1112"/>
      <c r="B534" s="1112"/>
      <c r="C534" s="1112"/>
      <c r="D534" s="1112"/>
      <c r="E534" s="1112"/>
      <c r="F534" s="1112"/>
      <c r="G534" s="1112"/>
      <c r="H534" s="1112"/>
      <c r="I534" s="1112"/>
      <c r="J534" s="1114"/>
      <c r="K534" s="1112"/>
      <c r="L534" s="1112"/>
      <c r="M534" s="1112"/>
      <c r="N534" s="1112"/>
      <c r="O534" s="1112"/>
      <c r="P534" s="1112" t="s">
        <v>96</v>
      </c>
      <c r="Q534" s="1112"/>
    </row>
    <row r="535">
      <c r="A535" s="1112"/>
      <c r="B535" s="1112"/>
      <c r="C535" s="1112"/>
      <c r="D535" s="1112"/>
      <c r="E535" s="1112"/>
      <c r="F535" s="1112"/>
      <c r="G535" s="1112"/>
      <c r="H535" s="1112"/>
      <c r="I535" s="1112"/>
      <c r="J535" s="1114"/>
      <c r="K535" s="1112"/>
      <c r="L535" s="1112"/>
      <c r="M535" s="1112"/>
      <c r="N535" s="1112"/>
      <c r="O535" s="1112"/>
      <c r="P535" s="1112" t="s">
        <v>96</v>
      </c>
      <c r="Q535" s="1112"/>
    </row>
    <row r="536">
      <c r="A536" s="1112"/>
      <c r="B536" s="1112"/>
      <c r="C536" s="1112"/>
      <c r="D536" s="1112"/>
      <c r="E536" s="1112"/>
      <c r="F536" s="1112"/>
      <c r="G536" s="1112"/>
      <c r="H536" s="1112"/>
      <c r="I536" s="1112"/>
      <c r="J536" s="1114"/>
      <c r="K536" s="1112"/>
      <c r="L536" s="1112"/>
      <c r="M536" s="1112"/>
      <c r="N536" s="1112"/>
      <c r="O536" s="1112"/>
      <c r="P536" s="1112" t="s">
        <v>96</v>
      </c>
      <c r="Q536" s="1112"/>
    </row>
    <row r="537">
      <c r="A537" s="1112"/>
      <c r="B537" s="1112"/>
      <c r="C537" s="1112"/>
      <c r="D537" s="1112"/>
      <c r="E537" s="1112"/>
      <c r="F537" s="1112"/>
      <c r="G537" s="1112"/>
      <c r="H537" s="1112"/>
      <c r="I537" s="1112"/>
      <c r="J537" s="1114"/>
      <c r="K537" s="1112"/>
      <c r="L537" s="1112"/>
      <c r="M537" s="1112"/>
      <c r="N537" s="1112"/>
      <c r="O537" s="1112"/>
      <c r="P537" s="1112" t="s">
        <v>96</v>
      </c>
      <c r="Q537" s="1112"/>
    </row>
    <row r="538">
      <c r="A538" s="1112"/>
      <c r="B538" s="1112"/>
      <c r="C538" s="1112"/>
      <c r="D538" s="1112"/>
      <c r="E538" s="1112"/>
      <c r="F538" s="1112"/>
      <c r="G538" s="1112"/>
      <c r="H538" s="1112"/>
      <c r="I538" s="1112"/>
      <c r="J538" s="1114"/>
      <c r="K538" s="1112"/>
      <c r="L538" s="1112"/>
      <c r="M538" s="1112"/>
      <c r="N538" s="1112"/>
      <c r="O538" s="1112"/>
      <c r="P538" s="1112" t="s">
        <v>96</v>
      </c>
      <c r="Q538" s="1112"/>
    </row>
    <row r="539">
      <c r="A539" s="1112"/>
      <c r="B539" s="1112"/>
      <c r="C539" s="1112"/>
      <c r="D539" s="1112"/>
      <c r="E539" s="1112"/>
      <c r="F539" s="1112"/>
      <c r="G539" s="1112"/>
      <c r="H539" s="1112"/>
      <c r="I539" s="1112"/>
      <c r="J539" s="1114"/>
      <c r="K539" s="1112"/>
      <c r="L539" s="1112"/>
      <c r="M539" s="1112"/>
      <c r="N539" s="1112"/>
      <c r="O539" s="1112"/>
      <c r="P539" s="1112" t="s">
        <v>96</v>
      </c>
      <c r="Q539" s="1112"/>
    </row>
    <row r="540">
      <c r="A540" s="1112"/>
      <c r="B540" s="1112"/>
      <c r="C540" s="1112"/>
      <c r="D540" s="1112"/>
      <c r="E540" s="1112"/>
      <c r="F540" s="1112"/>
      <c r="G540" s="1112"/>
      <c r="H540" s="1112"/>
      <c r="I540" s="1112"/>
      <c r="J540" s="1114"/>
      <c r="K540" s="1112"/>
      <c r="L540" s="1112"/>
      <c r="M540" s="1112"/>
      <c r="N540" s="1112"/>
      <c r="O540" s="1112"/>
      <c r="P540" s="1112" t="s">
        <v>96</v>
      </c>
      <c r="Q540" s="1112"/>
    </row>
    <row r="541">
      <c r="A541" s="1112"/>
      <c r="B541" s="1112"/>
      <c r="C541" s="1112"/>
      <c r="D541" s="1112"/>
      <c r="E541" s="1112"/>
      <c r="F541" s="1112"/>
      <c r="G541" s="1112"/>
      <c r="H541" s="1112"/>
      <c r="I541" s="1112"/>
      <c r="J541" s="1114"/>
      <c r="K541" s="1112"/>
      <c r="L541" s="1112"/>
      <c r="M541" s="1112"/>
      <c r="N541" s="1112"/>
      <c r="O541" s="1112"/>
      <c r="P541" s="1112" t="s">
        <v>96</v>
      </c>
      <c r="Q541" s="1112"/>
    </row>
    <row r="542">
      <c r="A542" s="1112"/>
      <c r="B542" s="1112"/>
      <c r="C542" s="1112"/>
      <c r="D542" s="1112"/>
      <c r="E542" s="1112"/>
      <c r="F542" s="1112"/>
      <c r="G542" s="1112"/>
      <c r="H542" s="1112"/>
      <c r="I542" s="1112"/>
      <c r="J542" s="1114"/>
      <c r="K542" s="1112"/>
      <c r="L542" s="1112"/>
      <c r="M542" s="1112"/>
      <c r="N542" s="1112"/>
      <c r="O542" s="1112"/>
      <c r="P542" s="1112" t="s">
        <v>96</v>
      </c>
      <c r="Q542" s="1112"/>
    </row>
    <row r="543">
      <c r="A543" s="1112"/>
      <c r="B543" s="1112"/>
      <c r="C543" s="1112"/>
      <c r="D543" s="1112"/>
      <c r="E543" s="1112"/>
      <c r="F543" s="1112"/>
      <c r="G543" s="1112"/>
      <c r="H543" s="1112"/>
      <c r="I543" s="1112"/>
      <c r="J543" s="1114"/>
      <c r="K543" s="1112"/>
      <c r="L543" s="1112"/>
      <c r="M543" s="1112"/>
      <c r="N543" s="1112"/>
      <c r="O543" s="1112"/>
      <c r="P543" s="1112" t="s">
        <v>96</v>
      </c>
      <c r="Q543" s="1112"/>
    </row>
    <row r="544">
      <c r="A544" s="1112"/>
      <c r="B544" s="1112"/>
      <c r="C544" s="1112"/>
      <c r="D544" s="1112"/>
      <c r="E544" s="1112"/>
      <c r="F544" s="1112"/>
      <c r="G544" s="1112"/>
      <c r="H544" s="1112"/>
      <c r="I544" s="1112"/>
      <c r="J544" s="1114"/>
      <c r="K544" s="1112"/>
      <c r="L544" s="1112"/>
      <c r="M544" s="1112"/>
      <c r="N544" s="1112"/>
      <c r="O544" s="1112"/>
      <c r="P544" s="1112" t="s">
        <v>96</v>
      </c>
      <c r="Q544" s="1112"/>
    </row>
    <row r="545">
      <c r="A545" s="1112"/>
      <c r="B545" s="1112"/>
      <c r="C545" s="1112"/>
      <c r="D545" s="1112"/>
      <c r="E545" s="1112"/>
      <c r="F545" s="1112"/>
      <c r="G545" s="1112"/>
      <c r="H545" s="1112"/>
      <c r="I545" s="1112"/>
      <c r="J545" s="1114"/>
      <c r="K545" s="1112"/>
      <c r="L545" s="1112"/>
      <c r="M545" s="1112"/>
      <c r="N545" s="1112"/>
      <c r="O545" s="1112"/>
      <c r="P545" s="1112" t="s">
        <v>96</v>
      </c>
      <c r="Q545" s="1112"/>
    </row>
    <row r="546">
      <c r="A546" s="1112"/>
      <c r="B546" s="1112"/>
      <c r="C546" s="1112"/>
      <c r="D546" s="1112"/>
      <c r="E546" s="1112"/>
      <c r="F546" s="1112"/>
      <c r="G546" s="1112"/>
      <c r="H546" s="1112"/>
      <c r="I546" s="1112"/>
      <c r="J546" s="1114"/>
      <c r="K546" s="1112"/>
      <c r="L546" s="1112"/>
      <c r="M546" s="1112"/>
      <c r="N546" s="1112"/>
      <c r="O546" s="1112"/>
      <c r="P546" s="1112" t="s">
        <v>96</v>
      </c>
      <c r="Q546" s="1112"/>
    </row>
    <row r="547">
      <c r="A547" s="1112"/>
      <c r="B547" s="1112"/>
      <c r="C547" s="1112"/>
      <c r="D547" s="1112"/>
      <c r="E547" s="1112"/>
      <c r="F547" s="1112"/>
      <c r="G547" s="1112"/>
      <c r="H547" s="1112"/>
      <c r="I547" s="1112"/>
      <c r="J547" s="1114"/>
      <c r="K547" s="1112"/>
      <c r="L547" s="1112"/>
      <c r="M547" s="1112"/>
      <c r="N547" s="1112"/>
      <c r="O547" s="1112"/>
      <c r="P547" s="1112" t="s">
        <v>96</v>
      </c>
      <c r="Q547" s="1112"/>
    </row>
    <row r="548">
      <c r="A548" s="1112"/>
      <c r="B548" s="1112"/>
      <c r="C548" s="1112"/>
      <c r="D548" s="1112"/>
      <c r="E548" s="1112"/>
      <c r="F548" s="1112"/>
      <c r="G548" s="1112"/>
      <c r="H548" s="1112"/>
      <c r="I548" s="1112"/>
      <c r="J548" s="1114"/>
      <c r="K548" s="1112"/>
      <c r="L548" s="1112"/>
      <c r="M548" s="1112"/>
      <c r="N548" s="1112"/>
      <c r="O548" s="1112"/>
      <c r="P548" s="1112" t="s">
        <v>96</v>
      </c>
      <c r="Q548" s="1112"/>
    </row>
    <row r="549">
      <c r="A549" s="1112"/>
      <c r="B549" s="1112"/>
      <c r="C549" s="1112"/>
      <c r="D549" s="1112"/>
      <c r="E549" s="1112"/>
      <c r="F549" s="1112"/>
      <c r="G549" s="1112"/>
      <c r="H549" s="1112"/>
      <c r="I549" s="1112"/>
      <c r="J549" s="1114"/>
      <c r="K549" s="1112"/>
      <c r="L549" s="1112"/>
      <c r="M549" s="1112"/>
      <c r="N549" s="1112"/>
      <c r="O549" s="1112"/>
      <c r="P549" s="1112" t="s">
        <v>96</v>
      </c>
      <c r="Q549" s="1112"/>
    </row>
    <row r="550">
      <c r="A550" s="1112"/>
      <c r="B550" s="1112"/>
      <c r="C550" s="1112"/>
      <c r="D550" s="1112"/>
      <c r="E550" s="1112"/>
      <c r="F550" s="1112"/>
      <c r="G550" s="1112"/>
      <c r="H550" s="1112"/>
      <c r="I550" s="1112"/>
      <c r="J550" s="1114"/>
      <c r="K550" s="1112"/>
      <c r="L550" s="1112"/>
      <c r="M550" s="1112"/>
      <c r="N550" s="1112"/>
      <c r="O550" s="1112"/>
      <c r="P550" s="1112" t="s">
        <v>96</v>
      </c>
      <c r="Q550" s="1112"/>
    </row>
    <row r="551">
      <c r="A551" s="1112"/>
      <c r="B551" s="1112"/>
      <c r="C551" s="1112"/>
      <c r="D551" s="1112"/>
      <c r="E551" s="1112"/>
      <c r="F551" s="1112"/>
      <c r="G551" s="1112"/>
      <c r="H551" s="1112"/>
      <c r="I551" s="1112"/>
      <c r="J551" s="1114"/>
      <c r="K551" s="1112"/>
      <c r="L551" s="1112"/>
      <c r="M551" s="1112"/>
      <c r="N551" s="1112"/>
      <c r="O551" s="1112"/>
      <c r="P551" s="1112" t="s">
        <v>96</v>
      </c>
      <c r="Q551" s="1112"/>
    </row>
    <row r="552">
      <c r="A552" s="1112"/>
      <c r="B552" s="1112"/>
      <c r="C552" s="1112"/>
      <c r="D552" s="1112"/>
      <c r="E552" s="1112"/>
      <c r="F552" s="1112"/>
      <c r="G552" s="1112"/>
      <c r="H552" s="1112"/>
      <c r="I552" s="1112"/>
      <c r="J552" s="1114"/>
      <c r="K552" s="1112"/>
      <c r="L552" s="1112"/>
      <c r="M552" s="1112"/>
      <c r="N552" s="1112"/>
      <c r="O552" s="1112"/>
      <c r="P552" s="1112" t="s">
        <v>96</v>
      </c>
      <c r="Q552" s="1112"/>
    </row>
    <row r="553">
      <c r="A553" s="1112"/>
      <c r="B553" s="1112"/>
      <c r="C553" s="1112"/>
      <c r="D553" s="1112"/>
      <c r="E553" s="1112"/>
      <c r="F553" s="1112"/>
      <c r="G553" s="1112"/>
      <c r="H553" s="1112"/>
      <c r="I553" s="1112"/>
      <c r="J553" s="1114"/>
      <c r="K553" s="1112"/>
      <c r="L553" s="1112"/>
      <c r="M553" s="1112"/>
      <c r="N553" s="1112"/>
      <c r="O553" s="1112"/>
      <c r="P553" s="1112" t="s">
        <v>96</v>
      </c>
      <c r="Q553" s="1112"/>
    </row>
    <row r="554">
      <c r="A554" s="1112"/>
      <c r="B554" s="1112"/>
      <c r="C554" s="1112"/>
      <c r="D554" s="1112"/>
      <c r="E554" s="1112"/>
      <c r="F554" s="1112"/>
      <c r="G554" s="1112"/>
      <c r="H554" s="1112"/>
      <c r="I554" s="1112"/>
      <c r="J554" s="1114"/>
      <c r="K554" s="1112"/>
      <c r="L554" s="1112"/>
      <c r="M554" s="1112"/>
      <c r="N554" s="1112"/>
      <c r="O554" s="1112"/>
      <c r="P554" s="1112" t="s">
        <v>96</v>
      </c>
      <c r="Q554" s="1112"/>
    </row>
    <row r="555">
      <c r="A555" s="1112"/>
      <c r="B555" s="1112"/>
      <c r="C555" s="1112"/>
      <c r="D555" s="1112"/>
      <c r="E555" s="1112"/>
      <c r="F555" s="1112"/>
      <c r="G555" s="1112"/>
      <c r="H555" s="1112"/>
      <c r="I555" s="1112"/>
      <c r="J555" s="1114"/>
      <c r="K555" s="1112"/>
      <c r="L555" s="1112"/>
      <c r="M555" s="1112"/>
      <c r="N555" s="1112"/>
      <c r="O555" s="1112"/>
      <c r="P555" s="1112" t="s">
        <v>96</v>
      </c>
      <c r="Q555" s="1112"/>
    </row>
    <row r="556">
      <c r="A556" s="1112"/>
      <c r="B556" s="1112"/>
      <c r="C556" s="1112"/>
      <c r="D556" s="1112"/>
      <c r="E556" s="1112"/>
      <c r="F556" s="1112"/>
      <c r="G556" s="1112"/>
      <c r="H556" s="1112"/>
      <c r="I556" s="1112"/>
      <c r="J556" s="1114"/>
      <c r="K556" s="1112"/>
      <c r="L556" s="1112"/>
      <c r="M556" s="1112"/>
      <c r="N556" s="1112"/>
      <c r="O556" s="1112"/>
      <c r="P556" s="1112" t="s">
        <v>96</v>
      </c>
      <c r="Q556" s="1112"/>
    </row>
    <row r="557">
      <c r="A557" s="1112"/>
      <c r="B557" s="1112"/>
      <c r="C557" s="1112"/>
      <c r="D557" s="1112"/>
      <c r="E557" s="1112"/>
      <c r="F557" s="1112"/>
      <c r="G557" s="1112"/>
      <c r="H557" s="1112"/>
      <c r="I557" s="1112"/>
      <c r="J557" s="1114"/>
      <c r="K557" s="1112"/>
      <c r="L557" s="1112"/>
      <c r="M557" s="1112"/>
      <c r="N557" s="1112"/>
      <c r="O557" s="1112"/>
      <c r="P557" s="1112" t="s">
        <v>96</v>
      </c>
      <c r="Q557" s="1112"/>
    </row>
    <row r="558">
      <c r="A558" s="1112"/>
      <c r="B558" s="1112"/>
      <c r="C558" s="1112"/>
      <c r="D558" s="1112"/>
      <c r="E558" s="1112"/>
      <c r="F558" s="1112"/>
      <c r="G558" s="1112"/>
      <c r="H558" s="1112"/>
      <c r="I558" s="1112"/>
      <c r="J558" s="1114"/>
      <c r="K558" s="1112"/>
      <c r="L558" s="1112"/>
      <c r="M558" s="1112"/>
      <c r="N558" s="1112"/>
      <c r="O558" s="1112"/>
      <c r="P558" s="1112" t="s">
        <v>96</v>
      </c>
      <c r="Q558" s="1112"/>
    </row>
    <row r="559">
      <c r="A559" s="1112"/>
      <c r="B559" s="1112"/>
      <c r="C559" s="1112"/>
      <c r="D559" s="1112"/>
      <c r="E559" s="1112"/>
      <c r="F559" s="1112"/>
      <c r="G559" s="1112"/>
      <c r="H559" s="1112"/>
      <c r="I559" s="1112"/>
      <c r="J559" s="1114"/>
      <c r="K559" s="1112"/>
      <c r="L559" s="1112"/>
      <c r="M559" s="1112"/>
      <c r="N559" s="1112"/>
      <c r="O559" s="1112"/>
      <c r="P559" s="1112" t="s">
        <v>96</v>
      </c>
      <c r="Q559" s="1112"/>
    </row>
    <row r="560">
      <c r="A560" s="1112"/>
      <c r="B560" s="1112"/>
      <c r="C560" s="1112"/>
      <c r="D560" s="1112"/>
      <c r="E560" s="1112"/>
      <c r="F560" s="1112"/>
      <c r="G560" s="1112"/>
      <c r="H560" s="1112"/>
      <c r="I560" s="1112"/>
      <c r="J560" s="1114"/>
      <c r="K560" s="1112"/>
      <c r="L560" s="1112"/>
      <c r="M560" s="1112"/>
      <c r="N560" s="1112"/>
      <c r="O560" s="1112"/>
      <c r="P560" s="1112" t="s">
        <v>96</v>
      </c>
      <c r="Q560" s="1112"/>
    </row>
    <row r="561">
      <c r="A561" s="1112"/>
      <c r="B561" s="1112"/>
      <c r="C561" s="1112"/>
      <c r="D561" s="1112"/>
      <c r="E561" s="1112"/>
      <c r="F561" s="1112"/>
      <c r="G561" s="1112"/>
      <c r="H561" s="1112"/>
      <c r="I561" s="1112"/>
      <c r="J561" s="1114"/>
      <c r="K561" s="1112"/>
      <c r="L561" s="1112"/>
      <c r="M561" s="1112"/>
      <c r="N561" s="1112"/>
      <c r="O561" s="1112"/>
      <c r="P561" s="1112" t="s">
        <v>96</v>
      </c>
      <c r="Q561" s="1112"/>
    </row>
    <row r="562">
      <c r="A562" s="1112"/>
      <c r="B562" s="1112"/>
      <c r="C562" s="1112"/>
      <c r="D562" s="1112"/>
      <c r="E562" s="1112"/>
      <c r="F562" s="1112"/>
      <c r="G562" s="1112"/>
      <c r="H562" s="1112"/>
      <c r="I562" s="1112"/>
      <c r="J562" s="1114"/>
      <c r="K562" s="1112"/>
      <c r="L562" s="1112"/>
      <c r="M562" s="1112"/>
      <c r="N562" s="1112"/>
      <c r="O562" s="1112"/>
      <c r="P562" s="1112" t="s">
        <v>96</v>
      </c>
      <c r="Q562" s="1112"/>
    </row>
    <row r="563">
      <c r="A563" s="1112"/>
      <c r="B563" s="1112"/>
      <c r="C563" s="1112"/>
      <c r="D563" s="1112"/>
      <c r="E563" s="1112"/>
      <c r="F563" s="1112"/>
      <c r="G563" s="1112"/>
      <c r="H563" s="1112"/>
      <c r="I563" s="1112"/>
      <c r="J563" s="1114"/>
      <c r="K563" s="1112"/>
      <c r="L563" s="1112"/>
      <c r="M563" s="1112"/>
      <c r="N563" s="1112"/>
      <c r="O563" s="1112"/>
      <c r="P563" s="1112" t="s">
        <v>96</v>
      </c>
      <c r="Q563" s="1112"/>
    </row>
    <row r="564">
      <c r="A564" s="1112"/>
      <c r="B564" s="1112"/>
      <c r="C564" s="1112"/>
      <c r="D564" s="1112"/>
      <c r="E564" s="1112"/>
      <c r="F564" s="1112"/>
      <c r="G564" s="1112"/>
      <c r="H564" s="1112"/>
      <c r="I564" s="1112"/>
      <c r="J564" s="1114"/>
      <c r="K564" s="1112"/>
      <c r="L564" s="1112"/>
      <c r="M564" s="1112"/>
      <c r="N564" s="1112"/>
      <c r="O564" s="1112"/>
      <c r="P564" s="1112" t="s">
        <v>96</v>
      </c>
      <c r="Q564" s="1112"/>
    </row>
    <row r="565">
      <c r="A565" s="1112"/>
      <c r="B565" s="1112"/>
      <c r="C565" s="1112"/>
      <c r="D565" s="1112"/>
      <c r="E565" s="1112"/>
      <c r="F565" s="1112"/>
      <c r="G565" s="1112"/>
      <c r="H565" s="1112"/>
      <c r="I565" s="1112"/>
      <c r="J565" s="1114"/>
      <c r="K565" s="1112"/>
      <c r="L565" s="1112"/>
      <c r="M565" s="1112"/>
      <c r="N565" s="1112"/>
      <c r="O565" s="1112"/>
      <c r="P565" s="1112" t="s">
        <v>96</v>
      </c>
      <c r="Q565" s="1112"/>
    </row>
    <row r="566">
      <c r="A566" s="1112"/>
      <c r="B566" s="1112"/>
      <c r="C566" s="1112"/>
      <c r="D566" s="1112"/>
      <c r="E566" s="1112"/>
      <c r="F566" s="1112"/>
      <c r="G566" s="1112"/>
      <c r="H566" s="1112"/>
      <c r="I566" s="1112"/>
      <c r="J566" s="1114"/>
      <c r="K566" s="1112"/>
      <c r="L566" s="1112"/>
      <c r="M566" s="1112"/>
      <c r="N566" s="1112"/>
      <c r="O566" s="1112"/>
      <c r="P566" s="1112" t="s">
        <v>96</v>
      </c>
      <c r="Q566" s="1112"/>
    </row>
    <row r="567">
      <c r="A567" s="1112"/>
      <c r="B567" s="1112"/>
      <c r="C567" s="1112"/>
      <c r="D567" s="1112"/>
      <c r="E567" s="1112"/>
      <c r="F567" s="1112"/>
      <c r="G567" s="1112"/>
      <c r="H567" s="1112"/>
      <c r="I567" s="1112"/>
      <c r="J567" s="1114"/>
      <c r="K567" s="1112"/>
      <c r="L567" s="1112"/>
      <c r="M567" s="1112"/>
      <c r="N567" s="1112"/>
      <c r="O567" s="1112"/>
      <c r="P567" s="1112" t="s">
        <v>96</v>
      </c>
      <c r="Q567" s="1112"/>
    </row>
    <row r="568">
      <c r="A568" s="1112"/>
      <c r="B568" s="1112"/>
      <c r="C568" s="1112"/>
      <c r="D568" s="1112"/>
      <c r="E568" s="1112"/>
      <c r="F568" s="1112"/>
      <c r="G568" s="1112"/>
      <c r="H568" s="1112"/>
      <c r="I568" s="1112"/>
      <c r="J568" s="1114"/>
      <c r="K568" s="1112"/>
      <c r="L568" s="1112"/>
      <c r="M568" s="1112"/>
      <c r="N568" s="1112"/>
      <c r="O568" s="1112"/>
      <c r="P568" s="1112" t="s">
        <v>96</v>
      </c>
      <c r="Q568" s="1112"/>
    </row>
    <row r="569">
      <c r="A569" s="1112"/>
      <c r="B569" s="1112"/>
      <c r="C569" s="1112"/>
      <c r="D569" s="1112"/>
      <c r="E569" s="1112"/>
      <c r="F569" s="1112"/>
      <c r="G569" s="1112"/>
      <c r="H569" s="1112"/>
      <c r="I569" s="1112"/>
      <c r="J569" s="1114"/>
      <c r="K569" s="1112"/>
      <c r="L569" s="1112"/>
      <c r="M569" s="1112"/>
      <c r="N569" s="1112"/>
      <c r="O569" s="1112"/>
      <c r="P569" s="1112" t="s">
        <v>96</v>
      </c>
      <c r="Q569" s="1112"/>
    </row>
    <row r="570">
      <c r="A570" s="1112"/>
      <c r="B570" s="1112"/>
      <c r="C570" s="1112"/>
      <c r="D570" s="1112"/>
      <c r="E570" s="1112"/>
      <c r="F570" s="1112"/>
      <c r="G570" s="1112"/>
      <c r="H570" s="1112"/>
      <c r="I570" s="1112"/>
      <c r="J570" s="1114"/>
      <c r="K570" s="1112"/>
      <c r="L570" s="1112"/>
      <c r="M570" s="1112"/>
      <c r="N570" s="1112"/>
      <c r="O570" s="1112"/>
      <c r="P570" s="1112" t="s">
        <v>96</v>
      </c>
      <c r="Q570" s="1112"/>
    </row>
    <row r="571">
      <c r="A571" s="1112"/>
      <c r="B571" s="1112"/>
      <c r="C571" s="1112"/>
      <c r="D571" s="1112"/>
      <c r="E571" s="1112"/>
      <c r="F571" s="1112"/>
      <c r="G571" s="1112"/>
      <c r="H571" s="1112"/>
      <c r="I571" s="1112"/>
      <c r="J571" s="1114"/>
      <c r="K571" s="1112"/>
      <c r="L571" s="1112"/>
      <c r="M571" s="1112"/>
      <c r="N571" s="1112"/>
      <c r="O571" s="1112"/>
      <c r="P571" s="1112" t="s">
        <v>96</v>
      </c>
      <c r="Q571" s="1112"/>
    </row>
    <row r="572">
      <c r="A572" s="1112"/>
      <c r="B572" s="1112"/>
      <c r="C572" s="1112"/>
      <c r="D572" s="1112"/>
      <c r="E572" s="1112"/>
      <c r="F572" s="1112"/>
      <c r="G572" s="1112"/>
      <c r="H572" s="1112"/>
      <c r="I572" s="1112"/>
      <c r="J572" s="1114"/>
      <c r="K572" s="1112"/>
      <c r="L572" s="1112"/>
      <c r="M572" s="1112"/>
      <c r="N572" s="1112"/>
      <c r="O572" s="1112"/>
      <c r="P572" s="1112" t="s">
        <v>96</v>
      </c>
      <c r="Q572" s="1112"/>
    </row>
    <row r="573">
      <c r="A573" s="1112"/>
      <c r="B573" s="1112"/>
      <c r="C573" s="1112"/>
      <c r="D573" s="1112"/>
      <c r="E573" s="1112"/>
      <c r="F573" s="1112"/>
      <c r="G573" s="1112"/>
      <c r="H573" s="1112"/>
      <c r="I573" s="1112"/>
      <c r="J573" s="1114"/>
      <c r="K573" s="1112"/>
      <c r="L573" s="1112"/>
      <c r="M573" s="1112"/>
      <c r="N573" s="1112"/>
      <c r="O573" s="1112"/>
      <c r="P573" s="1112" t="s">
        <v>96</v>
      </c>
      <c r="Q573" s="1112"/>
    </row>
    <row r="574">
      <c r="A574" s="1112"/>
      <c r="B574" s="1112"/>
      <c r="C574" s="1112"/>
      <c r="D574" s="1112"/>
      <c r="E574" s="1112"/>
      <c r="F574" s="1112"/>
      <c r="G574" s="1112"/>
      <c r="H574" s="1112"/>
      <c r="I574" s="1112"/>
      <c r="J574" s="1114"/>
      <c r="K574" s="1112"/>
      <c r="L574" s="1112"/>
      <c r="M574" s="1112"/>
      <c r="N574" s="1112"/>
      <c r="O574" s="1112"/>
      <c r="P574" s="1112" t="s">
        <v>96</v>
      </c>
      <c r="Q574" s="1112"/>
    </row>
    <row r="575">
      <c r="A575" s="1112"/>
      <c r="B575" s="1112"/>
      <c r="C575" s="1112"/>
      <c r="D575" s="1112"/>
      <c r="E575" s="1112"/>
      <c r="F575" s="1112"/>
      <c r="G575" s="1112"/>
      <c r="H575" s="1112"/>
      <c r="I575" s="1112"/>
      <c r="J575" s="1114"/>
      <c r="K575" s="1112"/>
      <c r="L575" s="1112"/>
      <c r="M575" s="1112"/>
      <c r="N575" s="1112"/>
      <c r="O575" s="1112"/>
      <c r="P575" s="1112" t="s">
        <v>96</v>
      </c>
      <c r="Q575" s="1112"/>
    </row>
    <row r="576">
      <c r="A576" s="1112"/>
      <c r="B576" s="1112"/>
      <c r="C576" s="1112"/>
      <c r="D576" s="1112"/>
      <c r="E576" s="1112"/>
      <c r="F576" s="1112"/>
      <c r="G576" s="1112"/>
      <c r="H576" s="1112"/>
      <c r="I576" s="1112"/>
      <c r="J576" s="1114"/>
      <c r="K576" s="1112"/>
      <c r="L576" s="1112"/>
      <c r="M576" s="1112"/>
      <c r="N576" s="1112"/>
      <c r="O576" s="1112"/>
      <c r="P576" s="1112" t="s">
        <v>96</v>
      </c>
      <c r="Q576" s="1112"/>
    </row>
    <row r="577">
      <c r="A577" s="1112"/>
      <c r="B577" s="1112"/>
      <c r="C577" s="1112"/>
      <c r="D577" s="1112"/>
      <c r="E577" s="1112"/>
      <c r="F577" s="1112"/>
      <c r="G577" s="1112"/>
      <c r="H577" s="1112"/>
      <c r="I577" s="1112"/>
      <c r="J577" s="1114"/>
      <c r="K577" s="1112"/>
      <c r="L577" s="1112"/>
      <c r="M577" s="1112"/>
      <c r="N577" s="1112"/>
      <c r="O577" s="1112"/>
      <c r="P577" s="1112" t="s">
        <v>96</v>
      </c>
      <c r="Q577" s="1112"/>
    </row>
    <row r="578">
      <c r="A578" s="1112"/>
      <c r="B578" s="1112"/>
      <c r="C578" s="1112"/>
      <c r="D578" s="1112"/>
      <c r="E578" s="1112"/>
      <c r="F578" s="1112"/>
      <c r="G578" s="1112"/>
      <c r="H578" s="1112"/>
      <c r="I578" s="1112"/>
      <c r="J578" s="1114"/>
      <c r="K578" s="1112"/>
      <c r="L578" s="1112"/>
      <c r="M578" s="1112"/>
      <c r="N578" s="1112"/>
      <c r="O578" s="1112"/>
      <c r="P578" s="1112" t="s">
        <v>96</v>
      </c>
      <c r="Q578" s="1112"/>
    </row>
    <row r="579">
      <c r="A579" s="1112"/>
      <c r="B579" s="1112"/>
      <c r="C579" s="1112"/>
      <c r="D579" s="1112"/>
      <c r="E579" s="1112"/>
      <c r="F579" s="1112"/>
      <c r="G579" s="1112"/>
      <c r="H579" s="1112"/>
      <c r="I579" s="1112"/>
      <c r="J579" s="1114"/>
      <c r="K579" s="1112"/>
      <c r="L579" s="1112"/>
      <c r="M579" s="1112"/>
      <c r="N579" s="1112"/>
      <c r="O579" s="1112"/>
      <c r="P579" s="1112" t="s">
        <v>96</v>
      </c>
      <c r="Q579" s="1112"/>
    </row>
    <row r="580">
      <c r="A580" s="1112"/>
      <c r="B580" s="1112"/>
      <c r="C580" s="1112"/>
      <c r="D580" s="1112"/>
      <c r="E580" s="1112"/>
      <c r="F580" s="1112"/>
      <c r="G580" s="1112"/>
      <c r="H580" s="1112"/>
      <c r="I580" s="1112"/>
      <c r="J580" s="1114"/>
      <c r="K580" s="1112"/>
      <c r="L580" s="1112"/>
      <c r="M580" s="1112"/>
      <c r="N580" s="1112"/>
      <c r="O580" s="1112"/>
      <c r="P580" s="1112" t="s">
        <v>96</v>
      </c>
      <c r="Q580" s="1112"/>
    </row>
    <row r="581">
      <c r="A581" s="1112"/>
      <c r="B581" s="1112"/>
      <c r="C581" s="1112"/>
      <c r="D581" s="1112"/>
      <c r="E581" s="1112"/>
      <c r="F581" s="1112"/>
      <c r="G581" s="1112"/>
      <c r="H581" s="1112"/>
      <c r="I581" s="1112"/>
      <c r="J581" s="1114"/>
      <c r="K581" s="1112"/>
      <c r="L581" s="1112"/>
      <c r="M581" s="1112"/>
      <c r="N581" s="1112"/>
      <c r="O581" s="1112"/>
      <c r="P581" s="1112" t="s">
        <v>96</v>
      </c>
      <c r="Q581" s="1112"/>
    </row>
    <row r="582">
      <c r="A582" s="1112"/>
      <c r="B582" s="1112"/>
      <c r="C582" s="1112"/>
      <c r="D582" s="1112"/>
      <c r="E582" s="1112"/>
      <c r="F582" s="1112"/>
      <c r="G582" s="1112"/>
      <c r="H582" s="1112"/>
      <c r="I582" s="1112"/>
      <c r="J582" s="1114"/>
      <c r="K582" s="1112"/>
      <c r="L582" s="1112"/>
      <c r="M582" s="1112"/>
      <c r="N582" s="1112"/>
      <c r="O582" s="1112"/>
      <c r="P582" s="1112" t="s">
        <v>96</v>
      </c>
      <c r="Q582" s="1112"/>
    </row>
    <row r="583">
      <c r="A583" s="1112"/>
      <c r="B583" s="1112"/>
      <c r="C583" s="1112"/>
      <c r="D583" s="1112"/>
      <c r="E583" s="1112"/>
      <c r="F583" s="1112"/>
      <c r="G583" s="1112"/>
      <c r="H583" s="1112"/>
      <c r="I583" s="1112"/>
      <c r="J583" s="1114"/>
      <c r="K583" s="1112"/>
      <c r="L583" s="1112"/>
      <c r="M583" s="1112"/>
      <c r="N583" s="1112"/>
      <c r="O583" s="1112"/>
      <c r="P583" s="1112" t="s">
        <v>96</v>
      </c>
      <c r="Q583" s="1112"/>
    </row>
    <row r="584">
      <c r="A584" s="1112"/>
      <c r="B584" s="1112"/>
      <c r="C584" s="1112"/>
      <c r="D584" s="1112"/>
      <c r="E584" s="1112"/>
      <c r="F584" s="1112"/>
      <c r="G584" s="1112"/>
      <c r="H584" s="1112"/>
      <c r="I584" s="1112"/>
      <c r="J584" s="1114"/>
      <c r="K584" s="1112"/>
      <c r="L584" s="1112"/>
      <c r="M584" s="1112"/>
      <c r="N584" s="1112"/>
      <c r="O584" s="1112"/>
      <c r="P584" s="1112" t="s">
        <v>96</v>
      </c>
      <c r="Q584" s="1112"/>
    </row>
    <row r="585">
      <c r="A585" s="1112"/>
      <c r="B585" s="1112"/>
      <c r="C585" s="1112"/>
      <c r="D585" s="1112"/>
      <c r="E585" s="1112"/>
      <c r="F585" s="1112"/>
      <c r="G585" s="1112"/>
      <c r="H585" s="1112"/>
      <c r="I585" s="1112"/>
      <c r="J585" s="1114"/>
      <c r="K585" s="1112"/>
      <c r="L585" s="1112"/>
      <c r="M585" s="1112"/>
      <c r="N585" s="1112"/>
      <c r="O585" s="1112"/>
      <c r="P585" s="1112" t="s">
        <v>96</v>
      </c>
      <c r="Q585" s="1112"/>
    </row>
    <row r="586">
      <c r="A586" s="1112"/>
      <c r="B586" s="1112"/>
      <c r="C586" s="1112"/>
      <c r="D586" s="1112"/>
      <c r="E586" s="1112"/>
      <c r="F586" s="1112"/>
      <c r="G586" s="1112"/>
      <c r="H586" s="1112"/>
      <c r="I586" s="1112"/>
      <c r="J586" s="1114"/>
      <c r="K586" s="1112"/>
      <c r="L586" s="1112"/>
      <c r="M586" s="1112"/>
      <c r="N586" s="1112"/>
      <c r="O586" s="1112"/>
      <c r="P586" s="1112" t="s">
        <v>96</v>
      </c>
      <c r="Q586" s="1112"/>
    </row>
    <row r="587">
      <c r="A587" s="1112"/>
      <c r="B587" s="1112"/>
      <c r="C587" s="1112"/>
      <c r="D587" s="1112"/>
      <c r="E587" s="1112"/>
      <c r="F587" s="1112"/>
      <c r="G587" s="1112"/>
      <c r="H587" s="1112"/>
      <c r="I587" s="1112"/>
      <c r="J587" s="1114"/>
      <c r="K587" s="1112"/>
      <c r="L587" s="1112"/>
      <c r="M587" s="1112"/>
      <c r="N587" s="1112"/>
      <c r="O587" s="1112"/>
      <c r="P587" s="1112" t="s">
        <v>96</v>
      </c>
      <c r="Q587" s="1112"/>
    </row>
    <row r="588">
      <c r="A588" s="1112"/>
      <c r="B588" s="1112"/>
      <c r="C588" s="1112"/>
      <c r="D588" s="1112"/>
      <c r="E588" s="1112"/>
      <c r="F588" s="1112"/>
      <c r="G588" s="1112"/>
      <c r="H588" s="1112"/>
      <c r="I588" s="1112"/>
      <c r="J588" s="1114"/>
      <c r="K588" s="1112"/>
      <c r="L588" s="1112"/>
      <c r="M588" s="1112"/>
      <c r="N588" s="1112"/>
      <c r="O588" s="1112"/>
      <c r="P588" s="1112" t="s">
        <v>96</v>
      </c>
      <c r="Q588" s="1112"/>
    </row>
    <row r="589">
      <c r="A589" s="1112"/>
      <c r="B589" s="1112"/>
      <c r="C589" s="1112"/>
      <c r="D589" s="1112"/>
      <c r="E589" s="1112"/>
      <c r="F589" s="1112"/>
      <c r="G589" s="1112"/>
      <c r="H589" s="1112"/>
      <c r="I589" s="1112"/>
      <c r="J589" s="1114"/>
      <c r="K589" s="1112"/>
      <c r="L589" s="1112"/>
      <c r="M589" s="1112"/>
      <c r="N589" s="1112"/>
      <c r="O589" s="1112"/>
      <c r="P589" s="1112" t="s">
        <v>96</v>
      </c>
      <c r="Q589" s="1112"/>
    </row>
    <row r="590">
      <c r="A590" s="1112"/>
      <c r="B590" s="1112"/>
      <c r="C590" s="1112"/>
      <c r="D590" s="1112"/>
      <c r="E590" s="1112"/>
      <c r="F590" s="1112"/>
      <c r="G590" s="1112"/>
      <c r="H590" s="1112"/>
      <c r="I590" s="1112"/>
      <c r="J590" s="1114"/>
      <c r="K590" s="1112"/>
      <c r="L590" s="1112"/>
      <c r="M590" s="1112"/>
      <c r="N590" s="1112"/>
      <c r="O590" s="1112"/>
      <c r="P590" s="1112" t="s">
        <v>96</v>
      </c>
      <c r="Q590" s="1112"/>
    </row>
    <row r="591">
      <c r="A591" s="1112"/>
      <c r="B591" s="1112"/>
      <c r="C591" s="1112"/>
      <c r="D591" s="1112"/>
      <c r="E591" s="1112"/>
      <c r="F591" s="1112"/>
      <c r="G591" s="1112"/>
      <c r="H591" s="1112"/>
      <c r="I591" s="1112"/>
      <c r="J591" s="1114"/>
      <c r="K591" s="1112"/>
      <c r="L591" s="1112"/>
      <c r="M591" s="1112"/>
      <c r="N591" s="1112"/>
      <c r="O591" s="1112"/>
      <c r="P591" s="1112" t="s">
        <v>96</v>
      </c>
      <c r="Q591" s="1112"/>
    </row>
    <row r="592">
      <c r="A592" s="1112"/>
      <c r="B592" s="1112"/>
      <c r="C592" s="1112"/>
      <c r="D592" s="1112"/>
      <c r="E592" s="1112"/>
      <c r="F592" s="1112"/>
      <c r="G592" s="1112"/>
      <c r="H592" s="1112"/>
      <c r="I592" s="1112"/>
      <c r="J592" s="1114"/>
      <c r="K592" s="1112"/>
      <c r="L592" s="1112"/>
      <c r="M592" s="1112"/>
      <c r="N592" s="1112"/>
      <c r="O592" s="1112"/>
      <c r="P592" s="1112" t="s">
        <v>96</v>
      </c>
      <c r="Q592" s="1112"/>
    </row>
    <row r="593">
      <c r="A593" s="1112"/>
      <c r="B593" s="1112"/>
      <c r="C593" s="1112"/>
      <c r="D593" s="1112"/>
      <c r="E593" s="1112"/>
      <c r="F593" s="1112"/>
      <c r="G593" s="1112"/>
      <c r="H593" s="1112"/>
      <c r="I593" s="1112"/>
      <c r="J593" s="1114"/>
      <c r="K593" s="1112"/>
      <c r="L593" s="1112"/>
      <c r="M593" s="1112"/>
      <c r="N593" s="1112"/>
      <c r="O593" s="1112"/>
      <c r="P593" s="1112" t="s">
        <v>96</v>
      </c>
      <c r="Q593" s="1112"/>
    </row>
    <row r="594">
      <c r="A594" s="1112"/>
      <c r="B594" s="1112"/>
      <c r="C594" s="1112"/>
      <c r="D594" s="1112"/>
      <c r="E594" s="1112"/>
      <c r="F594" s="1112"/>
      <c r="G594" s="1112"/>
      <c r="H594" s="1112"/>
      <c r="I594" s="1112"/>
      <c r="J594" s="1114"/>
      <c r="K594" s="1112"/>
      <c r="L594" s="1112"/>
      <c r="M594" s="1112"/>
      <c r="N594" s="1112"/>
      <c r="O594" s="1112"/>
      <c r="P594" s="1112" t="s">
        <v>96</v>
      </c>
      <c r="Q594" s="1112"/>
    </row>
    <row r="595">
      <c r="A595" s="1112"/>
      <c r="B595" s="1112"/>
      <c r="C595" s="1112"/>
      <c r="D595" s="1112"/>
      <c r="E595" s="1112"/>
      <c r="F595" s="1112"/>
      <c r="G595" s="1112"/>
      <c r="H595" s="1112"/>
      <c r="I595" s="1112"/>
      <c r="J595" s="1114"/>
      <c r="K595" s="1112"/>
      <c r="L595" s="1112"/>
      <c r="M595" s="1112"/>
      <c r="N595" s="1112"/>
      <c r="O595" s="1112"/>
      <c r="P595" s="1112" t="s">
        <v>96</v>
      </c>
      <c r="Q595" s="1112"/>
    </row>
    <row r="596">
      <c r="A596" s="1112"/>
      <c r="B596" s="1112"/>
      <c r="C596" s="1112"/>
      <c r="D596" s="1112"/>
      <c r="E596" s="1112"/>
      <c r="F596" s="1112"/>
      <c r="G596" s="1112"/>
      <c r="H596" s="1112"/>
      <c r="I596" s="1112"/>
      <c r="J596" s="1114"/>
      <c r="K596" s="1112"/>
      <c r="L596" s="1112"/>
      <c r="M596" s="1112"/>
      <c r="N596" s="1112"/>
      <c r="O596" s="1112"/>
      <c r="P596" s="1112" t="s">
        <v>96</v>
      </c>
      <c r="Q596" s="1112"/>
    </row>
    <row r="597">
      <c r="A597" s="1112"/>
      <c r="B597" s="1112"/>
      <c r="C597" s="1112"/>
      <c r="D597" s="1112"/>
      <c r="E597" s="1112"/>
      <c r="F597" s="1112"/>
      <c r="G597" s="1112"/>
      <c r="H597" s="1112"/>
      <c r="I597" s="1112"/>
      <c r="J597" s="1114"/>
      <c r="K597" s="1112"/>
      <c r="L597" s="1112"/>
      <c r="M597" s="1112"/>
      <c r="N597" s="1112"/>
      <c r="O597" s="1112"/>
      <c r="P597" s="1112" t="s">
        <v>96</v>
      </c>
      <c r="Q597" s="1112"/>
    </row>
    <row r="598">
      <c r="A598" s="1112"/>
      <c r="B598" s="1112"/>
      <c r="C598" s="1112"/>
      <c r="D598" s="1112"/>
      <c r="E598" s="1112"/>
      <c r="F598" s="1112"/>
      <c r="G598" s="1112"/>
      <c r="H598" s="1112"/>
      <c r="I598" s="1112"/>
      <c r="J598" s="1114"/>
      <c r="K598" s="1112"/>
      <c r="L598" s="1112"/>
      <c r="M598" s="1112"/>
      <c r="N598" s="1112"/>
      <c r="O598" s="1112"/>
      <c r="P598" s="1112" t="s">
        <v>96</v>
      </c>
      <c r="Q598" s="1112"/>
    </row>
    <row r="599">
      <c r="A599" s="1112"/>
      <c r="B599" s="1112"/>
      <c r="C599" s="1112"/>
      <c r="D599" s="1112"/>
      <c r="E599" s="1112"/>
      <c r="F599" s="1112"/>
      <c r="G599" s="1112"/>
      <c r="H599" s="1112"/>
      <c r="I599" s="1112"/>
      <c r="J599" s="1114"/>
      <c r="K599" s="1112"/>
      <c r="L599" s="1112"/>
      <c r="M599" s="1112"/>
      <c r="N599" s="1112"/>
      <c r="O599" s="1112"/>
      <c r="P599" s="1112" t="s">
        <v>96</v>
      </c>
      <c r="Q599" s="1112"/>
    </row>
    <row r="600">
      <c r="A600" s="1112"/>
      <c r="B600" s="1112"/>
      <c r="C600" s="1112"/>
      <c r="D600" s="1112"/>
      <c r="E600" s="1112"/>
      <c r="F600" s="1112"/>
      <c r="G600" s="1112"/>
      <c r="H600" s="1112"/>
      <c r="I600" s="1112"/>
      <c r="J600" s="1114"/>
      <c r="K600" s="1112"/>
      <c r="L600" s="1112"/>
      <c r="M600" s="1112"/>
      <c r="N600" s="1112"/>
      <c r="O600" s="1112"/>
      <c r="P600" s="1112" t="s">
        <v>96</v>
      </c>
      <c r="Q600" s="1112"/>
    </row>
    <row r="601">
      <c r="A601" s="1112"/>
      <c r="B601" s="1112"/>
      <c r="C601" s="1112"/>
      <c r="D601" s="1112"/>
      <c r="E601" s="1112"/>
      <c r="F601" s="1112"/>
      <c r="G601" s="1112"/>
      <c r="H601" s="1112"/>
      <c r="I601" s="1112"/>
      <c r="J601" s="1114"/>
      <c r="K601" s="1112"/>
      <c r="L601" s="1112"/>
      <c r="M601" s="1112"/>
      <c r="N601" s="1112"/>
      <c r="O601" s="1112"/>
      <c r="P601" s="1112" t="s">
        <v>96</v>
      </c>
      <c r="Q601" s="1112"/>
    </row>
    <row r="602">
      <c r="A602" s="1112"/>
      <c r="B602" s="1112"/>
      <c r="C602" s="1112"/>
      <c r="D602" s="1112"/>
      <c r="E602" s="1112"/>
      <c r="F602" s="1112"/>
      <c r="G602" s="1112"/>
      <c r="H602" s="1112"/>
      <c r="I602" s="1112"/>
      <c r="J602" s="1114"/>
      <c r="K602" s="1112"/>
      <c r="L602" s="1112"/>
      <c r="M602" s="1112"/>
      <c r="N602" s="1112"/>
      <c r="O602" s="1112"/>
      <c r="P602" s="1112" t="s">
        <v>96</v>
      </c>
      <c r="Q602" s="1112"/>
    </row>
    <row r="603">
      <c r="A603" s="1112"/>
      <c r="B603" s="1112"/>
      <c r="C603" s="1112"/>
      <c r="D603" s="1112"/>
      <c r="E603" s="1112"/>
      <c r="F603" s="1112"/>
      <c r="G603" s="1112"/>
      <c r="H603" s="1112"/>
      <c r="I603" s="1112"/>
      <c r="J603" s="1114"/>
      <c r="K603" s="1112"/>
      <c r="L603" s="1112"/>
      <c r="M603" s="1112"/>
      <c r="N603" s="1112"/>
      <c r="O603" s="1112"/>
      <c r="P603" s="1112" t="s">
        <v>96</v>
      </c>
      <c r="Q603" s="1112"/>
    </row>
    <row r="604">
      <c r="A604" s="1112"/>
      <c r="B604" s="1112"/>
      <c r="C604" s="1112"/>
      <c r="D604" s="1112"/>
      <c r="E604" s="1112"/>
      <c r="F604" s="1112"/>
      <c r="G604" s="1112"/>
      <c r="H604" s="1112"/>
      <c r="I604" s="1112"/>
      <c r="J604" s="1114"/>
      <c r="K604" s="1112"/>
      <c r="L604" s="1112"/>
      <c r="M604" s="1112"/>
      <c r="N604" s="1112"/>
      <c r="O604" s="1112"/>
      <c r="P604" s="1112" t="s">
        <v>96</v>
      </c>
      <c r="Q604" s="1112"/>
    </row>
    <row r="605">
      <c r="A605" s="1112"/>
      <c r="B605" s="1112"/>
      <c r="C605" s="1112"/>
      <c r="D605" s="1112"/>
      <c r="E605" s="1112"/>
      <c r="F605" s="1112"/>
      <c r="G605" s="1112"/>
      <c r="H605" s="1112"/>
      <c r="I605" s="1112"/>
      <c r="J605" s="1114"/>
      <c r="K605" s="1112"/>
      <c r="L605" s="1112"/>
      <c r="M605" s="1112"/>
      <c r="N605" s="1112"/>
      <c r="O605" s="1112"/>
      <c r="P605" s="1112" t="s">
        <v>96</v>
      </c>
      <c r="Q605" s="1112"/>
    </row>
    <row r="606">
      <c r="A606" s="1112"/>
      <c r="B606" s="1112"/>
      <c r="C606" s="1112"/>
      <c r="D606" s="1112"/>
      <c r="E606" s="1112"/>
      <c r="F606" s="1112"/>
      <c r="G606" s="1112"/>
      <c r="H606" s="1112"/>
      <c r="I606" s="1112"/>
      <c r="J606" s="1114"/>
      <c r="K606" s="1112"/>
      <c r="L606" s="1112"/>
      <c r="M606" s="1112"/>
      <c r="N606" s="1112"/>
      <c r="O606" s="1112"/>
      <c r="P606" s="1112" t="s">
        <v>96</v>
      </c>
      <c r="Q606" s="1112"/>
    </row>
    <row r="607">
      <c r="A607" s="1112"/>
      <c r="B607" s="1112"/>
      <c r="C607" s="1112"/>
      <c r="D607" s="1112"/>
      <c r="E607" s="1112"/>
      <c r="F607" s="1112"/>
      <c r="G607" s="1112"/>
      <c r="H607" s="1112"/>
      <c r="I607" s="1112"/>
      <c r="J607" s="1114"/>
      <c r="K607" s="1112"/>
      <c r="L607" s="1112"/>
      <c r="M607" s="1112"/>
      <c r="N607" s="1112"/>
      <c r="O607" s="1112"/>
      <c r="P607" s="1112" t="s">
        <v>96</v>
      </c>
      <c r="Q607" s="1112"/>
    </row>
    <row r="608">
      <c r="A608" s="1112"/>
      <c r="B608" s="1112"/>
      <c r="C608" s="1112"/>
      <c r="D608" s="1112"/>
      <c r="E608" s="1112"/>
      <c r="F608" s="1112"/>
      <c r="G608" s="1112"/>
      <c r="H608" s="1112"/>
      <c r="I608" s="1112"/>
      <c r="J608" s="1114"/>
      <c r="K608" s="1112"/>
      <c r="L608" s="1112"/>
      <c r="M608" s="1112"/>
      <c r="N608" s="1112"/>
      <c r="O608" s="1112"/>
      <c r="P608" s="1112" t="s">
        <v>96</v>
      </c>
      <c r="Q608" s="1112"/>
    </row>
    <row r="609">
      <c r="A609" s="1112"/>
      <c r="B609" s="1112"/>
      <c r="C609" s="1112"/>
      <c r="D609" s="1112"/>
      <c r="E609" s="1112"/>
      <c r="F609" s="1112"/>
      <c r="G609" s="1112"/>
      <c r="H609" s="1112"/>
      <c r="I609" s="1112"/>
      <c r="J609" s="1114"/>
      <c r="K609" s="1112"/>
      <c r="L609" s="1112"/>
      <c r="M609" s="1112"/>
      <c r="N609" s="1112"/>
      <c r="O609" s="1112"/>
      <c r="P609" s="1112" t="s">
        <v>96</v>
      </c>
      <c r="Q609" s="1112"/>
    </row>
    <row r="610">
      <c r="A610" s="1112"/>
      <c r="B610" s="1112"/>
      <c r="C610" s="1112"/>
      <c r="D610" s="1112"/>
      <c r="E610" s="1112"/>
      <c r="F610" s="1112"/>
      <c r="G610" s="1112"/>
      <c r="H610" s="1112"/>
      <c r="I610" s="1112"/>
      <c r="J610" s="1114"/>
      <c r="K610" s="1112"/>
      <c r="L610" s="1112"/>
      <c r="M610" s="1112"/>
      <c r="N610" s="1112"/>
      <c r="O610" s="1112"/>
      <c r="P610" s="1112" t="s">
        <v>96</v>
      </c>
      <c r="Q610" s="1112"/>
    </row>
    <row r="611">
      <c r="A611" s="1112"/>
      <c r="B611" s="1112"/>
      <c r="C611" s="1112"/>
      <c r="D611" s="1112"/>
      <c r="E611" s="1112"/>
      <c r="F611" s="1112"/>
      <c r="G611" s="1112"/>
      <c r="H611" s="1112"/>
      <c r="I611" s="1112"/>
      <c r="J611" s="1114"/>
      <c r="K611" s="1112"/>
      <c r="L611" s="1112"/>
      <c r="M611" s="1112"/>
      <c r="N611" s="1112"/>
      <c r="O611" s="1112"/>
      <c r="P611" s="1112" t="s">
        <v>96</v>
      </c>
      <c r="Q611" s="1112"/>
    </row>
    <row r="612">
      <c r="A612" s="1112"/>
      <c r="B612" s="1112"/>
      <c r="C612" s="1112"/>
      <c r="D612" s="1112"/>
      <c r="E612" s="1112"/>
      <c r="F612" s="1112"/>
      <c r="G612" s="1112"/>
      <c r="H612" s="1112"/>
      <c r="I612" s="1112"/>
      <c r="J612" s="1114"/>
      <c r="K612" s="1112"/>
      <c r="L612" s="1112"/>
      <c r="M612" s="1112"/>
      <c r="N612" s="1112"/>
      <c r="O612" s="1112"/>
      <c r="P612" s="1112" t="s">
        <v>96</v>
      </c>
      <c r="Q612" s="1112"/>
    </row>
    <row r="613">
      <c r="A613" s="1112"/>
      <c r="B613" s="1112"/>
      <c r="C613" s="1112"/>
      <c r="D613" s="1112"/>
      <c r="E613" s="1112"/>
      <c r="F613" s="1112"/>
      <c r="G613" s="1112"/>
      <c r="H613" s="1112"/>
      <c r="I613" s="1112"/>
      <c r="J613" s="1114"/>
      <c r="K613" s="1112"/>
      <c r="L613" s="1112"/>
      <c r="M613" s="1112"/>
      <c r="N613" s="1112"/>
      <c r="O613" s="1112"/>
      <c r="P613" s="1112" t="s">
        <v>96</v>
      </c>
      <c r="Q613" s="1112"/>
    </row>
    <row r="614">
      <c r="A614" s="1112"/>
      <c r="B614" s="1112"/>
      <c r="C614" s="1112"/>
      <c r="D614" s="1112"/>
      <c r="E614" s="1112"/>
      <c r="F614" s="1112"/>
      <c r="G614" s="1112"/>
      <c r="H614" s="1112"/>
      <c r="I614" s="1112"/>
      <c r="J614" s="1114"/>
      <c r="K614" s="1112"/>
      <c r="L614" s="1112"/>
      <c r="M614" s="1112"/>
      <c r="N614" s="1112"/>
      <c r="O614" s="1112"/>
      <c r="P614" s="1112" t="s">
        <v>96</v>
      </c>
      <c r="Q614" s="1112"/>
    </row>
    <row r="615">
      <c r="A615" s="1112"/>
      <c r="B615" s="1112"/>
      <c r="C615" s="1112"/>
      <c r="D615" s="1112"/>
      <c r="E615" s="1112"/>
      <c r="F615" s="1112"/>
      <c r="G615" s="1112"/>
      <c r="H615" s="1112"/>
      <c r="I615" s="1112"/>
      <c r="J615" s="1114"/>
      <c r="K615" s="1112"/>
      <c r="L615" s="1112"/>
      <c r="M615" s="1112"/>
      <c r="N615" s="1112"/>
      <c r="O615" s="1112"/>
      <c r="P615" s="1112" t="s">
        <v>96</v>
      </c>
      <c r="Q615" s="1112"/>
    </row>
    <row r="616">
      <c r="A616" s="1112"/>
      <c r="B616" s="1112"/>
      <c r="C616" s="1112"/>
      <c r="D616" s="1112"/>
      <c r="E616" s="1112"/>
      <c r="F616" s="1112"/>
      <c r="G616" s="1112"/>
      <c r="H616" s="1112"/>
      <c r="I616" s="1112"/>
      <c r="J616" s="1114"/>
      <c r="K616" s="1112"/>
      <c r="L616" s="1112"/>
      <c r="M616" s="1112"/>
      <c r="N616" s="1112"/>
      <c r="O616" s="1112"/>
      <c r="P616" s="1112" t="s">
        <v>96</v>
      </c>
      <c r="Q616" s="1112"/>
    </row>
    <row r="617">
      <c r="A617" s="1112"/>
      <c r="B617" s="1112"/>
      <c r="C617" s="1112"/>
      <c r="D617" s="1112"/>
      <c r="E617" s="1112"/>
      <c r="F617" s="1112"/>
      <c r="G617" s="1112"/>
      <c r="H617" s="1112"/>
      <c r="I617" s="1112"/>
      <c r="J617" s="1114"/>
      <c r="K617" s="1112"/>
      <c r="L617" s="1112"/>
      <c r="M617" s="1112"/>
      <c r="N617" s="1112"/>
      <c r="O617" s="1112"/>
      <c r="P617" s="1112" t="s">
        <v>96</v>
      </c>
      <c r="Q617" s="1112"/>
    </row>
    <row r="618">
      <c r="A618" s="1112"/>
      <c r="B618" s="1112"/>
      <c r="C618" s="1112"/>
      <c r="D618" s="1112"/>
      <c r="E618" s="1112"/>
      <c r="F618" s="1112"/>
      <c r="G618" s="1112"/>
      <c r="H618" s="1112"/>
      <c r="I618" s="1112"/>
      <c r="J618" s="1114"/>
      <c r="K618" s="1112"/>
      <c r="L618" s="1112"/>
      <c r="M618" s="1112"/>
      <c r="N618" s="1112"/>
      <c r="O618" s="1112"/>
      <c r="P618" s="1112" t="s">
        <v>96</v>
      </c>
      <c r="Q618" s="1112"/>
    </row>
    <row r="619">
      <c r="A619" s="1112"/>
      <c r="B619" s="1112"/>
      <c r="C619" s="1112"/>
      <c r="D619" s="1112"/>
      <c r="E619" s="1112"/>
      <c r="F619" s="1112"/>
      <c r="G619" s="1112"/>
      <c r="H619" s="1112"/>
      <c r="I619" s="1112"/>
      <c r="J619" s="1114"/>
      <c r="K619" s="1112"/>
      <c r="L619" s="1112"/>
      <c r="M619" s="1112"/>
      <c r="N619" s="1112"/>
      <c r="O619" s="1112"/>
      <c r="P619" s="1112" t="s">
        <v>96</v>
      </c>
      <c r="Q619" s="1112"/>
    </row>
    <row r="620">
      <c r="A620" s="1112"/>
      <c r="B620" s="1112"/>
      <c r="C620" s="1112"/>
      <c r="D620" s="1112"/>
      <c r="E620" s="1112"/>
      <c r="F620" s="1112"/>
      <c r="G620" s="1112"/>
      <c r="H620" s="1112"/>
      <c r="I620" s="1112"/>
      <c r="J620" s="1114"/>
      <c r="K620" s="1112"/>
      <c r="L620" s="1112"/>
      <c r="M620" s="1112"/>
      <c r="N620" s="1112"/>
      <c r="O620" s="1112"/>
      <c r="P620" s="1112" t="s">
        <v>96</v>
      </c>
      <c r="Q620" s="1112"/>
    </row>
    <row r="621">
      <c r="A621" s="1112"/>
      <c r="B621" s="1112"/>
      <c r="C621" s="1112"/>
      <c r="D621" s="1112"/>
      <c r="E621" s="1112"/>
      <c r="F621" s="1112"/>
      <c r="G621" s="1112"/>
      <c r="H621" s="1112"/>
      <c r="I621" s="1112"/>
      <c r="J621" s="1114"/>
      <c r="K621" s="1112"/>
      <c r="L621" s="1112"/>
      <c r="M621" s="1112"/>
      <c r="N621" s="1112"/>
      <c r="O621" s="1112"/>
      <c r="P621" s="1112" t="s">
        <v>96</v>
      </c>
      <c r="Q621" s="1112"/>
    </row>
    <row r="622">
      <c r="A622" s="1112"/>
      <c r="B622" s="1112"/>
      <c r="C622" s="1112"/>
      <c r="D622" s="1112"/>
      <c r="E622" s="1112"/>
      <c r="F622" s="1112"/>
      <c r="G622" s="1112"/>
      <c r="H622" s="1112"/>
      <c r="I622" s="1112"/>
      <c r="J622" s="1114"/>
      <c r="K622" s="1112"/>
      <c r="L622" s="1112"/>
      <c r="M622" s="1112"/>
      <c r="N622" s="1112"/>
      <c r="O622" s="1112"/>
      <c r="P622" s="1112" t="s">
        <v>96</v>
      </c>
      <c r="Q622" s="1112"/>
    </row>
    <row r="623">
      <c r="A623" s="1112"/>
      <c r="B623" s="1112"/>
      <c r="C623" s="1112"/>
      <c r="D623" s="1112"/>
      <c r="E623" s="1112"/>
      <c r="F623" s="1112"/>
      <c r="G623" s="1112"/>
      <c r="H623" s="1112"/>
      <c r="I623" s="1112"/>
      <c r="J623" s="1114"/>
      <c r="K623" s="1112"/>
      <c r="L623" s="1112"/>
      <c r="M623" s="1112"/>
      <c r="N623" s="1112"/>
      <c r="O623" s="1112"/>
      <c r="P623" s="1112" t="s">
        <v>96</v>
      </c>
      <c r="Q623" s="1112"/>
    </row>
    <row r="624">
      <c r="A624" s="1112"/>
      <c r="B624" s="1112"/>
      <c r="C624" s="1112"/>
      <c r="D624" s="1112"/>
      <c r="E624" s="1112"/>
      <c r="F624" s="1112"/>
      <c r="G624" s="1112"/>
      <c r="H624" s="1112"/>
      <c r="I624" s="1112"/>
      <c r="J624" s="1114"/>
      <c r="K624" s="1112"/>
      <c r="L624" s="1112"/>
      <c r="M624" s="1112"/>
      <c r="N624" s="1112"/>
      <c r="O624" s="1112"/>
      <c r="P624" s="1112" t="s">
        <v>96</v>
      </c>
      <c r="Q624" s="1112"/>
    </row>
    <row r="625">
      <c r="A625" s="1112"/>
      <c r="B625" s="1112"/>
      <c r="C625" s="1112"/>
      <c r="D625" s="1112"/>
      <c r="E625" s="1112"/>
      <c r="F625" s="1112"/>
      <c r="G625" s="1112"/>
      <c r="H625" s="1112"/>
      <c r="I625" s="1112"/>
      <c r="J625" s="1114"/>
      <c r="K625" s="1112"/>
      <c r="L625" s="1112"/>
      <c r="M625" s="1112"/>
      <c r="N625" s="1112"/>
      <c r="O625" s="1112"/>
      <c r="P625" s="1112" t="s">
        <v>96</v>
      </c>
      <c r="Q625" s="1112"/>
    </row>
    <row r="626">
      <c r="A626" s="1112"/>
      <c r="B626" s="1112"/>
      <c r="C626" s="1112"/>
      <c r="D626" s="1112"/>
      <c r="E626" s="1112"/>
      <c r="F626" s="1112"/>
      <c r="G626" s="1112"/>
      <c r="H626" s="1112"/>
      <c r="I626" s="1112"/>
      <c r="J626" s="1114"/>
      <c r="K626" s="1112"/>
      <c r="L626" s="1112"/>
      <c r="M626" s="1112"/>
      <c r="N626" s="1112"/>
      <c r="O626" s="1112"/>
      <c r="P626" s="1112" t="s">
        <v>96</v>
      </c>
      <c r="Q626" s="1112"/>
    </row>
    <row r="627">
      <c r="A627" s="1112"/>
      <c r="B627" s="1112"/>
      <c r="C627" s="1112"/>
      <c r="D627" s="1112"/>
      <c r="E627" s="1112"/>
      <c r="F627" s="1112"/>
      <c r="G627" s="1112"/>
      <c r="H627" s="1112"/>
      <c r="I627" s="1112"/>
      <c r="J627" s="1114"/>
      <c r="K627" s="1112"/>
      <c r="L627" s="1112"/>
      <c r="M627" s="1112"/>
      <c r="N627" s="1112"/>
      <c r="O627" s="1112"/>
      <c r="P627" s="1112" t="s">
        <v>96</v>
      </c>
      <c r="Q627" s="1112"/>
    </row>
    <row r="628">
      <c r="A628" s="1112"/>
      <c r="B628" s="1112"/>
      <c r="C628" s="1112"/>
      <c r="D628" s="1112"/>
      <c r="E628" s="1112"/>
      <c r="F628" s="1112"/>
      <c r="G628" s="1112"/>
      <c r="H628" s="1112"/>
      <c r="I628" s="1112"/>
      <c r="J628" s="1114"/>
      <c r="K628" s="1112"/>
      <c r="L628" s="1112"/>
      <c r="M628" s="1112"/>
      <c r="N628" s="1112"/>
      <c r="O628" s="1112"/>
      <c r="P628" s="1112" t="s">
        <v>96</v>
      </c>
      <c r="Q628" s="1112"/>
    </row>
    <row r="629">
      <c r="A629" s="1112"/>
      <c r="B629" s="1112"/>
      <c r="C629" s="1112"/>
      <c r="D629" s="1112"/>
      <c r="E629" s="1112"/>
      <c r="F629" s="1112"/>
      <c r="G629" s="1112"/>
      <c r="H629" s="1112"/>
      <c r="I629" s="1112"/>
      <c r="J629" s="1114"/>
      <c r="K629" s="1112"/>
      <c r="L629" s="1112"/>
      <c r="M629" s="1112"/>
      <c r="N629" s="1112"/>
      <c r="O629" s="1112"/>
      <c r="P629" s="1112" t="s">
        <v>96</v>
      </c>
      <c r="Q629" s="1112"/>
    </row>
    <row r="630">
      <c r="A630" s="1112"/>
      <c r="B630" s="1112"/>
      <c r="C630" s="1112"/>
      <c r="D630" s="1112"/>
      <c r="E630" s="1112"/>
      <c r="F630" s="1112"/>
      <c r="G630" s="1112"/>
      <c r="H630" s="1112"/>
      <c r="I630" s="1112"/>
      <c r="J630" s="1114"/>
      <c r="K630" s="1112"/>
      <c r="L630" s="1112"/>
      <c r="M630" s="1112"/>
      <c r="N630" s="1112"/>
      <c r="O630" s="1112"/>
      <c r="P630" s="1112" t="s">
        <v>96</v>
      </c>
      <c r="Q630" s="1112"/>
    </row>
    <row r="631">
      <c r="A631" s="1112"/>
      <c r="B631" s="1112"/>
      <c r="C631" s="1112"/>
      <c r="D631" s="1112"/>
      <c r="E631" s="1112"/>
      <c r="F631" s="1112"/>
      <c r="G631" s="1112"/>
      <c r="H631" s="1112"/>
      <c r="I631" s="1112"/>
      <c r="J631" s="1114"/>
      <c r="K631" s="1112"/>
      <c r="L631" s="1112"/>
      <c r="M631" s="1112"/>
      <c r="N631" s="1112"/>
      <c r="O631" s="1112"/>
      <c r="P631" s="1112" t="s">
        <v>96</v>
      </c>
      <c r="Q631" s="1112"/>
    </row>
    <row r="632">
      <c r="A632" s="1112"/>
      <c r="B632" s="1112"/>
      <c r="C632" s="1112"/>
      <c r="D632" s="1112"/>
      <c r="E632" s="1112"/>
      <c r="F632" s="1112"/>
      <c r="G632" s="1112"/>
      <c r="H632" s="1112"/>
      <c r="I632" s="1112"/>
      <c r="J632" s="1114"/>
      <c r="K632" s="1112"/>
      <c r="L632" s="1112"/>
      <c r="M632" s="1112"/>
      <c r="N632" s="1112"/>
      <c r="O632" s="1112"/>
      <c r="P632" s="1112" t="s">
        <v>96</v>
      </c>
      <c r="Q632" s="1112"/>
    </row>
    <row r="633">
      <c r="A633" s="1112"/>
      <c r="B633" s="1112"/>
      <c r="C633" s="1112"/>
      <c r="D633" s="1112"/>
      <c r="E633" s="1112"/>
      <c r="F633" s="1112"/>
      <c r="G633" s="1112"/>
      <c r="H633" s="1112"/>
      <c r="I633" s="1112"/>
      <c r="J633" s="1114"/>
      <c r="K633" s="1112"/>
      <c r="L633" s="1112"/>
      <c r="M633" s="1112"/>
      <c r="N633" s="1112"/>
      <c r="O633" s="1112"/>
      <c r="P633" s="1112" t="s">
        <v>96</v>
      </c>
      <c r="Q633" s="1112"/>
    </row>
    <row r="634">
      <c r="A634" s="1112"/>
      <c r="B634" s="1112"/>
      <c r="C634" s="1112"/>
      <c r="D634" s="1112"/>
      <c r="E634" s="1112"/>
      <c r="F634" s="1112"/>
      <c r="G634" s="1112"/>
      <c r="H634" s="1112"/>
      <c r="I634" s="1112"/>
      <c r="J634" s="1114"/>
      <c r="K634" s="1112"/>
      <c r="L634" s="1112"/>
      <c r="M634" s="1112"/>
      <c r="N634" s="1112"/>
      <c r="O634" s="1112"/>
      <c r="P634" s="1112" t="s">
        <v>96</v>
      </c>
      <c r="Q634" s="1112"/>
    </row>
    <row r="635">
      <c r="A635" s="1112"/>
      <c r="B635" s="1112"/>
      <c r="C635" s="1112"/>
      <c r="D635" s="1112"/>
      <c r="E635" s="1112"/>
      <c r="F635" s="1112"/>
      <c r="G635" s="1112"/>
      <c r="H635" s="1112"/>
      <c r="I635" s="1112"/>
      <c r="J635" s="1114"/>
      <c r="K635" s="1112"/>
      <c r="L635" s="1112"/>
      <c r="M635" s="1112"/>
      <c r="N635" s="1112"/>
      <c r="O635" s="1112"/>
      <c r="P635" s="1112" t="s">
        <v>96</v>
      </c>
      <c r="Q635" s="1112"/>
    </row>
    <row r="636">
      <c r="A636" s="1112"/>
      <c r="B636" s="1112"/>
      <c r="C636" s="1112"/>
      <c r="D636" s="1112"/>
      <c r="E636" s="1112"/>
      <c r="F636" s="1112"/>
      <c r="G636" s="1112"/>
      <c r="H636" s="1112"/>
      <c r="I636" s="1112"/>
      <c r="J636" s="1114"/>
      <c r="K636" s="1112"/>
      <c r="L636" s="1112"/>
      <c r="M636" s="1112"/>
      <c r="N636" s="1112"/>
      <c r="O636" s="1112"/>
      <c r="P636" s="1112" t="s">
        <v>96</v>
      </c>
      <c r="Q636" s="1112"/>
    </row>
    <row r="637">
      <c r="A637" s="1112"/>
      <c r="B637" s="1112"/>
      <c r="C637" s="1112"/>
      <c r="D637" s="1112"/>
      <c r="E637" s="1112"/>
      <c r="F637" s="1112"/>
      <c r="G637" s="1112"/>
      <c r="H637" s="1112"/>
      <c r="I637" s="1112"/>
      <c r="J637" s="1114"/>
      <c r="K637" s="1112"/>
      <c r="L637" s="1112"/>
      <c r="M637" s="1112"/>
      <c r="N637" s="1112"/>
      <c r="O637" s="1112"/>
      <c r="P637" s="1112" t="s">
        <v>96</v>
      </c>
      <c r="Q637" s="1112"/>
    </row>
    <row r="638">
      <c r="A638" s="1112"/>
      <c r="B638" s="1112"/>
      <c r="C638" s="1112"/>
      <c r="D638" s="1112"/>
      <c r="E638" s="1112"/>
      <c r="F638" s="1112"/>
      <c r="G638" s="1112"/>
      <c r="H638" s="1112"/>
      <c r="I638" s="1112"/>
      <c r="J638" s="1114"/>
      <c r="K638" s="1112"/>
      <c r="L638" s="1112"/>
      <c r="M638" s="1112"/>
      <c r="N638" s="1112"/>
      <c r="O638" s="1112"/>
      <c r="P638" s="1112" t="s">
        <v>96</v>
      </c>
      <c r="Q638" s="1112"/>
    </row>
    <row r="639">
      <c r="A639" s="1112"/>
      <c r="B639" s="1112"/>
      <c r="C639" s="1112"/>
      <c r="D639" s="1112"/>
      <c r="E639" s="1112"/>
      <c r="F639" s="1112"/>
      <c r="G639" s="1112"/>
      <c r="H639" s="1112"/>
      <c r="I639" s="1112"/>
      <c r="J639" s="1114"/>
      <c r="K639" s="1112"/>
      <c r="L639" s="1112"/>
      <c r="M639" s="1112"/>
      <c r="N639" s="1112"/>
      <c r="O639" s="1112"/>
      <c r="P639" s="1112" t="s">
        <v>96</v>
      </c>
      <c r="Q639" s="1112"/>
    </row>
    <row r="640">
      <c r="A640" s="1112"/>
      <c r="B640" s="1112"/>
      <c r="C640" s="1112"/>
      <c r="D640" s="1112"/>
      <c r="E640" s="1112"/>
      <c r="F640" s="1112"/>
      <c r="G640" s="1112"/>
      <c r="H640" s="1112"/>
      <c r="I640" s="1112"/>
      <c r="J640" s="1114"/>
      <c r="K640" s="1112"/>
      <c r="L640" s="1112"/>
      <c r="M640" s="1112"/>
      <c r="N640" s="1112"/>
      <c r="O640" s="1112"/>
      <c r="P640" s="1112" t="s">
        <v>96</v>
      </c>
      <c r="Q640" s="1112"/>
    </row>
    <row r="641">
      <c r="A641" s="1112"/>
      <c r="B641" s="1112"/>
      <c r="C641" s="1112"/>
      <c r="D641" s="1112"/>
      <c r="E641" s="1112"/>
      <c r="F641" s="1112"/>
      <c r="G641" s="1112"/>
      <c r="H641" s="1112"/>
      <c r="I641" s="1112"/>
      <c r="J641" s="1114"/>
      <c r="K641" s="1112"/>
      <c r="L641" s="1112"/>
      <c r="M641" s="1112"/>
      <c r="N641" s="1112"/>
      <c r="O641" s="1112"/>
      <c r="P641" s="1112" t="s">
        <v>96</v>
      </c>
      <c r="Q641" s="1112"/>
    </row>
    <row r="642">
      <c r="A642" s="1112"/>
      <c r="B642" s="1112"/>
      <c r="C642" s="1112"/>
      <c r="D642" s="1112"/>
      <c r="E642" s="1112"/>
      <c r="F642" s="1112"/>
      <c r="G642" s="1112"/>
      <c r="H642" s="1112"/>
      <c r="I642" s="1112"/>
      <c r="J642" s="1114"/>
      <c r="K642" s="1112"/>
      <c r="L642" s="1112"/>
      <c r="M642" s="1112"/>
      <c r="N642" s="1112"/>
      <c r="O642" s="1112"/>
      <c r="P642" s="1112" t="s">
        <v>96</v>
      </c>
      <c r="Q642" s="1112"/>
    </row>
    <row r="643">
      <c r="A643" s="1112"/>
      <c r="B643" s="1112"/>
      <c r="C643" s="1112"/>
      <c r="D643" s="1112"/>
      <c r="E643" s="1112"/>
      <c r="F643" s="1112"/>
      <c r="G643" s="1112"/>
      <c r="H643" s="1112"/>
      <c r="I643" s="1112"/>
      <c r="J643" s="1114"/>
      <c r="K643" s="1112"/>
      <c r="L643" s="1112"/>
      <c r="M643" s="1112"/>
      <c r="N643" s="1112"/>
      <c r="O643" s="1112"/>
      <c r="P643" s="1112" t="s">
        <v>96</v>
      </c>
      <c r="Q643" s="1112"/>
    </row>
    <row r="644">
      <c r="A644" s="1112"/>
      <c r="B644" s="1112"/>
      <c r="C644" s="1112"/>
      <c r="D644" s="1112"/>
      <c r="E644" s="1112"/>
      <c r="F644" s="1112"/>
      <c r="G644" s="1112"/>
      <c r="H644" s="1112"/>
      <c r="I644" s="1112"/>
      <c r="J644" s="1114"/>
      <c r="K644" s="1112"/>
      <c r="L644" s="1112"/>
      <c r="M644" s="1112"/>
      <c r="N644" s="1112"/>
      <c r="O644" s="1112"/>
      <c r="P644" s="1112" t="s">
        <v>96</v>
      </c>
      <c r="Q644" s="1112"/>
    </row>
    <row r="645">
      <c r="A645" s="1112"/>
      <c r="B645" s="1112"/>
      <c r="C645" s="1112"/>
      <c r="D645" s="1112"/>
      <c r="E645" s="1112"/>
      <c r="F645" s="1112"/>
      <c r="G645" s="1112"/>
      <c r="H645" s="1112"/>
      <c r="I645" s="1112"/>
      <c r="J645" s="1114"/>
      <c r="K645" s="1112"/>
      <c r="L645" s="1112"/>
      <c r="M645" s="1112"/>
      <c r="N645" s="1112"/>
      <c r="O645" s="1112"/>
      <c r="P645" s="1112" t="s">
        <v>96</v>
      </c>
      <c r="Q645" s="1112"/>
    </row>
    <row r="646">
      <c r="A646" s="1112"/>
      <c r="B646" s="1112"/>
      <c r="C646" s="1112"/>
      <c r="D646" s="1112"/>
      <c r="E646" s="1112"/>
      <c r="F646" s="1112"/>
      <c r="G646" s="1112"/>
      <c r="H646" s="1112"/>
      <c r="I646" s="1112"/>
      <c r="J646" s="1114"/>
      <c r="K646" s="1112"/>
      <c r="L646" s="1112"/>
      <c r="M646" s="1112"/>
      <c r="N646" s="1112"/>
      <c r="O646" s="1112"/>
      <c r="P646" s="1112" t="s">
        <v>96</v>
      </c>
      <c r="Q646" s="1112"/>
    </row>
    <row r="647">
      <c r="A647" s="1112"/>
      <c r="B647" s="1112"/>
      <c r="C647" s="1112"/>
      <c r="D647" s="1112"/>
      <c r="E647" s="1112"/>
      <c r="F647" s="1112"/>
      <c r="G647" s="1112"/>
      <c r="H647" s="1112"/>
      <c r="I647" s="1112"/>
      <c r="J647" s="1114"/>
      <c r="K647" s="1112"/>
      <c r="L647" s="1112"/>
      <c r="M647" s="1112"/>
      <c r="N647" s="1112"/>
      <c r="O647" s="1112"/>
      <c r="P647" s="1112" t="s">
        <v>96</v>
      </c>
      <c r="Q647" s="1112"/>
    </row>
    <row r="648">
      <c r="A648" s="1112"/>
      <c r="B648" s="1112"/>
      <c r="C648" s="1112"/>
      <c r="D648" s="1112"/>
      <c r="E648" s="1112"/>
      <c r="F648" s="1112"/>
      <c r="G648" s="1112"/>
      <c r="H648" s="1112"/>
      <c r="I648" s="1112"/>
      <c r="J648" s="1114"/>
      <c r="K648" s="1112"/>
      <c r="L648" s="1112"/>
      <c r="M648" s="1112"/>
      <c r="N648" s="1112"/>
      <c r="O648" s="1112"/>
      <c r="P648" s="1112" t="s">
        <v>96</v>
      </c>
      <c r="Q648" s="1112"/>
    </row>
    <row r="649">
      <c r="A649" s="1112"/>
      <c r="B649" s="1112"/>
      <c r="C649" s="1112"/>
      <c r="D649" s="1112"/>
      <c r="E649" s="1112"/>
      <c r="F649" s="1112"/>
      <c r="G649" s="1112"/>
      <c r="H649" s="1112"/>
      <c r="I649" s="1112"/>
      <c r="J649" s="1114"/>
      <c r="K649" s="1112"/>
      <c r="L649" s="1112"/>
      <c r="M649" s="1112"/>
      <c r="N649" s="1112"/>
      <c r="O649" s="1112"/>
      <c r="P649" s="1112" t="s">
        <v>96</v>
      </c>
      <c r="Q649" s="1112"/>
    </row>
    <row r="650">
      <c r="A650" s="1112"/>
      <c r="B650" s="1112"/>
      <c r="C650" s="1112"/>
      <c r="D650" s="1112"/>
      <c r="E650" s="1112"/>
      <c r="F650" s="1112"/>
      <c r="G650" s="1112"/>
      <c r="H650" s="1112"/>
      <c r="I650" s="1112"/>
      <c r="J650" s="1114"/>
      <c r="K650" s="1112"/>
      <c r="L650" s="1112"/>
      <c r="M650" s="1112"/>
      <c r="N650" s="1112"/>
      <c r="O650" s="1112"/>
      <c r="P650" s="1112" t="s">
        <v>96</v>
      </c>
      <c r="Q650" s="1112"/>
    </row>
    <row r="651">
      <c r="A651" s="1112"/>
      <c r="B651" s="1112"/>
      <c r="C651" s="1112"/>
      <c r="D651" s="1112"/>
      <c r="E651" s="1112"/>
      <c r="F651" s="1112"/>
      <c r="G651" s="1112"/>
      <c r="H651" s="1112"/>
      <c r="I651" s="1112"/>
      <c r="J651" s="1114"/>
      <c r="K651" s="1112"/>
      <c r="L651" s="1112"/>
      <c r="M651" s="1112"/>
      <c r="N651" s="1112"/>
      <c r="O651" s="1112"/>
      <c r="P651" s="1112" t="s">
        <v>96</v>
      </c>
      <c r="Q651" s="1112"/>
    </row>
    <row r="652">
      <c r="A652" s="1112"/>
      <c r="B652" s="1112"/>
      <c r="C652" s="1112"/>
      <c r="D652" s="1112"/>
      <c r="E652" s="1112"/>
      <c r="F652" s="1112"/>
      <c r="G652" s="1112"/>
      <c r="H652" s="1112"/>
      <c r="I652" s="1112"/>
      <c r="J652" s="1114"/>
      <c r="K652" s="1112"/>
      <c r="L652" s="1112"/>
      <c r="M652" s="1112"/>
      <c r="N652" s="1112"/>
      <c r="O652" s="1112"/>
      <c r="P652" s="1112" t="s">
        <v>96</v>
      </c>
      <c r="Q652" s="1112"/>
    </row>
    <row r="653">
      <c r="A653" s="1112"/>
      <c r="B653" s="1112"/>
      <c r="C653" s="1112"/>
      <c r="D653" s="1112"/>
      <c r="E653" s="1112"/>
      <c r="F653" s="1112"/>
      <c r="G653" s="1112"/>
      <c r="H653" s="1112"/>
      <c r="I653" s="1112"/>
      <c r="J653" s="1114"/>
      <c r="K653" s="1112"/>
      <c r="L653" s="1112"/>
      <c r="M653" s="1112"/>
      <c r="N653" s="1112"/>
      <c r="O653" s="1112"/>
      <c r="P653" s="1112" t="s">
        <v>96</v>
      </c>
      <c r="Q653" s="1112"/>
    </row>
    <row r="654">
      <c r="A654" s="1112"/>
      <c r="B654" s="1112"/>
      <c r="C654" s="1112"/>
      <c r="D654" s="1112"/>
      <c r="E654" s="1112"/>
      <c r="F654" s="1112"/>
      <c r="G654" s="1112"/>
      <c r="H654" s="1112"/>
      <c r="I654" s="1112"/>
      <c r="J654" s="1114"/>
      <c r="K654" s="1112"/>
      <c r="L654" s="1112"/>
      <c r="M654" s="1112"/>
      <c r="N654" s="1112"/>
      <c r="O654" s="1112"/>
      <c r="P654" s="1112" t="s">
        <v>96</v>
      </c>
      <c r="Q654" s="1112"/>
    </row>
    <row r="655">
      <c r="A655" s="1112"/>
      <c r="B655" s="1112"/>
      <c r="C655" s="1112"/>
      <c r="D655" s="1112"/>
      <c r="E655" s="1112"/>
      <c r="F655" s="1112"/>
      <c r="G655" s="1112"/>
      <c r="H655" s="1112"/>
      <c r="I655" s="1112"/>
      <c r="J655" s="1114"/>
      <c r="K655" s="1112"/>
      <c r="L655" s="1112"/>
      <c r="M655" s="1112"/>
      <c r="N655" s="1112"/>
      <c r="O655" s="1112"/>
      <c r="P655" s="1112" t="s">
        <v>96</v>
      </c>
      <c r="Q655" s="1112"/>
    </row>
    <row r="656">
      <c r="A656" s="1112"/>
      <c r="B656" s="1112"/>
      <c r="C656" s="1112"/>
      <c r="D656" s="1112"/>
      <c r="E656" s="1112"/>
      <c r="F656" s="1112"/>
      <c r="G656" s="1112"/>
      <c r="H656" s="1112"/>
      <c r="I656" s="1112"/>
      <c r="J656" s="1114"/>
      <c r="K656" s="1112"/>
      <c r="L656" s="1112"/>
      <c r="M656" s="1112"/>
      <c r="N656" s="1112"/>
      <c r="O656" s="1112"/>
      <c r="P656" s="1112" t="s">
        <v>96</v>
      </c>
      <c r="Q656" s="1112"/>
    </row>
    <row r="657">
      <c r="A657" s="1112"/>
      <c r="B657" s="1112"/>
      <c r="C657" s="1112"/>
      <c r="D657" s="1112"/>
      <c r="E657" s="1112"/>
      <c r="F657" s="1112"/>
      <c r="G657" s="1112"/>
      <c r="H657" s="1112"/>
      <c r="I657" s="1112"/>
      <c r="J657" s="1114"/>
      <c r="K657" s="1112"/>
      <c r="L657" s="1112"/>
      <c r="M657" s="1112"/>
      <c r="N657" s="1112"/>
      <c r="O657" s="1112"/>
      <c r="P657" s="1112" t="s">
        <v>96</v>
      </c>
      <c r="Q657" s="1112"/>
    </row>
    <row r="658">
      <c r="A658" s="1112"/>
      <c r="B658" s="1112"/>
      <c r="C658" s="1112"/>
      <c r="D658" s="1112"/>
      <c r="E658" s="1112"/>
      <c r="F658" s="1112"/>
      <c r="G658" s="1112"/>
      <c r="H658" s="1112"/>
      <c r="I658" s="1112"/>
      <c r="J658" s="1114"/>
      <c r="K658" s="1112"/>
      <c r="L658" s="1112"/>
      <c r="M658" s="1112"/>
      <c r="N658" s="1112"/>
      <c r="O658" s="1112"/>
      <c r="P658" s="1112" t="s">
        <v>96</v>
      </c>
      <c r="Q658" s="1112"/>
    </row>
    <row r="659">
      <c r="A659" s="1112"/>
      <c r="B659" s="1112"/>
      <c r="C659" s="1112"/>
      <c r="D659" s="1112"/>
      <c r="E659" s="1112"/>
      <c r="F659" s="1112"/>
      <c r="G659" s="1112"/>
      <c r="H659" s="1112"/>
      <c r="I659" s="1112"/>
      <c r="J659" s="1114"/>
      <c r="K659" s="1112"/>
      <c r="L659" s="1112"/>
      <c r="M659" s="1112"/>
      <c r="N659" s="1112"/>
      <c r="O659" s="1112"/>
      <c r="P659" s="1112" t="s">
        <v>96</v>
      </c>
      <c r="Q659" s="1112"/>
    </row>
    <row r="660">
      <c r="A660" s="1112"/>
      <c r="B660" s="1112"/>
      <c r="C660" s="1112"/>
      <c r="D660" s="1112"/>
      <c r="E660" s="1112"/>
      <c r="F660" s="1112"/>
      <c r="G660" s="1112"/>
      <c r="H660" s="1112"/>
      <c r="I660" s="1112"/>
      <c r="J660" s="1114"/>
      <c r="K660" s="1112"/>
      <c r="L660" s="1112"/>
      <c r="M660" s="1112"/>
      <c r="N660" s="1112"/>
      <c r="O660" s="1112"/>
      <c r="P660" s="1112" t="s">
        <v>96</v>
      </c>
      <c r="Q660" s="1112"/>
    </row>
    <row r="661">
      <c r="A661" s="1112"/>
      <c r="B661" s="1112"/>
      <c r="C661" s="1112"/>
      <c r="D661" s="1112"/>
      <c r="E661" s="1112"/>
      <c r="F661" s="1112"/>
      <c r="G661" s="1112"/>
      <c r="H661" s="1112"/>
      <c r="I661" s="1112"/>
      <c r="J661" s="1114"/>
      <c r="K661" s="1112"/>
      <c r="L661" s="1112"/>
      <c r="M661" s="1112"/>
      <c r="N661" s="1112"/>
      <c r="O661" s="1112"/>
      <c r="P661" s="1112" t="s">
        <v>96</v>
      </c>
      <c r="Q661" s="1112"/>
    </row>
    <row r="662">
      <c r="A662" s="1112"/>
      <c r="B662" s="1112"/>
      <c r="C662" s="1112"/>
      <c r="D662" s="1112"/>
      <c r="E662" s="1112"/>
      <c r="F662" s="1112"/>
      <c r="G662" s="1112"/>
      <c r="H662" s="1112"/>
      <c r="I662" s="1112"/>
      <c r="J662" s="1114"/>
      <c r="K662" s="1112"/>
      <c r="L662" s="1112"/>
      <c r="M662" s="1112"/>
      <c r="N662" s="1112"/>
      <c r="O662" s="1112"/>
      <c r="P662" s="1112" t="s">
        <v>96</v>
      </c>
      <c r="Q662" s="1112"/>
    </row>
    <row r="663">
      <c r="A663" s="1112"/>
      <c r="B663" s="1112"/>
      <c r="C663" s="1112"/>
      <c r="D663" s="1112"/>
      <c r="E663" s="1112"/>
      <c r="F663" s="1112"/>
      <c r="G663" s="1112"/>
      <c r="H663" s="1112"/>
      <c r="I663" s="1112"/>
      <c r="J663" s="1114"/>
      <c r="K663" s="1112"/>
      <c r="L663" s="1112"/>
      <c r="M663" s="1112"/>
      <c r="N663" s="1112"/>
      <c r="O663" s="1112"/>
      <c r="P663" s="1112" t="s">
        <v>96</v>
      </c>
      <c r="Q663" s="1112"/>
    </row>
    <row r="664">
      <c r="A664" s="1112"/>
      <c r="B664" s="1112"/>
      <c r="C664" s="1112"/>
      <c r="D664" s="1112"/>
      <c r="E664" s="1112"/>
      <c r="F664" s="1112"/>
      <c r="G664" s="1112"/>
      <c r="H664" s="1112"/>
      <c r="I664" s="1112"/>
      <c r="J664" s="1114"/>
      <c r="K664" s="1112"/>
      <c r="L664" s="1112"/>
      <c r="M664" s="1112"/>
      <c r="N664" s="1112"/>
      <c r="O664" s="1112"/>
      <c r="P664" s="1112" t="s">
        <v>96</v>
      </c>
      <c r="Q664" s="1112"/>
    </row>
    <row r="665">
      <c r="A665" s="1112"/>
      <c r="B665" s="1112"/>
      <c r="C665" s="1112"/>
      <c r="D665" s="1112"/>
      <c r="E665" s="1112"/>
      <c r="F665" s="1112"/>
      <c r="G665" s="1112"/>
      <c r="H665" s="1112"/>
      <c r="I665" s="1112"/>
      <c r="J665" s="1114"/>
      <c r="K665" s="1112"/>
      <c r="L665" s="1112"/>
      <c r="M665" s="1112"/>
      <c r="N665" s="1112"/>
      <c r="O665" s="1112"/>
      <c r="P665" s="1112" t="s">
        <v>96</v>
      </c>
      <c r="Q665" s="1112"/>
    </row>
    <row r="666">
      <c r="A666" s="1112"/>
      <c r="B666" s="1112"/>
      <c r="C666" s="1112"/>
      <c r="D666" s="1112"/>
      <c r="E666" s="1112"/>
      <c r="F666" s="1112"/>
      <c r="G666" s="1112"/>
      <c r="H666" s="1112"/>
      <c r="I666" s="1112"/>
      <c r="J666" s="1114"/>
      <c r="K666" s="1112"/>
      <c r="L666" s="1112"/>
      <c r="M666" s="1112"/>
      <c r="N666" s="1112"/>
      <c r="O666" s="1112"/>
      <c r="P666" s="1112" t="s">
        <v>96</v>
      </c>
      <c r="Q666" s="1112"/>
    </row>
    <row r="667">
      <c r="A667" s="1112"/>
      <c r="B667" s="1112"/>
      <c r="C667" s="1112"/>
      <c r="D667" s="1112"/>
      <c r="E667" s="1112"/>
      <c r="F667" s="1112"/>
      <c r="G667" s="1112"/>
      <c r="H667" s="1112"/>
      <c r="I667" s="1112"/>
      <c r="J667" s="1114"/>
      <c r="K667" s="1112"/>
      <c r="L667" s="1112"/>
      <c r="M667" s="1112"/>
      <c r="N667" s="1112"/>
      <c r="O667" s="1112"/>
      <c r="P667" s="1112" t="s">
        <v>96</v>
      </c>
      <c r="Q667" s="1112"/>
    </row>
    <row r="668">
      <c r="A668" s="1112"/>
      <c r="B668" s="1112"/>
      <c r="C668" s="1112"/>
      <c r="D668" s="1112"/>
      <c r="E668" s="1112"/>
      <c r="F668" s="1112"/>
      <c r="G668" s="1112"/>
      <c r="H668" s="1112"/>
      <c r="I668" s="1112"/>
      <c r="J668" s="1114"/>
      <c r="K668" s="1112"/>
      <c r="L668" s="1112"/>
      <c r="M668" s="1112"/>
      <c r="N668" s="1112"/>
      <c r="O668" s="1112"/>
      <c r="P668" s="1112" t="s">
        <v>96</v>
      </c>
      <c r="Q668" s="1112"/>
    </row>
    <row r="669">
      <c r="A669" s="1112"/>
      <c r="B669" s="1112"/>
      <c r="C669" s="1112"/>
      <c r="D669" s="1112"/>
      <c r="E669" s="1112"/>
      <c r="F669" s="1112"/>
      <c r="G669" s="1112"/>
      <c r="H669" s="1112"/>
      <c r="I669" s="1112"/>
      <c r="J669" s="1114"/>
      <c r="K669" s="1112"/>
      <c r="L669" s="1112"/>
      <c r="M669" s="1112"/>
      <c r="N669" s="1112"/>
      <c r="O669" s="1112"/>
      <c r="P669" s="1112" t="s">
        <v>96</v>
      </c>
      <c r="Q669" s="1112"/>
    </row>
    <row r="670">
      <c r="A670" s="1112"/>
      <c r="B670" s="1112"/>
      <c r="C670" s="1112"/>
      <c r="D670" s="1112"/>
      <c r="E670" s="1112"/>
      <c r="F670" s="1112"/>
      <c r="G670" s="1112"/>
      <c r="H670" s="1112"/>
      <c r="I670" s="1112"/>
      <c r="J670" s="1114"/>
      <c r="K670" s="1112"/>
      <c r="L670" s="1112"/>
      <c r="M670" s="1112"/>
      <c r="N670" s="1112"/>
      <c r="O670" s="1112"/>
      <c r="P670" s="1112" t="s">
        <v>96</v>
      </c>
      <c r="Q670" s="1112"/>
    </row>
    <row r="671">
      <c r="A671" s="1112"/>
      <c r="B671" s="1112"/>
      <c r="C671" s="1112"/>
      <c r="D671" s="1112"/>
      <c r="E671" s="1112"/>
      <c r="F671" s="1112"/>
      <c r="G671" s="1112"/>
      <c r="H671" s="1112"/>
      <c r="I671" s="1112"/>
      <c r="J671" s="1114"/>
      <c r="K671" s="1112"/>
      <c r="L671" s="1112"/>
      <c r="M671" s="1112"/>
      <c r="N671" s="1112"/>
      <c r="O671" s="1112"/>
      <c r="P671" s="1112" t="s">
        <v>96</v>
      </c>
      <c r="Q671" s="1112"/>
    </row>
    <row r="672">
      <c r="A672" s="1112"/>
      <c r="B672" s="1112"/>
      <c r="C672" s="1112"/>
      <c r="D672" s="1112"/>
      <c r="E672" s="1112"/>
      <c r="F672" s="1112"/>
      <c r="G672" s="1112"/>
      <c r="H672" s="1112"/>
      <c r="I672" s="1112"/>
      <c r="J672" s="1114"/>
      <c r="K672" s="1112"/>
      <c r="L672" s="1112"/>
      <c r="M672" s="1112"/>
      <c r="N672" s="1112"/>
      <c r="O672" s="1112"/>
      <c r="P672" s="1112" t="s">
        <v>96</v>
      </c>
      <c r="Q672" s="1112"/>
    </row>
    <row r="673">
      <c r="A673" s="1112"/>
      <c r="B673" s="1112"/>
      <c r="C673" s="1112"/>
      <c r="D673" s="1112"/>
      <c r="E673" s="1112"/>
      <c r="F673" s="1112"/>
      <c r="G673" s="1112"/>
      <c r="H673" s="1112"/>
      <c r="I673" s="1112"/>
      <c r="J673" s="1114"/>
      <c r="K673" s="1112"/>
      <c r="L673" s="1112"/>
      <c r="M673" s="1112"/>
      <c r="N673" s="1112"/>
      <c r="O673" s="1112"/>
      <c r="P673" s="1112" t="s">
        <v>96</v>
      </c>
      <c r="Q673" s="1112"/>
    </row>
    <row r="674">
      <c r="A674" s="1112"/>
      <c r="B674" s="1112"/>
      <c r="C674" s="1112"/>
      <c r="D674" s="1112"/>
      <c r="E674" s="1112"/>
      <c r="F674" s="1112"/>
      <c r="G674" s="1112"/>
      <c r="H674" s="1112"/>
      <c r="I674" s="1112"/>
      <c r="J674" s="1114"/>
      <c r="K674" s="1112"/>
      <c r="L674" s="1112"/>
      <c r="M674" s="1112"/>
      <c r="N674" s="1112"/>
      <c r="O674" s="1112"/>
      <c r="P674" s="1112" t="s">
        <v>96</v>
      </c>
      <c r="Q674" s="1112"/>
    </row>
    <row r="675">
      <c r="A675" s="1112"/>
      <c r="B675" s="1112"/>
      <c r="C675" s="1112"/>
      <c r="D675" s="1112"/>
      <c r="E675" s="1112"/>
      <c r="F675" s="1112"/>
      <c r="G675" s="1112"/>
      <c r="H675" s="1112"/>
      <c r="I675" s="1112"/>
      <c r="J675" s="1114"/>
      <c r="K675" s="1112"/>
      <c r="L675" s="1112"/>
      <c r="M675" s="1112"/>
      <c r="N675" s="1112"/>
      <c r="O675" s="1112"/>
      <c r="P675" s="1112" t="s">
        <v>96</v>
      </c>
      <c r="Q675" s="1112"/>
    </row>
    <row r="676">
      <c r="A676" s="1112"/>
      <c r="B676" s="1112"/>
      <c r="C676" s="1112"/>
      <c r="D676" s="1112"/>
      <c r="E676" s="1112"/>
      <c r="F676" s="1112"/>
      <c r="G676" s="1112"/>
      <c r="H676" s="1112"/>
      <c r="I676" s="1112"/>
      <c r="J676" s="1114"/>
      <c r="K676" s="1112"/>
      <c r="L676" s="1112"/>
      <c r="M676" s="1112"/>
      <c r="N676" s="1112"/>
      <c r="O676" s="1112"/>
      <c r="P676" s="1112" t="s">
        <v>96</v>
      </c>
      <c r="Q676" s="1112"/>
    </row>
    <row r="677">
      <c r="A677" s="1112"/>
      <c r="B677" s="1112"/>
      <c r="C677" s="1112"/>
      <c r="D677" s="1112"/>
      <c r="E677" s="1112"/>
      <c r="F677" s="1112"/>
      <c r="G677" s="1112"/>
      <c r="H677" s="1112"/>
      <c r="I677" s="1112"/>
      <c r="J677" s="1114"/>
      <c r="K677" s="1112"/>
      <c r="L677" s="1112"/>
      <c r="M677" s="1112"/>
      <c r="N677" s="1112"/>
      <c r="O677" s="1112"/>
      <c r="P677" s="1112" t="s">
        <v>96</v>
      </c>
      <c r="Q677" s="1112"/>
    </row>
    <row r="678">
      <c r="A678" s="1112"/>
      <c r="B678" s="1112"/>
      <c r="C678" s="1112"/>
      <c r="D678" s="1112"/>
      <c r="E678" s="1112"/>
      <c r="F678" s="1112"/>
      <c r="G678" s="1112"/>
      <c r="H678" s="1112"/>
      <c r="I678" s="1112"/>
      <c r="J678" s="1114"/>
      <c r="K678" s="1112"/>
      <c r="L678" s="1112"/>
      <c r="M678" s="1112"/>
      <c r="N678" s="1112"/>
      <c r="O678" s="1112"/>
      <c r="P678" s="1112" t="s">
        <v>96</v>
      </c>
      <c r="Q678" s="1112"/>
    </row>
    <row r="679">
      <c r="A679" s="1112"/>
      <c r="B679" s="1112"/>
      <c r="C679" s="1112"/>
      <c r="D679" s="1112"/>
      <c r="E679" s="1112"/>
      <c r="F679" s="1112"/>
      <c r="G679" s="1112"/>
      <c r="H679" s="1112"/>
      <c r="I679" s="1112"/>
      <c r="J679" s="1114"/>
      <c r="K679" s="1112"/>
      <c r="L679" s="1112"/>
      <c r="M679" s="1112"/>
      <c r="N679" s="1112"/>
      <c r="O679" s="1112"/>
      <c r="P679" s="1112" t="s">
        <v>96</v>
      </c>
      <c r="Q679" s="1112"/>
    </row>
    <row r="680">
      <c r="A680" s="1112"/>
      <c r="B680" s="1112"/>
      <c r="C680" s="1112"/>
      <c r="D680" s="1112"/>
      <c r="E680" s="1112"/>
      <c r="F680" s="1112"/>
      <c r="G680" s="1112"/>
      <c r="H680" s="1112"/>
      <c r="I680" s="1112"/>
      <c r="J680" s="1114"/>
      <c r="K680" s="1112"/>
      <c r="L680" s="1112"/>
      <c r="M680" s="1112"/>
      <c r="N680" s="1112"/>
      <c r="O680" s="1112"/>
      <c r="P680" s="1112" t="s">
        <v>96</v>
      </c>
      <c r="Q680" s="1112"/>
    </row>
    <row r="681">
      <c r="A681" s="1112"/>
      <c r="B681" s="1112"/>
      <c r="C681" s="1112"/>
      <c r="D681" s="1112"/>
      <c r="E681" s="1112"/>
      <c r="F681" s="1112"/>
      <c r="G681" s="1112"/>
      <c r="H681" s="1112"/>
      <c r="I681" s="1112"/>
      <c r="J681" s="1114"/>
      <c r="K681" s="1112"/>
      <c r="L681" s="1112"/>
      <c r="M681" s="1112"/>
      <c r="N681" s="1112"/>
      <c r="O681" s="1112"/>
      <c r="P681" s="1112" t="s">
        <v>96</v>
      </c>
      <c r="Q681" s="1112"/>
    </row>
    <row r="682">
      <c r="A682" s="1112"/>
      <c r="B682" s="1112"/>
      <c r="C682" s="1112"/>
      <c r="D682" s="1112"/>
      <c r="E682" s="1112"/>
      <c r="F682" s="1112"/>
      <c r="G682" s="1112"/>
      <c r="H682" s="1112"/>
      <c r="I682" s="1112"/>
      <c r="J682" s="1114"/>
      <c r="K682" s="1112"/>
      <c r="L682" s="1112"/>
      <c r="M682" s="1112"/>
      <c r="N682" s="1112"/>
      <c r="O682" s="1112"/>
      <c r="P682" s="1112" t="s">
        <v>96</v>
      </c>
      <c r="Q682" s="1112"/>
    </row>
    <row r="683">
      <c r="A683" s="1112"/>
      <c r="B683" s="1112"/>
      <c r="C683" s="1112"/>
      <c r="D683" s="1112"/>
      <c r="E683" s="1112"/>
      <c r="F683" s="1112"/>
      <c r="G683" s="1112"/>
      <c r="H683" s="1112"/>
      <c r="I683" s="1112"/>
      <c r="J683" s="1114"/>
      <c r="K683" s="1112"/>
      <c r="L683" s="1112"/>
      <c r="M683" s="1112"/>
      <c r="N683" s="1112"/>
      <c r="O683" s="1112"/>
      <c r="P683" s="1112" t="s">
        <v>96</v>
      </c>
      <c r="Q683" s="1112"/>
    </row>
    <row r="684">
      <c r="A684" s="1112"/>
      <c r="B684" s="1112"/>
      <c r="C684" s="1112"/>
      <c r="D684" s="1112"/>
      <c r="E684" s="1112"/>
      <c r="F684" s="1112"/>
      <c r="G684" s="1112"/>
      <c r="H684" s="1112"/>
      <c r="I684" s="1112"/>
      <c r="J684" s="1114"/>
      <c r="K684" s="1112"/>
      <c r="L684" s="1112"/>
      <c r="M684" s="1112"/>
      <c r="N684" s="1112"/>
      <c r="O684" s="1112"/>
      <c r="P684" s="1112" t="s">
        <v>96</v>
      </c>
      <c r="Q684" s="1112"/>
    </row>
    <row r="685">
      <c r="A685" s="1112"/>
      <c r="B685" s="1112"/>
      <c r="C685" s="1112"/>
      <c r="D685" s="1112"/>
      <c r="E685" s="1112"/>
      <c r="F685" s="1112"/>
      <c r="G685" s="1112"/>
      <c r="H685" s="1112"/>
      <c r="I685" s="1112"/>
      <c r="J685" s="1114"/>
      <c r="K685" s="1112"/>
      <c r="L685" s="1112"/>
      <c r="M685" s="1112"/>
      <c r="N685" s="1112"/>
      <c r="O685" s="1112"/>
      <c r="P685" s="1112" t="s">
        <v>96</v>
      </c>
      <c r="Q685" s="1112"/>
    </row>
    <row r="686">
      <c r="A686" s="1112"/>
      <c r="B686" s="1112"/>
      <c r="C686" s="1112"/>
      <c r="D686" s="1112"/>
      <c r="E686" s="1112"/>
      <c r="F686" s="1112"/>
      <c r="G686" s="1112"/>
      <c r="H686" s="1112"/>
      <c r="I686" s="1112"/>
      <c r="J686" s="1114"/>
      <c r="K686" s="1112"/>
      <c r="L686" s="1112"/>
      <c r="M686" s="1112"/>
      <c r="N686" s="1112"/>
      <c r="O686" s="1112"/>
      <c r="P686" s="1112" t="s">
        <v>96</v>
      </c>
      <c r="Q686" s="1112"/>
    </row>
    <row r="687">
      <c r="A687" s="1112"/>
      <c r="B687" s="1112"/>
      <c r="C687" s="1112"/>
      <c r="D687" s="1112"/>
      <c r="E687" s="1112"/>
      <c r="F687" s="1112"/>
      <c r="G687" s="1112"/>
      <c r="H687" s="1112"/>
      <c r="I687" s="1112"/>
      <c r="J687" s="1114"/>
      <c r="K687" s="1112"/>
      <c r="L687" s="1112"/>
      <c r="M687" s="1112"/>
      <c r="N687" s="1112"/>
      <c r="O687" s="1112"/>
      <c r="P687" s="1112" t="s">
        <v>96</v>
      </c>
      <c r="Q687" s="1112"/>
    </row>
    <row r="688">
      <c r="A688" s="1112"/>
      <c r="B688" s="1112"/>
      <c r="C688" s="1112"/>
      <c r="D688" s="1112"/>
      <c r="E688" s="1112"/>
      <c r="F688" s="1112"/>
      <c r="G688" s="1112"/>
      <c r="H688" s="1112"/>
      <c r="I688" s="1112"/>
      <c r="J688" s="1114"/>
      <c r="K688" s="1112"/>
      <c r="L688" s="1112"/>
      <c r="M688" s="1112"/>
      <c r="N688" s="1112"/>
      <c r="O688" s="1112"/>
      <c r="P688" s="1112" t="s">
        <v>96</v>
      </c>
      <c r="Q688" s="1112"/>
    </row>
    <row r="689">
      <c r="A689" s="1112"/>
      <c r="B689" s="1112"/>
      <c r="C689" s="1112"/>
      <c r="D689" s="1112"/>
      <c r="E689" s="1112"/>
      <c r="F689" s="1112"/>
      <c r="G689" s="1112"/>
      <c r="H689" s="1112"/>
      <c r="I689" s="1112"/>
      <c r="J689" s="1114"/>
      <c r="K689" s="1112"/>
      <c r="L689" s="1112"/>
      <c r="M689" s="1112"/>
      <c r="N689" s="1112"/>
      <c r="O689" s="1112"/>
      <c r="P689" s="1112" t="s">
        <v>96</v>
      </c>
      <c r="Q689" s="1112"/>
    </row>
    <row r="690">
      <c r="A690" s="1112"/>
      <c r="B690" s="1112"/>
      <c r="C690" s="1112"/>
      <c r="D690" s="1112"/>
      <c r="E690" s="1112"/>
      <c r="F690" s="1112"/>
      <c r="G690" s="1112"/>
      <c r="H690" s="1112"/>
      <c r="I690" s="1112"/>
      <c r="J690" s="1114"/>
      <c r="K690" s="1112"/>
      <c r="L690" s="1112"/>
      <c r="M690" s="1112"/>
      <c r="N690" s="1112"/>
      <c r="O690" s="1112"/>
      <c r="P690" s="1112" t="s">
        <v>96</v>
      </c>
      <c r="Q690" s="1112"/>
    </row>
    <row r="691">
      <c r="A691" s="1112"/>
      <c r="B691" s="1112"/>
      <c r="C691" s="1112"/>
      <c r="D691" s="1112"/>
      <c r="E691" s="1112"/>
      <c r="F691" s="1112"/>
      <c r="G691" s="1112"/>
      <c r="H691" s="1112"/>
      <c r="I691" s="1112"/>
      <c r="J691" s="1114"/>
      <c r="K691" s="1112"/>
      <c r="L691" s="1112"/>
      <c r="M691" s="1112"/>
      <c r="N691" s="1112"/>
      <c r="O691" s="1112"/>
      <c r="P691" s="1112" t="s">
        <v>96</v>
      </c>
      <c r="Q691" s="1112"/>
    </row>
    <row r="692">
      <c r="A692" s="1112"/>
      <c r="B692" s="1112"/>
      <c r="C692" s="1112"/>
      <c r="D692" s="1112"/>
      <c r="E692" s="1112"/>
      <c r="F692" s="1112"/>
      <c r="G692" s="1112"/>
      <c r="H692" s="1112"/>
      <c r="I692" s="1112"/>
      <c r="J692" s="1114"/>
      <c r="K692" s="1112"/>
      <c r="L692" s="1112"/>
      <c r="M692" s="1112"/>
      <c r="N692" s="1112"/>
      <c r="O692" s="1112"/>
      <c r="P692" s="1112" t="s">
        <v>96</v>
      </c>
      <c r="Q692" s="1112"/>
    </row>
    <row r="693">
      <c r="A693" s="1112"/>
      <c r="B693" s="1112"/>
      <c r="C693" s="1112"/>
      <c r="D693" s="1112"/>
      <c r="E693" s="1112"/>
      <c r="F693" s="1112"/>
      <c r="G693" s="1112"/>
      <c r="H693" s="1112"/>
      <c r="I693" s="1112"/>
      <c r="J693" s="1114"/>
      <c r="K693" s="1112"/>
      <c r="L693" s="1112"/>
      <c r="M693" s="1112"/>
      <c r="N693" s="1112"/>
      <c r="O693" s="1112"/>
      <c r="P693" s="1112" t="s">
        <v>96</v>
      </c>
      <c r="Q693" s="1112"/>
    </row>
    <row r="694">
      <c r="A694" s="1112"/>
      <c r="B694" s="1112"/>
      <c r="C694" s="1112"/>
      <c r="D694" s="1112"/>
      <c r="E694" s="1112"/>
      <c r="F694" s="1112"/>
      <c r="G694" s="1112"/>
      <c r="H694" s="1112"/>
      <c r="I694" s="1112"/>
      <c r="J694" s="1114"/>
      <c r="K694" s="1112"/>
      <c r="L694" s="1112"/>
      <c r="M694" s="1112"/>
      <c r="N694" s="1112"/>
      <c r="O694" s="1112"/>
      <c r="P694" s="1112" t="s">
        <v>96</v>
      </c>
      <c r="Q694" s="1112"/>
    </row>
    <row r="695">
      <c r="A695" s="1112"/>
      <c r="B695" s="1112"/>
      <c r="C695" s="1112"/>
      <c r="D695" s="1112"/>
      <c r="E695" s="1112"/>
      <c r="F695" s="1112"/>
      <c r="G695" s="1112"/>
      <c r="H695" s="1112"/>
      <c r="I695" s="1112"/>
      <c r="J695" s="1114"/>
      <c r="K695" s="1112"/>
      <c r="L695" s="1112"/>
      <c r="M695" s="1112"/>
      <c r="N695" s="1112"/>
      <c r="O695" s="1112"/>
      <c r="P695" s="1112" t="s">
        <v>96</v>
      </c>
      <c r="Q695" s="1112"/>
    </row>
    <row r="696">
      <c r="A696" s="1112"/>
      <c r="B696" s="1112"/>
      <c r="C696" s="1112"/>
      <c r="D696" s="1112"/>
      <c r="E696" s="1112"/>
      <c r="F696" s="1112"/>
      <c r="G696" s="1112"/>
      <c r="H696" s="1112"/>
      <c r="I696" s="1112"/>
      <c r="J696" s="1114"/>
      <c r="K696" s="1112"/>
      <c r="L696" s="1112"/>
      <c r="M696" s="1112"/>
      <c r="N696" s="1112"/>
      <c r="O696" s="1112"/>
      <c r="P696" s="1112" t="s">
        <v>96</v>
      </c>
      <c r="Q696" s="1112"/>
    </row>
    <row r="697">
      <c r="A697" s="1112"/>
      <c r="B697" s="1112"/>
      <c r="C697" s="1112"/>
      <c r="D697" s="1112"/>
      <c r="E697" s="1112"/>
      <c r="F697" s="1112"/>
      <c r="G697" s="1112"/>
      <c r="H697" s="1112"/>
      <c r="I697" s="1112"/>
      <c r="J697" s="1114"/>
      <c r="K697" s="1112"/>
      <c r="L697" s="1112"/>
      <c r="M697" s="1112"/>
      <c r="N697" s="1112"/>
      <c r="O697" s="1112"/>
      <c r="P697" s="1112" t="s">
        <v>96</v>
      </c>
      <c r="Q697" s="1112"/>
    </row>
    <row r="698">
      <c r="A698" s="1112"/>
      <c r="B698" s="1112"/>
      <c r="C698" s="1112"/>
      <c r="D698" s="1112"/>
      <c r="E698" s="1112"/>
      <c r="F698" s="1112"/>
      <c r="G698" s="1112"/>
      <c r="H698" s="1112"/>
      <c r="I698" s="1112"/>
      <c r="J698" s="1114"/>
      <c r="K698" s="1112"/>
      <c r="L698" s="1112"/>
      <c r="M698" s="1112"/>
      <c r="N698" s="1112"/>
      <c r="O698" s="1112"/>
      <c r="P698" s="1112" t="s">
        <v>96</v>
      </c>
      <c r="Q698" s="1112"/>
    </row>
    <row r="699">
      <c r="A699" s="1112"/>
      <c r="B699" s="1112"/>
      <c r="C699" s="1112"/>
      <c r="D699" s="1112"/>
      <c r="E699" s="1112"/>
      <c r="F699" s="1112"/>
      <c r="G699" s="1112"/>
      <c r="H699" s="1112"/>
      <c r="I699" s="1112"/>
      <c r="J699" s="1114"/>
      <c r="K699" s="1112"/>
      <c r="L699" s="1112"/>
      <c r="M699" s="1112"/>
      <c r="N699" s="1112"/>
      <c r="O699" s="1112"/>
      <c r="P699" s="1112" t="s">
        <v>96</v>
      </c>
      <c r="Q699" s="1112"/>
    </row>
    <row r="700">
      <c r="A700" s="1112"/>
      <c r="B700" s="1112"/>
      <c r="C700" s="1112"/>
      <c r="D700" s="1112"/>
      <c r="E700" s="1112"/>
      <c r="F700" s="1112"/>
      <c r="G700" s="1112"/>
      <c r="H700" s="1112"/>
      <c r="I700" s="1112"/>
      <c r="J700" s="1114"/>
      <c r="K700" s="1112"/>
      <c r="L700" s="1112"/>
      <c r="M700" s="1112"/>
      <c r="N700" s="1112"/>
      <c r="O700" s="1112"/>
      <c r="P700" s="1112" t="s">
        <v>96</v>
      </c>
      <c r="Q700" s="1112"/>
    </row>
    <row r="701">
      <c r="A701" s="1112"/>
      <c r="B701" s="1112"/>
      <c r="C701" s="1112"/>
      <c r="D701" s="1112"/>
      <c r="E701" s="1112"/>
      <c r="F701" s="1112"/>
      <c r="G701" s="1112"/>
      <c r="H701" s="1112"/>
      <c r="I701" s="1112"/>
      <c r="J701" s="1114"/>
      <c r="K701" s="1112"/>
      <c r="L701" s="1112"/>
      <c r="M701" s="1112"/>
      <c r="N701" s="1112"/>
      <c r="O701" s="1112"/>
      <c r="P701" s="1112" t="s">
        <v>96</v>
      </c>
      <c r="Q701" s="1112"/>
    </row>
    <row r="702">
      <c r="A702" s="1112"/>
      <c r="B702" s="1112"/>
      <c r="C702" s="1112"/>
      <c r="D702" s="1112"/>
      <c r="E702" s="1112"/>
      <c r="F702" s="1112"/>
      <c r="G702" s="1112"/>
      <c r="H702" s="1112"/>
      <c r="I702" s="1112"/>
      <c r="J702" s="1114"/>
      <c r="K702" s="1112"/>
      <c r="L702" s="1112"/>
      <c r="M702" s="1112"/>
      <c r="N702" s="1112"/>
      <c r="O702" s="1112"/>
      <c r="P702" s="1112" t="s">
        <v>96</v>
      </c>
      <c r="Q702" s="1112"/>
    </row>
    <row r="703">
      <c r="A703" s="1112"/>
      <c r="B703" s="1112"/>
      <c r="C703" s="1112"/>
      <c r="D703" s="1112"/>
      <c r="E703" s="1112"/>
      <c r="F703" s="1112"/>
      <c r="G703" s="1112"/>
      <c r="H703" s="1112"/>
      <c r="I703" s="1112"/>
      <c r="J703" s="1114"/>
      <c r="K703" s="1112"/>
      <c r="L703" s="1112"/>
      <c r="M703" s="1112"/>
      <c r="N703" s="1112"/>
      <c r="O703" s="1112"/>
      <c r="P703" s="1112" t="s">
        <v>96</v>
      </c>
      <c r="Q703" s="1112"/>
    </row>
    <row r="704">
      <c r="A704" s="1112"/>
      <c r="B704" s="1112"/>
      <c r="C704" s="1112"/>
      <c r="D704" s="1112"/>
      <c r="E704" s="1112"/>
      <c r="F704" s="1112"/>
      <c r="G704" s="1112"/>
      <c r="H704" s="1112"/>
      <c r="I704" s="1112"/>
      <c r="J704" s="1114"/>
      <c r="K704" s="1112"/>
      <c r="L704" s="1112"/>
      <c r="M704" s="1112"/>
      <c r="N704" s="1112"/>
      <c r="O704" s="1112"/>
      <c r="P704" s="1112" t="s">
        <v>96</v>
      </c>
      <c r="Q704" s="1112"/>
    </row>
    <row r="705">
      <c r="A705" s="1112"/>
      <c r="B705" s="1112"/>
      <c r="C705" s="1112"/>
      <c r="D705" s="1112"/>
      <c r="E705" s="1112"/>
      <c r="F705" s="1112"/>
      <c r="G705" s="1112"/>
      <c r="H705" s="1112"/>
      <c r="I705" s="1112"/>
      <c r="J705" s="1114"/>
      <c r="K705" s="1112"/>
      <c r="L705" s="1112"/>
      <c r="M705" s="1112"/>
      <c r="N705" s="1112"/>
      <c r="O705" s="1112"/>
      <c r="P705" s="1112" t="s">
        <v>96</v>
      </c>
      <c r="Q705" s="1112"/>
    </row>
    <row r="706">
      <c r="A706" s="1112"/>
      <c r="B706" s="1112"/>
      <c r="C706" s="1112"/>
      <c r="D706" s="1112"/>
      <c r="E706" s="1112"/>
      <c r="F706" s="1112"/>
      <c r="G706" s="1112"/>
      <c r="H706" s="1112"/>
      <c r="I706" s="1112"/>
      <c r="J706" s="1114"/>
      <c r="K706" s="1112"/>
      <c r="L706" s="1112"/>
      <c r="M706" s="1112"/>
      <c r="N706" s="1112"/>
      <c r="O706" s="1112"/>
      <c r="P706" s="1112" t="s">
        <v>96</v>
      </c>
      <c r="Q706" s="1112"/>
    </row>
    <row r="707">
      <c r="A707" s="1112"/>
      <c r="B707" s="1112"/>
      <c r="C707" s="1112"/>
      <c r="D707" s="1112"/>
      <c r="E707" s="1112"/>
      <c r="F707" s="1112"/>
      <c r="G707" s="1112"/>
      <c r="H707" s="1112"/>
      <c r="I707" s="1112"/>
      <c r="J707" s="1114"/>
      <c r="K707" s="1112"/>
      <c r="L707" s="1112"/>
      <c r="M707" s="1112"/>
      <c r="N707" s="1112"/>
      <c r="O707" s="1112"/>
      <c r="P707" s="1112" t="s">
        <v>96</v>
      </c>
      <c r="Q707" s="1112"/>
    </row>
    <row r="708">
      <c r="A708" s="1112"/>
      <c r="B708" s="1112"/>
      <c r="C708" s="1112"/>
      <c r="D708" s="1112"/>
      <c r="E708" s="1112"/>
      <c r="F708" s="1112"/>
      <c r="G708" s="1112"/>
      <c r="H708" s="1112"/>
      <c r="I708" s="1112"/>
      <c r="J708" s="1114"/>
      <c r="K708" s="1112"/>
      <c r="L708" s="1112"/>
      <c r="M708" s="1112"/>
      <c r="N708" s="1112"/>
      <c r="O708" s="1112"/>
      <c r="P708" s="1112" t="s">
        <v>96</v>
      </c>
      <c r="Q708" s="1112"/>
    </row>
    <row r="709">
      <c r="A709" s="1112"/>
      <c r="B709" s="1112"/>
      <c r="C709" s="1112"/>
      <c r="D709" s="1112"/>
      <c r="E709" s="1112"/>
      <c r="F709" s="1112"/>
      <c r="G709" s="1112"/>
      <c r="H709" s="1112"/>
      <c r="I709" s="1112"/>
      <c r="J709" s="1114"/>
      <c r="K709" s="1112"/>
      <c r="L709" s="1112"/>
      <c r="M709" s="1112"/>
      <c r="N709" s="1112"/>
      <c r="O709" s="1112"/>
      <c r="P709" s="1112" t="s">
        <v>96</v>
      </c>
      <c r="Q709" s="1112"/>
    </row>
    <row r="710">
      <c r="A710" s="1112"/>
      <c r="B710" s="1112"/>
      <c r="C710" s="1112"/>
      <c r="D710" s="1112"/>
      <c r="E710" s="1112"/>
      <c r="F710" s="1112"/>
      <c r="G710" s="1112"/>
      <c r="H710" s="1112"/>
      <c r="I710" s="1112"/>
      <c r="J710" s="1114"/>
      <c r="K710" s="1112"/>
      <c r="L710" s="1112"/>
      <c r="M710" s="1112"/>
      <c r="N710" s="1112"/>
      <c r="O710" s="1112"/>
      <c r="P710" s="1112" t="s">
        <v>96</v>
      </c>
      <c r="Q710" s="1112"/>
    </row>
    <row r="711">
      <c r="A711" s="1112"/>
      <c r="B711" s="1112"/>
      <c r="C711" s="1112"/>
      <c r="D711" s="1112"/>
      <c r="E711" s="1112"/>
      <c r="F711" s="1112"/>
      <c r="G711" s="1112"/>
      <c r="H711" s="1112"/>
      <c r="I711" s="1112"/>
      <c r="J711" s="1114"/>
      <c r="K711" s="1112"/>
      <c r="L711" s="1112"/>
      <c r="M711" s="1112"/>
      <c r="N711" s="1112"/>
      <c r="O711" s="1112"/>
      <c r="P711" s="1112" t="s">
        <v>96</v>
      </c>
      <c r="Q711" s="1112"/>
    </row>
    <row r="712">
      <c r="A712" s="1112"/>
      <c r="B712" s="1112"/>
      <c r="C712" s="1112"/>
      <c r="D712" s="1112"/>
      <c r="E712" s="1112"/>
      <c r="F712" s="1112"/>
      <c r="G712" s="1112"/>
      <c r="H712" s="1112"/>
      <c r="I712" s="1112"/>
      <c r="J712" s="1114"/>
      <c r="K712" s="1112"/>
      <c r="L712" s="1112"/>
      <c r="M712" s="1112"/>
      <c r="N712" s="1112"/>
      <c r="O712" s="1112"/>
      <c r="P712" s="1112" t="s">
        <v>96</v>
      </c>
      <c r="Q712" s="1112"/>
    </row>
    <row r="713">
      <c r="A713" s="1112"/>
      <c r="B713" s="1112"/>
      <c r="C713" s="1112"/>
      <c r="D713" s="1112"/>
      <c r="E713" s="1112"/>
      <c r="F713" s="1112"/>
      <c r="G713" s="1112"/>
      <c r="H713" s="1112"/>
      <c r="I713" s="1112"/>
      <c r="J713" s="1114"/>
      <c r="K713" s="1112"/>
      <c r="L713" s="1112"/>
      <c r="M713" s="1112"/>
      <c r="N713" s="1112"/>
      <c r="O713" s="1112"/>
      <c r="P713" s="1112" t="s">
        <v>96</v>
      </c>
      <c r="Q713" s="1112"/>
    </row>
    <row r="714">
      <c r="A714" s="1112"/>
      <c r="B714" s="1112"/>
      <c r="C714" s="1112"/>
      <c r="D714" s="1112"/>
      <c r="E714" s="1112"/>
      <c r="F714" s="1112"/>
      <c r="G714" s="1112"/>
      <c r="H714" s="1112"/>
      <c r="I714" s="1112"/>
      <c r="J714" s="1114"/>
      <c r="K714" s="1112"/>
      <c r="L714" s="1112"/>
      <c r="M714" s="1112"/>
      <c r="N714" s="1112"/>
      <c r="O714" s="1112"/>
      <c r="P714" s="1112" t="s">
        <v>96</v>
      </c>
      <c r="Q714" s="1112"/>
    </row>
    <row r="715">
      <c r="A715" s="1112"/>
      <c r="B715" s="1112"/>
      <c r="C715" s="1112"/>
      <c r="D715" s="1112"/>
      <c r="E715" s="1112"/>
      <c r="F715" s="1112"/>
      <c r="G715" s="1112"/>
      <c r="H715" s="1112"/>
      <c r="I715" s="1112"/>
      <c r="J715" s="1114"/>
      <c r="K715" s="1112"/>
      <c r="L715" s="1112"/>
      <c r="M715" s="1112"/>
      <c r="N715" s="1112"/>
      <c r="O715" s="1112"/>
      <c r="P715" s="1112" t="s">
        <v>96</v>
      </c>
      <c r="Q715" s="1112"/>
    </row>
    <row r="716">
      <c r="A716" s="1112"/>
      <c r="B716" s="1112"/>
      <c r="C716" s="1112"/>
      <c r="D716" s="1112"/>
      <c r="E716" s="1112"/>
      <c r="F716" s="1112"/>
      <c r="G716" s="1112"/>
      <c r="H716" s="1112"/>
      <c r="I716" s="1112"/>
      <c r="J716" s="1114"/>
      <c r="K716" s="1112"/>
      <c r="L716" s="1112"/>
      <c r="M716" s="1112"/>
      <c r="N716" s="1112"/>
      <c r="O716" s="1112"/>
      <c r="P716" s="1112" t="s">
        <v>96</v>
      </c>
      <c r="Q716" s="1112"/>
    </row>
    <row r="717">
      <c r="A717" s="1112"/>
      <c r="B717" s="1112"/>
      <c r="C717" s="1112"/>
      <c r="D717" s="1112"/>
      <c r="E717" s="1112"/>
      <c r="F717" s="1112"/>
      <c r="G717" s="1112"/>
      <c r="H717" s="1112"/>
      <c r="I717" s="1112"/>
      <c r="J717" s="1114"/>
      <c r="K717" s="1112"/>
      <c r="L717" s="1112"/>
      <c r="M717" s="1112"/>
      <c r="N717" s="1112"/>
      <c r="O717" s="1112"/>
      <c r="P717" s="1112" t="s">
        <v>96</v>
      </c>
      <c r="Q717" s="1112"/>
    </row>
    <row r="718">
      <c r="A718" s="1112"/>
      <c r="B718" s="1112"/>
      <c r="C718" s="1112"/>
      <c r="D718" s="1112"/>
      <c r="E718" s="1112"/>
      <c r="F718" s="1112"/>
      <c r="G718" s="1112"/>
      <c r="H718" s="1112"/>
      <c r="I718" s="1112"/>
      <c r="J718" s="1114"/>
      <c r="K718" s="1112"/>
      <c r="L718" s="1112"/>
      <c r="M718" s="1112"/>
      <c r="N718" s="1112"/>
      <c r="O718" s="1112"/>
      <c r="P718" s="1112" t="s">
        <v>96</v>
      </c>
      <c r="Q718" s="1112"/>
    </row>
    <row r="719">
      <c r="A719" s="1112"/>
      <c r="B719" s="1112"/>
      <c r="C719" s="1112"/>
      <c r="D719" s="1112"/>
      <c r="E719" s="1112"/>
      <c r="F719" s="1112"/>
      <c r="G719" s="1112"/>
      <c r="H719" s="1112"/>
      <c r="I719" s="1112"/>
      <c r="J719" s="1114"/>
      <c r="K719" s="1112"/>
      <c r="L719" s="1112"/>
      <c r="M719" s="1112"/>
      <c r="N719" s="1112"/>
      <c r="O719" s="1112"/>
      <c r="P719" s="1112" t="s">
        <v>96</v>
      </c>
      <c r="Q719" s="1112"/>
    </row>
    <row r="720">
      <c r="A720" s="1112"/>
      <c r="B720" s="1112"/>
      <c r="C720" s="1112"/>
      <c r="D720" s="1112"/>
      <c r="E720" s="1112"/>
      <c r="F720" s="1112"/>
      <c r="G720" s="1112"/>
      <c r="H720" s="1112"/>
      <c r="I720" s="1112"/>
      <c r="J720" s="1114"/>
      <c r="K720" s="1112"/>
      <c r="L720" s="1112"/>
      <c r="M720" s="1112"/>
      <c r="N720" s="1112"/>
      <c r="O720" s="1112"/>
      <c r="P720" s="1112" t="s">
        <v>96</v>
      </c>
      <c r="Q720" s="1112"/>
    </row>
    <row r="721">
      <c r="A721" s="1112"/>
      <c r="B721" s="1112"/>
      <c r="C721" s="1112"/>
      <c r="D721" s="1112"/>
      <c r="E721" s="1112"/>
      <c r="F721" s="1112"/>
      <c r="G721" s="1112"/>
      <c r="H721" s="1112"/>
      <c r="I721" s="1112"/>
      <c r="J721" s="1114"/>
      <c r="K721" s="1112"/>
      <c r="L721" s="1112"/>
      <c r="M721" s="1112"/>
      <c r="N721" s="1112"/>
      <c r="O721" s="1112"/>
      <c r="P721" s="1112" t="s">
        <v>96</v>
      </c>
      <c r="Q721" s="1112"/>
    </row>
    <row r="722">
      <c r="A722" s="1112"/>
      <c r="B722" s="1112"/>
      <c r="C722" s="1112"/>
      <c r="D722" s="1112"/>
      <c r="E722" s="1112"/>
      <c r="F722" s="1112"/>
      <c r="G722" s="1112"/>
      <c r="H722" s="1112"/>
      <c r="I722" s="1112"/>
      <c r="J722" s="1114"/>
      <c r="K722" s="1112"/>
      <c r="L722" s="1112"/>
      <c r="M722" s="1112"/>
      <c r="N722" s="1112"/>
      <c r="O722" s="1112"/>
      <c r="P722" s="1112" t="s">
        <v>96</v>
      </c>
      <c r="Q722" s="1112"/>
    </row>
    <row r="723">
      <c r="A723" s="1112"/>
      <c r="B723" s="1112"/>
      <c r="C723" s="1112"/>
      <c r="D723" s="1112"/>
      <c r="E723" s="1112"/>
      <c r="F723" s="1112"/>
      <c r="G723" s="1112"/>
      <c r="H723" s="1112"/>
      <c r="I723" s="1112"/>
      <c r="J723" s="1114"/>
      <c r="K723" s="1112"/>
      <c r="L723" s="1112"/>
      <c r="M723" s="1112"/>
      <c r="N723" s="1112"/>
      <c r="O723" s="1112"/>
      <c r="P723" s="1112" t="s">
        <v>96</v>
      </c>
      <c r="Q723" s="1112"/>
    </row>
    <row r="724">
      <c r="A724" s="1112"/>
      <c r="B724" s="1112"/>
      <c r="C724" s="1112"/>
      <c r="D724" s="1112"/>
      <c r="E724" s="1112"/>
      <c r="F724" s="1112"/>
      <c r="G724" s="1112"/>
      <c r="H724" s="1112"/>
      <c r="I724" s="1112"/>
      <c r="J724" s="1114"/>
      <c r="K724" s="1112"/>
      <c r="L724" s="1112"/>
      <c r="M724" s="1112"/>
      <c r="N724" s="1112"/>
      <c r="O724" s="1112"/>
      <c r="P724" s="1112" t="s">
        <v>96</v>
      </c>
      <c r="Q724" s="1112"/>
    </row>
    <row r="725">
      <c r="A725" s="1112"/>
      <c r="B725" s="1112"/>
      <c r="C725" s="1112"/>
      <c r="D725" s="1112"/>
      <c r="E725" s="1112"/>
      <c r="F725" s="1112"/>
      <c r="G725" s="1112"/>
      <c r="H725" s="1112"/>
      <c r="I725" s="1112"/>
      <c r="J725" s="1114"/>
      <c r="K725" s="1112"/>
      <c r="L725" s="1112"/>
      <c r="M725" s="1112"/>
      <c r="N725" s="1112"/>
      <c r="O725" s="1112"/>
      <c r="P725" s="1112" t="s">
        <v>96</v>
      </c>
      <c r="Q725" s="1112"/>
    </row>
    <row r="726">
      <c r="A726" s="1112"/>
      <c r="B726" s="1112"/>
      <c r="C726" s="1112"/>
      <c r="D726" s="1112"/>
      <c r="E726" s="1112"/>
      <c r="F726" s="1112"/>
      <c r="G726" s="1112"/>
      <c r="H726" s="1112"/>
      <c r="I726" s="1112"/>
      <c r="J726" s="1114"/>
      <c r="K726" s="1112"/>
      <c r="L726" s="1112"/>
      <c r="M726" s="1112"/>
      <c r="N726" s="1112"/>
      <c r="O726" s="1112"/>
      <c r="P726" s="1112" t="s">
        <v>96</v>
      </c>
      <c r="Q726" s="1112"/>
    </row>
    <row r="727">
      <c r="A727" s="1112"/>
      <c r="B727" s="1112"/>
      <c r="C727" s="1112"/>
      <c r="D727" s="1112"/>
      <c r="E727" s="1112"/>
      <c r="F727" s="1112"/>
      <c r="G727" s="1112"/>
      <c r="H727" s="1112"/>
      <c r="I727" s="1112"/>
      <c r="J727" s="1114"/>
      <c r="K727" s="1112"/>
      <c r="L727" s="1112"/>
      <c r="M727" s="1112"/>
      <c r="N727" s="1112"/>
      <c r="O727" s="1112"/>
      <c r="P727" s="1112" t="s">
        <v>96</v>
      </c>
      <c r="Q727" s="1112"/>
    </row>
    <row r="728">
      <c r="A728" s="1112"/>
      <c r="B728" s="1112"/>
      <c r="C728" s="1112"/>
      <c r="D728" s="1112"/>
      <c r="E728" s="1112"/>
      <c r="F728" s="1112"/>
      <c r="G728" s="1112"/>
      <c r="H728" s="1112"/>
      <c r="I728" s="1112"/>
      <c r="J728" s="1114"/>
      <c r="K728" s="1112"/>
      <c r="L728" s="1112"/>
      <c r="M728" s="1112"/>
      <c r="N728" s="1112"/>
      <c r="O728" s="1112"/>
      <c r="P728" s="1112" t="s">
        <v>96</v>
      </c>
      <c r="Q728" s="1112"/>
    </row>
    <row r="729">
      <c r="A729" s="1112"/>
      <c r="B729" s="1112"/>
      <c r="C729" s="1112"/>
      <c r="D729" s="1112"/>
      <c r="E729" s="1112"/>
      <c r="F729" s="1112"/>
      <c r="G729" s="1112"/>
      <c r="H729" s="1112"/>
      <c r="I729" s="1112"/>
      <c r="J729" s="1114"/>
      <c r="K729" s="1112"/>
      <c r="L729" s="1112"/>
      <c r="M729" s="1112"/>
      <c r="N729" s="1112"/>
      <c r="O729" s="1112"/>
      <c r="P729" s="1112" t="s">
        <v>96</v>
      </c>
      <c r="Q729" s="1112"/>
    </row>
    <row r="730">
      <c r="A730" s="1112"/>
      <c r="B730" s="1112"/>
      <c r="C730" s="1112"/>
      <c r="D730" s="1112"/>
      <c r="E730" s="1112"/>
      <c r="F730" s="1112"/>
      <c r="G730" s="1112"/>
      <c r="H730" s="1112"/>
      <c r="I730" s="1112"/>
      <c r="J730" s="1114"/>
      <c r="K730" s="1112"/>
      <c r="L730" s="1112"/>
      <c r="M730" s="1112"/>
      <c r="N730" s="1112"/>
      <c r="O730" s="1112"/>
      <c r="P730" s="1112" t="s">
        <v>96</v>
      </c>
      <c r="Q730" s="1112"/>
    </row>
    <row r="731">
      <c r="A731" s="1112"/>
      <c r="B731" s="1112"/>
      <c r="C731" s="1112"/>
      <c r="D731" s="1112"/>
      <c r="E731" s="1112"/>
      <c r="F731" s="1112"/>
      <c r="G731" s="1112"/>
      <c r="H731" s="1112"/>
      <c r="I731" s="1112"/>
      <c r="J731" s="1114"/>
      <c r="K731" s="1112"/>
      <c r="L731" s="1112"/>
      <c r="M731" s="1112"/>
      <c r="N731" s="1112"/>
      <c r="O731" s="1112"/>
      <c r="P731" s="1112" t="s">
        <v>96</v>
      </c>
      <c r="Q731" s="1112"/>
    </row>
    <row r="732">
      <c r="A732" s="1112"/>
      <c r="B732" s="1112"/>
      <c r="C732" s="1112"/>
      <c r="D732" s="1112"/>
      <c r="E732" s="1112"/>
      <c r="F732" s="1112"/>
      <c r="G732" s="1112"/>
      <c r="H732" s="1112"/>
      <c r="I732" s="1112"/>
      <c r="J732" s="1114"/>
      <c r="K732" s="1112"/>
      <c r="L732" s="1112"/>
      <c r="M732" s="1112"/>
      <c r="N732" s="1112"/>
      <c r="O732" s="1112"/>
      <c r="P732" s="1112" t="s">
        <v>96</v>
      </c>
      <c r="Q732" s="1112"/>
    </row>
    <row r="733">
      <c r="A733" s="1112"/>
      <c r="B733" s="1112"/>
      <c r="C733" s="1112"/>
      <c r="D733" s="1112"/>
      <c r="E733" s="1112"/>
      <c r="F733" s="1112"/>
      <c r="G733" s="1112"/>
      <c r="H733" s="1112"/>
      <c r="I733" s="1112"/>
      <c r="J733" s="1114"/>
      <c r="K733" s="1112"/>
      <c r="L733" s="1112"/>
      <c r="M733" s="1112"/>
      <c r="N733" s="1112"/>
      <c r="O733" s="1112"/>
      <c r="P733" s="1112" t="s">
        <v>96</v>
      </c>
      <c r="Q733" s="1112"/>
    </row>
    <row r="734">
      <c r="A734" s="1112"/>
      <c r="B734" s="1112"/>
      <c r="C734" s="1112"/>
      <c r="D734" s="1112"/>
      <c r="E734" s="1112"/>
      <c r="F734" s="1112"/>
      <c r="G734" s="1112"/>
      <c r="H734" s="1112"/>
      <c r="I734" s="1112"/>
      <c r="J734" s="1114"/>
      <c r="K734" s="1112"/>
      <c r="L734" s="1112"/>
      <c r="M734" s="1112"/>
      <c r="N734" s="1112"/>
      <c r="O734" s="1112"/>
      <c r="P734" s="1112" t="s">
        <v>96</v>
      </c>
      <c r="Q734" s="1112"/>
    </row>
    <row r="735">
      <c r="A735" s="1112"/>
      <c r="B735" s="1112"/>
      <c r="C735" s="1112"/>
      <c r="D735" s="1112"/>
      <c r="E735" s="1112"/>
      <c r="F735" s="1112"/>
      <c r="G735" s="1112"/>
      <c r="H735" s="1112"/>
      <c r="I735" s="1112"/>
      <c r="J735" s="1114"/>
      <c r="K735" s="1112"/>
      <c r="L735" s="1112"/>
      <c r="M735" s="1112"/>
      <c r="N735" s="1112"/>
      <c r="O735" s="1112"/>
      <c r="P735" s="1112" t="s">
        <v>96</v>
      </c>
      <c r="Q735" s="1112"/>
    </row>
    <row r="736">
      <c r="A736" s="1112"/>
      <c r="B736" s="1112"/>
      <c r="C736" s="1112"/>
      <c r="D736" s="1112"/>
      <c r="E736" s="1112"/>
      <c r="F736" s="1112"/>
      <c r="G736" s="1112"/>
      <c r="H736" s="1112"/>
      <c r="I736" s="1112"/>
      <c r="J736" s="1114"/>
      <c r="K736" s="1112"/>
      <c r="L736" s="1112"/>
      <c r="M736" s="1112"/>
      <c r="N736" s="1112"/>
      <c r="O736" s="1112"/>
      <c r="P736" s="1112" t="s">
        <v>96</v>
      </c>
      <c r="Q736" s="1112"/>
    </row>
    <row r="737">
      <c r="A737" s="1112"/>
      <c r="B737" s="1112"/>
      <c r="C737" s="1112"/>
      <c r="D737" s="1112"/>
      <c r="E737" s="1112"/>
      <c r="F737" s="1112"/>
      <c r="G737" s="1112"/>
      <c r="H737" s="1112"/>
      <c r="I737" s="1112"/>
      <c r="J737" s="1114"/>
      <c r="K737" s="1112"/>
      <c r="L737" s="1112"/>
      <c r="M737" s="1112"/>
      <c r="N737" s="1112"/>
      <c r="O737" s="1112"/>
      <c r="P737" s="1112" t="s">
        <v>96</v>
      </c>
      <c r="Q737" s="1112"/>
    </row>
    <row r="738">
      <c r="A738" s="1112"/>
      <c r="B738" s="1112"/>
      <c r="C738" s="1112"/>
      <c r="D738" s="1112"/>
      <c r="E738" s="1112"/>
      <c r="F738" s="1112"/>
      <c r="G738" s="1112"/>
      <c r="H738" s="1112"/>
      <c r="I738" s="1112"/>
      <c r="J738" s="1114"/>
      <c r="K738" s="1112"/>
      <c r="L738" s="1112"/>
      <c r="M738" s="1112"/>
      <c r="N738" s="1112"/>
      <c r="O738" s="1112"/>
      <c r="P738" s="1112" t="s">
        <v>96</v>
      </c>
      <c r="Q738" s="1112"/>
    </row>
    <row r="739">
      <c r="A739" s="1112"/>
      <c r="B739" s="1112"/>
      <c r="C739" s="1112"/>
      <c r="D739" s="1112"/>
      <c r="E739" s="1112"/>
      <c r="F739" s="1112"/>
      <c r="G739" s="1112"/>
      <c r="H739" s="1112"/>
      <c r="I739" s="1112"/>
      <c r="J739" s="1114"/>
      <c r="K739" s="1112"/>
      <c r="L739" s="1112"/>
      <c r="M739" s="1112"/>
      <c r="N739" s="1112"/>
      <c r="O739" s="1112"/>
      <c r="P739" s="1112" t="s">
        <v>96</v>
      </c>
      <c r="Q739" s="1112"/>
    </row>
    <row r="740">
      <c r="A740" s="1112"/>
      <c r="B740" s="1112"/>
      <c r="C740" s="1112"/>
      <c r="D740" s="1112"/>
      <c r="E740" s="1112"/>
      <c r="F740" s="1112"/>
      <c r="G740" s="1112"/>
      <c r="H740" s="1112"/>
      <c r="I740" s="1112"/>
      <c r="J740" s="1114"/>
      <c r="K740" s="1112"/>
      <c r="L740" s="1112"/>
      <c r="M740" s="1112"/>
      <c r="N740" s="1112"/>
      <c r="O740" s="1112"/>
      <c r="P740" s="1112" t="s">
        <v>96</v>
      </c>
      <c r="Q740" s="1112"/>
    </row>
    <row r="741">
      <c r="A741" s="1112"/>
      <c r="B741" s="1112"/>
      <c r="C741" s="1112"/>
      <c r="D741" s="1112"/>
      <c r="E741" s="1112"/>
      <c r="F741" s="1112"/>
      <c r="G741" s="1112"/>
      <c r="H741" s="1112"/>
      <c r="I741" s="1112"/>
      <c r="J741" s="1114"/>
      <c r="K741" s="1112"/>
      <c r="L741" s="1112"/>
      <c r="M741" s="1112"/>
      <c r="N741" s="1112"/>
      <c r="O741" s="1112"/>
      <c r="P741" s="1112" t="s">
        <v>96</v>
      </c>
      <c r="Q741" s="1112"/>
    </row>
    <row r="742">
      <c r="A742" s="1112"/>
      <c r="B742" s="1112"/>
      <c r="C742" s="1112"/>
      <c r="D742" s="1112"/>
      <c r="E742" s="1112"/>
      <c r="F742" s="1112"/>
      <c r="G742" s="1112"/>
      <c r="H742" s="1112"/>
      <c r="I742" s="1112"/>
      <c r="J742" s="1114"/>
      <c r="K742" s="1112"/>
      <c r="L742" s="1112"/>
      <c r="M742" s="1112"/>
      <c r="N742" s="1112"/>
      <c r="O742" s="1112"/>
      <c r="P742" s="1112" t="s">
        <v>96</v>
      </c>
      <c r="Q742" s="1112"/>
    </row>
    <row r="743">
      <c r="A743" s="1112"/>
      <c r="B743" s="1112"/>
      <c r="C743" s="1112"/>
      <c r="D743" s="1112"/>
      <c r="E743" s="1112"/>
      <c r="F743" s="1112"/>
      <c r="G743" s="1112"/>
      <c r="H743" s="1112"/>
      <c r="I743" s="1112"/>
      <c r="J743" s="1114"/>
      <c r="K743" s="1112"/>
      <c r="L743" s="1112"/>
      <c r="M743" s="1112"/>
      <c r="N743" s="1112"/>
      <c r="O743" s="1112"/>
      <c r="P743" s="1112" t="s">
        <v>96</v>
      </c>
      <c r="Q743" s="1112"/>
    </row>
    <row r="744">
      <c r="A744" s="1112"/>
      <c r="B744" s="1112"/>
      <c r="C744" s="1112"/>
      <c r="D744" s="1112"/>
      <c r="E744" s="1112"/>
      <c r="F744" s="1112"/>
      <c r="G744" s="1112"/>
      <c r="H744" s="1112"/>
      <c r="I744" s="1112"/>
      <c r="J744" s="1114"/>
      <c r="K744" s="1112"/>
      <c r="L744" s="1112"/>
      <c r="M744" s="1112"/>
      <c r="N744" s="1112"/>
      <c r="O744" s="1112"/>
      <c r="P744" s="1112" t="s">
        <v>96</v>
      </c>
      <c r="Q744" s="1112"/>
    </row>
    <row r="745">
      <c r="A745" s="1112"/>
      <c r="B745" s="1112"/>
      <c r="C745" s="1112"/>
      <c r="D745" s="1112"/>
      <c r="E745" s="1112"/>
      <c r="F745" s="1112"/>
      <c r="G745" s="1112"/>
      <c r="H745" s="1112"/>
      <c r="I745" s="1112"/>
      <c r="J745" s="1114"/>
      <c r="K745" s="1112"/>
      <c r="L745" s="1112"/>
      <c r="M745" s="1112"/>
      <c r="N745" s="1112"/>
      <c r="O745" s="1112"/>
      <c r="P745" s="1112" t="s">
        <v>96</v>
      </c>
      <c r="Q745" s="1112"/>
    </row>
    <row r="746">
      <c r="A746" s="1112"/>
      <c r="B746" s="1112"/>
      <c r="C746" s="1112"/>
      <c r="D746" s="1112"/>
      <c r="E746" s="1112"/>
      <c r="F746" s="1112"/>
      <c r="G746" s="1112"/>
      <c r="H746" s="1112"/>
      <c r="I746" s="1112"/>
      <c r="J746" s="1114"/>
      <c r="K746" s="1112"/>
      <c r="L746" s="1112"/>
      <c r="M746" s="1112"/>
      <c r="N746" s="1112"/>
      <c r="O746" s="1112"/>
      <c r="P746" s="1112" t="s">
        <v>96</v>
      </c>
      <c r="Q746" s="1112"/>
    </row>
    <row r="747">
      <c r="A747" s="1112"/>
      <c r="B747" s="1112"/>
      <c r="C747" s="1112"/>
      <c r="D747" s="1112"/>
      <c r="E747" s="1112"/>
      <c r="F747" s="1112"/>
      <c r="G747" s="1112"/>
      <c r="H747" s="1112"/>
      <c r="I747" s="1112"/>
      <c r="J747" s="1114"/>
      <c r="K747" s="1112"/>
      <c r="L747" s="1112"/>
      <c r="M747" s="1112"/>
      <c r="N747" s="1112"/>
      <c r="O747" s="1112"/>
      <c r="P747" s="1112" t="s">
        <v>96</v>
      </c>
      <c r="Q747" s="1112"/>
    </row>
    <row r="748">
      <c r="A748" s="1112"/>
      <c r="B748" s="1112"/>
      <c r="C748" s="1112"/>
      <c r="D748" s="1112"/>
      <c r="E748" s="1112"/>
      <c r="F748" s="1112"/>
      <c r="G748" s="1112"/>
      <c r="H748" s="1112"/>
      <c r="I748" s="1112"/>
      <c r="J748" s="1114"/>
      <c r="K748" s="1112"/>
      <c r="L748" s="1112"/>
      <c r="M748" s="1112"/>
      <c r="N748" s="1112"/>
      <c r="O748" s="1112"/>
      <c r="P748" s="1112" t="s">
        <v>96</v>
      </c>
      <c r="Q748" s="1112"/>
    </row>
    <row r="749">
      <c r="A749" s="1112"/>
      <c r="B749" s="1112"/>
      <c r="C749" s="1112"/>
      <c r="D749" s="1112"/>
      <c r="E749" s="1112"/>
      <c r="F749" s="1112"/>
      <c r="G749" s="1112"/>
      <c r="H749" s="1112"/>
      <c r="I749" s="1112"/>
      <c r="J749" s="1114"/>
      <c r="K749" s="1112"/>
      <c r="L749" s="1112"/>
      <c r="M749" s="1112"/>
      <c r="N749" s="1112"/>
      <c r="O749" s="1112"/>
      <c r="P749" s="1112" t="s">
        <v>96</v>
      </c>
      <c r="Q749" s="1112"/>
    </row>
    <row r="750">
      <c r="A750" s="1112"/>
      <c r="B750" s="1112"/>
      <c r="C750" s="1112"/>
      <c r="D750" s="1112"/>
      <c r="E750" s="1112"/>
      <c r="F750" s="1112"/>
      <c r="G750" s="1112"/>
      <c r="H750" s="1112"/>
      <c r="I750" s="1112"/>
      <c r="J750" s="1114"/>
      <c r="K750" s="1112"/>
      <c r="L750" s="1112"/>
      <c r="M750" s="1112"/>
      <c r="N750" s="1112"/>
      <c r="O750" s="1112"/>
      <c r="P750" s="1112" t="s">
        <v>96</v>
      </c>
      <c r="Q750" s="1112"/>
    </row>
    <row r="751">
      <c r="A751" s="1112"/>
      <c r="B751" s="1112"/>
      <c r="C751" s="1112"/>
      <c r="D751" s="1112"/>
      <c r="E751" s="1112"/>
      <c r="F751" s="1112"/>
      <c r="G751" s="1112"/>
      <c r="H751" s="1112"/>
      <c r="I751" s="1112"/>
      <c r="J751" s="1114"/>
      <c r="K751" s="1112"/>
      <c r="L751" s="1112"/>
      <c r="M751" s="1112"/>
      <c r="N751" s="1112"/>
      <c r="O751" s="1112"/>
      <c r="P751" s="1112" t="s">
        <v>96</v>
      </c>
      <c r="Q751" s="1112"/>
    </row>
    <row r="752">
      <c r="A752" s="1112"/>
      <c r="B752" s="1112"/>
      <c r="C752" s="1112"/>
      <c r="D752" s="1112"/>
      <c r="E752" s="1112"/>
      <c r="F752" s="1112"/>
      <c r="G752" s="1112"/>
      <c r="H752" s="1112"/>
      <c r="I752" s="1112"/>
      <c r="J752" s="1114"/>
      <c r="K752" s="1112"/>
      <c r="L752" s="1112"/>
      <c r="M752" s="1112"/>
      <c r="N752" s="1112"/>
      <c r="O752" s="1112"/>
      <c r="P752" s="1112" t="s">
        <v>96</v>
      </c>
      <c r="Q752" s="1112"/>
    </row>
    <row r="753">
      <c r="A753" s="1112"/>
      <c r="B753" s="1112"/>
      <c r="C753" s="1112"/>
      <c r="D753" s="1112"/>
      <c r="E753" s="1112"/>
      <c r="F753" s="1112"/>
      <c r="G753" s="1112"/>
      <c r="H753" s="1112"/>
      <c r="I753" s="1112"/>
      <c r="J753" s="1114"/>
      <c r="K753" s="1112"/>
      <c r="L753" s="1112"/>
      <c r="M753" s="1112"/>
      <c r="N753" s="1112"/>
      <c r="O753" s="1112"/>
      <c r="P753" s="1112" t="s">
        <v>96</v>
      </c>
      <c r="Q753" s="1112"/>
    </row>
    <row r="754">
      <c r="A754" s="1112"/>
      <c r="B754" s="1112"/>
      <c r="C754" s="1112"/>
      <c r="D754" s="1112"/>
      <c r="E754" s="1112"/>
      <c r="F754" s="1112"/>
      <c r="G754" s="1112"/>
      <c r="H754" s="1112"/>
      <c r="I754" s="1112"/>
      <c r="J754" s="1114"/>
      <c r="K754" s="1112"/>
      <c r="L754" s="1112"/>
      <c r="M754" s="1112"/>
      <c r="N754" s="1112"/>
      <c r="O754" s="1112"/>
      <c r="P754" s="1112" t="s">
        <v>96</v>
      </c>
      <c r="Q754" s="1112"/>
    </row>
    <row r="755">
      <c r="A755" s="1112"/>
      <c r="B755" s="1112"/>
      <c r="C755" s="1112"/>
      <c r="D755" s="1112"/>
      <c r="E755" s="1112"/>
      <c r="F755" s="1112"/>
      <c r="G755" s="1112"/>
      <c r="H755" s="1112"/>
      <c r="I755" s="1112"/>
      <c r="J755" s="1114"/>
      <c r="K755" s="1112"/>
      <c r="L755" s="1112"/>
      <c r="M755" s="1112"/>
      <c r="N755" s="1112"/>
      <c r="O755" s="1112"/>
      <c r="P755" s="1112" t="s">
        <v>96</v>
      </c>
      <c r="Q755" s="1112"/>
    </row>
    <row r="756">
      <c r="A756" s="1112"/>
      <c r="B756" s="1112"/>
      <c r="C756" s="1112"/>
      <c r="D756" s="1112"/>
      <c r="E756" s="1112"/>
      <c r="F756" s="1112"/>
      <c r="G756" s="1112"/>
      <c r="H756" s="1112"/>
      <c r="I756" s="1112"/>
      <c r="J756" s="1114"/>
      <c r="K756" s="1112"/>
      <c r="L756" s="1112"/>
      <c r="M756" s="1112"/>
      <c r="N756" s="1112"/>
      <c r="O756" s="1112"/>
      <c r="P756" s="1112" t="s">
        <v>96</v>
      </c>
      <c r="Q756" s="1112"/>
    </row>
    <row r="757">
      <c r="A757" s="1112"/>
      <c r="B757" s="1112"/>
      <c r="C757" s="1112"/>
      <c r="D757" s="1112"/>
      <c r="E757" s="1112"/>
      <c r="F757" s="1112"/>
      <c r="G757" s="1112"/>
      <c r="H757" s="1112"/>
      <c r="I757" s="1112"/>
      <c r="J757" s="1114"/>
      <c r="K757" s="1112"/>
      <c r="L757" s="1112"/>
      <c r="M757" s="1112"/>
      <c r="N757" s="1112"/>
      <c r="O757" s="1112"/>
      <c r="P757" s="1112" t="s">
        <v>96</v>
      </c>
      <c r="Q757" s="1112"/>
    </row>
    <row r="758">
      <c r="A758" s="1112"/>
      <c r="B758" s="1112"/>
      <c r="C758" s="1112"/>
      <c r="D758" s="1112"/>
      <c r="E758" s="1112"/>
      <c r="F758" s="1112"/>
      <c r="G758" s="1112"/>
      <c r="H758" s="1112"/>
      <c r="I758" s="1112"/>
      <c r="J758" s="1114"/>
      <c r="K758" s="1112"/>
      <c r="L758" s="1112"/>
      <c r="M758" s="1112"/>
      <c r="N758" s="1112"/>
      <c r="O758" s="1112"/>
      <c r="P758" s="1112" t="s">
        <v>96</v>
      </c>
      <c r="Q758" s="1112"/>
    </row>
    <row r="759">
      <c r="A759" s="1112"/>
      <c r="B759" s="1112"/>
      <c r="C759" s="1112"/>
      <c r="D759" s="1112"/>
      <c r="E759" s="1112"/>
      <c r="F759" s="1112"/>
      <c r="G759" s="1112"/>
      <c r="H759" s="1112"/>
      <c r="I759" s="1112"/>
      <c r="J759" s="1114"/>
      <c r="K759" s="1112"/>
      <c r="L759" s="1112"/>
      <c r="M759" s="1112"/>
      <c r="N759" s="1112"/>
      <c r="O759" s="1112"/>
      <c r="P759" s="1112" t="s">
        <v>96</v>
      </c>
      <c r="Q759" s="1112"/>
    </row>
    <row r="760">
      <c r="A760" s="1112"/>
      <c r="B760" s="1112"/>
      <c r="C760" s="1112"/>
      <c r="D760" s="1112"/>
      <c r="E760" s="1112"/>
      <c r="F760" s="1112"/>
      <c r="G760" s="1112"/>
      <c r="H760" s="1112"/>
      <c r="I760" s="1112"/>
      <c r="J760" s="1114"/>
      <c r="K760" s="1112"/>
      <c r="L760" s="1112"/>
      <c r="M760" s="1112"/>
      <c r="N760" s="1112"/>
      <c r="O760" s="1112"/>
      <c r="P760" s="1112" t="s">
        <v>96</v>
      </c>
      <c r="Q760" s="1112"/>
    </row>
    <row r="761">
      <c r="A761" s="1112"/>
      <c r="B761" s="1112"/>
      <c r="C761" s="1112"/>
      <c r="D761" s="1112"/>
      <c r="E761" s="1112"/>
      <c r="F761" s="1112"/>
      <c r="G761" s="1112"/>
      <c r="H761" s="1112"/>
      <c r="I761" s="1112"/>
      <c r="J761" s="1114"/>
      <c r="K761" s="1112"/>
      <c r="L761" s="1112"/>
      <c r="M761" s="1112"/>
      <c r="N761" s="1112"/>
      <c r="O761" s="1112"/>
      <c r="P761" s="1112" t="s">
        <v>96</v>
      </c>
      <c r="Q761" s="1112"/>
    </row>
    <row r="762">
      <c r="A762" s="1112"/>
      <c r="B762" s="1112"/>
      <c r="C762" s="1112"/>
      <c r="D762" s="1112"/>
      <c r="E762" s="1112"/>
      <c r="F762" s="1112"/>
      <c r="G762" s="1112"/>
      <c r="H762" s="1112"/>
      <c r="I762" s="1112"/>
      <c r="J762" s="1114"/>
      <c r="K762" s="1112"/>
      <c r="L762" s="1112"/>
      <c r="M762" s="1112"/>
      <c r="N762" s="1112"/>
      <c r="O762" s="1112"/>
      <c r="P762" s="1112" t="s">
        <v>96</v>
      </c>
      <c r="Q762" s="1112"/>
    </row>
    <row r="763">
      <c r="A763" s="1112"/>
      <c r="B763" s="1112"/>
      <c r="C763" s="1112"/>
      <c r="D763" s="1112"/>
      <c r="E763" s="1112"/>
      <c r="F763" s="1112"/>
      <c r="G763" s="1112"/>
      <c r="H763" s="1112"/>
      <c r="I763" s="1112"/>
      <c r="J763" s="1114"/>
      <c r="K763" s="1112"/>
      <c r="L763" s="1112"/>
      <c r="M763" s="1112"/>
      <c r="N763" s="1112"/>
      <c r="O763" s="1112"/>
      <c r="P763" s="1112" t="s">
        <v>96</v>
      </c>
      <c r="Q763" s="1112"/>
    </row>
    <row r="764">
      <c r="A764" s="1112"/>
      <c r="B764" s="1112"/>
      <c r="C764" s="1112"/>
      <c r="D764" s="1112"/>
      <c r="E764" s="1112"/>
      <c r="F764" s="1112"/>
      <c r="G764" s="1112"/>
      <c r="H764" s="1112"/>
      <c r="I764" s="1112"/>
      <c r="J764" s="1114"/>
      <c r="K764" s="1112"/>
      <c r="L764" s="1112"/>
      <c r="M764" s="1112"/>
      <c r="N764" s="1112"/>
      <c r="O764" s="1112"/>
      <c r="P764" s="1112" t="s">
        <v>96</v>
      </c>
      <c r="Q764" s="1112"/>
    </row>
    <row r="765">
      <c r="A765" s="1112"/>
      <c r="B765" s="1112"/>
      <c r="C765" s="1112"/>
      <c r="D765" s="1112"/>
      <c r="E765" s="1112"/>
      <c r="F765" s="1112"/>
      <c r="G765" s="1112"/>
      <c r="H765" s="1112"/>
      <c r="I765" s="1112"/>
      <c r="J765" s="1114"/>
      <c r="K765" s="1112"/>
      <c r="L765" s="1112"/>
      <c r="M765" s="1112"/>
      <c r="N765" s="1112"/>
      <c r="O765" s="1112"/>
      <c r="P765" s="1112" t="s">
        <v>96</v>
      </c>
      <c r="Q765" s="1112"/>
    </row>
    <row r="766">
      <c r="A766" s="1112"/>
      <c r="B766" s="1112"/>
      <c r="C766" s="1112"/>
      <c r="D766" s="1112"/>
      <c r="E766" s="1112"/>
      <c r="F766" s="1112"/>
      <c r="G766" s="1112"/>
      <c r="H766" s="1112"/>
      <c r="I766" s="1112"/>
      <c r="J766" s="1114"/>
      <c r="K766" s="1112"/>
      <c r="L766" s="1112"/>
      <c r="M766" s="1112"/>
      <c r="N766" s="1112"/>
      <c r="O766" s="1112"/>
      <c r="P766" s="1112" t="s">
        <v>96</v>
      </c>
      <c r="Q766" s="1112"/>
    </row>
    <row r="767">
      <c r="A767" s="1112"/>
      <c r="B767" s="1112"/>
      <c r="C767" s="1112"/>
      <c r="D767" s="1112"/>
      <c r="E767" s="1112"/>
      <c r="F767" s="1112"/>
      <c r="G767" s="1112"/>
      <c r="H767" s="1112"/>
      <c r="I767" s="1112"/>
      <c r="J767" s="1114"/>
      <c r="K767" s="1112"/>
      <c r="L767" s="1112"/>
      <c r="M767" s="1112"/>
      <c r="N767" s="1112"/>
      <c r="O767" s="1112"/>
      <c r="P767" s="1112" t="s">
        <v>96</v>
      </c>
      <c r="Q767" s="1112"/>
    </row>
    <row r="768">
      <c r="A768" s="1112"/>
      <c r="B768" s="1112"/>
      <c r="C768" s="1112"/>
      <c r="D768" s="1112"/>
      <c r="E768" s="1112"/>
      <c r="F768" s="1112"/>
      <c r="G768" s="1112"/>
      <c r="H768" s="1112"/>
      <c r="I768" s="1112"/>
      <c r="J768" s="1114"/>
      <c r="K768" s="1112"/>
      <c r="L768" s="1112"/>
      <c r="M768" s="1112"/>
      <c r="N768" s="1112"/>
      <c r="O768" s="1112"/>
      <c r="P768" s="1112" t="s">
        <v>96</v>
      </c>
      <c r="Q768" s="1112"/>
    </row>
    <row r="769">
      <c r="A769" s="1112"/>
      <c r="B769" s="1112"/>
      <c r="C769" s="1112"/>
      <c r="D769" s="1112"/>
      <c r="E769" s="1112"/>
      <c r="F769" s="1112"/>
      <c r="G769" s="1112"/>
      <c r="H769" s="1112"/>
      <c r="I769" s="1112"/>
      <c r="J769" s="1114"/>
      <c r="K769" s="1112"/>
      <c r="L769" s="1112"/>
      <c r="M769" s="1112"/>
      <c r="N769" s="1112"/>
      <c r="O769" s="1112"/>
      <c r="P769" s="1112" t="s">
        <v>96</v>
      </c>
      <c r="Q769" s="1112"/>
    </row>
    <row r="770">
      <c r="A770" s="1112"/>
      <c r="B770" s="1112"/>
      <c r="C770" s="1112"/>
      <c r="D770" s="1112"/>
      <c r="E770" s="1112"/>
      <c r="F770" s="1112"/>
      <c r="G770" s="1112"/>
      <c r="H770" s="1112"/>
      <c r="I770" s="1112"/>
      <c r="J770" s="1114"/>
      <c r="K770" s="1112"/>
      <c r="L770" s="1112"/>
      <c r="M770" s="1112"/>
      <c r="N770" s="1112"/>
      <c r="O770" s="1112"/>
      <c r="P770" s="1112" t="s">
        <v>96</v>
      </c>
      <c r="Q770" s="1112"/>
    </row>
    <row r="771">
      <c r="A771" s="1112"/>
      <c r="B771" s="1112"/>
      <c r="C771" s="1112"/>
      <c r="D771" s="1112"/>
      <c r="E771" s="1112"/>
      <c r="F771" s="1112"/>
      <c r="G771" s="1112"/>
      <c r="H771" s="1112"/>
      <c r="I771" s="1112"/>
      <c r="J771" s="1114"/>
      <c r="K771" s="1112"/>
      <c r="L771" s="1112"/>
      <c r="M771" s="1112"/>
      <c r="N771" s="1112"/>
      <c r="O771" s="1112"/>
      <c r="P771" s="1112" t="s">
        <v>96</v>
      </c>
      <c r="Q771" s="1112"/>
    </row>
    <row r="772">
      <c r="A772" s="1112"/>
      <c r="B772" s="1112"/>
      <c r="C772" s="1112"/>
      <c r="D772" s="1112"/>
      <c r="E772" s="1112"/>
      <c r="F772" s="1112"/>
      <c r="G772" s="1112"/>
      <c r="H772" s="1112"/>
      <c r="I772" s="1112"/>
      <c r="J772" s="1114"/>
      <c r="K772" s="1112"/>
      <c r="L772" s="1112"/>
      <c r="M772" s="1112"/>
      <c r="N772" s="1112"/>
      <c r="O772" s="1112"/>
      <c r="P772" s="1112" t="s">
        <v>96</v>
      </c>
      <c r="Q772" s="1112"/>
    </row>
    <row r="773">
      <c r="A773" s="1112"/>
      <c r="B773" s="1112"/>
      <c r="C773" s="1112"/>
      <c r="D773" s="1112"/>
      <c r="E773" s="1112"/>
      <c r="F773" s="1112"/>
      <c r="G773" s="1112"/>
      <c r="H773" s="1112"/>
      <c r="I773" s="1112"/>
      <c r="J773" s="1114"/>
      <c r="K773" s="1112"/>
      <c r="L773" s="1112"/>
      <c r="M773" s="1112"/>
      <c r="N773" s="1112"/>
      <c r="O773" s="1112"/>
      <c r="P773" s="1112" t="s">
        <v>96</v>
      </c>
      <c r="Q773" s="1112"/>
    </row>
    <row r="774">
      <c r="A774" s="1112"/>
      <c r="B774" s="1112"/>
      <c r="C774" s="1112"/>
      <c r="D774" s="1112"/>
      <c r="E774" s="1112"/>
      <c r="F774" s="1112"/>
      <c r="G774" s="1112"/>
      <c r="H774" s="1112"/>
      <c r="I774" s="1112"/>
      <c r="J774" s="1114"/>
      <c r="K774" s="1112"/>
      <c r="L774" s="1112"/>
      <c r="M774" s="1112"/>
      <c r="N774" s="1112"/>
      <c r="O774" s="1112"/>
      <c r="P774" s="1112" t="s">
        <v>96</v>
      </c>
      <c r="Q774" s="1112"/>
    </row>
    <row r="775">
      <c r="A775" s="1112"/>
      <c r="B775" s="1112"/>
      <c r="C775" s="1112"/>
      <c r="D775" s="1112"/>
      <c r="E775" s="1112"/>
      <c r="F775" s="1112"/>
      <c r="G775" s="1112"/>
      <c r="H775" s="1112"/>
      <c r="I775" s="1112"/>
      <c r="J775" s="1114"/>
      <c r="K775" s="1112"/>
      <c r="L775" s="1112"/>
      <c r="M775" s="1112"/>
      <c r="N775" s="1112"/>
      <c r="O775" s="1112"/>
      <c r="P775" s="1112" t="s">
        <v>96</v>
      </c>
      <c r="Q775" s="1112"/>
    </row>
    <row r="776">
      <c r="A776" s="1112"/>
      <c r="B776" s="1112"/>
      <c r="C776" s="1112"/>
      <c r="D776" s="1112"/>
      <c r="E776" s="1112"/>
      <c r="F776" s="1112"/>
      <c r="G776" s="1112"/>
      <c r="H776" s="1112"/>
      <c r="I776" s="1112"/>
      <c r="J776" s="1114"/>
      <c r="K776" s="1112"/>
      <c r="L776" s="1112"/>
      <c r="M776" s="1112"/>
      <c r="N776" s="1112"/>
      <c r="O776" s="1112"/>
      <c r="P776" s="1112" t="s">
        <v>96</v>
      </c>
      <c r="Q776" s="1112"/>
    </row>
    <row r="777">
      <c r="A777" s="1112"/>
      <c r="B777" s="1112"/>
      <c r="C777" s="1112"/>
      <c r="D777" s="1112"/>
      <c r="E777" s="1112"/>
      <c r="F777" s="1112"/>
      <c r="G777" s="1112"/>
      <c r="H777" s="1112"/>
      <c r="I777" s="1112"/>
      <c r="J777" s="1114"/>
      <c r="K777" s="1112"/>
      <c r="L777" s="1112"/>
      <c r="M777" s="1112"/>
      <c r="N777" s="1112"/>
      <c r="O777" s="1112"/>
      <c r="P777" s="1112" t="s">
        <v>96</v>
      </c>
      <c r="Q777" s="1112"/>
    </row>
    <row r="778">
      <c r="A778" s="1112"/>
      <c r="B778" s="1112"/>
      <c r="C778" s="1112"/>
      <c r="D778" s="1112"/>
      <c r="E778" s="1112"/>
      <c r="F778" s="1112"/>
      <c r="G778" s="1112"/>
      <c r="H778" s="1112"/>
      <c r="I778" s="1112"/>
      <c r="J778" s="1114"/>
      <c r="K778" s="1112"/>
      <c r="L778" s="1112"/>
      <c r="M778" s="1112"/>
      <c r="N778" s="1112"/>
      <c r="O778" s="1112"/>
      <c r="P778" s="1112" t="s">
        <v>96</v>
      </c>
      <c r="Q778" s="1112"/>
    </row>
    <row r="779">
      <c r="A779" s="1112"/>
      <c r="B779" s="1112"/>
      <c r="C779" s="1112"/>
      <c r="D779" s="1112"/>
      <c r="E779" s="1112"/>
      <c r="F779" s="1112"/>
      <c r="G779" s="1112"/>
      <c r="H779" s="1112"/>
      <c r="I779" s="1112"/>
      <c r="J779" s="1114"/>
      <c r="K779" s="1112"/>
      <c r="L779" s="1112"/>
      <c r="M779" s="1112"/>
      <c r="N779" s="1112"/>
      <c r="O779" s="1112"/>
      <c r="P779" s="1112" t="s">
        <v>96</v>
      </c>
      <c r="Q779" s="1112"/>
    </row>
    <row r="780">
      <c r="A780" s="1112"/>
      <c r="B780" s="1112"/>
      <c r="C780" s="1112"/>
      <c r="D780" s="1112"/>
      <c r="E780" s="1112"/>
      <c r="F780" s="1112"/>
      <c r="G780" s="1112"/>
      <c r="H780" s="1112"/>
      <c r="I780" s="1112"/>
      <c r="J780" s="1114"/>
      <c r="K780" s="1112"/>
      <c r="L780" s="1112"/>
      <c r="M780" s="1112"/>
      <c r="N780" s="1112"/>
      <c r="O780" s="1112"/>
      <c r="P780" s="1112" t="s">
        <v>96</v>
      </c>
      <c r="Q780" s="1112"/>
    </row>
    <row r="781">
      <c r="A781" s="1112"/>
      <c r="B781" s="1112"/>
      <c r="C781" s="1112"/>
      <c r="D781" s="1112"/>
      <c r="E781" s="1112"/>
      <c r="F781" s="1112"/>
      <c r="G781" s="1112"/>
      <c r="H781" s="1112"/>
      <c r="I781" s="1112"/>
      <c r="J781" s="1114"/>
      <c r="K781" s="1112"/>
      <c r="L781" s="1112"/>
      <c r="M781" s="1112"/>
      <c r="N781" s="1112"/>
      <c r="O781" s="1112"/>
      <c r="P781" s="1112" t="s">
        <v>96</v>
      </c>
      <c r="Q781" s="1112"/>
    </row>
    <row r="782">
      <c r="A782" s="1112"/>
      <c r="B782" s="1112"/>
      <c r="C782" s="1112"/>
      <c r="D782" s="1112"/>
      <c r="E782" s="1112"/>
      <c r="F782" s="1112"/>
      <c r="G782" s="1112"/>
      <c r="H782" s="1112"/>
      <c r="I782" s="1112"/>
      <c r="J782" s="1114"/>
      <c r="K782" s="1112"/>
      <c r="L782" s="1112"/>
      <c r="M782" s="1112"/>
      <c r="N782" s="1112"/>
      <c r="O782" s="1112"/>
      <c r="P782" s="1112" t="s">
        <v>96</v>
      </c>
      <c r="Q782" s="1112"/>
    </row>
    <row r="783">
      <c r="A783" s="1112"/>
      <c r="B783" s="1112"/>
      <c r="C783" s="1112"/>
      <c r="D783" s="1112"/>
      <c r="E783" s="1112"/>
      <c r="F783" s="1112"/>
      <c r="G783" s="1112"/>
      <c r="H783" s="1112"/>
      <c r="I783" s="1112"/>
      <c r="J783" s="1114"/>
      <c r="K783" s="1112"/>
      <c r="L783" s="1112"/>
      <c r="M783" s="1112"/>
      <c r="N783" s="1112"/>
      <c r="O783" s="1112"/>
      <c r="P783" s="1112" t="s">
        <v>96</v>
      </c>
      <c r="Q783" s="1112"/>
    </row>
    <row r="784">
      <c r="A784" s="1112"/>
      <c r="B784" s="1112"/>
      <c r="C784" s="1112"/>
      <c r="D784" s="1112"/>
      <c r="E784" s="1112"/>
      <c r="F784" s="1112"/>
      <c r="G784" s="1112"/>
      <c r="H784" s="1112"/>
      <c r="I784" s="1112"/>
      <c r="J784" s="1114"/>
      <c r="K784" s="1112"/>
      <c r="L784" s="1112"/>
      <c r="M784" s="1112"/>
      <c r="N784" s="1112"/>
      <c r="O784" s="1112"/>
      <c r="P784" s="1112" t="s">
        <v>96</v>
      </c>
      <c r="Q784" s="1112"/>
    </row>
    <row r="785">
      <c r="A785" s="1112"/>
      <c r="B785" s="1112"/>
      <c r="C785" s="1112"/>
      <c r="D785" s="1112"/>
      <c r="E785" s="1112"/>
      <c r="F785" s="1112"/>
      <c r="G785" s="1112"/>
      <c r="H785" s="1112"/>
      <c r="I785" s="1112"/>
      <c r="J785" s="1114"/>
      <c r="K785" s="1112"/>
      <c r="L785" s="1112"/>
      <c r="M785" s="1112"/>
      <c r="N785" s="1112"/>
      <c r="O785" s="1112"/>
      <c r="P785" s="1112" t="s">
        <v>96</v>
      </c>
      <c r="Q785" s="1112"/>
    </row>
    <row r="786">
      <c r="A786" s="1112"/>
      <c r="B786" s="1112"/>
      <c r="C786" s="1112"/>
      <c r="D786" s="1112"/>
      <c r="E786" s="1112"/>
      <c r="F786" s="1112"/>
      <c r="G786" s="1112"/>
      <c r="H786" s="1112"/>
      <c r="I786" s="1112"/>
      <c r="J786" s="1114"/>
      <c r="K786" s="1112"/>
      <c r="L786" s="1112"/>
      <c r="M786" s="1112"/>
      <c r="N786" s="1112"/>
      <c r="O786" s="1112"/>
      <c r="P786" s="1112" t="s">
        <v>96</v>
      </c>
      <c r="Q786" s="1112"/>
    </row>
    <row r="787">
      <c r="A787" s="1112"/>
      <c r="B787" s="1112"/>
      <c r="C787" s="1112"/>
      <c r="D787" s="1112"/>
      <c r="E787" s="1112"/>
      <c r="F787" s="1112"/>
      <c r="G787" s="1112"/>
      <c r="H787" s="1112"/>
      <c r="I787" s="1112"/>
      <c r="J787" s="1114"/>
      <c r="K787" s="1112"/>
      <c r="L787" s="1112"/>
      <c r="M787" s="1112"/>
      <c r="N787" s="1112"/>
      <c r="O787" s="1112"/>
      <c r="P787" s="1112" t="s">
        <v>96</v>
      </c>
      <c r="Q787" s="1112"/>
    </row>
    <row r="788">
      <c r="A788" s="1112"/>
      <c r="B788" s="1112"/>
      <c r="C788" s="1112"/>
      <c r="D788" s="1112"/>
      <c r="E788" s="1112"/>
      <c r="F788" s="1112"/>
      <c r="G788" s="1112"/>
      <c r="H788" s="1112"/>
      <c r="I788" s="1112"/>
      <c r="J788" s="1114"/>
      <c r="K788" s="1112"/>
      <c r="L788" s="1112"/>
      <c r="M788" s="1112"/>
      <c r="N788" s="1112"/>
      <c r="O788" s="1112"/>
      <c r="P788" s="1112" t="s">
        <v>96</v>
      </c>
      <c r="Q788" s="1112"/>
    </row>
    <row r="789">
      <c r="A789" s="1112"/>
      <c r="B789" s="1112"/>
      <c r="C789" s="1112"/>
      <c r="D789" s="1112"/>
      <c r="E789" s="1112"/>
      <c r="F789" s="1112"/>
      <c r="G789" s="1112"/>
      <c r="H789" s="1112"/>
      <c r="I789" s="1112"/>
      <c r="J789" s="1114"/>
      <c r="K789" s="1112"/>
      <c r="L789" s="1112"/>
      <c r="M789" s="1112"/>
      <c r="N789" s="1112"/>
      <c r="O789" s="1112"/>
      <c r="P789" s="1112" t="s">
        <v>96</v>
      </c>
      <c r="Q789" s="1112"/>
    </row>
    <row r="790">
      <c r="A790" s="1112"/>
      <c r="B790" s="1112"/>
      <c r="C790" s="1112"/>
      <c r="D790" s="1112"/>
      <c r="E790" s="1112"/>
      <c r="F790" s="1112"/>
      <c r="G790" s="1112"/>
      <c r="H790" s="1112"/>
      <c r="I790" s="1112"/>
      <c r="J790" s="1114"/>
      <c r="K790" s="1112"/>
      <c r="L790" s="1112"/>
      <c r="M790" s="1112"/>
      <c r="N790" s="1112"/>
      <c r="O790" s="1112"/>
      <c r="P790" s="1112" t="s">
        <v>96</v>
      </c>
      <c r="Q790" s="1112"/>
    </row>
    <row r="791">
      <c r="A791" s="1112"/>
      <c r="B791" s="1112"/>
      <c r="C791" s="1112"/>
      <c r="D791" s="1112"/>
      <c r="E791" s="1112"/>
      <c r="F791" s="1112"/>
      <c r="G791" s="1112"/>
      <c r="H791" s="1112"/>
      <c r="I791" s="1112"/>
      <c r="J791" s="1114"/>
      <c r="K791" s="1112"/>
      <c r="L791" s="1112"/>
      <c r="M791" s="1112"/>
      <c r="N791" s="1112"/>
      <c r="O791" s="1112"/>
      <c r="P791" s="1112" t="s">
        <v>96</v>
      </c>
      <c r="Q791" s="1112"/>
    </row>
    <row r="792">
      <c r="A792" s="1112"/>
      <c r="B792" s="1112"/>
      <c r="C792" s="1112"/>
      <c r="D792" s="1112"/>
      <c r="E792" s="1112"/>
      <c r="F792" s="1112"/>
      <c r="G792" s="1112"/>
      <c r="H792" s="1112"/>
      <c r="I792" s="1112"/>
      <c r="J792" s="1114"/>
      <c r="K792" s="1112"/>
      <c r="L792" s="1112"/>
      <c r="M792" s="1112"/>
      <c r="N792" s="1112"/>
      <c r="O792" s="1112"/>
      <c r="P792" s="1112" t="s">
        <v>96</v>
      </c>
      <c r="Q792" s="1112"/>
    </row>
    <row r="793">
      <c r="A793" s="1112"/>
      <c r="B793" s="1112"/>
      <c r="C793" s="1112"/>
      <c r="D793" s="1112"/>
      <c r="E793" s="1112"/>
      <c r="F793" s="1112"/>
      <c r="G793" s="1112"/>
      <c r="H793" s="1112"/>
      <c r="I793" s="1112"/>
      <c r="J793" s="1114"/>
      <c r="K793" s="1112"/>
      <c r="L793" s="1112"/>
      <c r="M793" s="1112"/>
      <c r="N793" s="1112"/>
      <c r="O793" s="1112"/>
      <c r="P793" s="1112" t="s">
        <v>96</v>
      </c>
      <c r="Q793" s="1112"/>
    </row>
    <row r="794">
      <c r="A794" s="1112"/>
      <c r="B794" s="1112"/>
      <c r="C794" s="1112"/>
      <c r="D794" s="1112"/>
      <c r="E794" s="1112"/>
      <c r="F794" s="1112"/>
      <c r="G794" s="1112"/>
      <c r="H794" s="1112"/>
      <c r="I794" s="1112"/>
      <c r="J794" s="1114"/>
      <c r="K794" s="1112"/>
      <c r="L794" s="1112"/>
      <c r="M794" s="1112"/>
      <c r="N794" s="1112"/>
      <c r="O794" s="1112"/>
      <c r="P794" s="1112" t="s">
        <v>96</v>
      </c>
      <c r="Q794" s="1112"/>
    </row>
    <row r="795">
      <c r="A795" s="1112"/>
      <c r="B795" s="1112"/>
      <c r="C795" s="1112"/>
      <c r="D795" s="1112"/>
      <c r="E795" s="1112"/>
      <c r="F795" s="1112"/>
      <c r="G795" s="1112"/>
      <c r="H795" s="1112"/>
      <c r="I795" s="1112"/>
      <c r="J795" s="1114"/>
      <c r="K795" s="1112"/>
      <c r="L795" s="1112"/>
      <c r="M795" s="1112"/>
      <c r="N795" s="1112"/>
      <c r="O795" s="1112"/>
      <c r="P795" s="1112" t="s">
        <v>96</v>
      </c>
      <c r="Q795" s="1112"/>
    </row>
    <row r="796">
      <c r="A796" s="1112"/>
      <c r="B796" s="1112"/>
      <c r="C796" s="1112"/>
      <c r="D796" s="1112"/>
      <c r="E796" s="1112"/>
      <c r="F796" s="1112"/>
      <c r="G796" s="1112"/>
      <c r="H796" s="1112"/>
      <c r="I796" s="1112"/>
      <c r="J796" s="1114"/>
      <c r="K796" s="1112"/>
      <c r="L796" s="1112"/>
      <c r="M796" s="1112"/>
      <c r="N796" s="1112"/>
      <c r="O796" s="1112"/>
      <c r="P796" s="1112" t="s">
        <v>96</v>
      </c>
      <c r="Q796" s="1112"/>
    </row>
    <row r="797">
      <c r="A797" s="1112"/>
      <c r="B797" s="1112"/>
      <c r="C797" s="1112"/>
      <c r="D797" s="1112"/>
      <c r="E797" s="1112"/>
      <c r="F797" s="1112"/>
      <c r="G797" s="1112"/>
      <c r="H797" s="1112"/>
      <c r="I797" s="1112"/>
      <c r="J797" s="1114"/>
      <c r="K797" s="1112"/>
      <c r="L797" s="1112"/>
      <c r="M797" s="1112"/>
      <c r="N797" s="1112"/>
      <c r="O797" s="1112"/>
      <c r="P797" s="1112" t="s">
        <v>96</v>
      </c>
      <c r="Q797" s="1112"/>
    </row>
    <row r="798">
      <c r="A798" s="1112"/>
      <c r="B798" s="1112"/>
      <c r="C798" s="1112"/>
      <c r="D798" s="1112"/>
      <c r="E798" s="1112"/>
      <c r="F798" s="1112"/>
      <c r="G798" s="1112"/>
      <c r="H798" s="1112"/>
      <c r="I798" s="1112"/>
      <c r="J798" s="1114"/>
      <c r="K798" s="1112"/>
      <c r="L798" s="1112"/>
      <c r="M798" s="1112"/>
      <c r="N798" s="1112"/>
      <c r="O798" s="1112"/>
      <c r="P798" s="1112" t="s">
        <v>96</v>
      </c>
      <c r="Q798" s="1112"/>
    </row>
    <row r="799">
      <c r="A799" s="1112"/>
      <c r="B799" s="1112"/>
      <c r="C799" s="1112"/>
      <c r="D799" s="1112"/>
      <c r="E799" s="1112"/>
      <c r="F799" s="1112"/>
      <c r="G799" s="1112"/>
      <c r="H799" s="1112"/>
      <c r="I799" s="1112"/>
      <c r="J799" s="1114"/>
      <c r="K799" s="1112"/>
      <c r="L799" s="1112"/>
      <c r="M799" s="1112"/>
      <c r="N799" s="1112"/>
      <c r="O799" s="1112"/>
      <c r="P799" s="1112" t="s">
        <v>96</v>
      </c>
      <c r="Q799" s="1112"/>
    </row>
    <row r="800">
      <c r="A800" s="1112"/>
      <c r="B800" s="1112"/>
      <c r="C800" s="1112"/>
      <c r="D800" s="1112"/>
      <c r="E800" s="1112"/>
      <c r="F800" s="1112"/>
      <c r="G800" s="1112"/>
      <c r="H800" s="1112"/>
      <c r="I800" s="1112"/>
      <c r="J800" s="1114"/>
      <c r="K800" s="1112"/>
      <c r="L800" s="1112"/>
      <c r="M800" s="1112"/>
      <c r="N800" s="1112"/>
      <c r="O800" s="1112"/>
      <c r="P800" s="1112" t="s">
        <v>96</v>
      </c>
      <c r="Q800" s="1112"/>
    </row>
    <row r="801">
      <c r="A801" s="1112"/>
      <c r="B801" s="1112"/>
      <c r="C801" s="1112"/>
      <c r="D801" s="1112"/>
      <c r="E801" s="1112"/>
      <c r="F801" s="1112"/>
      <c r="G801" s="1112"/>
      <c r="H801" s="1112"/>
      <c r="I801" s="1112"/>
      <c r="J801" s="1114"/>
      <c r="K801" s="1112"/>
      <c r="L801" s="1112"/>
      <c r="M801" s="1112"/>
      <c r="N801" s="1112"/>
      <c r="O801" s="1112"/>
      <c r="P801" s="1112" t="s">
        <v>96</v>
      </c>
      <c r="Q801" s="1112"/>
    </row>
    <row r="802">
      <c r="A802" s="1112"/>
      <c r="B802" s="1112"/>
      <c r="C802" s="1112"/>
      <c r="D802" s="1112"/>
      <c r="E802" s="1112"/>
      <c r="F802" s="1112"/>
      <c r="G802" s="1112"/>
      <c r="H802" s="1112"/>
      <c r="I802" s="1112"/>
      <c r="J802" s="1114"/>
      <c r="K802" s="1112"/>
      <c r="L802" s="1112"/>
      <c r="M802" s="1112"/>
      <c r="N802" s="1112"/>
      <c r="O802" s="1112"/>
      <c r="P802" s="1112" t="s">
        <v>96</v>
      </c>
      <c r="Q802" s="1112"/>
    </row>
    <row r="803">
      <c r="A803" s="1112"/>
      <c r="B803" s="1112"/>
      <c r="C803" s="1112"/>
      <c r="D803" s="1112"/>
      <c r="E803" s="1112"/>
      <c r="F803" s="1112"/>
      <c r="G803" s="1112"/>
      <c r="H803" s="1112"/>
      <c r="I803" s="1112"/>
      <c r="J803" s="1114"/>
      <c r="K803" s="1112"/>
      <c r="L803" s="1112"/>
      <c r="M803" s="1112"/>
      <c r="N803" s="1112"/>
      <c r="O803" s="1112"/>
      <c r="P803" s="1112" t="s">
        <v>96</v>
      </c>
      <c r="Q803" s="1112"/>
    </row>
    <row r="804">
      <c r="A804" s="1112"/>
      <c r="B804" s="1112"/>
      <c r="C804" s="1112"/>
      <c r="D804" s="1112"/>
      <c r="E804" s="1112"/>
      <c r="F804" s="1112"/>
      <c r="G804" s="1112"/>
      <c r="H804" s="1112"/>
      <c r="I804" s="1112"/>
      <c r="J804" s="1114"/>
      <c r="K804" s="1112"/>
      <c r="L804" s="1112"/>
      <c r="M804" s="1112"/>
      <c r="N804" s="1112"/>
      <c r="O804" s="1112"/>
      <c r="P804" s="1112" t="s">
        <v>96</v>
      </c>
      <c r="Q804" s="1112"/>
    </row>
    <row r="805">
      <c r="A805" s="1112"/>
      <c r="B805" s="1112"/>
      <c r="C805" s="1112"/>
      <c r="D805" s="1112"/>
      <c r="E805" s="1112"/>
      <c r="F805" s="1112"/>
      <c r="G805" s="1112"/>
      <c r="H805" s="1112"/>
      <c r="I805" s="1112"/>
      <c r="J805" s="1114"/>
      <c r="K805" s="1112"/>
      <c r="L805" s="1112"/>
      <c r="M805" s="1112"/>
      <c r="N805" s="1112"/>
      <c r="O805" s="1112"/>
      <c r="P805" s="1112" t="s">
        <v>96</v>
      </c>
      <c r="Q805" s="1112"/>
    </row>
    <row r="806">
      <c r="A806" s="1112"/>
      <c r="B806" s="1112"/>
      <c r="C806" s="1112"/>
      <c r="D806" s="1112"/>
      <c r="E806" s="1112"/>
      <c r="F806" s="1112"/>
      <c r="G806" s="1112"/>
      <c r="H806" s="1112"/>
      <c r="I806" s="1112"/>
      <c r="J806" s="1114"/>
      <c r="K806" s="1112"/>
      <c r="L806" s="1112"/>
      <c r="M806" s="1112"/>
      <c r="N806" s="1112"/>
      <c r="O806" s="1112"/>
      <c r="P806" s="1112" t="s">
        <v>96</v>
      </c>
      <c r="Q806" s="1112"/>
    </row>
    <row r="807">
      <c r="A807" s="1112"/>
      <c r="B807" s="1112"/>
      <c r="C807" s="1112"/>
      <c r="D807" s="1112"/>
      <c r="E807" s="1112"/>
      <c r="F807" s="1112"/>
      <c r="G807" s="1112"/>
      <c r="H807" s="1112"/>
      <c r="I807" s="1112"/>
      <c r="J807" s="1114"/>
      <c r="K807" s="1112"/>
      <c r="L807" s="1112"/>
      <c r="M807" s="1112"/>
      <c r="N807" s="1112"/>
      <c r="O807" s="1112"/>
      <c r="P807" s="1112" t="s">
        <v>96</v>
      </c>
      <c r="Q807" s="1112"/>
    </row>
    <row r="808">
      <c r="A808" s="1112"/>
      <c r="B808" s="1112"/>
      <c r="C808" s="1112"/>
      <c r="D808" s="1112"/>
      <c r="E808" s="1112"/>
      <c r="F808" s="1112"/>
      <c r="G808" s="1112"/>
      <c r="H808" s="1112"/>
      <c r="I808" s="1112"/>
      <c r="J808" s="1114"/>
      <c r="K808" s="1112"/>
      <c r="L808" s="1112"/>
      <c r="M808" s="1112"/>
      <c r="N808" s="1112"/>
      <c r="O808" s="1112"/>
      <c r="P808" s="1112" t="s">
        <v>96</v>
      </c>
      <c r="Q808" s="1112"/>
    </row>
    <row r="809">
      <c r="A809" s="1112"/>
      <c r="B809" s="1112"/>
      <c r="C809" s="1112"/>
      <c r="D809" s="1112"/>
      <c r="E809" s="1112"/>
      <c r="F809" s="1112"/>
      <c r="G809" s="1112"/>
      <c r="H809" s="1112"/>
      <c r="I809" s="1112"/>
      <c r="J809" s="1114"/>
      <c r="K809" s="1112"/>
      <c r="L809" s="1112"/>
      <c r="M809" s="1112"/>
      <c r="N809" s="1112"/>
      <c r="O809" s="1112"/>
      <c r="P809" s="1112" t="s">
        <v>96</v>
      </c>
      <c r="Q809" s="1112"/>
    </row>
    <row r="810">
      <c r="A810" s="1112"/>
      <c r="B810" s="1112"/>
      <c r="C810" s="1112"/>
      <c r="D810" s="1112"/>
      <c r="E810" s="1112"/>
      <c r="F810" s="1112"/>
      <c r="G810" s="1112"/>
      <c r="H810" s="1112"/>
      <c r="I810" s="1112"/>
      <c r="J810" s="1114"/>
      <c r="K810" s="1112"/>
      <c r="L810" s="1112"/>
      <c r="M810" s="1112"/>
      <c r="N810" s="1112"/>
      <c r="O810" s="1112"/>
      <c r="P810" s="1112" t="s">
        <v>96</v>
      </c>
      <c r="Q810" s="1112"/>
    </row>
    <row r="811">
      <c r="A811" s="1112"/>
      <c r="B811" s="1112"/>
      <c r="C811" s="1112"/>
      <c r="D811" s="1112"/>
      <c r="E811" s="1112"/>
      <c r="F811" s="1112"/>
      <c r="G811" s="1112"/>
      <c r="H811" s="1112"/>
      <c r="I811" s="1112"/>
      <c r="J811" s="1114"/>
      <c r="K811" s="1112"/>
      <c r="L811" s="1112"/>
      <c r="M811" s="1112"/>
      <c r="N811" s="1112"/>
      <c r="O811" s="1112"/>
      <c r="P811" s="1112" t="s">
        <v>96</v>
      </c>
      <c r="Q811" s="1112"/>
    </row>
    <row r="812">
      <c r="A812" s="1112"/>
      <c r="B812" s="1112"/>
      <c r="C812" s="1112"/>
      <c r="D812" s="1112"/>
      <c r="E812" s="1112"/>
      <c r="F812" s="1112"/>
      <c r="G812" s="1112"/>
      <c r="H812" s="1112"/>
      <c r="I812" s="1112"/>
      <c r="J812" s="1114"/>
      <c r="K812" s="1112"/>
      <c r="L812" s="1112"/>
      <c r="M812" s="1112"/>
      <c r="N812" s="1112"/>
      <c r="O812" s="1112"/>
      <c r="P812" s="1112" t="s">
        <v>96</v>
      </c>
      <c r="Q812" s="1112"/>
    </row>
    <row r="813">
      <c r="A813" s="1112"/>
      <c r="B813" s="1112"/>
      <c r="C813" s="1112"/>
      <c r="D813" s="1112"/>
      <c r="E813" s="1112"/>
      <c r="F813" s="1112"/>
      <c r="G813" s="1112"/>
      <c r="H813" s="1112"/>
      <c r="I813" s="1112"/>
      <c r="J813" s="1114"/>
      <c r="K813" s="1112"/>
      <c r="L813" s="1112"/>
      <c r="M813" s="1112"/>
      <c r="N813" s="1112"/>
      <c r="O813" s="1112"/>
      <c r="P813" s="1112" t="s">
        <v>96</v>
      </c>
      <c r="Q813" s="1112"/>
    </row>
    <row r="814">
      <c r="A814" s="1112"/>
      <c r="B814" s="1112"/>
      <c r="C814" s="1112"/>
      <c r="D814" s="1112"/>
      <c r="E814" s="1112"/>
      <c r="F814" s="1112"/>
      <c r="G814" s="1112"/>
      <c r="H814" s="1112"/>
      <c r="I814" s="1112"/>
      <c r="J814" s="1114"/>
      <c r="K814" s="1112"/>
      <c r="L814" s="1112"/>
      <c r="M814" s="1112"/>
      <c r="N814" s="1112"/>
      <c r="O814" s="1112"/>
      <c r="P814" s="1112" t="s">
        <v>96</v>
      </c>
      <c r="Q814" s="1112"/>
    </row>
    <row r="815">
      <c r="A815" s="1112"/>
      <c r="B815" s="1112"/>
      <c r="C815" s="1112"/>
      <c r="D815" s="1112"/>
      <c r="E815" s="1112"/>
      <c r="F815" s="1112"/>
      <c r="G815" s="1112"/>
      <c r="H815" s="1112"/>
      <c r="I815" s="1112"/>
      <c r="J815" s="1114"/>
      <c r="K815" s="1112"/>
      <c r="L815" s="1112"/>
      <c r="M815" s="1112"/>
      <c r="N815" s="1112"/>
      <c r="O815" s="1112"/>
      <c r="P815" s="1112" t="s">
        <v>96</v>
      </c>
      <c r="Q815" s="1112"/>
    </row>
    <row r="816">
      <c r="A816" s="1112"/>
      <c r="B816" s="1112"/>
      <c r="C816" s="1112"/>
      <c r="D816" s="1112"/>
      <c r="E816" s="1112"/>
      <c r="F816" s="1112"/>
      <c r="G816" s="1112"/>
      <c r="H816" s="1112"/>
      <c r="I816" s="1112"/>
      <c r="J816" s="1114"/>
      <c r="K816" s="1112"/>
      <c r="L816" s="1112"/>
      <c r="M816" s="1112"/>
      <c r="N816" s="1112"/>
      <c r="O816" s="1112"/>
      <c r="P816" s="1112" t="s">
        <v>96</v>
      </c>
      <c r="Q816" s="1112"/>
    </row>
    <row r="817">
      <c r="A817" s="1112"/>
      <c r="B817" s="1112"/>
      <c r="C817" s="1112"/>
      <c r="D817" s="1112"/>
      <c r="E817" s="1112"/>
      <c r="F817" s="1112"/>
      <c r="G817" s="1112"/>
      <c r="H817" s="1112"/>
      <c r="I817" s="1112"/>
      <c r="J817" s="1114"/>
      <c r="K817" s="1112"/>
      <c r="L817" s="1112"/>
      <c r="M817" s="1112"/>
      <c r="N817" s="1112"/>
      <c r="O817" s="1112"/>
      <c r="P817" s="1112" t="s">
        <v>96</v>
      </c>
      <c r="Q817" s="1112"/>
    </row>
    <row r="818">
      <c r="A818" s="1112"/>
      <c r="B818" s="1112"/>
      <c r="C818" s="1112"/>
      <c r="D818" s="1112"/>
      <c r="E818" s="1112"/>
      <c r="F818" s="1112"/>
      <c r="G818" s="1112"/>
      <c r="H818" s="1112"/>
      <c r="I818" s="1112"/>
      <c r="J818" s="1114"/>
      <c r="K818" s="1112"/>
      <c r="L818" s="1112"/>
      <c r="M818" s="1112"/>
      <c r="N818" s="1112"/>
      <c r="O818" s="1112"/>
      <c r="P818" s="1112" t="s">
        <v>96</v>
      </c>
      <c r="Q818" s="1112"/>
    </row>
    <row r="819">
      <c r="A819" s="1112"/>
      <c r="B819" s="1112"/>
      <c r="C819" s="1112"/>
      <c r="D819" s="1112"/>
      <c r="E819" s="1112"/>
      <c r="F819" s="1112"/>
      <c r="G819" s="1112"/>
      <c r="H819" s="1112"/>
      <c r="I819" s="1112"/>
      <c r="J819" s="1114"/>
      <c r="K819" s="1112"/>
      <c r="L819" s="1112"/>
      <c r="M819" s="1112"/>
      <c r="N819" s="1112"/>
      <c r="O819" s="1112"/>
      <c r="P819" s="1112" t="s">
        <v>96</v>
      </c>
      <c r="Q819" s="1112"/>
    </row>
    <row r="820">
      <c r="A820" s="1112"/>
      <c r="B820" s="1112"/>
      <c r="C820" s="1112"/>
      <c r="D820" s="1112"/>
      <c r="E820" s="1112"/>
      <c r="F820" s="1112"/>
      <c r="G820" s="1112"/>
      <c r="H820" s="1112"/>
      <c r="I820" s="1112"/>
      <c r="J820" s="1114"/>
      <c r="K820" s="1112"/>
      <c r="L820" s="1112"/>
      <c r="M820" s="1112"/>
      <c r="N820" s="1112"/>
      <c r="O820" s="1112"/>
      <c r="P820" s="1112" t="s">
        <v>96</v>
      </c>
      <c r="Q820" s="1112"/>
    </row>
    <row r="821">
      <c r="A821" s="1112"/>
      <c r="B821" s="1112"/>
      <c r="C821" s="1112"/>
      <c r="D821" s="1112"/>
      <c r="E821" s="1112"/>
      <c r="F821" s="1112"/>
      <c r="G821" s="1112"/>
      <c r="H821" s="1112"/>
      <c r="I821" s="1112"/>
      <c r="J821" s="1114"/>
      <c r="K821" s="1112"/>
      <c r="L821" s="1112"/>
      <c r="M821" s="1112"/>
      <c r="N821" s="1112"/>
      <c r="O821" s="1112"/>
      <c r="P821" s="1112" t="s">
        <v>96</v>
      </c>
      <c r="Q821" s="1112"/>
    </row>
    <row r="822">
      <c r="A822" s="1112"/>
      <c r="B822" s="1112"/>
      <c r="C822" s="1112"/>
      <c r="D822" s="1112"/>
      <c r="E822" s="1112"/>
      <c r="F822" s="1112"/>
      <c r="G822" s="1112"/>
      <c r="H822" s="1112"/>
      <c r="I822" s="1112"/>
      <c r="J822" s="1114"/>
      <c r="K822" s="1112"/>
      <c r="L822" s="1112"/>
      <c r="M822" s="1112"/>
      <c r="N822" s="1112"/>
      <c r="O822" s="1112"/>
      <c r="P822" s="1112" t="s">
        <v>96</v>
      </c>
      <c r="Q822" s="1112"/>
    </row>
    <row r="823">
      <c r="A823" s="1112"/>
      <c r="B823" s="1112"/>
      <c r="C823" s="1112"/>
      <c r="D823" s="1112"/>
      <c r="E823" s="1112"/>
      <c r="F823" s="1112"/>
      <c r="G823" s="1112"/>
      <c r="H823" s="1112"/>
      <c r="I823" s="1112"/>
      <c r="J823" s="1114"/>
      <c r="K823" s="1112"/>
      <c r="L823" s="1112"/>
      <c r="M823" s="1112"/>
      <c r="N823" s="1112"/>
      <c r="O823" s="1112"/>
      <c r="P823" s="1112" t="s">
        <v>96</v>
      </c>
      <c r="Q823" s="1112"/>
    </row>
    <row r="824">
      <c r="A824" s="1112"/>
      <c r="B824" s="1112"/>
      <c r="C824" s="1112"/>
      <c r="D824" s="1112"/>
      <c r="E824" s="1112"/>
      <c r="F824" s="1112"/>
      <c r="G824" s="1112"/>
      <c r="H824" s="1112"/>
      <c r="I824" s="1112"/>
      <c r="J824" s="1114"/>
      <c r="K824" s="1112"/>
      <c r="L824" s="1112"/>
      <c r="M824" s="1112"/>
      <c r="N824" s="1112"/>
      <c r="O824" s="1112"/>
      <c r="P824" s="1112" t="s">
        <v>96</v>
      </c>
      <c r="Q824" s="1112"/>
    </row>
    <row r="825">
      <c r="A825" s="1112"/>
      <c r="B825" s="1112"/>
      <c r="C825" s="1112"/>
      <c r="D825" s="1112"/>
      <c r="E825" s="1112"/>
      <c r="F825" s="1112"/>
      <c r="G825" s="1112"/>
      <c r="H825" s="1112"/>
      <c r="I825" s="1112"/>
      <c r="J825" s="1114"/>
      <c r="K825" s="1112"/>
      <c r="L825" s="1112"/>
      <c r="M825" s="1112"/>
      <c r="N825" s="1112"/>
      <c r="O825" s="1112"/>
      <c r="P825" s="1112" t="s">
        <v>96</v>
      </c>
      <c r="Q825" s="1112"/>
    </row>
    <row r="826">
      <c r="A826" s="1112"/>
      <c r="B826" s="1112"/>
      <c r="C826" s="1112"/>
      <c r="D826" s="1112"/>
      <c r="E826" s="1112"/>
      <c r="F826" s="1112"/>
      <c r="G826" s="1112"/>
      <c r="H826" s="1112"/>
      <c r="I826" s="1112"/>
      <c r="J826" s="1114"/>
      <c r="K826" s="1112"/>
      <c r="L826" s="1112"/>
      <c r="M826" s="1112"/>
      <c r="N826" s="1112"/>
      <c r="O826" s="1112"/>
      <c r="P826" s="1112" t="s">
        <v>96</v>
      </c>
      <c r="Q826" s="1112"/>
    </row>
    <row r="827">
      <c r="A827" s="1112"/>
      <c r="B827" s="1112"/>
      <c r="C827" s="1112"/>
      <c r="D827" s="1112"/>
      <c r="E827" s="1112"/>
      <c r="F827" s="1112"/>
      <c r="G827" s="1112"/>
      <c r="H827" s="1112"/>
      <c r="I827" s="1112"/>
      <c r="J827" s="1114"/>
      <c r="K827" s="1112"/>
      <c r="L827" s="1112"/>
      <c r="M827" s="1112"/>
      <c r="N827" s="1112"/>
      <c r="O827" s="1112"/>
      <c r="P827" s="1112" t="s">
        <v>96</v>
      </c>
      <c r="Q827" s="1112"/>
    </row>
    <row r="828">
      <c r="A828" s="1112"/>
      <c r="B828" s="1112"/>
      <c r="C828" s="1112"/>
      <c r="D828" s="1112"/>
      <c r="E828" s="1112"/>
      <c r="F828" s="1112"/>
      <c r="G828" s="1112"/>
      <c r="H828" s="1112"/>
      <c r="I828" s="1112"/>
      <c r="J828" s="1114"/>
      <c r="K828" s="1112"/>
      <c r="L828" s="1112"/>
      <c r="M828" s="1112"/>
      <c r="N828" s="1112"/>
      <c r="O828" s="1112"/>
      <c r="P828" s="1112" t="s">
        <v>96</v>
      </c>
      <c r="Q828" s="1112"/>
    </row>
    <row r="829">
      <c r="A829" s="1112"/>
      <c r="B829" s="1112"/>
      <c r="C829" s="1112"/>
      <c r="D829" s="1112"/>
      <c r="E829" s="1112"/>
      <c r="F829" s="1112"/>
      <c r="G829" s="1112"/>
      <c r="H829" s="1112"/>
      <c r="I829" s="1112"/>
      <c r="J829" s="1114"/>
      <c r="K829" s="1112"/>
      <c r="L829" s="1112"/>
      <c r="M829" s="1112"/>
      <c r="N829" s="1112"/>
      <c r="O829" s="1112"/>
      <c r="P829" s="1112" t="s">
        <v>96</v>
      </c>
      <c r="Q829" s="1112"/>
    </row>
    <row r="830">
      <c r="A830" s="1112"/>
      <c r="B830" s="1112"/>
      <c r="C830" s="1112"/>
      <c r="D830" s="1112"/>
      <c r="E830" s="1112"/>
      <c r="F830" s="1112"/>
      <c r="G830" s="1112"/>
      <c r="H830" s="1112"/>
      <c r="I830" s="1112"/>
      <c r="J830" s="1114"/>
      <c r="K830" s="1112"/>
      <c r="L830" s="1112"/>
      <c r="M830" s="1112"/>
      <c r="N830" s="1112"/>
      <c r="O830" s="1112"/>
      <c r="P830" s="1112" t="s">
        <v>96</v>
      </c>
      <c r="Q830" s="1112"/>
    </row>
    <row r="831">
      <c r="A831" s="1112"/>
      <c r="B831" s="1112"/>
      <c r="C831" s="1112"/>
      <c r="D831" s="1112"/>
      <c r="E831" s="1112"/>
      <c r="F831" s="1112"/>
      <c r="G831" s="1112"/>
      <c r="H831" s="1112"/>
      <c r="I831" s="1112"/>
      <c r="J831" s="1114"/>
      <c r="K831" s="1112"/>
      <c r="L831" s="1112"/>
      <c r="M831" s="1112"/>
      <c r="N831" s="1112"/>
      <c r="O831" s="1112"/>
      <c r="P831" s="1112" t="s">
        <v>96</v>
      </c>
      <c r="Q831" s="1112"/>
    </row>
    <row r="832">
      <c r="A832" s="1112"/>
      <c r="B832" s="1112"/>
      <c r="C832" s="1112"/>
      <c r="D832" s="1112"/>
      <c r="E832" s="1112"/>
      <c r="F832" s="1112"/>
      <c r="G832" s="1112"/>
      <c r="H832" s="1112"/>
      <c r="I832" s="1112"/>
      <c r="J832" s="1114"/>
      <c r="K832" s="1112"/>
      <c r="L832" s="1112"/>
      <c r="M832" s="1112"/>
      <c r="N832" s="1112"/>
      <c r="O832" s="1112"/>
      <c r="P832" s="1112" t="s">
        <v>96</v>
      </c>
      <c r="Q832" s="1112"/>
    </row>
    <row r="833">
      <c r="A833" s="1112"/>
      <c r="B833" s="1112"/>
      <c r="C833" s="1112"/>
      <c r="D833" s="1112"/>
      <c r="E833" s="1112"/>
      <c r="F833" s="1112"/>
      <c r="G833" s="1112"/>
      <c r="H833" s="1112"/>
      <c r="I833" s="1112"/>
      <c r="J833" s="1114"/>
      <c r="K833" s="1112"/>
      <c r="L833" s="1112"/>
      <c r="M833" s="1112"/>
      <c r="N833" s="1112"/>
      <c r="O833" s="1112"/>
      <c r="P833" s="1112" t="s">
        <v>96</v>
      </c>
      <c r="Q833" s="1112"/>
    </row>
    <row r="834">
      <c r="A834" s="1112"/>
      <c r="B834" s="1112"/>
      <c r="C834" s="1112"/>
      <c r="D834" s="1112"/>
      <c r="E834" s="1112"/>
      <c r="F834" s="1112"/>
      <c r="G834" s="1112"/>
      <c r="H834" s="1112"/>
      <c r="I834" s="1112"/>
      <c r="J834" s="1114"/>
      <c r="K834" s="1112"/>
      <c r="L834" s="1112"/>
      <c r="M834" s="1112"/>
      <c r="N834" s="1112"/>
      <c r="O834" s="1112"/>
      <c r="P834" s="1112" t="s">
        <v>96</v>
      </c>
      <c r="Q834" s="1112"/>
    </row>
    <row r="835">
      <c r="A835" s="1112"/>
      <c r="B835" s="1112"/>
      <c r="C835" s="1112"/>
      <c r="D835" s="1112"/>
      <c r="E835" s="1112"/>
      <c r="F835" s="1112"/>
      <c r="G835" s="1112"/>
      <c r="H835" s="1112"/>
      <c r="I835" s="1112"/>
      <c r="J835" s="1114"/>
      <c r="K835" s="1112"/>
      <c r="L835" s="1112"/>
      <c r="M835" s="1112"/>
      <c r="N835" s="1112"/>
      <c r="O835" s="1112"/>
      <c r="P835" s="1112" t="s">
        <v>96</v>
      </c>
      <c r="Q835" s="1112"/>
    </row>
    <row r="836">
      <c r="A836" s="1112"/>
      <c r="B836" s="1112"/>
      <c r="C836" s="1112"/>
      <c r="D836" s="1112"/>
      <c r="E836" s="1112"/>
      <c r="F836" s="1112"/>
      <c r="G836" s="1112"/>
      <c r="H836" s="1112"/>
      <c r="I836" s="1112"/>
      <c r="J836" s="1114"/>
      <c r="K836" s="1112"/>
      <c r="L836" s="1112"/>
      <c r="M836" s="1112"/>
      <c r="N836" s="1112"/>
      <c r="O836" s="1112"/>
      <c r="P836" s="1112" t="s">
        <v>96</v>
      </c>
      <c r="Q836" s="1112"/>
    </row>
    <row r="837">
      <c r="A837" s="1112"/>
      <c r="B837" s="1112"/>
      <c r="C837" s="1112"/>
      <c r="D837" s="1112"/>
      <c r="E837" s="1112"/>
      <c r="F837" s="1112"/>
      <c r="G837" s="1112"/>
      <c r="H837" s="1112"/>
      <c r="I837" s="1112"/>
      <c r="J837" s="1114"/>
      <c r="K837" s="1112"/>
      <c r="L837" s="1112"/>
      <c r="M837" s="1112"/>
      <c r="N837" s="1112"/>
      <c r="O837" s="1112"/>
      <c r="P837" s="1112" t="s">
        <v>96</v>
      </c>
      <c r="Q837" s="1112"/>
    </row>
    <row r="838">
      <c r="A838" s="1112"/>
      <c r="B838" s="1112"/>
      <c r="C838" s="1112"/>
      <c r="D838" s="1112"/>
      <c r="E838" s="1112"/>
      <c r="F838" s="1112"/>
      <c r="G838" s="1112"/>
      <c r="H838" s="1112"/>
      <c r="I838" s="1112"/>
      <c r="J838" s="1114"/>
      <c r="K838" s="1112"/>
      <c r="L838" s="1112"/>
      <c r="M838" s="1112"/>
      <c r="N838" s="1112"/>
      <c r="O838" s="1112"/>
      <c r="P838" s="1112" t="s">
        <v>96</v>
      </c>
      <c r="Q838" s="1112"/>
    </row>
    <row r="839">
      <c r="A839" s="1112"/>
      <c r="B839" s="1112"/>
      <c r="C839" s="1112"/>
      <c r="D839" s="1112"/>
      <c r="E839" s="1112"/>
      <c r="F839" s="1112"/>
      <c r="G839" s="1112"/>
      <c r="H839" s="1112"/>
      <c r="I839" s="1112"/>
      <c r="J839" s="1114"/>
      <c r="K839" s="1112"/>
      <c r="L839" s="1112"/>
      <c r="M839" s="1112"/>
      <c r="N839" s="1112"/>
      <c r="O839" s="1112"/>
      <c r="P839" s="1112" t="s">
        <v>96</v>
      </c>
      <c r="Q839" s="1112"/>
    </row>
    <row r="840">
      <c r="A840" s="1112"/>
      <c r="B840" s="1112"/>
      <c r="C840" s="1112"/>
      <c r="D840" s="1112"/>
      <c r="E840" s="1112"/>
      <c r="F840" s="1112"/>
      <c r="G840" s="1112"/>
      <c r="H840" s="1112"/>
      <c r="I840" s="1112"/>
      <c r="J840" s="1114"/>
      <c r="K840" s="1112"/>
      <c r="L840" s="1112"/>
      <c r="M840" s="1112"/>
      <c r="N840" s="1112"/>
      <c r="O840" s="1112"/>
      <c r="P840" s="1112" t="s">
        <v>96</v>
      </c>
      <c r="Q840" s="1112"/>
    </row>
    <row r="841">
      <c r="A841" s="1112"/>
      <c r="B841" s="1112"/>
      <c r="C841" s="1112"/>
      <c r="D841" s="1112"/>
      <c r="E841" s="1112"/>
      <c r="F841" s="1112"/>
      <c r="G841" s="1112"/>
      <c r="H841" s="1112"/>
      <c r="I841" s="1112"/>
      <c r="J841" s="1114"/>
      <c r="K841" s="1112"/>
      <c r="L841" s="1112"/>
      <c r="M841" s="1112"/>
      <c r="N841" s="1112"/>
      <c r="O841" s="1112"/>
      <c r="P841" s="1112" t="s">
        <v>96</v>
      </c>
      <c r="Q841" s="1112"/>
    </row>
    <row r="842">
      <c r="A842" s="1112"/>
      <c r="B842" s="1112"/>
      <c r="C842" s="1112"/>
      <c r="D842" s="1112"/>
      <c r="E842" s="1112"/>
      <c r="F842" s="1112"/>
      <c r="G842" s="1112"/>
      <c r="H842" s="1112"/>
      <c r="I842" s="1112"/>
      <c r="J842" s="1114"/>
      <c r="K842" s="1112"/>
      <c r="L842" s="1112"/>
      <c r="M842" s="1112"/>
      <c r="N842" s="1112"/>
      <c r="O842" s="1112"/>
      <c r="P842" s="1112" t="s">
        <v>96</v>
      </c>
      <c r="Q842" s="1112"/>
    </row>
    <row r="843">
      <c r="A843" s="1112"/>
      <c r="B843" s="1112"/>
      <c r="C843" s="1112"/>
      <c r="D843" s="1112"/>
      <c r="E843" s="1112"/>
      <c r="F843" s="1112"/>
      <c r="G843" s="1112"/>
      <c r="H843" s="1112"/>
      <c r="I843" s="1112"/>
      <c r="J843" s="1114"/>
      <c r="K843" s="1112"/>
      <c r="L843" s="1112"/>
      <c r="M843" s="1112"/>
      <c r="N843" s="1112"/>
      <c r="O843" s="1112"/>
      <c r="P843" s="1112" t="s">
        <v>96</v>
      </c>
      <c r="Q843" s="1112"/>
    </row>
    <row r="844">
      <c r="A844" s="1112"/>
      <c r="B844" s="1112"/>
      <c r="C844" s="1112"/>
      <c r="D844" s="1112"/>
      <c r="E844" s="1112"/>
      <c r="F844" s="1112"/>
      <c r="G844" s="1112"/>
      <c r="H844" s="1112"/>
      <c r="I844" s="1112"/>
      <c r="J844" s="1114"/>
      <c r="K844" s="1112"/>
      <c r="L844" s="1112"/>
      <c r="M844" s="1112"/>
      <c r="N844" s="1112"/>
      <c r="O844" s="1112"/>
      <c r="P844" s="1112" t="s">
        <v>96</v>
      </c>
      <c r="Q844" s="1112"/>
    </row>
    <row r="845">
      <c r="A845" s="1112"/>
      <c r="B845" s="1112"/>
      <c r="C845" s="1112"/>
      <c r="D845" s="1112"/>
      <c r="E845" s="1112"/>
      <c r="F845" s="1112"/>
      <c r="G845" s="1112"/>
      <c r="H845" s="1112"/>
      <c r="I845" s="1112"/>
      <c r="J845" s="1114"/>
      <c r="K845" s="1112"/>
      <c r="L845" s="1112"/>
      <c r="M845" s="1112"/>
      <c r="N845" s="1112"/>
      <c r="O845" s="1112"/>
      <c r="P845" s="1112" t="s">
        <v>96</v>
      </c>
      <c r="Q845" s="1112"/>
    </row>
    <row r="846">
      <c r="A846" s="1112"/>
      <c r="B846" s="1112"/>
      <c r="C846" s="1112"/>
      <c r="D846" s="1112"/>
      <c r="E846" s="1112"/>
      <c r="F846" s="1112"/>
      <c r="G846" s="1112"/>
      <c r="H846" s="1112"/>
      <c r="I846" s="1112"/>
      <c r="J846" s="1114"/>
      <c r="K846" s="1112"/>
      <c r="L846" s="1112"/>
      <c r="M846" s="1112"/>
      <c r="N846" s="1112"/>
      <c r="O846" s="1112"/>
      <c r="P846" s="1112" t="s">
        <v>96</v>
      </c>
      <c r="Q846" s="1112"/>
    </row>
    <row r="847">
      <c r="A847" s="1112"/>
      <c r="B847" s="1112"/>
      <c r="C847" s="1112"/>
      <c r="D847" s="1112"/>
      <c r="E847" s="1112"/>
      <c r="F847" s="1112"/>
      <c r="G847" s="1112"/>
      <c r="H847" s="1112"/>
      <c r="I847" s="1112"/>
      <c r="J847" s="1114"/>
      <c r="K847" s="1112"/>
      <c r="L847" s="1112"/>
      <c r="M847" s="1112"/>
      <c r="N847" s="1112"/>
      <c r="O847" s="1112"/>
      <c r="P847" s="1112" t="s">
        <v>96</v>
      </c>
      <c r="Q847" s="1112"/>
    </row>
    <row r="848">
      <c r="A848" s="1112"/>
      <c r="B848" s="1112"/>
      <c r="C848" s="1112"/>
      <c r="D848" s="1112"/>
      <c r="E848" s="1112"/>
      <c r="F848" s="1112"/>
      <c r="G848" s="1112"/>
      <c r="H848" s="1112"/>
      <c r="I848" s="1112"/>
      <c r="J848" s="1114"/>
      <c r="K848" s="1112"/>
      <c r="L848" s="1112"/>
      <c r="M848" s="1112"/>
      <c r="N848" s="1112"/>
      <c r="O848" s="1112"/>
      <c r="P848" s="1112" t="s">
        <v>96</v>
      </c>
      <c r="Q848" s="1112"/>
    </row>
    <row r="849">
      <c r="A849" s="1112"/>
      <c r="B849" s="1112"/>
      <c r="C849" s="1112"/>
      <c r="D849" s="1112"/>
      <c r="E849" s="1112"/>
      <c r="F849" s="1112"/>
      <c r="G849" s="1112"/>
      <c r="H849" s="1112"/>
      <c r="I849" s="1112"/>
      <c r="J849" s="1114"/>
      <c r="K849" s="1112"/>
      <c r="L849" s="1112"/>
      <c r="M849" s="1112"/>
      <c r="N849" s="1112"/>
      <c r="O849" s="1112"/>
      <c r="P849" s="1112" t="s">
        <v>96</v>
      </c>
      <c r="Q849" s="1112"/>
    </row>
    <row r="850">
      <c r="A850" s="1112"/>
      <c r="B850" s="1112"/>
      <c r="C850" s="1112"/>
      <c r="D850" s="1112"/>
      <c r="E850" s="1112"/>
      <c r="F850" s="1112"/>
      <c r="G850" s="1112"/>
      <c r="H850" s="1112"/>
      <c r="I850" s="1112"/>
      <c r="J850" s="1114"/>
      <c r="K850" s="1112"/>
      <c r="L850" s="1112"/>
      <c r="M850" s="1112"/>
      <c r="N850" s="1112"/>
      <c r="O850" s="1112"/>
      <c r="P850" s="1112" t="s">
        <v>96</v>
      </c>
      <c r="Q850" s="1112"/>
    </row>
    <row r="851">
      <c r="A851" s="1112"/>
      <c r="B851" s="1112"/>
      <c r="C851" s="1112"/>
      <c r="D851" s="1112"/>
      <c r="E851" s="1112"/>
      <c r="F851" s="1112"/>
      <c r="G851" s="1112"/>
      <c r="H851" s="1112"/>
      <c r="I851" s="1112"/>
      <c r="J851" s="1114"/>
      <c r="K851" s="1112"/>
      <c r="L851" s="1112"/>
      <c r="M851" s="1112"/>
      <c r="N851" s="1112"/>
      <c r="O851" s="1112"/>
      <c r="P851" s="1112" t="s">
        <v>96</v>
      </c>
      <c r="Q851" s="1112"/>
    </row>
    <row r="852">
      <c r="A852" s="1112"/>
      <c r="B852" s="1112"/>
      <c r="C852" s="1112"/>
      <c r="D852" s="1112"/>
      <c r="E852" s="1112"/>
      <c r="F852" s="1112"/>
      <c r="G852" s="1112"/>
      <c r="H852" s="1112"/>
      <c r="I852" s="1112"/>
      <c r="J852" s="1114"/>
      <c r="K852" s="1112"/>
      <c r="L852" s="1112"/>
      <c r="M852" s="1112"/>
      <c r="N852" s="1112"/>
      <c r="O852" s="1112"/>
      <c r="P852" s="1112" t="s">
        <v>96</v>
      </c>
      <c r="Q852" s="1112"/>
    </row>
    <row r="853">
      <c r="A853" s="1112"/>
      <c r="B853" s="1112"/>
      <c r="C853" s="1112"/>
      <c r="D853" s="1112"/>
      <c r="E853" s="1112"/>
      <c r="F853" s="1112"/>
      <c r="G853" s="1112"/>
      <c r="H853" s="1112"/>
      <c r="I853" s="1112"/>
      <c r="J853" s="1114"/>
      <c r="K853" s="1112"/>
      <c r="L853" s="1112"/>
      <c r="M853" s="1112"/>
      <c r="N853" s="1112"/>
      <c r="O853" s="1112"/>
      <c r="P853" s="1112" t="s">
        <v>96</v>
      </c>
      <c r="Q853" s="1112"/>
    </row>
    <row r="854">
      <c r="A854" s="1112"/>
      <c r="B854" s="1112"/>
      <c r="C854" s="1112"/>
      <c r="D854" s="1112"/>
      <c r="E854" s="1112"/>
      <c r="F854" s="1112"/>
      <c r="G854" s="1112"/>
      <c r="H854" s="1112"/>
      <c r="I854" s="1112"/>
      <c r="J854" s="1114"/>
      <c r="K854" s="1112"/>
      <c r="L854" s="1112"/>
      <c r="M854" s="1112"/>
      <c r="N854" s="1112"/>
      <c r="O854" s="1112"/>
      <c r="P854" s="1112" t="s">
        <v>96</v>
      </c>
      <c r="Q854" s="1112"/>
    </row>
    <row r="855">
      <c r="A855" s="1112"/>
      <c r="B855" s="1112"/>
      <c r="C855" s="1112"/>
      <c r="D855" s="1112"/>
      <c r="E855" s="1112"/>
      <c r="F855" s="1112"/>
      <c r="G855" s="1112"/>
      <c r="H855" s="1112"/>
      <c r="I855" s="1112"/>
      <c r="J855" s="1114"/>
      <c r="K855" s="1112"/>
      <c r="L855" s="1112"/>
      <c r="M855" s="1112"/>
      <c r="N855" s="1112"/>
      <c r="O855" s="1112"/>
      <c r="P855" s="1112" t="s">
        <v>96</v>
      </c>
      <c r="Q855" s="1112"/>
    </row>
    <row r="856">
      <c r="A856" s="1112"/>
      <c r="B856" s="1112"/>
      <c r="C856" s="1112"/>
      <c r="D856" s="1112"/>
      <c r="E856" s="1112"/>
      <c r="F856" s="1112"/>
      <c r="G856" s="1112"/>
      <c r="H856" s="1112"/>
      <c r="I856" s="1112"/>
      <c r="J856" s="1114"/>
      <c r="K856" s="1112"/>
      <c r="L856" s="1112"/>
      <c r="M856" s="1112"/>
      <c r="N856" s="1112"/>
      <c r="O856" s="1112"/>
      <c r="P856" s="1112" t="s">
        <v>96</v>
      </c>
      <c r="Q856" s="1112"/>
    </row>
    <row r="857">
      <c r="A857" s="1112"/>
      <c r="B857" s="1112"/>
      <c r="C857" s="1112"/>
      <c r="D857" s="1112"/>
      <c r="E857" s="1112"/>
      <c r="F857" s="1112"/>
      <c r="G857" s="1112"/>
      <c r="H857" s="1112"/>
      <c r="I857" s="1112"/>
      <c r="J857" s="1114"/>
      <c r="K857" s="1112"/>
      <c r="L857" s="1112"/>
      <c r="M857" s="1112"/>
      <c r="N857" s="1112"/>
      <c r="O857" s="1112"/>
      <c r="P857" s="1112" t="s">
        <v>96</v>
      </c>
      <c r="Q857" s="1112"/>
    </row>
    <row r="858">
      <c r="A858" s="1112"/>
      <c r="B858" s="1112"/>
      <c r="C858" s="1112"/>
      <c r="D858" s="1112"/>
      <c r="E858" s="1112"/>
      <c r="F858" s="1112"/>
      <c r="G858" s="1112"/>
      <c r="H858" s="1112"/>
      <c r="I858" s="1112"/>
      <c r="J858" s="1114"/>
      <c r="K858" s="1112"/>
      <c r="L858" s="1112"/>
      <c r="M858" s="1112"/>
      <c r="N858" s="1112"/>
      <c r="O858" s="1112"/>
      <c r="P858" s="1112" t="s">
        <v>96</v>
      </c>
      <c r="Q858" s="1112"/>
    </row>
    <row r="859">
      <c r="A859" s="1112"/>
      <c r="B859" s="1112"/>
      <c r="C859" s="1112"/>
      <c r="D859" s="1112"/>
      <c r="E859" s="1112"/>
      <c r="F859" s="1112"/>
      <c r="G859" s="1112"/>
      <c r="H859" s="1112"/>
      <c r="I859" s="1112"/>
      <c r="J859" s="1114"/>
      <c r="K859" s="1112"/>
      <c r="L859" s="1112"/>
      <c r="M859" s="1112"/>
      <c r="N859" s="1112"/>
      <c r="O859" s="1112"/>
      <c r="P859" s="1112" t="s">
        <v>96</v>
      </c>
      <c r="Q859" s="1112"/>
    </row>
    <row r="860">
      <c r="A860" s="1112"/>
      <c r="B860" s="1112"/>
      <c r="C860" s="1112"/>
      <c r="D860" s="1112"/>
      <c r="E860" s="1112"/>
      <c r="F860" s="1112"/>
      <c r="G860" s="1112"/>
      <c r="H860" s="1112"/>
      <c r="I860" s="1112"/>
      <c r="J860" s="1114"/>
      <c r="K860" s="1112"/>
      <c r="L860" s="1112"/>
      <c r="M860" s="1112"/>
      <c r="N860" s="1112"/>
      <c r="O860" s="1112"/>
      <c r="P860" s="1112" t="s">
        <v>96</v>
      </c>
      <c r="Q860" s="1112"/>
    </row>
    <row r="861">
      <c r="A861" s="1112"/>
      <c r="B861" s="1112"/>
      <c r="C861" s="1112"/>
      <c r="D861" s="1112"/>
      <c r="E861" s="1112"/>
      <c r="F861" s="1112"/>
      <c r="G861" s="1112"/>
      <c r="H861" s="1112"/>
      <c r="I861" s="1112"/>
      <c r="J861" s="1114"/>
      <c r="K861" s="1112"/>
      <c r="L861" s="1112"/>
      <c r="M861" s="1112"/>
      <c r="N861" s="1112"/>
      <c r="O861" s="1112"/>
      <c r="P861" s="1112" t="s">
        <v>96</v>
      </c>
      <c r="Q861" s="1112"/>
    </row>
    <row r="862">
      <c r="A862" s="1112"/>
      <c r="B862" s="1112"/>
      <c r="C862" s="1112"/>
      <c r="D862" s="1112"/>
      <c r="E862" s="1112"/>
      <c r="F862" s="1112"/>
      <c r="G862" s="1112"/>
      <c r="H862" s="1112"/>
      <c r="I862" s="1112"/>
      <c r="J862" s="1114"/>
      <c r="K862" s="1112"/>
      <c r="L862" s="1112"/>
      <c r="M862" s="1112"/>
      <c r="N862" s="1112"/>
      <c r="O862" s="1112"/>
      <c r="P862" s="1112" t="s">
        <v>96</v>
      </c>
      <c r="Q862" s="1112"/>
    </row>
    <row r="863">
      <c r="A863" s="1112"/>
      <c r="B863" s="1112"/>
      <c r="C863" s="1112"/>
      <c r="D863" s="1112"/>
      <c r="E863" s="1112"/>
      <c r="F863" s="1112"/>
      <c r="G863" s="1112"/>
      <c r="H863" s="1112"/>
      <c r="I863" s="1112"/>
      <c r="J863" s="1114"/>
      <c r="K863" s="1112"/>
      <c r="L863" s="1112"/>
      <c r="M863" s="1112"/>
      <c r="N863" s="1112"/>
      <c r="O863" s="1112"/>
      <c r="P863" s="1112" t="s">
        <v>96</v>
      </c>
      <c r="Q863" s="1112"/>
    </row>
    <row r="864">
      <c r="A864" s="1112"/>
      <c r="B864" s="1112"/>
      <c r="C864" s="1112"/>
      <c r="D864" s="1112"/>
      <c r="E864" s="1112"/>
      <c r="F864" s="1112"/>
      <c r="G864" s="1112"/>
      <c r="H864" s="1112"/>
      <c r="I864" s="1112"/>
      <c r="J864" s="1114"/>
      <c r="K864" s="1112"/>
      <c r="L864" s="1112"/>
      <c r="M864" s="1112"/>
      <c r="N864" s="1112"/>
      <c r="O864" s="1112"/>
      <c r="P864" s="1112" t="s">
        <v>96</v>
      </c>
      <c r="Q864" s="1112"/>
    </row>
    <row r="865">
      <c r="A865" s="1112"/>
      <c r="B865" s="1112"/>
      <c r="C865" s="1112"/>
      <c r="D865" s="1112"/>
      <c r="E865" s="1112"/>
      <c r="F865" s="1112"/>
      <c r="G865" s="1112"/>
      <c r="H865" s="1112"/>
      <c r="I865" s="1112"/>
      <c r="J865" s="1114"/>
      <c r="K865" s="1112"/>
      <c r="L865" s="1112"/>
      <c r="M865" s="1112"/>
      <c r="N865" s="1112"/>
      <c r="O865" s="1112"/>
      <c r="P865" s="1112" t="s">
        <v>96</v>
      </c>
      <c r="Q865" s="1112"/>
    </row>
    <row r="866">
      <c r="A866" s="1112"/>
      <c r="B866" s="1112"/>
      <c r="C866" s="1112"/>
      <c r="D866" s="1112"/>
      <c r="E866" s="1112"/>
      <c r="F866" s="1112"/>
      <c r="G866" s="1112"/>
      <c r="H866" s="1112"/>
      <c r="I866" s="1112"/>
      <c r="J866" s="1114"/>
      <c r="K866" s="1112"/>
      <c r="L866" s="1112"/>
      <c r="M866" s="1112"/>
      <c r="N866" s="1112"/>
      <c r="O866" s="1112"/>
      <c r="P866" s="1112" t="s">
        <v>96</v>
      </c>
      <c r="Q866" s="1112"/>
    </row>
    <row r="867">
      <c r="A867" s="1112"/>
      <c r="B867" s="1112"/>
      <c r="C867" s="1112"/>
      <c r="D867" s="1112"/>
      <c r="E867" s="1112"/>
      <c r="F867" s="1112"/>
      <c r="G867" s="1112"/>
      <c r="H867" s="1112"/>
      <c r="I867" s="1112"/>
      <c r="J867" s="1114"/>
      <c r="K867" s="1112"/>
      <c r="L867" s="1112"/>
      <c r="M867" s="1112"/>
      <c r="N867" s="1112"/>
      <c r="O867" s="1112"/>
      <c r="P867" s="1112" t="s">
        <v>96</v>
      </c>
      <c r="Q867" s="1112"/>
    </row>
    <row r="868">
      <c r="A868" s="1112"/>
      <c r="B868" s="1112"/>
      <c r="C868" s="1112"/>
      <c r="D868" s="1112"/>
      <c r="E868" s="1112"/>
      <c r="F868" s="1112"/>
      <c r="G868" s="1112"/>
      <c r="H868" s="1112"/>
      <c r="I868" s="1112"/>
      <c r="J868" s="1114"/>
      <c r="K868" s="1112"/>
      <c r="L868" s="1112"/>
      <c r="M868" s="1112"/>
      <c r="N868" s="1112"/>
      <c r="O868" s="1112"/>
      <c r="P868" s="1112" t="s">
        <v>96</v>
      </c>
      <c r="Q868" s="1112"/>
    </row>
    <row r="869">
      <c r="A869" s="1112"/>
      <c r="B869" s="1112"/>
      <c r="C869" s="1112"/>
      <c r="D869" s="1112"/>
      <c r="E869" s="1112"/>
      <c r="F869" s="1112"/>
      <c r="G869" s="1112"/>
      <c r="H869" s="1112"/>
      <c r="I869" s="1112"/>
      <c r="J869" s="1114"/>
      <c r="K869" s="1112"/>
      <c r="L869" s="1112"/>
      <c r="M869" s="1112"/>
      <c r="N869" s="1112"/>
      <c r="O869" s="1112"/>
      <c r="P869" s="1112" t="s">
        <v>96</v>
      </c>
      <c r="Q869" s="1112"/>
    </row>
    <row r="870">
      <c r="A870" s="1112"/>
      <c r="B870" s="1112"/>
      <c r="C870" s="1112"/>
      <c r="D870" s="1112"/>
      <c r="E870" s="1112"/>
      <c r="F870" s="1112"/>
      <c r="G870" s="1112"/>
      <c r="H870" s="1112"/>
      <c r="I870" s="1112"/>
      <c r="J870" s="1114"/>
      <c r="K870" s="1112"/>
      <c r="L870" s="1112"/>
      <c r="M870" s="1112"/>
      <c r="N870" s="1112"/>
      <c r="O870" s="1112"/>
      <c r="P870" s="1112" t="s">
        <v>96</v>
      </c>
      <c r="Q870" s="1112"/>
    </row>
    <row r="871">
      <c r="A871" s="1112"/>
      <c r="B871" s="1112"/>
      <c r="C871" s="1112"/>
      <c r="D871" s="1112"/>
      <c r="E871" s="1112"/>
      <c r="F871" s="1112"/>
      <c r="G871" s="1112"/>
      <c r="H871" s="1112"/>
      <c r="I871" s="1112"/>
      <c r="J871" s="1114"/>
      <c r="K871" s="1112"/>
      <c r="L871" s="1112"/>
      <c r="M871" s="1112"/>
      <c r="N871" s="1112"/>
      <c r="O871" s="1112"/>
      <c r="P871" s="1112" t="s">
        <v>96</v>
      </c>
      <c r="Q871" s="1112"/>
    </row>
    <row r="872">
      <c r="A872" s="1112"/>
      <c r="B872" s="1112"/>
      <c r="C872" s="1112"/>
      <c r="D872" s="1112"/>
      <c r="E872" s="1112"/>
      <c r="F872" s="1112"/>
      <c r="G872" s="1112"/>
      <c r="H872" s="1112"/>
      <c r="I872" s="1112"/>
      <c r="J872" s="1114"/>
      <c r="K872" s="1112"/>
      <c r="L872" s="1112"/>
      <c r="M872" s="1112"/>
      <c r="N872" s="1112"/>
      <c r="O872" s="1112"/>
      <c r="P872" s="1112" t="s">
        <v>96</v>
      </c>
      <c r="Q872" s="1112"/>
    </row>
    <row r="873">
      <c r="A873" s="1112"/>
      <c r="B873" s="1112"/>
      <c r="C873" s="1112"/>
      <c r="D873" s="1112"/>
      <c r="E873" s="1112"/>
      <c r="F873" s="1112"/>
      <c r="G873" s="1112"/>
      <c r="H873" s="1112"/>
      <c r="I873" s="1112"/>
      <c r="J873" s="1114"/>
      <c r="K873" s="1112"/>
      <c r="L873" s="1112"/>
      <c r="M873" s="1112"/>
      <c r="N873" s="1112"/>
      <c r="O873" s="1112"/>
      <c r="P873" s="1112" t="s">
        <v>96</v>
      </c>
      <c r="Q873" s="1112"/>
    </row>
    <row r="874">
      <c r="A874" s="1112"/>
      <c r="B874" s="1112"/>
      <c r="C874" s="1112"/>
      <c r="D874" s="1112"/>
      <c r="E874" s="1112"/>
      <c r="F874" s="1112"/>
      <c r="G874" s="1112"/>
      <c r="H874" s="1112"/>
      <c r="I874" s="1112"/>
      <c r="J874" s="1114"/>
      <c r="K874" s="1112"/>
      <c r="L874" s="1112"/>
      <c r="M874" s="1112"/>
      <c r="N874" s="1112"/>
      <c r="O874" s="1112"/>
      <c r="P874" s="1112" t="s">
        <v>96</v>
      </c>
      <c r="Q874" s="1112"/>
    </row>
    <row r="875">
      <c r="A875" s="1112"/>
      <c r="B875" s="1112"/>
      <c r="C875" s="1112"/>
      <c r="D875" s="1112"/>
      <c r="E875" s="1112"/>
      <c r="F875" s="1112"/>
      <c r="G875" s="1112"/>
      <c r="H875" s="1112"/>
      <c r="I875" s="1112"/>
      <c r="J875" s="1114"/>
      <c r="K875" s="1112"/>
      <c r="L875" s="1112"/>
      <c r="M875" s="1112"/>
      <c r="N875" s="1112"/>
      <c r="O875" s="1112"/>
      <c r="P875" s="1112" t="s">
        <v>96</v>
      </c>
      <c r="Q875" s="1112"/>
    </row>
    <row r="876">
      <c r="A876" s="1112"/>
      <c r="B876" s="1112"/>
      <c r="C876" s="1112"/>
      <c r="D876" s="1112"/>
      <c r="E876" s="1112"/>
      <c r="F876" s="1112"/>
      <c r="G876" s="1112"/>
      <c r="H876" s="1112"/>
      <c r="I876" s="1112"/>
      <c r="J876" s="1114"/>
      <c r="K876" s="1112"/>
      <c r="L876" s="1112"/>
      <c r="M876" s="1112"/>
      <c r="N876" s="1112"/>
      <c r="O876" s="1112"/>
      <c r="P876" s="1112" t="s">
        <v>96</v>
      </c>
      <c r="Q876" s="1112"/>
    </row>
    <row r="877">
      <c r="A877" s="1112"/>
      <c r="B877" s="1112"/>
      <c r="C877" s="1112"/>
      <c r="D877" s="1112"/>
      <c r="E877" s="1112"/>
      <c r="F877" s="1112"/>
      <c r="G877" s="1112"/>
      <c r="H877" s="1112"/>
      <c r="I877" s="1112"/>
      <c r="J877" s="1114"/>
      <c r="K877" s="1112"/>
      <c r="L877" s="1112"/>
      <c r="M877" s="1112"/>
      <c r="N877" s="1112"/>
      <c r="O877" s="1112"/>
      <c r="P877" s="1112" t="s">
        <v>96</v>
      </c>
      <c r="Q877" s="1112"/>
    </row>
    <row r="878">
      <c r="A878" s="1112"/>
      <c r="B878" s="1112"/>
      <c r="C878" s="1112"/>
      <c r="D878" s="1112"/>
      <c r="E878" s="1112"/>
      <c r="F878" s="1112"/>
      <c r="G878" s="1112"/>
      <c r="H878" s="1112"/>
      <c r="I878" s="1112"/>
      <c r="J878" s="1114"/>
      <c r="K878" s="1112"/>
      <c r="L878" s="1112"/>
      <c r="M878" s="1112"/>
      <c r="N878" s="1112"/>
      <c r="O878" s="1112"/>
      <c r="P878" s="1112" t="s">
        <v>96</v>
      </c>
      <c r="Q878" s="1112"/>
    </row>
    <row r="879">
      <c r="A879" s="1112"/>
      <c r="B879" s="1112"/>
      <c r="C879" s="1112"/>
      <c r="D879" s="1112"/>
      <c r="E879" s="1112"/>
      <c r="F879" s="1112"/>
      <c r="G879" s="1112"/>
      <c r="H879" s="1112"/>
      <c r="I879" s="1112"/>
      <c r="J879" s="1114"/>
      <c r="K879" s="1112"/>
      <c r="L879" s="1112"/>
      <c r="M879" s="1112"/>
      <c r="N879" s="1112"/>
      <c r="O879" s="1112"/>
      <c r="P879" s="1112" t="s">
        <v>96</v>
      </c>
      <c r="Q879" s="1112"/>
    </row>
    <row r="880">
      <c r="A880" s="1112"/>
      <c r="B880" s="1112"/>
      <c r="C880" s="1112"/>
      <c r="D880" s="1112"/>
      <c r="E880" s="1112"/>
      <c r="F880" s="1112"/>
      <c r="G880" s="1112"/>
      <c r="H880" s="1112"/>
      <c r="I880" s="1112"/>
      <c r="J880" s="1114"/>
      <c r="K880" s="1112"/>
      <c r="L880" s="1112"/>
      <c r="M880" s="1112"/>
      <c r="N880" s="1112"/>
      <c r="O880" s="1112"/>
      <c r="P880" s="1112" t="s">
        <v>96</v>
      </c>
      <c r="Q880" s="1112"/>
    </row>
    <row r="881">
      <c r="A881" s="1112"/>
      <c r="B881" s="1112"/>
      <c r="C881" s="1112"/>
      <c r="D881" s="1112"/>
      <c r="E881" s="1112"/>
      <c r="F881" s="1112"/>
      <c r="G881" s="1112"/>
      <c r="H881" s="1112"/>
      <c r="I881" s="1112"/>
      <c r="J881" s="1114"/>
      <c r="K881" s="1112"/>
      <c r="L881" s="1112"/>
      <c r="M881" s="1112"/>
      <c r="N881" s="1112"/>
      <c r="O881" s="1112"/>
      <c r="P881" s="1112" t="s">
        <v>96</v>
      </c>
      <c r="Q881" s="1112"/>
    </row>
    <row r="882">
      <c r="A882" s="1112"/>
      <c r="B882" s="1112"/>
      <c r="C882" s="1112"/>
      <c r="D882" s="1112"/>
      <c r="E882" s="1112"/>
      <c r="F882" s="1112"/>
      <c r="G882" s="1112"/>
      <c r="H882" s="1112"/>
      <c r="I882" s="1112"/>
      <c r="J882" s="1114"/>
      <c r="K882" s="1112"/>
      <c r="L882" s="1112"/>
      <c r="M882" s="1112"/>
      <c r="N882" s="1112"/>
      <c r="O882" s="1112"/>
      <c r="P882" s="1112" t="s">
        <v>96</v>
      </c>
      <c r="Q882" s="1112"/>
    </row>
    <row r="883">
      <c r="A883" s="1112"/>
      <c r="B883" s="1112"/>
      <c r="C883" s="1112"/>
      <c r="D883" s="1112"/>
      <c r="E883" s="1112"/>
      <c r="F883" s="1112"/>
      <c r="G883" s="1112"/>
      <c r="H883" s="1112"/>
      <c r="I883" s="1112"/>
      <c r="J883" s="1114"/>
      <c r="K883" s="1112"/>
      <c r="L883" s="1112"/>
      <c r="M883" s="1112"/>
      <c r="N883" s="1112"/>
      <c r="O883" s="1112"/>
      <c r="P883" s="1112" t="s">
        <v>96</v>
      </c>
      <c r="Q883" s="1112"/>
    </row>
    <row r="884">
      <c r="A884" s="1112"/>
      <c r="B884" s="1112"/>
      <c r="C884" s="1112"/>
      <c r="D884" s="1112"/>
      <c r="E884" s="1112"/>
      <c r="F884" s="1112"/>
      <c r="G884" s="1112"/>
      <c r="H884" s="1112"/>
      <c r="I884" s="1112"/>
      <c r="J884" s="1114"/>
      <c r="K884" s="1112"/>
      <c r="L884" s="1112"/>
      <c r="M884" s="1112"/>
      <c r="N884" s="1112"/>
      <c r="O884" s="1112"/>
      <c r="P884" s="1112" t="s">
        <v>96</v>
      </c>
      <c r="Q884" s="1112"/>
    </row>
    <row r="885">
      <c r="A885" s="1112"/>
      <c r="B885" s="1112"/>
      <c r="C885" s="1112"/>
      <c r="D885" s="1112"/>
      <c r="E885" s="1112"/>
      <c r="F885" s="1112"/>
      <c r="G885" s="1112"/>
      <c r="H885" s="1112"/>
      <c r="I885" s="1112"/>
      <c r="J885" s="1114"/>
      <c r="K885" s="1112"/>
      <c r="L885" s="1112"/>
      <c r="M885" s="1112"/>
      <c r="N885" s="1112"/>
      <c r="O885" s="1112"/>
      <c r="P885" s="1112" t="s">
        <v>96</v>
      </c>
      <c r="Q885" s="1112"/>
    </row>
    <row r="886">
      <c r="A886" s="1112"/>
      <c r="B886" s="1112"/>
      <c r="C886" s="1112"/>
      <c r="D886" s="1112"/>
      <c r="E886" s="1112"/>
      <c r="F886" s="1112"/>
      <c r="G886" s="1112"/>
      <c r="H886" s="1112"/>
      <c r="I886" s="1112"/>
      <c r="J886" s="1114"/>
      <c r="K886" s="1112"/>
      <c r="L886" s="1112"/>
      <c r="M886" s="1112"/>
      <c r="N886" s="1112"/>
      <c r="O886" s="1112"/>
      <c r="P886" s="1112" t="s">
        <v>96</v>
      </c>
      <c r="Q886" s="1112"/>
    </row>
    <row r="887">
      <c r="A887" s="1112"/>
      <c r="B887" s="1112"/>
      <c r="C887" s="1112"/>
      <c r="D887" s="1112"/>
      <c r="E887" s="1112"/>
      <c r="F887" s="1112"/>
      <c r="G887" s="1112"/>
      <c r="H887" s="1112"/>
      <c r="I887" s="1112"/>
      <c r="J887" s="1114"/>
      <c r="K887" s="1112"/>
      <c r="L887" s="1112"/>
      <c r="M887" s="1112"/>
      <c r="N887" s="1112"/>
      <c r="O887" s="1112"/>
      <c r="P887" s="1112" t="s">
        <v>96</v>
      </c>
      <c r="Q887" s="1112"/>
    </row>
    <row r="888">
      <c r="A888" s="1112"/>
      <c r="B888" s="1112"/>
      <c r="C888" s="1112"/>
      <c r="D888" s="1112"/>
      <c r="E888" s="1112"/>
      <c r="F888" s="1112"/>
      <c r="G888" s="1112"/>
      <c r="H888" s="1112"/>
      <c r="I888" s="1112"/>
      <c r="J888" s="1114"/>
      <c r="K888" s="1112"/>
      <c r="L888" s="1112"/>
      <c r="M888" s="1112"/>
      <c r="N888" s="1112"/>
      <c r="O888" s="1112"/>
      <c r="P888" s="1112" t="s">
        <v>96</v>
      </c>
      <c r="Q888" s="1112"/>
    </row>
    <row r="889">
      <c r="A889" s="1112"/>
      <c r="B889" s="1112"/>
      <c r="C889" s="1112"/>
      <c r="D889" s="1112"/>
      <c r="E889" s="1112"/>
      <c r="F889" s="1112"/>
      <c r="G889" s="1112"/>
      <c r="H889" s="1112"/>
      <c r="I889" s="1112"/>
      <c r="J889" s="1114"/>
      <c r="K889" s="1112"/>
      <c r="L889" s="1112"/>
      <c r="M889" s="1112"/>
      <c r="N889" s="1112"/>
      <c r="O889" s="1112"/>
      <c r="P889" s="1112" t="s">
        <v>96</v>
      </c>
      <c r="Q889" s="1112"/>
    </row>
    <row r="890">
      <c r="A890" s="1112"/>
      <c r="B890" s="1112"/>
      <c r="C890" s="1112"/>
      <c r="D890" s="1112"/>
      <c r="E890" s="1112"/>
      <c r="F890" s="1112"/>
      <c r="G890" s="1112"/>
      <c r="H890" s="1112"/>
      <c r="I890" s="1112"/>
      <c r="J890" s="1114"/>
      <c r="K890" s="1112"/>
      <c r="L890" s="1112"/>
      <c r="M890" s="1112"/>
      <c r="N890" s="1112"/>
      <c r="O890" s="1112"/>
      <c r="P890" s="1112" t="s">
        <v>96</v>
      </c>
      <c r="Q890" s="1112"/>
    </row>
    <row r="891">
      <c r="A891" s="1112"/>
      <c r="B891" s="1112"/>
      <c r="C891" s="1112"/>
      <c r="D891" s="1112"/>
      <c r="E891" s="1112"/>
      <c r="F891" s="1112"/>
      <c r="G891" s="1112"/>
      <c r="H891" s="1112"/>
      <c r="I891" s="1112"/>
      <c r="J891" s="1114"/>
      <c r="K891" s="1112"/>
      <c r="L891" s="1112"/>
      <c r="M891" s="1112"/>
      <c r="N891" s="1112"/>
      <c r="O891" s="1112"/>
      <c r="P891" s="1112" t="s">
        <v>96</v>
      </c>
      <c r="Q891" s="1112"/>
    </row>
    <row r="892">
      <c r="A892" s="1112"/>
      <c r="B892" s="1112"/>
      <c r="C892" s="1112"/>
      <c r="D892" s="1112"/>
      <c r="E892" s="1112"/>
      <c r="F892" s="1112"/>
      <c r="G892" s="1112"/>
      <c r="H892" s="1112"/>
      <c r="I892" s="1112"/>
      <c r="J892" s="1114"/>
      <c r="K892" s="1112"/>
      <c r="L892" s="1112"/>
      <c r="M892" s="1112"/>
      <c r="N892" s="1112"/>
      <c r="O892" s="1112"/>
      <c r="P892" s="1112" t="s">
        <v>96</v>
      </c>
      <c r="Q892" s="1112"/>
    </row>
    <row r="893">
      <c r="A893" s="1112"/>
      <c r="B893" s="1112"/>
      <c r="C893" s="1112"/>
      <c r="D893" s="1112"/>
      <c r="E893" s="1112"/>
      <c r="F893" s="1112"/>
      <c r="G893" s="1112"/>
      <c r="H893" s="1112"/>
      <c r="I893" s="1112"/>
      <c r="J893" s="1114"/>
      <c r="K893" s="1112"/>
      <c r="L893" s="1112"/>
      <c r="M893" s="1112"/>
      <c r="N893" s="1112"/>
      <c r="O893" s="1112"/>
      <c r="P893" s="1112" t="s">
        <v>96</v>
      </c>
      <c r="Q893" s="1112"/>
    </row>
    <row r="894">
      <c r="A894" s="1112"/>
      <c r="B894" s="1112"/>
      <c r="C894" s="1112"/>
      <c r="D894" s="1112"/>
      <c r="E894" s="1112"/>
      <c r="F894" s="1112"/>
      <c r="G894" s="1112"/>
      <c r="H894" s="1112"/>
      <c r="I894" s="1112"/>
      <c r="J894" s="1114"/>
      <c r="K894" s="1112"/>
      <c r="L894" s="1112"/>
      <c r="M894" s="1112"/>
      <c r="N894" s="1112"/>
      <c r="O894" s="1112"/>
      <c r="P894" s="1112" t="s">
        <v>96</v>
      </c>
      <c r="Q894" s="1112"/>
    </row>
    <row r="895">
      <c r="A895" s="1112"/>
      <c r="B895" s="1112"/>
      <c r="C895" s="1112"/>
      <c r="D895" s="1112"/>
      <c r="E895" s="1112"/>
      <c r="F895" s="1112"/>
      <c r="G895" s="1112"/>
      <c r="H895" s="1112"/>
      <c r="I895" s="1112"/>
      <c r="J895" s="1114"/>
      <c r="K895" s="1112"/>
      <c r="L895" s="1112"/>
      <c r="M895" s="1112"/>
      <c r="N895" s="1112"/>
      <c r="O895" s="1112"/>
      <c r="P895" s="1112" t="s">
        <v>96</v>
      </c>
      <c r="Q895" s="1112"/>
    </row>
    <row r="896">
      <c r="A896" s="1112"/>
      <c r="B896" s="1112"/>
      <c r="C896" s="1112"/>
      <c r="D896" s="1112"/>
      <c r="E896" s="1112"/>
      <c r="F896" s="1112"/>
      <c r="G896" s="1112"/>
      <c r="H896" s="1112"/>
      <c r="I896" s="1112"/>
      <c r="J896" s="1114"/>
      <c r="K896" s="1112"/>
      <c r="L896" s="1112"/>
      <c r="M896" s="1112"/>
      <c r="N896" s="1112"/>
      <c r="O896" s="1112"/>
      <c r="P896" s="1112" t="s">
        <v>96</v>
      </c>
      <c r="Q896" s="1112"/>
    </row>
    <row r="897">
      <c r="A897" s="1112"/>
      <c r="B897" s="1112"/>
      <c r="C897" s="1112"/>
      <c r="D897" s="1112"/>
      <c r="E897" s="1112"/>
      <c r="F897" s="1112"/>
      <c r="G897" s="1112"/>
      <c r="H897" s="1112"/>
      <c r="I897" s="1112"/>
      <c r="J897" s="1114"/>
      <c r="K897" s="1112"/>
      <c r="L897" s="1112"/>
      <c r="M897" s="1112"/>
      <c r="N897" s="1112"/>
      <c r="O897" s="1112"/>
      <c r="P897" s="1112" t="s">
        <v>96</v>
      </c>
      <c r="Q897" s="1112"/>
    </row>
    <row r="898">
      <c r="A898" s="1112"/>
      <c r="B898" s="1112"/>
      <c r="C898" s="1112"/>
      <c r="D898" s="1112"/>
      <c r="E898" s="1112"/>
      <c r="F898" s="1112"/>
      <c r="G898" s="1112"/>
      <c r="H898" s="1112"/>
      <c r="I898" s="1112"/>
      <c r="J898" s="1114"/>
      <c r="K898" s="1112"/>
      <c r="L898" s="1112"/>
      <c r="M898" s="1112"/>
      <c r="N898" s="1112"/>
      <c r="O898" s="1112"/>
      <c r="P898" s="1112" t="s">
        <v>96</v>
      </c>
      <c r="Q898" s="1112"/>
    </row>
    <row r="899">
      <c r="A899" s="1112"/>
      <c r="B899" s="1112"/>
      <c r="C899" s="1112"/>
      <c r="D899" s="1112"/>
      <c r="E899" s="1112"/>
      <c r="F899" s="1112"/>
      <c r="G899" s="1112"/>
      <c r="H899" s="1112"/>
      <c r="I899" s="1112"/>
      <c r="J899" s="1114"/>
      <c r="K899" s="1112"/>
      <c r="L899" s="1112"/>
      <c r="M899" s="1112"/>
      <c r="N899" s="1112"/>
      <c r="O899" s="1112"/>
      <c r="P899" s="1112" t="s">
        <v>96</v>
      </c>
      <c r="Q899" s="1112"/>
    </row>
    <row r="900">
      <c r="A900" s="1112"/>
      <c r="B900" s="1112"/>
      <c r="C900" s="1112"/>
      <c r="D900" s="1112"/>
      <c r="E900" s="1112"/>
      <c r="F900" s="1112"/>
      <c r="G900" s="1112"/>
      <c r="H900" s="1112"/>
      <c r="I900" s="1112"/>
      <c r="J900" s="1114"/>
      <c r="K900" s="1112"/>
      <c r="L900" s="1112"/>
      <c r="M900" s="1112"/>
      <c r="N900" s="1112"/>
      <c r="O900" s="1112"/>
      <c r="P900" s="1112" t="s">
        <v>96</v>
      </c>
      <c r="Q900" s="1112"/>
    </row>
    <row r="901">
      <c r="A901" s="1112"/>
      <c r="B901" s="1112"/>
      <c r="C901" s="1112"/>
      <c r="D901" s="1112"/>
      <c r="E901" s="1112"/>
      <c r="F901" s="1112"/>
      <c r="G901" s="1112"/>
      <c r="H901" s="1112"/>
      <c r="I901" s="1112"/>
      <c r="J901" s="1114"/>
      <c r="K901" s="1112"/>
      <c r="L901" s="1112"/>
      <c r="M901" s="1112"/>
      <c r="N901" s="1112"/>
      <c r="O901" s="1112"/>
      <c r="P901" s="1112" t="s">
        <v>96</v>
      </c>
      <c r="Q901" s="1112"/>
    </row>
    <row r="902">
      <c r="A902" s="1112"/>
      <c r="B902" s="1112"/>
      <c r="C902" s="1112"/>
      <c r="D902" s="1112"/>
      <c r="E902" s="1112"/>
      <c r="F902" s="1112"/>
      <c r="G902" s="1112"/>
      <c r="H902" s="1112"/>
      <c r="I902" s="1112"/>
      <c r="J902" s="1114"/>
      <c r="K902" s="1112"/>
      <c r="L902" s="1112"/>
      <c r="M902" s="1112"/>
      <c r="N902" s="1112"/>
      <c r="O902" s="1112"/>
      <c r="P902" s="1112" t="s">
        <v>96</v>
      </c>
      <c r="Q902" s="1112"/>
    </row>
    <row r="903">
      <c r="A903" s="1112"/>
      <c r="B903" s="1112"/>
      <c r="C903" s="1112"/>
      <c r="D903" s="1112"/>
      <c r="E903" s="1112"/>
      <c r="F903" s="1112"/>
      <c r="G903" s="1112"/>
      <c r="H903" s="1112"/>
      <c r="I903" s="1112"/>
      <c r="J903" s="1114"/>
      <c r="K903" s="1112"/>
      <c r="L903" s="1112"/>
      <c r="M903" s="1112"/>
      <c r="N903" s="1112"/>
      <c r="O903" s="1112"/>
      <c r="P903" s="1112" t="s">
        <v>96</v>
      </c>
      <c r="Q903" s="1112"/>
    </row>
    <row r="904">
      <c r="A904" s="1112"/>
      <c r="B904" s="1112"/>
      <c r="C904" s="1112"/>
      <c r="D904" s="1112"/>
      <c r="E904" s="1112"/>
      <c r="F904" s="1112"/>
      <c r="G904" s="1112"/>
      <c r="H904" s="1112"/>
      <c r="I904" s="1112"/>
      <c r="J904" s="1114"/>
      <c r="K904" s="1112"/>
      <c r="L904" s="1112"/>
      <c r="M904" s="1112"/>
      <c r="N904" s="1112"/>
      <c r="O904" s="1112"/>
      <c r="P904" s="1112" t="s">
        <v>96</v>
      </c>
      <c r="Q904" s="1112"/>
    </row>
    <row r="905">
      <c r="A905" s="1112"/>
      <c r="B905" s="1112"/>
      <c r="C905" s="1112"/>
      <c r="D905" s="1112"/>
      <c r="E905" s="1112"/>
      <c r="F905" s="1112"/>
      <c r="G905" s="1112"/>
      <c r="H905" s="1112"/>
      <c r="I905" s="1112"/>
      <c r="J905" s="1114"/>
      <c r="K905" s="1112"/>
      <c r="L905" s="1112"/>
      <c r="M905" s="1112"/>
      <c r="N905" s="1112"/>
      <c r="O905" s="1112"/>
      <c r="P905" s="1112" t="s">
        <v>96</v>
      </c>
      <c r="Q905" s="1112"/>
    </row>
    <row r="906">
      <c r="A906" s="1112"/>
      <c r="B906" s="1112"/>
      <c r="C906" s="1112"/>
      <c r="D906" s="1112"/>
      <c r="E906" s="1112"/>
      <c r="F906" s="1112"/>
      <c r="G906" s="1112"/>
      <c r="H906" s="1112"/>
      <c r="I906" s="1112"/>
      <c r="J906" s="1114"/>
      <c r="K906" s="1112"/>
      <c r="L906" s="1112"/>
      <c r="M906" s="1112"/>
      <c r="N906" s="1112"/>
      <c r="O906" s="1112"/>
      <c r="P906" s="1112" t="s">
        <v>96</v>
      </c>
      <c r="Q906" s="1112"/>
    </row>
    <row r="907">
      <c r="A907" s="1112"/>
      <c r="B907" s="1112"/>
      <c r="C907" s="1112"/>
      <c r="D907" s="1112"/>
      <c r="E907" s="1112"/>
      <c r="F907" s="1112"/>
      <c r="G907" s="1112"/>
      <c r="H907" s="1112"/>
      <c r="I907" s="1112"/>
      <c r="J907" s="1114"/>
      <c r="K907" s="1112"/>
      <c r="L907" s="1112"/>
      <c r="M907" s="1112"/>
      <c r="N907" s="1112"/>
      <c r="O907" s="1112"/>
      <c r="P907" s="1112" t="s">
        <v>96</v>
      </c>
      <c r="Q907" s="1112"/>
    </row>
    <row r="908">
      <c r="A908" s="1112"/>
      <c r="B908" s="1112"/>
      <c r="C908" s="1112"/>
      <c r="D908" s="1112"/>
      <c r="E908" s="1112"/>
      <c r="F908" s="1112"/>
      <c r="G908" s="1112"/>
      <c r="H908" s="1112"/>
      <c r="I908" s="1112"/>
      <c r="J908" s="1114"/>
      <c r="K908" s="1112"/>
      <c r="L908" s="1112"/>
      <c r="M908" s="1112"/>
      <c r="N908" s="1112"/>
      <c r="O908" s="1112"/>
      <c r="P908" s="1112" t="s">
        <v>96</v>
      </c>
      <c r="Q908" s="1112"/>
    </row>
    <row r="909">
      <c r="A909" s="1112"/>
      <c r="B909" s="1112"/>
      <c r="C909" s="1112"/>
      <c r="D909" s="1112"/>
      <c r="E909" s="1112"/>
      <c r="F909" s="1112"/>
      <c r="G909" s="1112"/>
      <c r="H909" s="1112"/>
      <c r="I909" s="1112"/>
      <c r="J909" s="1114"/>
      <c r="K909" s="1112"/>
      <c r="L909" s="1112"/>
      <c r="M909" s="1112"/>
      <c r="N909" s="1112"/>
      <c r="O909" s="1112"/>
      <c r="P909" s="1112" t="s">
        <v>96</v>
      </c>
      <c r="Q909" s="1112"/>
    </row>
    <row r="910">
      <c r="A910" s="1112"/>
      <c r="B910" s="1112"/>
      <c r="C910" s="1112"/>
      <c r="D910" s="1112"/>
      <c r="E910" s="1112"/>
      <c r="F910" s="1112"/>
      <c r="G910" s="1112"/>
      <c r="H910" s="1112"/>
      <c r="I910" s="1112"/>
      <c r="J910" s="1114"/>
      <c r="K910" s="1112"/>
      <c r="L910" s="1112"/>
      <c r="M910" s="1112"/>
      <c r="N910" s="1112"/>
      <c r="O910" s="1112"/>
      <c r="P910" s="1112" t="s">
        <v>96</v>
      </c>
      <c r="Q910" s="1112"/>
    </row>
    <row r="911">
      <c r="A911" s="1112"/>
      <c r="B911" s="1112"/>
      <c r="C911" s="1112"/>
      <c r="D911" s="1112"/>
      <c r="E911" s="1112"/>
      <c r="F911" s="1112"/>
      <c r="G911" s="1112"/>
      <c r="H911" s="1112"/>
      <c r="I911" s="1112"/>
      <c r="J911" s="1114"/>
      <c r="K911" s="1112"/>
      <c r="L911" s="1112"/>
      <c r="M911" s="1112"/>
      <c r="N911" s="1112"/>
      <c r="O911" s="1112"/>
      <c r="P911" s="1112" t="s">
        <v>96</v>
      </c>
      <c r="Q911" s="1112"/>
    </row>
    <row r="912">
      <c r="A912" s="1112"/>
      <c r="B912" s="1112"/>
      <c r="C912" s="1112"/>
      <c r="D912" s="1112"/>
      <c r="E912" s="1112"/>
      <c r="F912" s="1112"/>
      <c r="G912" s="1112"/>
      <c r="H912" s="1112"/>
      <c r="I912" s="1112"/>
      <c r="J912" s="1114"/>
      <c r="K912" s="1112"/>
      <c r="L912" s="1112"/>
      <c r="M912" s="1112"/>
      <c r="N912" s="1112"/>
      <c r="O912" s="1112"/>
      <c r="P912" s="1112" t="s">
        <v>96</v>
      </c>
      <c r="Q912" s="1112"/>
    </row>
    <row r="913">
      <c r="A913" s="1112"/>
      <c r="B913" s="1112"/>
      <c r="C913" s="1112"/>
      <c r="D913" s="1112"/>
      <c r="E913" s="1112"/>
      <c r="F913" s="1112"/>
      <c r="G913" s="1112"/>
      <c r="H913" s="1112"/>
      <c r="I913" s="1112"/>
      <c r="J913" s="1114"/>
      <c r="K913" s="1112"/>
      <c r="L913" s="1112"/>
      <c r="M913" s="1112"/>
      <c r="N913" s="1112"/>
      <c r="O913" s="1112"/>
      <c r="P913" s="1112" t="s">
        <v>96</v>
      </c>
      <c r="Q913" s="1112"/>
    </row>
    <row r="914">
      <c r="A914" s="1112"/>
      <c r="B914" s="1112"/>
      <c r="C914" s="1112"/>
      <c r="D914" s="1112"/>
      <c r="E914" s="1112"/>
      <c r="F914" s="1112"/>
      <c r="G914" s="1112"/>
      <c r="H914" s="1112"/>
      <c r="I914" s="1112"/>
      <c r="J914" s="1114"/>
      <c r="K914" s="1112"/>
      <c r="L914" s="1112"/>
      <c r="M914" s="1112"/>
      <c r="N914" s="1112"/>
      <c r="O914" s="1112"/>
      <c r="P914" s="1112" t="s">
        <v>96</v>
      </c>
      <c r="Q914" s="1112"/>
    </row>
    <row r="915">
      <c r="A915" s="1112"/>
      <c r="B915" s="1112"/>
      <c r="C915" s="1112"/>
      <c r="D915" s="1112"/>
      <c r="E915" s="1112"/>
      <c r="F915" s="1112"/>
      <c r="G915" s="1112"/>
      <c r="H915" s="1112"/>
      <c r="I915" s="1112"/>
      <c r="J915" s="1114"/>
      <c r="K915" s="1112"/>
      <c r="L915" s="1112"/>
      <c r="M915" s="1112"/>
      <c r="N915" s="1112"/>
      <c r="O915" s="1112"/>
      <c r="P915" s="1112" t="s">
        <v>96</v>
      </c>
      <c r="Q915" s="1112"/>
    </row>
    <row r="916">
      <c r="A916" s="1112"/>
      <c r="B916" s="1112"/>
      <c r="C916" s="1112"/>
      <c r="D916" s="1112"/>
      <c r="E916" s="1112"/>
      <c r="F916" s="1112"/>
      <c r="G916" s="1112"/>
      <c r="H916" s="1112"/>
      <c r="I916" s="1112"/>
      <c r="J916" s="1114"/>
      <c r="K916" s="1112"/>
      <c r="L916" s="1112"/>
      <c r="M916" s="1112"/>
      <c r="N916" s="1112"/>
      <c r="O916" s="1112"/>
      <c r="P916" s="1112" t="s">
        <v>96</v>
      </c>
      <c r="Q916" s="1112"/>
    </row>
    <row r="917">
      <c r="A917" s="1112"/>
      <c r="B917" s="1112"/>
      <c r="C917" s="1112"/>
      <c r="D917" s="1112"/>
      <c r="E917" s="1112"/>
      <c r="F917" s="1112"/>
      <c r="G917" s="1112"/>
      <c r="H917" s="1112"/>
      <c r="I917" s="1112"/>
      <c r="J917" s="1114"/>
      <c r="K917" s="1112"/>
      <c r="L917" s="1112"/>
      <c r="M917" s="1112"/>
      <c r="N917" s="1112"/>
      <c r="O917" s="1112"/>
      <c r="P917" s="1112" t="s">
        <v>96</v>
      </c>
      <c r="Q917" s="1112"/>
    </row>
    <row r="918">
      <c r="A918" s="1112"/>
      <c r="B918" s="1112"/>
      <c r="C918" s="1112"/>
      <c r="D918" s="1112"/>
      <c r="E918" s="1112"/>
      <c r="F918" s="1112"/>
      <c r="G918" s="1112"/>
      <c r="H918" s="1112"/>
      <c r="I918" s="1112"/>
      <c r="J918" s="1114"/>
      <c r="K918" s="1112"/>
      <c r="L918" s="1112"/>
      <c r="M918" s="1112"/>
      <c r="N918" s="1112"/>
      <c r="O918" s="1112"/>
      <c r="P918" s="1112" t="s">
        <v>96</v>
      </c>
      <c r="Q918" s="1112"/>
    </row>
    <row r="919">
      <c r="A919" s="1112"/>
      <c r="B919" s="1112"/>
      <c r="C919" s="1112"/>
      <c r="D919" s="1112"/>
      <c r="E919" s="1112"/>
      <c r="F919" s="1112"/>
      <c r="G919" s="1112"/>
      <c r="H919" s="1112"/>
      <c r="I919" s="1112"/>
      <c r="J919" s="1114"/>
      <c r="K919" s="1112"/>
      <c r="L919" s="1112"/>
      <c r="M919" s="1112"/>
      <c r="N919" s="1112"/>
      <c r="O919" s="1112"/>
      <c r="P919" s="1112" t="s">
        <v>96</v>
      </c>
      <c r="Q919" s="1112"/>
    </row>
    <row r="920">
      <c r="A920" s="1112"/>
      <c r="B920" s="1112"/>
      <c r="C920" s="1112"/>
      <c r="D920" s="1112"/>
      <c r="E920" s="1112"/>
      <c r="F920" s="1112"/>
      <c r="G920" s="1112"/>
      <c r="H920" s="1112"/>
      <c r="I920" s="1112"/>
      <c r="J920" s="1114"/>
      <c r="K920" s="1112"/>
      <c r="L920" s="1112"/>
      <c r="M920" s="1112"/>
      <c r="N920" s="1112"/>
      <c r="O920" s="1112"/>
      <c r="P920" s="1112" t="s">
        <v>96</v>
      </c>
      <c r="Q920" s="1112"/>
    </row>
    <row r="921">
      <c r="A921" s="1112"/>
      <c r="B921" s="1112"/>
      <c r="C921" s="1112"/>
      <c r="D921" s="1112"/>
      <c r="E921" s="1112"/>
      <c r="F921" s="1112"/>
      <c r="G921" s="1112"/>
      <c r="H921" s="1112"/>
      <c r="I921" s="1112"/>
      <c r="J921" s="1114"/>
      <c r="K921" s="1112"/>
      <c r="L921" s="1112"/>
      <c r="M921" s="1112"/>
      <c r="N921" s="1112"/>
      <c r="O921" s="1112"/>
      <c r="P921" s="1112" t="s">
        <v>96</v>
      </c>
      <c r="Q921" s="1112"/>
    </row>
    <row r="922">
      <c r="A922" s="1112"/>
      <c r="B922" s="1112"/>
      <c r="C922" s="1112"/>
      <c r="D922" s="1112"/>
      <c r="E922" s="1112"/>
      <c r="F922" s="1112"/>
      <c r="G922" s="1112"/>
      <c r="H922" s="1112"/>
      <c r="I922" s="1112"/>
      <c r="J922" s="1114"/>
      <c r="K922" s="1112"/>
      <c r="L922" s="1112"/>
      <c r="M922" s="1112"/>
      <c r="N922" s="1112"/>
      <c r="O922" s="1112"/>
      <c r="P922" s="1112" t="s">
        <v>96</v>
      </c>
      <c r="Q922" s="1112"/>
    </row>
    <row r="923">
      <c r="A923" s="1112"/>
      <c r="B923" s="1112"/>
      <c r="C923" s="1112"/>
      <c r="D923" s="1112"/>
      <c r="E923" s="1112"/>
      <c r="F923" s="1112"/>
      <c r="G923" s="1112"/>
      <c r="H923" s="1112"/>
      <c r="I923" s="1112"/>
      <c r="J923" s="1114"/>
      <c r="K923" s="1112"/>
      <c r="L923" s="1112"/>
      <c r="M923" s="1112"/>
      <c r="N923" s="1112"/>
      <c r="O923" s="1112"/>
      <c r="P923" s="1112" t="s">
        <v>96</v>
      </c>
      <c r="Q923" s="1112"/>
    </row>
    <row r="924">
      <c r="A924" s="1112"/>
      <c r="B924" s="1112"/>
      <c r="C924" s="1112"/>
      <c r="D924" s="1112"/>
      <c r="E924" s="1112"/>
      <c r="F924" s="1112"/>
      <c r="G924" s="1112"/>
      <c r="H924" s="1112"/>
      <c r="I924" s="1112"/>
      <c r="J924" s="1114"/>
      <c r="K924" s="1112"/>
      <c r="L924" s="1112"/>
      <c r="M924" s="1112"/>
      <c r="N924" s="1112"/>
      <c r="O924" s="1112"/>
      <c r="P924" s="1112" t="s">
        <v>96</v>
      </c>
      <c r="Q924" s="1112"/>
    </row>
    <row r="925">
      <c r="A925" s="1112"/>
      <c r="B925" s="1112"/>
      <c r="C925" s="1112"/>
      <c r="D925" s="1112"/>
      <c r="E925" s="1112"/>
      <c r="F925" s="1112"/>
      <c r="G925" s="1112"/>
      <c r="H925" s="1112"/>
      <c r="I925" s="1112"/>
      <c r="J925" s="1114"/>
      <c r="K925" s="1112"/>
      <c r="L925" s="1112"/>
      <c r="M925" s="1112"/>
      <c r="N925" s="1112"/>
      <c r="O925" s="1112"/>
      <c r="P925" s="1112" t="s">
        <v>96</v>
      </c>
      <c r="Q925" s="1112"/>
    </row>
    <row r="926">
      <c r="A926" s="1112"/>
      <c r="B926" s="1112"/>
      <c r="C926" s="1112"/>
      <c r="D926" s="1112"/>
      <c r="E926" s="1112"/>
      <c r="F926" s="1112"/>
      <c r="G926" s="1112"/>
      <c r="H926" s="1112"/>
      <c r="I926" s="1112"/>
      <c r="J926" s="1114"/>
      <c r="K926" s="1112"/>
      <c r="L926" s="1112"/>
      <c r="M926" s="1112"/>
      <c r="N926" s="1112"/>
      <c r="O926" s="1112"/>
      <c r="P926" s="1112" t="s">
        <v>96</v>
      </c>
      <c r="Q926" s="1112"/>
    </row>
    <row r="927">
      <c r="A927" s="1112"/>
      <c r="B927" s="1112"/>
      <c r="C927" s="1112"/>
      <c r="D927" s="1112"/>
      <c r="E927" s="1112"/>
      <c r="F927" s="1112"/>
      <c r="G927" s="1112"/>
      <c r="H927" s="1112"/>
      <c r="I927" s="1112"/>
      <c r="J927" s="1114"/>
      <c r="K927" s="1112"/>
      <c r="L927" s="1112"/>
      <c r="M927" s="1112"/>
      <c r="N927" s="1112"/>
      <c r="O927" s="1112"/>
      <c r="P927" s="1112" t="s">
        <v>96</v>
      </c>
      <c r="Q927" s="1112"/>
    </row>
    <row r="928">
      <c r="A928" s="1112"/>
      <c r="B928" s="1112"/>
      <c r="C928" s="1112"/>
      <c r="D928" s="1112"/>
      <c r="E928" s="1112"/>
      <c r="F928" s="1112"/>
      <c r="G928" s="1112"/>
      <c r="H928" s="1112"/>
      <c r="I928" s="1112"/>
      <c r="J928" s="1114"/>
      <c r="K928" s="1112"/>
      <c r="L928" s="1112"/>
      <c r="M928" s="1112"/>
      <c r="N928" s="1112"/>
      <c r="O928" s="1112"/>
      <c r="P928" s="1112" t="s">
        <v>96</v>
      </c>
      <c r="Q928" s="1112"/>
    </row>
    <row r="929">
      <c r="A929" s="1112"/>
      <c r="B929" s="1112"/>
      <c r="C929" s="1112"/>
      <c r="D929" s="1112"/>
      <c r="E929" s="1112"/>
      <c r="F929" s="1112"/>
      <c r="G929" s="1112"/>
      <c r="H929" s="1112"/>
      <c r="I929" s="1112"/>
      <c r="J929" s="1114"/>
      <c r="K929" s="1112"/>
      <c r="L929" s="1112"/>
      <c r="M929" s="1112"/>
      <c r="N929" s="1112"/>
      <c r="O929" s="1112"/>
      <c r="P929" s="1112" t="s">
        <v>96</v>
      </c>
      <c r="Q929" s="1112"/>
    </row>
    <row r="930">
      <c r="A930" s="1112"/>
      <c r="B930" s="1112"/>
      <c r="C930" s="1112"/>
      <c r="D930" s="1112"/>
      <c r="E930" s="1112"/>
      <c r="F930" s="1112"/>
      <c r="G930" s="1112"/>
      <c r="H930" s="1112"/>
      <c r="I930" s="1112"/>
      <c r="J930" s="1114"/>
      <c r="K930" s="1112"/>
      <c r="L930" s="1112"/>
      <c r="M930" s="1112"/>
      <c r="N930" s="1112"/>
      <c r="O930" s="1112"/>
      <c r="P930" s="1112" t="s">
        <v>96</v>
      </c>
      <c r="Q930" s="1112"/>
    </row>
    <row r="931">
      <c r="A931" s="1112"/>
      <c r="B931" s="1112"/>
      <c r="C931" s="1112"/>
      <c r="D931" s="1112"/>
      <c r="E931" s="1112"/>
      <c r="F931" s="1112"/>
      <c r="G931" s="1112"/>
      <c r="H931" s="1112"/>
      <c r="I931" s="1112"/>
      <c r="J931" s="1114"/>
      <c r="K931" s="1112"/>
      <c r="L931" s="1112"/>
      <c r="M931" s="1112"/>
      <c r="N931" s="1112"/>
      <c r="O931" s="1112"/>
      <c r="P931" s="1112" t="s">
        <v>96</v>
      </c>
      <c r="Q931" s="1112"/>
    </row>
    <row r="932">
      <c r="A932" s="1112"/>
      <c r="B932" s="1112"/>
      <c r="C932" s="1112"/>
      <c r="D932" s="1112"/>
      <c r="E932" s="1112"/>
      <c r="F932" s="1112"/>
      <c r="G932" s="1112"/>
      <c r="H932" s="1112"/>
      <c r="I932" s="1112"/>
      <c r="J932" s="1114"/>
      <c r="K932" s="1112"/>
      <c r="L932" s="1112"/>
      <c r="M932" s="1112"/>
      <c r="N932" s="1112"/>
      <c r="O932" s="1112"/>
      <c r="P932" s="1112" t="s">
        <v>96</v>
      </c>
      <c r="Q932" s="1112"/>
    </row>
    <row r="933">
      <c r="A933" s="1112"/>
      <c r="B933" s="1112"/>
      <c r="C933" s="1112"/>
      <c r="D933" s="1112"/>
      <c r="E933" s="1112"/>
      <c r="F933" s="1112"/>
      <c r="G933" s="1112"/>
      <c r="H933" s="1112"/>
      <c r="I933" s="1112"/>
      <c r="J933" s="1114"/>
      <c r="K933" s="1112"/>
      <c r="L933" s="1112"/>
      <c r="M933" s="1112"/>
      <c r="N933" s="1112"/>
      <c r="O933" s="1112"/>
      <c r="P933" s="1112" t="s">
        <v>96</v>
      </c>
      <c r="Q933" s="1112"/>
    </row>
    <row r="934">
      <c r="A934" s="1112"/>
      <c r="B934" s="1112"/>
      <c r="C934" s="1112"/>
      <c r="D934" s="1112"/>
      <c r="E934" s="1112"/>
      <c r="F934" s="1112"/>
      <c r="G934" s="1112"/>
      <c r="H934" s="1112"/>
      <c r="I934" s="1112"/>
      <c r="J934" s="1114"/>
      <c r="K934" s="1112"/>
      <c r="L934" s="1112"/>
      <c r="M934" s="1112"/>
      <c r="N934" s="1112"/>
      <c r="O934" s="1112"/>
      <c r="P934" s="1112" t="s">
        <v>96</v>
      </c>
      <c r="Q934" s="1112"/>
    </row>
    <row r="935">
      <c r="A935" s="1112"/>
      <c r="B935" s="1112"/>
      <c r="C935" s="1112"/>
      <c r="D935" s="1112"/>
      <c r="E935" s="1112"/>
      <c r="F935" s="1112"/>
      <c r="G935" s="1112"/>
      <c r="H935" s="1112"/>
      <c r="I935" s="1112"/>
      <c r="J935" s="1114"/>
      <c r="K935" s="1112"/>
      <c r="L935" s="1112"/>
      <c r="M935" s="1112"/>
      <c r="N935" s="1112"/>
      <c r="O935" s="1112"/>
      <c r="P935" s="1112" t="s">
        <v>96</v>
      </c>
      <c r="Q935" s="1112"/>
    </row>
    <row r="936">
      <c r="A936" s="1112"/>
      <c r="B936" s="1112"/>
      <c r="C936" s="1112"/>
      <c r="D936" s="1112"/>
      <c r="E936" s="1112"/>
      <c r="F936" s="1112"/>
      <c r="G936" s="1112"/>
      <c r="H936" s="1112"/>
      <c r="I936" s="1112"/>
      <c r="J936" s="1114"/>
      <c r="K936" s="1112"/>
      <c r="L936" s="1112"/>
      <c r="M936" s="1112"/>
      <c r="N936" s="1112"/>
      <c r="O936" s="1112"/>
      <c r="P936" s="1112" t="s">
        <v>96</v>
      </c>
      <c r="Q936" s="1112"/>
    </row>
    <row r="937">
      <c r="A937" s="1112"/>
      <c r="B937" s="1112"/>
      <c r="C937" s="1112"/>
      <c r="D937" s="1112"/>
      <c r="E937" s="1112"/>
      <c r="F937" s="1112"/>
      <c r="G937" s="1112"/>
      <c r="H937" s="1112"/>
      <c r="I937" s="1112"/>
      <c r="J937" s="1114"/>
      <c r="K937" s="1112"/>
      <c r="L937" s="1112"/>
      <c r="M937" s="1112"/>
      <c r="N937" s="1112"/>
      <c r="O937" s="1112"/>
      <c r="P937" s="1112" t="s">
        <v>96</v>
      </c>
      <c r="Q937" s="1112"/>
    </row>
    <row r="938">
      <c r="A938" s="1112"/>
      <c r="B938" s="1112"/>
      <c r="C938" s="1112"/>
      <c r="D938" s="1112"/>
      <c r="E938" s="1112"/>
      <c r="F938" s="1112"/>
      <c r="G938" s="1112"/>
      <c r="H938" s="1112"/>
      <c r="I938" s="1112"/>
      <c r="J938" s="1114"/>
      <c r="K938" s="1112"/>
      <c r="L938" s="1112"/>
      <c r="M938" s="1112"/>
      <c r="N938" s="1112"/>
      <c r="O938" s="1112"/>
      <c r="P938" s="1112" t="s">
        <v>96</v>
      </c>
      <c r="Q938" s="1112"/>
    </row>
    <row r="939">
      <c r="A939" s="1112"/>
      <c r="B939" s="1112"/>
      <c r="C939" s="1112"/>
      <c r="D939" s="1112"/>
      <c r="E939" s="1112"/>
      <c r="F939" s="1112"/>
      <c r="G939" s="1112"/>
      <c r="H939" s="1112"/>
      <c r="I939" s="1112"/>
      <c r="J939" s="1114"/>
      <c r="K939" s="1112"/>
      <c r="L939" s="1112"/>
      <c r="M939" s="1112"/>
      <c r="N939" s="1112"/>
      <c r="O939" s="1112"/>
      <c r="P939" s="1112" t="s">
        <v>96</v>
      </c>
      <c r="Q939" s="1112"/>
    </row>
    <row r="940">
      <c r="A940" s="1112"/>
      <c r="B940" s="1112"/>
      <c r="C940" s="1112"/>
      <c r="D940" s="1112"/>
      <c r="E940" s="1112"/>
      <c r="F940" s="1112"/>
      <c r="G940" s="1112"/>
      <c r="H940" s="1112"/>
      <c r="I940" s="1112"/>
      <c r="J940" s="1114"/>
      <c r="K940" s="1112"/>
      <c r="L940" s="1112"/>
      <c r="M940" s="1112"/>
      <c r="N940" s="1112"/>
      <c r="O940" s="1112"/>
      <c r="P940" s="1112" t="s">
        <v>96</v>
      </c>
      <c r="Q940" s="1112"/>
    </row>
    <row r="941">
      <c r="A941" s="1112"/>
      <c r="B941" s="1112"/>
      <c r="C941" s="1112"/>
      <c r="D941" s="1112"/>
      <c r="E941" s="1112"/>
      <c r="F941" s="1112"/>
      <c r="G941" s="1112"/>
      <c r="H941" s="1112"/>
      <c r="I941" s="1112"/>
      <c r="J941" s="1114"/>
      <c r="K941" s="1112"/>
      <c r="L941" s="1112"/>
      <c r="M941" s="1112"/>
      <c r="N941" s="1112"/>
      <c r="O941" s="1112"/>
      <c r="P941" s="1112" t="s">
        <v>96</v>
      </c>
      <c r="Q941" s="1112"/>
    </row>
    <row r="942">
      <c r="A942" s="1112"/>
      <c r="B942" s="1112"/>
      <c r="C942" s="1112"/>
      <c r="D942" s="1112"/>
      <c r="E942" s="1112"/>
      <c r="F942" s="1112"/>
      <c r="G942" s="1112"/>
      <c r="H942" s="1112"/>
      <c r="I942" s="1112"/>
      <c r="J942" s="1114"/>
      <c r="K942" s="1112"/>
      <c r="L942" s="1112"/>
      <c r="M942" s="1112"/>
      <c r="N942" s="1112"/>
      <c r="O942" s="1112"/>
      <c r="P942" s="1112" t="s">
        <v>96</v>
      </c>
      <c r="Q942" s="1112"/>
    </row>
    <row r="943">
      <c r="A943" s="1112"/>
      <c r="B943" s="1112"/>
      <c r="C943" s="1112"/>
      <c r="D943" s="1112"/>
      <c r="E943" s="1112"/>
      <c r="F943" s="1112"/>
      <c r="G943" s="1112"/>
      <c r="H943" s="1112"/>
      <c r="I943" s="1112"/>
      <c r="J943" s="1114"/>
      <c r="K943" s="1112"/>
      <c r="L943" s="1112"/>
      <c r="M943" s="1112"/>
      <c r="N943" s="1112"/>
      <c r="O943" s="1112"/>
      <c r="P943" s="1112" t="s">
        <v>96</v>
      </c>
      <c r="Q943" s="1112"/>
    </row>
    <row r="944">
      <c r="A944" s="1112"/>
      <c r="B944" s="1112"/>
      <c r="C944" s="1112"/>
      <c r="D944" s="1112"/>
      <c r="E944" s="1112"/>
      <c r="F944" s="1112"/>
      <c r="G944" s="1112"/>
      <c r="H944" s="1112"/>
      <c r="I944" s="1112"/>
      <c r="J944" s="1114"/>
      <c r="K944" s="1112"/>
      <c r="L944" s="1112"/>
      <c r="M944" s="1112"/>
      <c r="N944" s="1112"/>
      <c r="O944" s="1112"/>
      <c r="P944" s="1112" t="s">
        <v>96</v>
      </c>
      <c r="Q944" s="1112"/>
    </row>
    <row r="945">
      <c r="A945" s="1112"/>
      <c r="B945" s="1112"/>
      <c r="C945" s="1112"/>
      <c r="D945" s="1112"/>
      <c r="E945" s="1112"/>
      <c r="F945" s="1112"/>
      <c r="G945" s="1112"/>
      <c r="H945" s="1112"/>
      <c r="I945" s="1112"/>
      <c r="J945" s="1114"/>
      <c r="K945" s="1112"/>
      <c r="L945" s="1112"/>
      <c r="M945" s="1112"/>
      <c r="N945" s="1112"/>
      <c r="O945" s="1112"/>
      <c r="P945" s="1112" t="s">
        <v>96</v>
      </c>
      <c r="Q945" s="1112"/>
    </row>
    <row r="946">
      <c r="A946" s="1112"/>
      <c r="B946" s="1112"/>
      <c r="C946" s="1112"/>
      <c r="D946" s="1112"/>
      <c r="E946" s="1112"/>
      <c r="F946" s="1112"/>
      <c r="G946" s="1112"/>
      <c r="H946" s="1112"/>
      <c r="I946" s="1112"/>
      <c r="J946" s="1114"/>
      <c r="K946" s="1112"/>
      <c r="L946" s="1112"/>
      <c r="M946" s="1112"/>
      <c r="N946" s="1112"/>
      <c r="O946" s="1112"/>
      <c r="P946" s="1112" t="s">
        <v>96</v>
      </c>
      <c r="Q946" s="1112"/>
    </row>
    <row r="947">
      <c r="A947" s="1112"/>
      <c r="B947" s="1112"/>
      <c r="C947" s="1112"/>
      <c r="D947" s="1112"/>
      <c r="E947" s="1112"/>
      <c r="F947" s="1112"/>
      <c r="G947" s="1112"/>
      <c r="H947" s="1112"/>
      <c r="I947" s="1112"/>
      <c r="J947" s="1114"/>
      <c r="K947" s="1112"/>
      <c r="L947" s="1112"/>
      <c r="M947" s="1112"/>
      <c r="N947" s="1112"/>
      <c r="O947" s="1112"/>
      <c r="P947" s="1112" t="s">
        <v>96</v>
      </c>
      <c r="Q947" s="1112"/>
    </row>
    <row r="948">
      <c r="A948" s="1112"/>
      <c r="B948" s="1112"/>
      <c r="C948" s="1112"/>
      <c r="D948" s="1112"/>
      <c r="E948" s="1112"/>
      <c r="F948" s="1112"/>
      <c r="G948" s="1112"/>
      <c r="H948" s="1112"/>
      <c r="I948" s="1112"/>
      <c r="J948" s="1114"/>
      <c r="K948" s="1112"/>
      <c r="L948" s="1112"/>
      <c r="M948" s="1112"/>
      <c r="N948" s="1112"/>
      <c r="O948" s="1112"/>
      <c r="P948" s="1112" t="s">
        <v>96</v>
      </c>
      <c r="Q948" s="1112"/>
    </row>
    <row r="949">
      <c r="A949" s="1112"/>
      <c r="B949" s="1112"/>
      <c r="C949" s="1112"/>
      <c r="D949" s="1112"/>
      <c r="E949" s="1112"/>
      <c r="F949" s="1112"/>
      <c r="G949" s="1112"/>
      <c r="H949" s="1112"/>
      <c r="I949" s="1112"/>
      <c r="J949" s="1114"/>
      <c r="K949" s="1112"/>
      <c r="L949" s="1112"/>
      <c r="M949" s="1112"/>
      <c r="N949" s="1112"/>
      <c r="O949" s="1112"/>
      <c r="P949" s="1112" t="s">
        <v>96</v>
      </c>
      <c r="Q949" s="1112"/>
    </row>
    <row r="950">
      <c r="A950" s="1112"/>
      <c r="B950" s="1112"/>
      <c r="C950" s="1112"/>
      <c r="D950" s="1112"/>
      <c r="E950" s="1112"/>
      <c r="F950" s="1112"/>
      <c r="G950" s="1112"/>
      <c r="H950" s="1112"/>
      <c r="I950" s="1112"/>
      <c r="J950" s="1114"/>
      <c r="K950" s="1112"/>
      <c r="L950" s="1112"/>
      <c r="M950" s="1112"/>
      <c r="N950" s="1112"/>
      <c r="O950" s="1112"/>
      <c r="P950" s="1112" t="s">
        <v>96</v>
      </c>
      <c r="Q950" s="1112"/>
    </row>
    <row r="951">
      <c r="A951" s="1112"/>
      <c r="B951" s="1112"/>
      <c r="C951" s="1112"/>
      <c r="D951" s="1112"/>
      <c r="E951" s="1112"/>
      <c r="F951" s="1112"/>
      <c r="G951" s="1112"/>
      <c r="H951" s="1112"/>
      <c r="I951" s="1112"/>
      <c r="J951" s="1114"/>
      <c r="K951" s="1112"/>
      <c r="L951" s="1112"/>
      <c r="M951" s="1112"/>
      <c r="N951" s="1112"/>
      <c r="O951" s="1112"/>
      <c r="P951" s="1112" t="s">
        <v>96</v>
      </c>
      <c r="Q951" s="1112"/>
    </row>
    <row r="952">
      <c r="A952" s="1112"/>
      <c r="B952" s="1112"/>
      <c r="C952" s="1112"/>
      <c r="D952" s="1112"/>
      <c r="E952" s="1112"/>
      <c r="F952" s="1112"/>
      <c r="G952" s="1112"/>
      <c r="H952" s="1112"/>
      <c r="I952" s="1112"/>
      <c r="J952" s="1114"/>
      <c r="K952" s="1112"/>
      <c r="L952" s="1112"/>
      <c r="M952" s="1112"/>
      <c r="N952" s="1112"/>
      <c r="O952" s="1112"/>
      <c r="P952" s="1112" t="s">
        <v>96</v>
      </c>
      <c r="Q952" s="1112"/>
    </row>
    <row r="953">
      <c r="A953" s="1112"/>
      <c r="B953" s="1112"/>
      <c r="C953" s="1112"/>
      <c r="D953" s="1112"/>
      <c r="E953" s="1112"/>
      <c r="F953" s="1112"/>
      <c r="G953" s="1112"/>
      <c r="H953" s="1112"/>
      <c r="I953" s="1112"/>
      <c r="J953" s="1114"/>
      <c r="K953" s="1112"/>
      <c r="L953" s="1112"/>
      <c r="M953" s="1112"/>
      <c r="N953" s="1112"/>
      <c r="O953" s="1112"/>
      <c r="P953" s="1112" t="s">
        <v>96</v>
      </c>
      <c r="Q953" s="1112"/>
    </row>
    <row r="954">
      <c r="A954" s="1112"/>
      <c r="B954" s="1112"/>
      <c r="C954" s="1112"/>
      <c r="D954" s="1112"/>
      <c r="E954" s="1112"/>
      <c r="F954" s="1112"/>
      <c r="G954" s="1112"/>
      <c r="H954" s="1112"/>
      <c r="I954" s="1112"/>
      <c r="J954" s="1114"/>
      <c r="K954" s="1112"/>
      <c r="L954" s="1112"/>
      <c r="M954" s="1112"/>
      <c r="N954" s="1112"/>
      <c r="O954" s="1112"/>
      <c r="P954" s="1112" t="s">
        <v>96</v>
      </c>
      <c r="Q954" s="1112"/>
    </row>
    <row r="955">
      <c r="A955" s="1112"/>
      <c r="B955" s="1112"/>
      <c r="C955" s="1112"/>
      <c r="D955" s="1112"/>
      <c r="E955" s="1112"/>
      <c r="F955" s="1112"/>
      <c r="G955" s="1112"/>
      <c r="H955" s="1112"/>
      <c r="I955" s="1112"/>
      <c r="J955" s="1114"/>
      <c r="K955" s="1112"/>
      <c r="L955" s="1112"/>
      <c r="M955" s="1112"/>
      <c r="N955" s="1112"/>
      <c r="O955" s="1112"/>
      <c r="P955" s="1112" t="s">
        <v>96</v>
      </c>
      <c r="Q955" s="1112"/>
    </row>
    <row r="956">
      <c r="A956" s="1112"/>
      <c r="B956" s="1112"/>
      <c r="C956" s="1112"/>
      <c r="D956" s="1112"/>
      <c r="E956" s="1112"/>
      <c r="F956" s="1112"/>
      <c r="G956" s="1112"/>
      <c r="H956" s="1112"/>
      <c r="I956" s="1112"/>
      <c r="J956" s="1114"/>
      <c r="K956" s="1112"/>
      <c r="L956" s="1112"/>
      <c r="M956" s="1112"/>
      <c r="N956" s="1112"/>
      <c r="O956" s="1112"/>
      <c r="P956" s="1112" t="s">
        <v>96</v>
      </c>
      <c r="Q956" s="1112"/>
    </row>
    <row r="957">
      <c r="A957" s="1112"/>
      <c r="B957" s="1112"/>
      <c r="C957" s="1112"/>
      <c r="D957" s="1112"/>
      <c r="E957" s="1112"/>
      <c r="F957" s="1112"/>
      <c r="G957" s="1112"/>
      <c r="H957" s="1112"/>
      <c r="I957" s="1112"/>
      <c r="J957" s="1114"/>
      <c r="K957" s="1112"/>
      <c r="L957" s="1112"/>
      <c r="M957" s="1112"/>
      <c r="N957" s="1112"/>
      <c r="O957" s="1112"/>
      <c r="P957" s="1112" t="s">
        <v>96</v>
      </c>
      <c r="Q957" s="1112"/>
    </row>
    <row r="958">
      <c r="A958" s="1112"/>
      <c r="B958" s="1112"/>
      <c r="C958" s="1112"/>
      <c r="D958" s="1112"/>
      <c r="E958" s="1112"/>
      <c r="F958" s="1112"/>
      <c r="G958" s="1112"/>
      <c r="H958" s="1112"/>
      <c r="I958" s="1112"/>
      <c r="J958" s="1114"/>
      <c r="K958" s="1112"/>
      <c r="L958" s="1112"/>
      <c r="M958" s="1112"/>
      <c r="N958" s="1112"/>
      <c r="O958" s="1112"/>
      <c r="P958" s="1112" t="s">
        <v>96</v>
      </c>
      <c r="Q958" s="1112"/>
    </row>
    <row r="959">
      <c r="A959" s="1112"/>
      <c r="B959" s="1112"/>
      <c r="C959" s="1112"/>
      <c r="D959" s="1112"/>
      <c r="E959" s="1112"/>
      <c r="F959" s="1112"/>
      <c r="G959" s="1112"/>
      <c r="H959" s="1112"/>
      <c r="I959" s="1112"/>
      <c r="J959" s="1114"/>
      <c r="K959" s="1112"/>
      <c r="L959" s="1112"/>
      <c r="M959" s="1112"/>
      <c r="N959" s="1112"/>
      <c r="O959" s="1112"/>
      <c r="P959" s="1112" t="s">
        <v>96</v>
      </c>
      <c r="Q959" s="1112"/>
    </row>
    <row r="960">
      <c r="A960" s="1112"/>
      <c r="B960" s="1112"/>
      <c r="C960" s="1112"/>
      <c r="D960" s="1112"/>
      <c r="E960" s="1112"/>
      <c r="F960" s="1112"/>
      <c r="G960" s="1112"/>
      <c r="H960" s="1112"/>
      <c r="I960" s="1112"/>
      <c r="J960" s="1114"/>
      <c r="K960" s="1112"/>
      <c r="L960" s="1112"/>
      <c r="M960" s="1112"/>
      <c r="N960" s="1112"/>
      <c r="O960" s="1112"/>
      <c r="P960" s="1112" t="s">
        <v>96</v>
      </c>
      <c r="Q960" s="1112"/>
    </row>
    <row r="961">
      <c r="A961" s="1112"/>
      <c r="B961" s="1112"/>
      <c r="C961" s="1112"/>
      <c r="D961" s="1112"/>
      <c r="E961" s="1112"/>
      <c r="F961" s="1112"/>
      <c r="G961" s="1112"/>
      <c r="H961" s="1112"/>
      <c r="I961" s="1112"/>
      <c r="J961" s="1114"/>
      <c r="K961" s="1112"/>
      <c r="L961" s="1112"/>
      <c r="M961" s="1112"/>
      <c r="N961" s="1112"/>
      <c r="O961" s="1112"/>
      <c r="P961" s="1112" t="s">
        <v>96</v>
      </c>
      <c r="Q961" s="1112"/>
    </row>
    <row r="962">
      <c r="A962" s="1112"/>
      <c r="B962" s="1112"/>
      <c r="C962" s="1112"/>
      <c r="D962" s="1112"/>
      <c r="E962" s="1112"/>
      <c r="F962" s="1112"/>
      <c r="G962" s="1112"/>
      <c r="H962" s="1112"/>
      <c r="I962" s="1112"/>
      <c r="J962" s="1114"/>
      <c r="K962" s="1112"/>
      <c r="L962" s="1112"/>
      <c r="M962" s="1112"/>
      <c r="N962" s="1112"/>
      <c r="O962" s="1112"/>
      <c r="P962" s="1112" t="s">
        <v>96</v>
      </c>
      <c r="Q962" s="1112"/>
    </row>
    <row r="963">
      <c r="A963" s="1112"/>
      <c r="B963" s="1112"/>
      <c r="C963" s="1112"/>
      <c r="D963" s="1112"/>
      <c r="E963" s="1112"/>
      <c r="F963" s="1112"/>
      <c r="G963" s="1112"/>
      <c r="H963" s="1112"/>
      <c r="I963" s="1112"/>
      <c r="J963" s="1114"/>
      <c r="K963" s="1112"/>
      <c r="L963" s="1112"/>
      <c r="M963" s="1112"/>
      <c r="N963" s="1112"/>
      <c r="O963" s="1112"/>
      <c r="P963" s="1112" t="s">
        <v>96</v>
      </c>
      <c r="Q963" s="1112"/>
    </row>
    <row r="964">
      <c r="A964" s="1112"/>
      <c r="B964" s="1112"/>
      <c r="C964" s="1112"/>
      <c r="D964" s="1112"/>
      <c r="E964" s="1112"/>
      <c r="F964" s="1112"/>
      <c r="G964" s="1112"/>
      <c r="H964" s="1112"/>
      <c r="I964" s="1112"/>
      <c r="J964" s="1114"/>
      <c r="K964" s="1112"/>
      <c r="L964" s="1112"/>
      <c r="M964" s="1112"/>
      <c r="N964" s="1112"/>
      <c r="O964" s="1112"/>
      <c r="P964" s="1112" t="s">
        <v>96</v>
      </c>
      <c r="Q964" s="1112"/>
    </row>
    <row r="965">
      <c r="A965" s="1112"/>
      <c r="B965" s="1112"/>
      <c r="C965" s="1112"/>
      <c r="D965" s="1112"/>
      <c r="E965" s="1112"/>
      <c r="F965" s="1112"/>
      <c r="G965" s="1112"/>
      <c r="H965" s="1112"/>
      <c r="I965" s="1112"/>
      <c r="J965" s="1114"/>
      <c r="K965" s="1112"/>
      <c r="L965" s="1112"/>
      <c r="M965" s="1112"/>
      <c r="N965" s="1112"/>
      <c r="O965" s="1112"/>
      <c r="P965" s="1112" t="s">
        <v>96</v>
      </c>
      <c r="Q965" s="1112"/>
    </row>
    <row r="966">
      <c r="A966" s="1112"/>
      <c r="B966" s="1112"/>
      <c r="C966" s="1112"/>
      <c r="D966" s="1112"/>
      <c r="E966" s="1112"/>
      <c r="F966" s="1112"/>
      <c r="G966" s="1112"/>
      <c r="H966" s="1112"/>
      <c r="I966" s="1112"/>
      <c r="J966" s="1114"/>
      <c r="K966" s="1112"/>
      <c r="L966" s="1112"/>
      <c r="M966" s="1112"/>
      <c r="N966" s="1112"/>
      <c r="O966" s="1112"/>
      <c r="P966" s="1112" t="s">
        <v>96</v>
      </c>
      <c r="Q966" s="1112"/>
    </row>
    <row r="967">
      <c r="A967" s="1112"/>
      <c r="B967" s="1112"/>
      <c r="C967" s="1112"/>
      <c r="D967" s="1112"/>
      <c r="E967" s="1112"/>
      <c r="F967" s="1112"/>
      <c r="G967" s="1112"/>
      <c r="H967" s="1112"/>
      <c r="I967" s="1112"/>
      <c r="J967" s="1114"/>
      <c r="K967" s="1112"/>
      <c r="L967" s="1112"/>
      <c r="M967" s="1112"/>
      <c r="N967" s="1112"/>
      <c r="O967" s="1112"/>
      <c r="P967" s="1112" t="s">
        <v>96</v>
      </c>
      <c r="Q967" s="1112"/>
    </row>
    <row r="968">
      <c r="A968" s="1112"/>
      <c r="B968" s="1112"/>
      <c r="C968" s="1112"/>
      <c r="D968" s="1112"/>
      <c r="E968" s="1112"/>
      <c r="F968" s="1112"/>
      <c r="G968" s="1112"/>
      <c r="H968" s="1112"/>
      <c r="I968" s="1112"/>
      <c r="J968" s="1114"/>
      <c r="K968" s="1112"/>
      <c r="L968" s="1112"/>
      <c r="M968" s="1112"/>
      <c r="N968" s="1112"/>
      <c r="O968" s="1112"/>
      <c r="P968" s="1112" t="s">
        <v>96</v>
      </c>
      <c r="Q968" s="1112"/>
    </row>
    <row r="969">
      <c r="A969" s="1112"/>
      <c r="B969" s="1112"/>
      <c r="C969" s="1112"/>
      <c r="D969" s="1112"/>
      <c r="E969" s="1112"/>
      <c r="F969" s="1112"/>
      <c r="G969" s="1112"/>
      <c r="H969" s="1112"/>
      <c r="I969" s="1112"/>
      <c r="J969" s="1114"/>
      <c r="K969" s="1112"/>
      <c r="L969" s="1112"/>
      <c r="M969" s="1112"/>
      <c r="N969" s="1112"/>
      <c r="O969" s="1112"/>
      <c r="P969" s="1112" t="s">
        <v>96</v>
      </c>
      <c r="Q969" s="1112"/>
    </row>
    <row r="970">
      <c r="A970" s="1112"/>
      <c r="B970" s="1112"/>
      <c r="C970" s="1112"/>
      <c r="D970" s="1112"/>
      <c r="E970" s="1112"/>
      <c r="F970" s="1112"/>
      <c r="G970" s="1112"/>
      <c r="H970" s="1112"/>
      <c r="I970" s="1112"/>
      <c r="J970" s="1114"/>
      <c r="K970" s="1112"/>
      <c r="L970" s="1112"/>
      <c r="M970" s="1112"/>
      <c r="N970" s="1112"/>
      <c r="O970" s="1112"/>
      <c r="P970" s="1112" t="s">
        <v>96</v>
      </c>
      <c r="Q970" s="1112"/>
    </row>
    <row r="971">
      <c r="A971" s="1112"/>
      <c r="B971" s="1112"/>
      <c r="C971" s="1112"/>
      <c r="D971" s="1112"/>
      <c r="E971" s="1112"/>
      <c r="F971" s="1112"/>
      <c r="G971" s="1112"/>
      <c r="H971" s="1112"/>
      <c r="I971" s="1112"/>
      <c r="J971" s="1114"/>
      <c r="K971" s="1112"/>
      <c r="L971" s="1112"/>
      <c r="M971" s="1112"/>
      <c r="N971" s="1112"/>
      <c r="O971" s="1112"/>
      <c r="P971" s="1112" t="s">
        <v>96</v>
      </c>
      <c r="Q971" s="1112"/>
    </row>
    <row r="972">
      <c r="A972" s="1112"/>
      <c r="B972" s="1112"/>
      <c r="C972" s="1112"/>
      <c r="D972" s="1112"/>
      <c r="E972" s="1112"/>
      <c r="F972" s="1112"/>
      <c r="G972" s="1112"/>
      <c r="H972" s="1112"/>
      <c r="I972" s="1112"/>
      <c r="J972" s="1114"/>
      <c r="K972" s="1112"/>
      <c r="L972" s="1112"/>
      <c r="M972" s="1112"/>
      <c r="N972" s="1112"/>
      <c r="O972" s="1112"/>
      <c r="P972" s="1112" t="s">
        <v>96</v>
      </c>
      <c r="Q972" s="1112"/>
    </row>
    <row r="973">
      <c r="A973" s="1112"/>
      <c r="B973" s="1112"/>
      <c r="C973" s="1112"/>
      <c r="D973" s="1112"/>
      <c r="E973" s="1112"/>
      <c r="F973" s="1112"/>
      <c r="G973" s="1112"/>
      <c r="H973" s="1112"/>
      <c r="I973" s="1112"/>
      <c r="J973" s="1114"/>
      <c r="K973" s="1112"/>
      <c r="L973" s="1112"/>
      <c r="M973" s="1112"/>
      <c r="N973" s="1112"/>
      <c r="O973" s="1112"/>
      <c r="P973" s="1112" t="s">
        <v>96</v>
      </c>
      <c r="Q973" s="1112"/>
    </row>
    <row r="974">
      <c r="A974" s="1112"/>
      <c r="B974" s="1112"/>
      <c r="C974" s="1112"/>
      <c r="D974" s="1112"/>
      <c r="E974" s="1112"/>
      <c r="F974" s="1112"/>
      <c r="G974" s="1112"/>
      <c r="H974" s="1112"/>
      <c r="I974" s="1112"/>
      <c r="J974" s="1114"/>
      <c r="K974" s="1112"/>
      <c r="L974" s="1112"/>
      <c r="M974" s="1112"/>
      <c r="N974" s="1112"/>
      <c r="O974" s="1112"/>
      <c r="P974" s="1112" t="s">
        <v>96</v>
      </c>
      <c r="Q974" s="1112"/>
    </row>
    <row r="975">
      <c r="A975" s="1112"/>
      <c r="B975" s="1112"/>
      <c r="C975" s="1112"/>
      <c r="D975" s="1112"/>
      <c r="E975" s="1112"/>
      <c r="F975" s="1112"/>
      <c r="G975" s="1112"/>
      <c r="H975" s="1112"/>
      <c r="I975" s="1112"/>
      <c r="J975" s="1114"/>
      <c r="K975" s="1112"/>
      <c r="L975" s="1112"/>
      <c r="M975" s="1112"/>
      <c r="N975" s="1112"/>
      <c r="O975" s="1112"/>
      <c r="P975" s="1112" t="s">
        <v>96</v>
      </c>
      <c r="Q975" s="1112"/>
    </row>
    <row r="976">
      <c r="A976" s="1112"/>
      <c r="B976" s="1112"/>
      <c r="C976" s="1112"/>
      <c r="D976" s="1112"/>
      <c r="E976" s="1112"/>
      <c r="F976" s="1112"/>
      <c r="G976" s="1112"/>
      <c r="H976" s="1112"/>
      <c r="I976" s="1112"/>
      <c r="J976" s="1114"/>
      <c r="K976" s="1112"/>
      <c r="L976" s="1112"/>
      <c r="M976" s="1112"/>
      <c r="N976" s="1112"/>
      <c r="O976" s="1112"/>
      <c r="P976" s="1112" t="s">
        <v>96</v>
      </c>
      <c r="Q976" s="1112"/>
    </row>
    <row r="977">
      <c r="A977" s="1112"/>
      <c r="B977" s="1112"/>
      <c r="C977" s="1112"/>
      <c r="D977" s="1112"/>
      <c r="E977" s="1112"/>
      <c r="F977" s="1112"/>
      <c r="G977" s="1112"/>
      <c r="H977" s="1112"/>
      <c r="I977" s="1112"/>
      <c r="J977" s="1114"/>
      <c r="K977" s="1112"/>
      <c r="L977" s="1112"/>
      <c r="M977" s="1112"/>
      <c r="N977" s="1112"/>
      <c r="O977" s="1112"/>
      <c r="P977" s="1112" t="s">
        <v>96</v>
      </c>
      <c r="Q977" s="1112"/>
    </row>
    <row r="978">
      <c r="A978" s="1112"/>
      <c r="B978" s="1112"/>
      <c r="C978" s="1112"/>
      <c r="D978" s="1112"/>
      <c r="E978" s="1112"/>
      <c r="F978" s="1112"/>
      <c r="G978" s="1112"/>
      <c r="H978" s="1112"/>
      <c r="I978" s="1112"/>
      <c r="J978" s="1114"/>
      <c r="K978" s="1112"/>
      <c r="L978" s="1112"/>
      <c r="M978" s="1112"/>
      <c r="N978" s="1112"/>
      <c r="O978" s="1112"/>
      <c r="P978" s="1112" t="s">
        <v>96</v>
      </c>
      <c r="Q978" s="1112"/>
    </row>
    <row r="979">
      <c r="A979" s="1112"/>
      <c r="B979" s="1112"/>
      <c r="C979" s="1112"/>
      <c r="D979" s="1112"/>
      <c r="E979" s="1112"/>
      <c r="F979" s="1112"/>
      <c r="G979" s="1112"/>
      <c r="H979" s="1112"/>
      <c r="I979" s="1112"/>
      <c r="J979" s="1114"/>
      <c r="K979" s="1112"/>
      <c r="L979" s="1112"/>
      <c r="M979" s="1112"/>
      <c r="N979" s="1112"/>
      <c r="O979" s="1112"/>
      <c r="P979" s="1112" t="s">
        <v>96</v>
      </c>
      <c r="Q979" s="1112"/>
    </row>
    <row r="980">
      <c r="A980" s="1112"/>
      <c r="B980" s="1112"/>
      <c r="C980" s="1112"/>
      <c r="D980" s="1112"/>
      <c r="E980" s="1112"/>
      <c r="F980" s="1112"/>
      <c r="G980" s="1112"/>
      <c r="H980" s="1112"/>
      <c r="I980" s="1112"/>
      <c r="J980" s="1114"/>
      <c r="K980" s="1112"/>
      <c r="L980" s="1112"/>
      <c r="M980" s="1112"/>
      <c r="N980" s="1112"/>
      <c r="O980" s="1112"/>
      <c r="P980" s="1112" t="s">
        <v>96</v>
      </c>
      <c r="Q980" s="1112"/>
    </row>
    <row r="981">
      <c r="A981" s="1112"/>
      <c r="B981" s="1112"/>
      <c r="C981" s="1112"/>
      <c r="D981" s="1112"/>
      <c r="E981" s="1112"/>
      <c r="F981" s="1112"/>
      <c r="G981" s="1112"/>
      <c r="H981" s="1112"/>
      <c r="I981" s="1112"/>
      <c r="J981" s="1114"/>
      <c r="K981" s="1112"/>
      <c r="L981" s="1112"/>
      <c r="M981" s="1112"/>
      <c r="N981" s="1112"/>
      <c r="O981" s="1112"/>
      <c r="P981" s="1112" t="s">
        <v>96</v>
      </c>
      <c r="Q981" s="1112"/>
    </row>
    <row r="982">
      <c r="A982" s="1112"/>
      <c r="B982" s="1112"/>
      <c r="C982" s="1112"/>
      <c r="D982" s="1112"/>
      <c r="E982" s="1112"/>
      <c r="F982" s="1112"/>
      <c r="G982" s="1112"/>
      <c r="H982" s="1112"/>
      <c r="I982" s="1112"/>
      <c r="J982" s="1114"/>
      <c r="K982" s="1112"/>
      <c r="L982" s="1112"/>
      <c r="M982" s="1112"/>
      <c r="N982" s="1112"/>
      <c r="O982" s="1112"/>
      <c r="P982" s="1112" t="s">
        <v>96</v>
      </c>
      <c r="Q982" s="1112"/>
    </row>
    <row r="983">
      <c r="A983" s="1112"/>
      <c r="B983" s="1112"/>
      <c r="C983" s="1112"/>
      <c r="D983" s="1112"/>
      <c r="E983" s="1112"/>
      <c r="F983" s="1112"/>
      <c r="G983" s="1112"/>
      <c r="H983" s="1112"/>
      <c r="I983" s="1112"/>
      <c r="J983" s="1114"/>
      <c r="K983" s="1112"/>
      <c r="L983" s="1112"/>
      <c r="M983" s="1112"/>
      <c r="N983" s="1112"/>
      <c r="O983" s="1112"/>
      <c r="P983" s="1112" t="s">
        <v>96</v>
      </c>
      <c r="Q983" s="1112"/>
    </row>
    <row r="984">
      <c r="A984" s="1112"/>
      <c r="B984" s="1112"/>
      <c r="C984" s="1112"/>
      <c r="D984" s="1112"/>
      <c r="E984" s="1112"/>
      <c r="F984" s="1112"/>
      <c r="G984" s="1112"/>
      <c r="H984" s="1112"/>
      <c r="I984" s="1112"/>
      <c r="J984" s="1114"/>
      <c r="K984" s="1112"/>
      <c r="L984" s="1112"/>
      <c r="M984" s="1112"/>
      <c r="N984" s="1112"/>
      <c r="O984" s="1112"/>
      <c r="P984" s="1112" t="s">
        <v>96</v>
      </c>
      <c r="Q984" s="1112"/>
    </row>
    <row r="985">
      <c r="A985" s="1112"/>
      <c r="B985" s="1112"/>
      <c r="C985" s="1112"/>
      <c r="D985" s="1112"/>
      <c r="E985" s="1112"/>
      <c r="F985" s="1112"/>
      <c r="G985" s="1112"/>
      <c r="H985" s="1112"/>
      <c r="I985" s="1112"/>
      <c r="J985" s="1114"/>
      <c r="K985" s="1112"/>
      <c r="L985" s="1112"/>
      <c r="M985" s="1112"/>
      <c r="N985" s="1112"/>
      <c r="O985" s="1112"/>
      <c r="P985" s="1112" t="s">
        <v>96</v>
      </c>
      <c r="Q985" s="1112"/>
    </row>
    <row r="986">
      <c r="A986" s="1112"/>
      <c r="B986" s="1112"/>
      <c r="C986" s="1112"/>
      <c r="D986" s="1112"/>
      <c r="E986" s="1112"/>
      <c r="F986" s="1112"/>
      <c r="G986" s="1112"/>
      <c r="H986" s="1112"/>
      <c r="I986" s="1112"/>
      <c r="J986" s="1114"/>
      <c r="K986" s="1112"/>
      <c r="L986" s="1112"/>
      <c r="M986" s="1112"/>
      <c r="N986" s="1112"/>
      <c r="O986" s="1112"/>
      <c r="P986" s="1112" t="s">
        <v>96</v>
      </c>
      <c r="Q986" s="1112"/>
    </row>
    <row r="987">
      <c r="A987" s="1112"/>
      <c r="B987" s="1112"/>
      <c r="C987" s="1112"/>
      <c r="D987" s="1112"/>
      <c r="E987" s="1112"/>
      <c r="F987" s="1112"/>
      <c r="G987" s="1112"/>
      <c r="H987" s="1112"/>
      <c r="I987" s="1112"/>
      <c r="J987" s="1114"/>
      <c r="K987" s="1112"/>
      <c r="L987" s="1112"/>
      <c r="M987" s="1112"/>
      <c r="N987" s="1112"/>
      <c r="O987" s="1112"/>
      <c r="P987" s="1112" t="s">
        <v>96</v>
      </c>
      <c r="Q987" s="1112"/>
    </row>
    <row r="988">
      <c r="A988" s="1112"/>
      <c r="B988" s="1112"/>
      <c r="C988" s="1112"/>
      <c r="D988" s="1112"/>
      <c r="E988" s="1112"/>
      <c r="F988" s="1112"/>
      <c r="G988" s="1112"/>
      <c r="H988" s="1112"/>
      <c r="I988" s="1112"/>
      <c r="J988" s="1114"/>
      <c r="K988" s="1112"/>
      <c r="L988" s="1112"/>
      <c r="M988" s="1112"/>
      <c r="N988" s="1112"/>
      <c r="O988" s="1112"/>
      <c r="P988" s="1112" t="s">
        <v>96</v>
      </c>
      <c r="Q988" s="1112"/>
    </row>
    <row r="989">
      <c r="A989" s="1112"/>
      <c r="B989" s="1112"/>
      <c r="C989" s="1112"/>
      <c r="D989" s="1112"/>
      <c r="E989" s="1112"/>
      <c r="F989" s="1112"/>
      <c r="G989" s="1112"/>
      <c r="H989" s="1112"/>
      <c r="I989" s="1112"/>
      <c r="J989" s="1114"/>
      <c r="K989" s="1112"/>
      <c r="L989" s="1112"/>
      <c r="M989" s="1112"/>
      <c r="N989" s="1112"/>
      <c r="O989" s="1112"/>
      <c r="P989" s="1112" t="s">
        <v>96</v>
      </c>
      <c r="Q989" s="1112"/>
    </row>
    <row r="990">
      <c r="A990" s="1112"/>
      <c r="B990" s="1112"/>
      <c r="C990" s="1112"/>
      <c r="D990" s="1112"/>
      <c r="E990" s="1112"/>
      <c r="F990" s="1112"/>
      <c r="G990" s="1112"/>
      <c r="H990" s="1112"/>
      <c r="I990" s="1112"/>
      <c r="J990" s="1114"/>
      <c r="K990" s="1112"/>
      <c r="L990" s="1112"/>
      <c r="M990" s="1112"/>
      <c r="N990" s="1112"/>
      <c r="O990" s="1112"/>
      <c r="P990" s="1112" t="s">
        <v>96</v>
      </c>
      <c r="Q990" s="1112"/>
    </row>
    <row r="991">
      <c r="A991" s="1112"/>
      <c r="B991" s="1112"/>
      <c r="C991" s="1112"/>
      <c r="D991" s="1112"/>
      <c r="E991" s="1112"/>
      <c r="F991" s="1112"/>
      <c r="G991" s="1112"/>
      <c r="H991" s="1112"/>
      <c r="I991" s="1112"/>
      <c r="J991" s="1114"/>
      <c r="K991" s="1112"/>
      <c r="L991" s="1112"/>
      <c r="M991" s="1112"/>
      <c r="N991" s="1112"/>
      <c r="O991" s="1112"/>
      <c r="P991" s="1112" t="s">
        <v>96</v>
      </c>
      <c r="Q991" s="1112"/>
    </row>
    <row r="992">
      <c r="A992" s="1112"/>
      <c r="B992" s="1112"/>
      <c r="C992" s="1112"/>
      <c r="D992" s="1112"/>
      <c r="E992" s="1112"/>
      <c r="F992" s="1112"/>
      <c r="G992" s="1112"/>
      <c r="H992" s="1112"/>
      <c r="I992" s="1112"/>
      <c r="J992" s="1114"/>
      <c r="K992" s="1112"/>
      <c r="L992" s="1112"/>
      <c r="M992" s="1112"/>
      <c r="N992" s="1112"/>
      <c r="O992" s="1112"/>
      <c r="P992" s="1112" t="s">
        <v>96</v>
      </c>
      <c r="Q992" s="1112"/>
    </row>
    <row r="993">
      <c r="A993" s="1112"/>
      <c r="B993" s="1112"/>
      <c r="C993" s="1112"/>
      <c r="D993" s="1112"/>
      <c r="E993" s="1112"/>
      <c r="F993" s="1112"/>
      <c r="G993" s="1112"/>
      <c r="H993" s="1112"/>
      <c r="I993" s="1112"/>
      <c r="J993" s="1114"/>
      <c r="K993" s="1112"/>
      <c r="L993" s="1112"/>
      <c r="M993" s="1112"/>
      <c r="N993" s="1112"/>
      <c r="O993" s="1112"/>
      <c r="P993" s="1112" t="s">
        <v>96</v>
      </c>
      <c r="Q993" s="1112"/>
    </row>
    <row r="994">
      <c r="A994" s="1112"/>
      <c r="B994" s="1112"/>
      <c r="C994" s="1112"/>
      <c r="D994" s="1112"/>
      <c r="E994" s="1112"/>
      <c r="F994" s="1112"/>
      <c r="G994" s="1112"/>
      <c r="H994" s="1112"/>
      <c r="I994" s="1112"/>
      <c r="J994" s="1114"/>
      <c r="K994" s="1112"/>
      <c r="L994" s="1112"/>
      <c r="M994" s="1112"/>
      <c r="N994" s="1112"/>
      <c r="O994" s="1112"/>
      <c r="P994" s="1112" t="s">
        <v>96</v>
      </c>
      <c r="Q994" s="1112"/>
    </row>
    <row r="995">
      <c r="A995" s="1112"/>
      <c r="B995" s="1112"/>
      <c r="C995" s="1112"/>
      <c r="D995" s="1112"/>
      <c r="E995" s="1112"/>
      <c r="F995" s="1112"/>
      <c r="G995" s="1112"/>
      <c r="H995" s="1112"/>
      <c r="I995" s="1112"/>
      <c r="J995" s="1114"/>
      <c r="K995" s="1112"/>
      <c r="L995" s="1112"/>
      <c r="M995" s="1112"/>
      <c r="N995" s="1112"/>
      <c r="O995" s="1112"/>
      <c r="P995" s="1112" t="s">
        <v>96</v>
      </c>
      <c r="Q995" s="1112"/>
    </row>
    <row r="996">
      <c r="A996" s="1112"/>
      <c r="B996" s="1112"/>
      <c r="C996" s="1112"/>
      <c r="D996" s="1112"/>
      <c r="E996" s="1112"/>
      <c r="F996" s="1112"/>
      <c r="G996" s="1112"/>
      <c r="H996" s="1112"/>
      <c r="I996" s="1112"/>
      <c r="J996" s="1114"/>
      <c r="K996" s="1112"/>
      <c r="L996" s="1112"/>
      <c r="M996" s="1112"/>
      <c r="N996" s="1112"/>
      <c r="O996" s="1112"/>
      <c r="P996" s="1112" t="s">
        <v>96</v>
      </c>
      <c r="Q996" s="1112"/>
    </row>
    <row r="997">
      <c r="A997" s="1112"/>
      <c r="B997" s="1112"/>
      <c r="C997" s="1112"/>
      <c r="D997" s="1112"/>
      <c r="E997" s="1112"/>
      <c r="F997" s="1112"/>
      <c r="G997" s="1112"/>
      <c r="H997" s="1112"/>
      <c r="I997" s="1112"/>
      <c r="J997" s="1114"/>
      <c r="K997" s="1112"/>
      <c r="L997" s="1112"/>
      <c r="M997" s="1112"/>
      <c r="N997" s="1112"/>
      <c r="O997" s="1112"/>
      <c r="P997" s="1112" t="s">
        <v>96</v>
      </c>
      <c r="Q997" s="1112"/>
    </row>
    <row r="998">
      <c r="A998" s="1112"/>
      <c r="B998" s="1112"/>
      <c r="C998" s="1112"/>
      <c r="D998" s="1112"/>
      <c r="E998" s="1112"/>
      <c r="F998" s="1112"/>
      <c r="G998" s="1112"/>
      <c r="H998" s="1112"/>
      <c r="I998" s="1112"/>
      <c r="J998" s="1114"/>
      <c r="K998" s="1112"/>
      <c r="L998" s="1112"/>
      <c r="M998" s="1112"/>
      <c r="N998" s="1112"/>
      <c r="O998" s="1112"/>
      <c r="P998" s="1112" t="s">
        <v>96</v>
      </c>
      <c r="Q998" s="1112"/>
    </row>
    <row r="999">
      <c r="A999" s="1112"/>
      <c r="B999" s="1112"/>
      <c r="C999" s="1112"/>
      <c r="D999" s="1112"/>
      <c r="E999" s="1112"/>
      <c r="F999" s="1112"/>
      <c r="G999" s="1112"/>
      <c r="H999" s="1112"/>
      <c r="I999" s="1112"/>
      <c r="J999" s="1114"/>
      <c r="K999" s="1112"/>
      <c r="L999" s="1112"/>
      <c r="M999" s="1112"/>
      <c r="N999" s="1112"/>
      <c r="O999" s="1112"/>
      <c r="P999" s="1112" t="s">
        <v>96</v>
      </c>
      <c r="Q999" s="1112"/>
    </row>
    <row r="1000">
      <c r="A1000" s="1112"/>
      <c r="B1000" s="1112"/>
      <c r="C1000" s="1112"/>
      <c r="D1000" s="1112"/>
      <c r="E1000" s="1112"/>
      <c r="F1000" s="1112"/>
      <c r="G1000" s="1112"/>
      <c r="H1000" s="1112"/>
      <c r="I1000" s="1112"/>
      <c r="J1000" s="1114"/>
      <c r="K1000" s="1112"/>
      <c r="L1000" s="1112"/>
      <c r="M1000" s="1112"/>
      <c r="N1000" s="1112"/>
      <c r="O1000" s="1112"/>
      <c r="P1000" s="1112" t="s">
        <v>96</v>
      </c>
      <c r="Q1000" s="1112"/>
    </row>
  </sheetData>
  <autoFilter ref="$A$10:$Q$1000"/>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0.0" topLeftCell="A11" activePane="bottomLeft" state="frozen"/>
      <selection activeCell="B12" sqref="B12" pane="bottomLeft"/>
    </sheetView>
  </sheetViews>
  <sheetFormatPr customHeight="1" defaultColWidth="12.63" defaultRowHeight="15.75" outlineLevelRow="1"/>
  <sheetData>
    <row r="1" outlineLevel="1">
      <c r="A1" s="1088"/>
      <c r="B1" s="1088"/>
      <c r="C1" s="1138" t="s">
        <v>0</v>
      </c>
      <c r="D1" s="1088"/>
      <c r="E1" s="1139" t="s">
        <v>907</v>
      </c>
      <c r="F1" s="1140"/>
      <c r="G1" s="1140"/>
      <c r="H1" s="1141"/>
      <c r="I1" s="1142" t="str">
        <f t="shared" ref="I1:J1" si="1">sort(UNIQUE(F11:F27))</f>
        <v/>
      </c>
      <c r="J1" s="1142" t="str">
        <f t="shared" si="1"/>
        <v/>
      </c>
      <c r="K1" s="1142" t="s">
        <v>908</v>
      </c>
      <c r="L1" s="1142" t="s">
        <v>909</v>
      </c>
      <c r="M1" s="1142" t="s">
        <v>910</v>
      </c>
      <c r="N1" s="772"/>
      <c r="O1" s="772"/>
      <c r="P1" s="772"/>
      <c r="Q1" s="772"/>
      <c r="R1" s="772"/>
      <c r="S1" s="772"/>
      <c r="T1" s="772"/>
      <c r="U1" s="772"/>
      <c r="V1" s="772"/>
      <c r="W1" s="772"/>
      <c r="X1" s="772"/>
      <c r="Y1" s="772"/>
      <c r="Z1" s="772"/>
    </row>
    <row r="2" outlineLevel="1">
      <c r="A2" s="1143" t="s">
        <v>728</v>
      </c>
      <c r="B2" s="1143" t="s">
        <v>6</v>
      </c>
      <c r="C2" s="1143" t="s">
        <v>7</v>
      </c>
      <c r="D2" s="1143" t="s">
        <v>911</v>
      </c>
      <c r="E2" s="1144" t="s">
        <v>912</v>
      </c>
      <c r="F2" s="1145" t="s">
        <v>29</v>
      </c>
      <c r="G2" s="1145" t="s">
        <v>913</v>
      </c>
      <c r="H2" s="1146" t="s">
        <v>713</v>
      </c>
      <c r="I2" s="1147"/>
      <c r="J2" s="1147"/>
      <c r="K2" s="1148" t="s">
        <v>914</v>
      </c>
      <c r="L2" s="1147" t="s">
        <v>909</v>
      </c>
      <c r="M2" s="1147" t="s">
        <v>915</v>
      </c>
      <c r="N2" s="1143"/>
      <c r="O2" s="1143"/>
      <c r="P2" s="1143"/>
      <c r="Q2" s="1143"/>
      <c r="R2" s="1143"/>
      <c r="S2" s="1143"/>
      <c r="T2" s="1143"/>
      <c r="U2" s="1143"/>
      <c r="V2" s="1143"/>
      <c r="W2" s="1143"/>
      <c r="X2" s="1143"/>
      <c r="Y2" s="1143"/>
      <c r="Z2" s="1143"/>
    </row>
    <row r="3" outlineLevel="1">
      <c r="A3" s="1088"/>
      <c r="B3" s="1088"/>
      <c r="C3" s="1149"/>
      <c r="D3" s="772"/>
      <c r="E3" s="1139" t="s">
        <v>907</v>
      </c>
      <c r="F3" s="1150"/>
      <c r="G3" s="1150"/>
      <c r="H3" s="1151"/>
      <c r="I3" s="1152"/>
      <c r="J3" s="1152"/>
      <c r="K3" s="1153" t="s">
        <v>916</v>
      </c>
      <c r="L3" s="1152" t="s">
        <v>917</v>
      </c>
      <c r="M3" s="1152" t="s">
        <v>918</v>
      </c>
      <c r="N3" s="334"/>
      <c r="O3" s="334"/>
      <c r="P3" s="144"/>
      <c r="Q3" s="334"/>
      <c r="R3" s="702"/>
      <c r="S3" s="311"/>
      <c r="T3" s="311"/>
      <c r="U3" s="772"/>
      <c r="V3" s="772"/>
      <c r="W3" s="334"/>
      <c r="X3" s="334"/>
      <c r="Y3" s="334"/>
      <c r="Z3" s="772"/>
    </row>
    <row r="4" outlineLevel="1">
      <c r="A4" s="1088"/>
      <c r="B4" s="1088"/>
      <c r="C4" s="1154" t="s">
        <v>28</v>
      </c>
      <c r="D4" s="772"/>
      <c r="E4" s="1155" t="s">
        <v>919</v>
      </c>
      <c r="F4" s="1153" t="s">
        <v>920</v>
      </c>
      <c r="G4" s="1152" t="s">
        <v>921</v>
      </c>
      <c r="H4" s="1151"/>
      <c r="I4" s="1152"/>
      <c r="J4" s="1152"/>
      <c r="K4" s="1153" t="s">
        <v>922</v>
      </c>
      <c r="L4" s="1152" t="s">
        <v>909</v>
      </c>
      <c r="M4" s="1152" t="s">
        <v>923</v>
      </c>
      <c r="N4" s="334"/>
      <c r="O4" s="334"/>
      <c r="P4" s="144"/>
      <c r="Q4" s="334"/>
      <c r="R4" s="702"/>
      <c r="S4" s="311"/>
      <c r="T4" s="311"/>
      <c r="U4" s="772"/>
      <c r="V4" s="772"/>
      <c r="W4" s="772"/>
      <c r="X4" s="310"/>
      <c r="Y4" s="700"/>
      <c r="Z4" s="772"/>
    </row>
    <row r="5" outlineLevel="1">
      <c r="A5" s="1088"/>
      <c r="B5" s="1088"/>
      <c r="C5" s="1154" t="s">
        <v>31</v>
      </c>
      <c r="D5" s="1088"/>
      <c r="E5" s="1156" t="s">
        <v>924</v>
      </c>
      <c r="F5" s="1153" t="s">
        <v>909</v>
      </c>
      <c r="G5" s="1157" t="s">
        <v>925</v>
      </c>
      <c r="H5" s="1151"/>
      <c r="I5" s="1158"/>
      <c r="J5" s="1152"/>
      <c r="K5" s="1153" t="s">
        <v>926</v>
      </c>
      <c r="L5" s="1152" t="s">
        <v>909</v>
      </c>
      <c r="M5" s="1152" t="s">
        <v>927</v>
      </c>
      <c r="N5" s="334"/>
      <c r="O5" s="334"/>
      <c r="P5" s="144"/>
      <c r="Q5" s="334"/>
      <c r="R5" s="702"/>
      <c r="S5" s="311"/>
      <c r="T5" s="311"/>
      <c r="U5" s="772"/>
      <c r="V5" s="772"/>
      <c r="W5" s="334"/>
      <c r="X5" s="334"/>
      <c r="Y5" s="334"/>
      <c r="Z5" s="772"/>
    </row>
    <row r="6" outlineLevel="1">
      <c r="A6" s="1088"/>
      <c r="B6" s="1088"/>
      <c r="C6" s="1154" t="s">
        <v>35</v>
      </c>
      <c r="D6" s="772"/>
      <c r="E6" s="1159">
        <f>TODAY()-2</f>
        <v>46306</v>
      </c>
      <c r="F6" s="1160" t="str">
        <f>IFERROR(__xludf.DUMMYFUNCTION("IF(ISERROR( Filter( J11:J27  ,ARRAYFORMULA(IF($D$11:$D27&lt;&gt;"""",$E$11:$E27&gt;$E$6,FALSE)) , ARRAYFORMULA(IF($D$11:$D27&lt;&gt;"""",$K$11:$K27=""Таблица Проекта"",FALSE)))),""Триггеры проекта не запущены"",""Триггеры проекта запушены"")"),"Триггеры проекта не запущены")</f>
        <v>Триггеры проекта не запущены</v>
      </c>
      <c r="G6" s="1161" t="str">
        <f>IFERROR(__xludf.DUMMYFUNCTION("IF(ISERROR( Filter( J11:J27  ,ARRAYFORMULA(IF($D$11:$D27&lt;&gt;"""",$E$11:$E27&gt;$E$6,FALSE)) , ARRAYFORMULA(IF($D$11:$D27&lt;&gt;"""",$K$11:$K27=""Таблица Оплат"",FALSE)))),""Триггеры  оплат не запущены"",""Триггеры оплат запушены"")"),"Триггеры  оплат не запущены")</f>
        <v>Триггеры  оплат не запущены</v>
      </c>
      <c r="H6" s="1151"/>
      <c r="I6" s="1158"/>
      <c r="J6" s="1152"/>
      <c r="K6" s="1153" t="s">
        <v>928</v>
      </c>
      <c r="L6" s="1152" t="s">
        <v>925</v>
      </c>
      <c r="M6" s="1152" t="s">
        <v>929</v>
      </c>
      <c r="N6" s="334"/>
      <c r="O6" s="334"/>
      <c r="P6" s="153"/>
      <c r="Q6" s="334"/>
      <c r="R6" s="699"/>
      <c r="S6" s="699"/>
      <c r="T6" s="699"/>
      <c r="U6" s="772"/>
      <c r="V6" s="772"/>
      <c r="W6" s="334"/>
      <c r="X6" s="334"/>
      <c r="Y6" s="334"/>
      <c r="Z6" s="772"/>
    </row>
    <row r="7" outlineLevel="1">
      <c r="A7" s="721" t="s">
        <v>237</v>
      </c>
      <c r="B7" s="721" t="s">
        <v>237</v>
      </c>
      <c r="C7" s="1143" t="s">
        <v>52</v>
      </c>
      <c r="D7" s="1088"/>
      <c r="E7" s="1162"/>
      <c r="F7" s="1163"/>
      <c r="G7" s="1162"/>
      <c r="H7" s="1141"/>
      <c r="I7" s="1164"/>
      <c r="J7" s="1164"/>
      <c r="K7" s="1164"/>
      <c r="L7" s="1164"/>
      <c r="M7" s="1164"/>
      <c r="N7" s="721"/>
      <c r="O7" s="721"/>
      <c r="P7" s="722"/>
      <c r="Q7" s="344"/>
      <c r="R7" s="723"/>
      <c r="S7" s="669"/>
      <c r="T7" s="724"/>
      <c r="U7" s="772"/>
      <c r="V7" s="772"/>
      <c r="W7" s="721"/>
      <c r="X7" s="721"/>
      <c r="Y7" s="721"/>
      <c r="Z7" s="772"/>
    </row>
    <row r="8" outlineLevel="1">
      <c r="A8" s="1088"/>
      <c r="B8" s="1088"/>
      <c r="C8" s="1143" t="s">
        <v>39</v>
      </c>
      <c r="D8" s="1088"/>
      <c r="E8" s="1162"/>
      <c r="F8" s="1158"/>
      <c r="G8" s="1162"/>
      <c r="H8" s="1141"/>
      <c r="I8" s="1165"/>
      <c r="J8" s="1165"/>
      <c r="K8" s="1165"/>
      <c r="L8" s="1165"/>
      <c r="M8" s="1165"/>
      <c r="N8" s="726"/>
      <c r="O8" s="726"/>
      <c r="P8" s="726"/>
      <c r="Q8" s="726"/>
      <c r="R8" s="702"/>
      <c r="S8" s="311"/>
      <c r="T8" s="311"/>
      <c r="U8" s="772"/>
      <c r="V8" s="772"/>
      <c r="W8" s="726"/>
      <c r="X8" s="726"/>
      <c r="Y8" s="726"/>
      <c r="Z8" s="772"/>
    </row>
    <row r="9" outlineLevel="1">
      <c r="A9" s="1088"/>
      <c r="B9" s="1088"/>
      <c r="C9" s="1138" t="s">
        <v>44</v>
      </c>
      <c r="D9" s="1135"/>
      <c r="E9" s="772"/>
      <c r="F9" s="772"/>
      <c r="G9" s="772"/>
      <c r="H9" s="772"/>
      <c r="I9" s="772"/>
      <c r="J9" s="772"/>
      <c r="K9" s="772"/>
      <c r="L9" s="772"/>
      <c r="M9" s="772"/>
      <c r="N9" s="772"/>
      <c r="O9" s="772"/>
      <c r="P9" s="772"/>
      <c r="Q9" s="772"/>
      <c r="R9" s="772"/>
      <c r="S9" s="772"/>
      <c r="T9" s="772"/>
      <c r="U9" s="772"/>
      <c r="V9" s="772"/>
      <c r="W9" s="772"/>
      <c r="X9" s="772"/>
      <c r="Y9" s="772"/>
      <c r="Z9" s="772"/>
    </row>
    <row r="10">
      <c r="A10" s="772"/>
      <c r="B10" s="772"/>
      <c r="C10" s="1166" t="s">
        <v>63</v>
      </c>
      <c r="D10" s="1166" t="s">
        <v>823</v>
      </c>
      <c r="E10" s="1166" t="s">
        <v>930</v>
      </c>
      <c r="F10" s="1166" t="s">
        <v>931</v>
      </c>
      <c r="G10" s="1167" t="s">
        <v>932</v>
      </c>
      <c r="H10" s="1167" t="s">
        <v>63</v>
      </c>
      <c r="I10" s="1168"/>
      <c r="J10" s="1169" t="str">
        <f>IFERROR(__xludf.DUMMYFUNCTION("{""Таблица Проекта"";LAMBDA(doCompare,doSelect,theData,theUrlS,theTrigerS,  
BYROW(theUrlS,Lambda(theUrl,   IF(theUrl&lt;&gt;"""",doCompare( doSelect(theData,theUrl), theTrigerS)  , )  ))
 )(
LAMBDA(theA,theB, IFERROR(AND(ArrayFormula(theA=theB)),FALSE)),
LAMBD"&amp;"A(theData,theUrl, TRANSPOSE( IFERROR(Sort(Unique( QUERY(theData,""Select Col2  Where  Col1='""&amp;theUrl&amp;""'"",0))), ))  ),
LAMBDA(theData,  QUERY( query (theData,""Select * where Col6=True and Col7=True"",0),""Select Col1,Col4, Max(Col2) Where Col1 is not n"&amp;"ull group by Col1, Col4 label Max(Col2) ''"",0) ) (ARRAYFORMULA( {D11:D27,E11:E27,F11:F27,G11:G27,H11:H27,E11:E27&gt;E6,IFERROR(VLOOKUP(G11:G27,K1:L6,2,FALSE),"""")=""Таблица Проекта""} ))
,{D11:D27}, TRANSPOSE(Sort(Unique( FILTER(K1:K6,ARRAYFORMULA(L1:L6="""&amp;"Таблица Проекта""))))))}"),"Таблица Проекта")</f>
        <v>Таблица Проекта</v>
      </c>
      <c r="K10" s="1169" t="str">
        <f t="array" ref="K10:K27">{"Назначение тригера";(IF(D11:D27&lt;&gt;"",IFERROR(VLOOKUP(G11:G27,K1:L6,2,FALSE),""),) )}</f>
        <v>Назначение тригера</v>
      </c>
      <c r="L10" s="1169" t="str">
        <f>IFERROR(__xludf.DUMMYFUNCTION("{""Таблица Оплат"";LAMBDA(doCompare,doSelect,theData,theUrlS,theTrigerS,  BYROW(theUrlS,Lambda(theUrl,   IF(theUrl&lt;&gt;"""",doCompare( doSelect(theData,theUrl), theTrigerS)  , )  )) )(
LAMBDA(theA,theB, IFERROR(AND(ArrayFormula(theA=theB)),FALSE)),
LAMBDA(th"&amp;"eData,theUrl, TRANSPOSE( IFERROR(Sort(Unique( QUERY(theData,""Select Col2  Where  Col1='""&amp;theUrl&amp;""'"",0))), ))  ),
LAMBDA(theData,  QUERY( query (theData,""Select * where Col6=True and Col7=True"",0),""Select Col1,Col4, Max(Col2) Where Col1 is not null "&amp;"group by Col1, Col4 label Max(Col2) ''"",0) ) (ARRAYFORMULA( {D11:D27,E11:E27,F11:F27,G11:G27,H11:H27,E11:E27&gt;E6,IFERROR(VLOOKUP(G11:G27,K1:L6,2,FALSE),"""")=""Таблица Оплат""} ))
,{D11:D27}, TRANSPOSE(Sort(Unique( FILTER(K1:K6,ARRAYFORMULA(L1:L6=""Таблиц"&amp;"а Оплат""))))))}"),"Таблица Оплат")</f>
        <v>Таблица Оплат</v>
      </c>
      <c r="M10" s="1140"/>
      <c r="N10" s="1169" t="str">
        <f>IFERROR(__xludf.DUMMYFUNCTION("{""Кол-во Триггеров"";LAMBDA(doRez,doFind,doCount,the,doRez(doFind,INDEX(the,,),doCount(the)))(
LAMBDA(doFind,theUrls,theData,BYROW(theUrls,LAMBDA(theUrl,doFind(theUrl,theData)))),
LAMBDA(theUrl,theData,IF(theUrl&lt;&gt;"""",VLOOKUP(theUrl,theData,2,FALSE),)),
"&amp;"LAMBDA(theData,QUERY(theData,""Select Col1,Count(Col1) Where Col1 is not null group by Col1 label Count(Col1) ''"",0)) 
,{D11:D27,E11:E27,F11:F27,G11:G27,H11:H27})}"),"Кол-во Триггеров")</f>
        <v>Кол-во Триггеров</v>
      </c>
      <c r="O10" s="1140"/>
      <c r="P10" s="1169" t="str">
        <f>IFERROR(__xludf.DUMMYFUNCTION("{""Кол-во Уникальных Триггеров"";LAMBDA(do, theData, BYROW(theData,LAMBDA(td, IF( td&lt;&gt;"""",({COUNTA( UNIQUE( do(INDEX(td,,1),theData) ) ) } ),)  )))
(LAMBDA(theUrl,theData,QUERY(theData, ""Select Col4 Where Col1='""&amp; theUrl &amp;""' "",0)),
{D11:D27,E11:E27,F"&amp;"11:F27,G11:G27,H11:H27})}"),"Кол-во Уникальных Триггеров")</f>
        <v>Кол-во Уникальных Триггеров</v>
      </c>
      <c r="Q10" s="1140"/>
      <c r="R10" s="1169" t="str">
        <f>IFERROR(__xludf.DUMMYFUNCTION("{""Кол-во Аккаунтов"";LAMBDA(do, theData, BYROW(theData,LAMBDA(td, IF( td&lt;&gt;"""",({COUNTA( UNIQUE( do(INDEX(td,,1),theData) ) ) } ),)  )))
(LAMBDA(theUrl,theData,QUERY(theData, ""Select Col3 Where Col1='""&amp; theUrl &amp;""' "",0)),
{D11:D27,E11:E27,F11:F27,G11:"&amp;"G27,H11:H27})}"),"Кол-во Аккаунтов")</f>
        <v>Кол-во Аккаунтов</v>
      </c>
      <c r="S10" s="1140"/>
      <c r="T10" s="1169" t="str">
        <f>IFERROR(__xludf.DUMMYFUNCTION("{""Лишние Триггеры"";LAMBDA(do, theData, theCounts, 
BYROW(theData,LAMBDA(td, IF( td&lt;&gt;"""",(  IF(IFERROR(do(td,theCounts),0)&gt;1,TRUE,) ),)  )))
(LAMBDA(td,theData, SUM(QUERY(theData,""Select Col3 where Col1='""&amp;INDEX(td,,1)&amp;""' and Col2='""&amp;INDEX(td,,4)&amp;"""&amp;"'"",0)) ),
{D11:D27,E11:E27,F11:F27,G11:G27,H11:H27},
LAMBDA(theData, QUERY( QUERY(theData,""Select Col1,Col4, Count(Col4) Where Col1 is not null group by Col1, Col4 label Count(Col4) ''"",0),""Select * where Col3 &gt; 1"",0))({D11:D27,E11:E27,F11:F27,G11:G2"&amp;"7,H11:H27})
)}"),"Лишние Триггеры")</f>
        <v>Лишние Триггеры</v>
      </c>
      <c r="U10" s="1140"/>
      <c r="V10" s="1169" t="str">
        <f t="array" ref="V10:V27">{"Тригер Остановлен";IF($D$11:$D27&lt;&gt;"",IF($E$11:$E27&lt;$E$6,TRUE,),)}</f>
        <v>Тригер Остановлен</v>
      </c>
      <c r="W10" s="1140"/>
      <c r="X10" s="1140"/>
      <c r="Y10" s="1140"/>
      <c r="Z10" s="1140"/>
    </row>
    <row r="11">
      <c r="A11" s="772"/>
      <c r="B11" s="772"/>
      <c r="C11" s="1166"/>
      <c r="D11" s="1166"/>
      <c r="E11" s="1170"/>
      <c r="F11" s="1166"/>
      <c r="G11" s="1167"/>
      <c r="H11" s="1167"/>
      <c r="I11" s="1171"/>
      <c r="J11" s="1115"/>
      <c r="K11" s="1115"/>
      <c r="L11" s="1115"/>
      <c r="M11" s="772"/>
      <c r="N11" s="772"/>
      <c r="O11" s="772"/>
      <c r="P11" s="772"/>
      <c r="Q11" s="772"/>
      <c r="R11" s="772"/>
      <c r="S11" s="772"/>
      <c r="T11" s="772"/>
      <c r="U11" s="772"/>
      <c r="V11" s="772"/>
      <c r="W11" s="772"/>
      <c r="X11" s="772"/>
      <c r="Y11" s="772"/>
      <c r="Z11" s="772"/>
    </row>
    <row r="12">
      <c r="A12" s="772"/>
      <c r="B12" s="772"/>
      <c r="C12" s="1166"/>
      <c r="D12" s="1166"/>
      <c r="E12" s="1170"/>
      <c r="F12" s="1166"/>
      <c r="G12" s="1166"/>
      <c r="H12" s="1166"/>
      <c r="I12" s="772"/>
      <c r="J12" s="772"/>
      <c r="K12" s="772"/>
      <c r="L12" s="772"/>
      <c r="M12" s="772"/>
      <c r="N12" s="772"/>
      <c r="O12" s="772"/>
      <c r="P12" s="772"/>
      <c r="Q12" s="772"/>
      <c r="R12" s="772"/>
      <c r="S12" s="772"/>
      <c r="T12" s="772"/>
      <c r="U12" s="772"/>
      <c r="V12" s="772"/>
      <c r="W12" s="772"/>
      <c r="X12" s="772"/>
      <c r="Y12" s="772"/>
      <c r="Z12" s="772"/>
    </row>
    <row r="13">
      <c r="A13" s="772"/>
      <c r="B13" s="772"/>
      <c r="C13" s="1166"/>
      <c r="D13" s="1166"/>
      <c r="E13" s="1170"/>
      <c r="F13" s="1166"/>
      <c r="G13" s="1166"/>
      <c r="H13" s="1166"/>
      <c r="I13" s="772"/>
      <c r="J13" s="1166"/>
      <c r="K13" s="1166"/>
      <c r="L13" s="772"/>
      <c r="M13" s="772"/>
      <c r="N13" s="1166"/>
      <c r="O13" s="772"/>
      <c r="P13" s="1166"/>
      <c r="Q13" s="772"/>
      <c r="R13" s="1166"/>
      <c r="S13" s="772"/>
      <c r="T13" s="1166"/>
      <c r="U13" s="772"/>
      <c r="V13" s="1166"/>
      <c r="W13" s="772"/>
      <c r="X13" s="772"/>
      <c r="Y13" s="772"/>
      <c r="Z13" s="772"/>
    </row>
    <row r="14">
      <c r="A14" s="772"/>
      <c r="B14" s="772"/>
      <c r="C14" s="1166"/>
      <c r="D14" s="1166"/>
      <c r="E14" s="1170"/>
      <c r="F14" s="1166"/>
      <c r="G14" s="1166"/>
      <c r="H14" s="1166"/>
      <c r="I14" s="772"/>
      <c r="J14" s="772"/>
      <c r="K14" s="772"/>
      <c r="L14" s="772"/>
      <c r="M14" s="772"/>
      <c r="N14" s="772"/>
      <c r="O14" s="772"/>
      <c r="P14" s="772"/>
      <c r="Q14" s="772"/>
      <c r="R14" s="772"/>
      <c r="S14" s="772"/>
      <c r="T14" s="772"/>
      <c r="U14" s="772"/>
      <c r="V14" s="772"/>
      <c r="W14" s="772"/>
      <c r="X14" s="772"/>
      <c r="Y14" s="772"/>
      <c r="Z14" s="772"/>
    </row>
    <row r="15">
      <c r="A15" s="772"/>
      <c r="B15" s="772"/>
      <c r="C15" s="1166"/>
      <c r="D15" s="1166"/>
      <c r="E15" s="1170"/>
      <c r="F15" s="1166"/>
      <c r="G15" s="1166"/>
      <c r="H15" s="1166"/>
      <c r="I15" s="772"/>
      <c r="J15" s="772"/>
      <c r="K15" s="772"/>
      <c r="L15" s="772"/>
      <c r="M15" s="772"/>
      <c r="N15" s="772"/>
      <c r="O15" s="772"/>
      <c r="P15" s="772"/>
      <c r="Q15" s="772"/>
      <c r="R15" s="772"/>
      <c r="S15" s="772"/>
      <c r="T15" s="772"/>
      <c r="U15" s="772"/>
      <c r="V15" s="772"/>
      <c r="W15" s="772"/>
      <c r="X15" s="772"/>
      <c r="Y15" s="772"/>
      <c r="Z15" s="772"/>
    </row>
    <row r="16">
      <c r="A16" s="772"/>
      <c r="B16" s="772"/>
      <c r="C16" s="1166"/>
      <c r="D16" s="1166"/>
      <c r="E16" s="1170"/>
      <c r="F16" s="1166"/>
      <c r="G16" s="1166"/>
      <c r="H16" s="1166"/>
      <c r="I16" s="772"/>
      <c r="J16" s="772"/>
      <c r="K16" s="772"/>
      <c r="L16" s="772"/>
      <c r="M16" s="772"/>
      <c r="N16" s="772"/>
      <c r="O16" s="772"/>
      <c r="P16" s="772"/>
      <c r="Q16" s="772"/>
      <c r="R16" s="772"/>
      <c r="S16" s="772"/>
      <c r="T16" s="772"/>
      <c r="U16" s="772"/>
      <c r="V16" s="772"/>
      <c r="W16" s="772"/>
      <c r="X16" s="772"/>
      <c r="Y16" s="772"/>
      <c r="Z16" s="772"/>
    </row>
    <row r="17">
      <c r="A17" s="772"/>
      <c r="B17" s="772"/>
      <c r="C17" s="1166"/>
      <c r="D17" s="1166"/>
      <c r="E17" s="1170"/>
      <c r="F17" s="1166"/>
      <c r="G17" s="1166"/>
      <c r="H17" s="1166"/>
      <c r="I17" s="772"/>
      <c r="J17" s="772"/>
      <c r="K17" s="772"/>
      <c r="L17" s="772"/>
      <c r="M17" s="772"/>
      <c r="N17" s="772"/>
      <c r="O17" s="772"/>
      <c r="P17" s="772"/>
      <c r="Q17" s="772"/>
      <c r="R17" s="772"/>
      <c r="S17" s="772"/>
      <c r="T17" s="772"/>
      <c r="U17" s="772"/>
      <c r="V17" s="772"/>
      <c r="W17" s="772"/>
      <c r="X17" s="772"/>
      <c r="Y17" s="772"/>
      <c r="Z17" s="772"/>
    </row>
    <row r="18">
      <c r="A18" s="772"/>
      <c r="B18" s="772"/>
      <c r="C18" s="1166"/>
      <c r="D18" s="1166"/>
      <c r="E18" s="1170"/>
      <c r="F18" s="1166"/>
      <c r="G18" s="1166"/>
      <c r="H18" s="1166"/>
      <c r="I18" s="772"/>
      <c r="J18" s="772"/>
      <c r="K18" s="772"/>
      <c r="L18" s="772"/>
      <c r="M18" s="772"/>
      <c r="N18" s="772"/>
      <c r="O18" s="772"/>
      <c r="P18" s="772"/>
      <c r="Q18" s="772"/>
      <c r="R18" s="772"/>
      <c r="S18" s="772"/>
      <c r="T18" s="772"/>
      <c r="U18" s="772"/>
      <c r="V18" s="772"/>
      <c r="W18" s="772"/>
      <c r="X18" s="772"/>
      <c r="Y18" s="772"/>
      <c r="Z18" s="772"/>
    </row>
    <row r="19">
      <c r="A19" s="772"/>
      <c r="B19" s="772"/>
      <c r="C19" s="1166"/>
      <c r="D19" s="1166"/>
      <c r="E19" s="1170"/>
      <c r="F19" s="1166"/>
      <c r="G19" s="1166"/>
      <c r="H19" s="1166"/>
      <c r="I19" s="772"/>
      <c r="J19" s="772"/>
      <c r="K19" s="772"/>
      <c r="L19" s="772"/>
      <c r="M19" s="772"/>
      <c r="N19" s="772"/>
      <c r="O19" s="772"/>
      <c r="P19" s="772"/>
      <c r="Q19" s="772"/>
      <c r="R19" s="772"/>
      <c r="S19" s="772"/>
      <c r="T19" s="772"/>
      <c r="U19" s="772"/>
      <c r="V19" s="772"/>
      <c r="W19" s="772"/>
      <c r="X19" s="772"/>
      <c r="Y19" s="772"/>
      <c r="Z19" s="772"/>
    </row>
    <row r="20">
      <c r="A20" s="772"/>
      <c r="B20" s="772"/>
      <c r="C20" s="1166"/>
      <c r="D20" s="1166"/>
      <c r="E20" s="1170"/>
      <c r="F20" s="1166"/>
      <c r="G20" s="1166"/>
      <c r="H20" s="1166"/>
      <c r="I20" s="772"/>
      <c r="J20" s="772"/>
      <c r="K20" s="772"/>
      <c r="L20" s="772"/>
      <c r="M20" s="772"/>
      <c r="N20" s="772"/>
      <c r="O20" s="772"/>
      <c r="P20" s="772"/>
      <c r="Q20" s="772"/>
      <c r="R20" s="772"/>
      <c r="S20" s="772"/>
      <c r="T20" s="772"/>
      <c r="U20" s="772"/>
      <c r="V20" s="772"/>
      <c r="W20" s="772"/>
      <c r="X20" s="772"/>
      <c r="Y20" s="772"/>
      <c r="Z20" s="772"/>
    </row>
    <row r="21">
      <c r="A21" s="772"/>
      <c r="B21" s="772"/>
      <c r="C21" s="1166"/>
      <c r="D21" s="1166"/>
      <c r="E21" s="1170"/>
      <c r="F21" s="1166"/>
      <c r="G21" s="1166"/>
      <c r="H21" s="1166"/>
      <c r="I21" s="772"/>
      <c r="J21" s="772"/>
      <c r="K21" s="772"/>
      <c r="L21" s="772"/>
      <c r="M21" s="772"/>
      <c r="N21" s="772"/>
      <c r="O21" s="772"/>
      <c r="P21" s="772"/>
      <c r="Q21" s="772"/>
      <c r="R21" s="772"/>
      <c r="S21" s="772"/>
      <c r="T21" s="772"/>
      <c r="U21" s="772"/>
      <c r="V21" s="772"/>
      <c r="W21" s="772"/>
      <c r="X21" s="772"/>
      <c r="Y21" s="772"/>
      <c r="Z21" s="772"/>
    </row>
    <row r="22">
      <c r="A22" s="772"/>
      <c r="B22" s="772"/>
      <c r="C22" s="1166"/>
      <c r="D22" s="1166"/>
      <c r="E22" s="1170"/>
      <c r="F22" s="1166"/>
      <c r="G22" s="1166"/>
      <c r="H22" s="1166"/>
      <c r="I22" s="772"/>
      <c r="J22" s="772"/>
      <c r="K22" s="772"/>
      <c r="L22" s="772"/>
      <c r="M22" s="772"/>
      <c r="N22" s="772"/>
      <c r="O22" s="772"/>
      <c r="P22" s="772"/>
      <c r="Q22" s="772"/>
      <c r="R22" s="772"/>
      <c r="S22" s="772"/>
      <c r="T22" s="772"/>
      <c r="U22" s="772"/>
      <c r="V22" s="772"/>
      <c r="W22" s="772"/>
      <c r="X22" s="772"/>
      <c r="Y22" s="772"/>
      <c r="Z22" s="772"/>
    </row>
    <row r="23">
      <c r="A23" s="772"/>
      <c r="B23" s="772"/>
      <c r="C23" s="1166"/>
      <c r="D23" s="1166"/>
      <c r="E23" s="1170"/>
      <c r="F23" s="1166"/>
      <c r="G23" s="1166"/>
      <c r="H23" s="1166"/>
      <c r="I23" s="772"/>
      <c r="J23" s="772"/>
      <c r="K23" s="772"/>
      <c r="L23" s="772"/>
      <c r="M23" s="772"/>
      <c r="N23" s="772"/>
      <c r="O23" s="772"/>
      <c r="P23" s="772"/>
      <c r="Q23" s="772"/>
      <c r="R23" s="772"/>
      <c r="S23" s="772"/>
      <c r="T23" s="772"/>
      <c r="U23" s="772"/>
      <c r="V23" s="772"/>
      <c r="W23" s="772"/>
      <c r="X23" s="772"/>
      <c r="Y23" s="772"/>
      <c r="Z23" s="772"/>
    </row>
    <row r="24">
      <c r="A24" s="772"/>
      <c r="B24" s="772"/>
      <c r="C24" s="1166"/>
      <c r="D24" s="1166"/>
      <c r="E24" s="1170"/>
      <c r="F24" s="1166"/>
      <c r="G24" s="1166"/>
      <c r="H24" s="1166"/>
      <c r="I24" s="772"/>
      <c r="J24" s="772"/>
      <c r="K24" s="772"/>
      <c r="L24" s="772"/>
      <c r="M24" s="772"/>
      <c r="N24" s="772"/>
      <c r="O24" s="772"/>
      <c r="P24" s="772"/>
      <c r="Q24" s="772"/>
      <c r="R24" s="772"/>
      <c r="S24" s="772"/>
      <c r="T24" s="772"/>
      <c r="U24" s="772"/>
      <c r="V24" s="772"/>
      <c r="W24" s="772"/>
      <c r="X24" s="772"/>
      <c r="Y24" s="772"/>
      <c r="Z24" s="772"/>
    </row>
    <row r="25">
      <c r="A25" s="772"/>
      <c r="B25" s="772"/>
      <c r="C25" s="1166"/>
      <c r="D25" s="1166"/>
      <c r="E25" s="1170"/>
      <c r="F25" s="1166"/>
      <c r="G25" s="1166"/>
      <c r="H25" s="1166"/>
      <c r="I25" s="772"/>
      <c r="J25" s="772"/>
      <c r="K25" s="772"/>
      <c r="L25" s="772"/>
      <c r="M25" s="772"/>
      <c r="N25" s="772"/>
      <c r="O25" s="772"/>
      <c r="P25" s="772"/>
      <c r="Q25" s="772"/>
      <c r="R25" s="772"/>
      <c r="S25" s="772"/>
      <c r="T25" s="772"/>
      <c r="U25" s="772"/>
      <c r="V25" s="772"/>
      <c r="W25" s="772"/>
      <c r="X25" s="772"/>
      <c r="Y25" s="772"/>
      <c r="Z25" s="772"/>
    </row>
    <row r="26">
      <c r="A26" s="772"/>
      <c r="B26" s="772"/>
      <c r="C26" s="1166"/>
      <c r="D26" s="1166"/>
      <c r="E26" s="1170"/>
      <c r="F26" s="1166"/>
      <c r="G26" s="1166"/>
      <c r="H26" s="1166"/>
      <c r="I26" s="772"/>
      <c r="J26" s="772"/>
      <c r="K26" s="772"/>
      <c r="L26" s="772"/>
      <c r="M26" s="772"/>
      <c r="N26" s="772"/>
      <c r="O26" s="772"/>
      <c r="P26" s="772"/>
      <c r="Q26" s="772"/>
      <c r="R26" s="772"/>
      <c r="S26" s="772"/>
      <c r="T26" s="772"/>
      <c r="U26" s="772"/>
      <c r="V26" s="772"/>
      <c r="W26" s="772"/>
      <c r="X26" s="772"/>
      <c r="Y26" s="772"/>
      <c r="Z26" s="772"/>
    </row>
    <row r="27">
      <c r="A27" s="772"/>
      <c r="B27" s="772"/>
      <c r="C27" s="1166"/>
      <c r="D27" s="1166"/>
      <c r="E27" s="1170"/>
      <c r="F27" s="1166"/>
      <c r="G27" s="1166"/>
      <c r="H27" s="1166"/>
      <c r="I27" s="772"/>
      <c r="J27" s="772"/>
      <c r="K27" s="772"/>
      <c r="L27" s="772"/>
      <c r="M27" s="772"/>
      <c r="N27" s="772"/>
      <c r="O27" s="772"/>
      <c r="P27" s="772"/>
      <c r="Q27" s="772"/>
      <c r="R27" s="772"/>
      <c r="S27" s="772"/>
      <c r="T27" s="772"/>
      <c r="U27" s="772"/>
      <c r="V27" s="772"/>
      <c r="W27" s="772"/>
      <c r="X27" s="772"/>
      <c r="Y27" s="772"/>
      <c r="Z27" s="772"/>
    </row>
  </sheetData>
  <drawing r:id="rId2"/>
  <legacyDrawing r:id="rId3"/>
</worksheet>
</file>